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xls" ContentType="application/vnd.ms-exce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checkCompatibility="1"/>
  <bookViews>
    <workbookView xWindow="480" yWindow="120" windowWidth="11340" windowHeight="8835" tabRatio="824"/>
  </bookViews>
  <sheets>
    <sheet name="2015 Continuity Schedule" sheetId="32" r:id="rId1"/>
    <sheet name="2011 EDDVAR" sheetId="31" r:id="rId2"/>
    <sheet name="2011 Decision" sheetId="20" state="hidden" r:id="rId3"/>
    <sheet name="WorkBook_Current" sheetId="7" state="hidden" r:id="rId4"/>
    <sheet name="Calc_Rate Rider GA_NonRPP" sheetId="9" state="hidden" r:id="rId5"/>
    <sheet name="1595 Continuity 2011" sheetId="18" state="hidden" r:id="rId6"/>
    <sheet name="1595 May 1, 2008" sheetId="19" state="hidden" r:id="rId7"/>
    <sheet name="1595 Continuity 2010" sheetId="12" state="hidden" r:id="rId8"/>
    <sheet name="Group 1 Accounts" sheetId="15" state="hidden" r:id="rId9"/>
    <sheet name="2011-2 Amortization" sheetId="17" state="hidden" r:id="rId10"/>
    <sheet name="Reg Asset_Liability Details" sheetId="16" state="hidden" r:id="rId11"/>
    <sheet name="Amrt YTD June 12" sheetId="25" state="hidden" r:id="rId12"/>
    <sheet name="1521-1562 June 12" sheetId="24" state="hidden" r:id="rId13"/>
    <sheet name="Amortization Sch" sheetId="23" state="hidden" r:id="rId14"/>
    <sheet name="2012 Customer IR" sheetId="29" r:id="rId15"/>
    <sheet name="2012 Decision" sheetId="30" state="hidden"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s>
  <definedNames>
    <definedName name="AllHistory">'[1]Work Units'!$B$2:$R$48,'[1]Work Units'!$B$51:$R$86</definedName>
    <definedName name="AllPages">[2]List99!$A$1:$F$58,[2]List99!$A$62:$F$120,[2]List99!$A$123:$F$186,[2]List99!$A$189:$F$247,[2]List99!$A$250:$F$308,[2]List99!$A$311:$F$370,[2]List99!$A$430:$F$488,[2]List99!$A$491:$F$549,[2]List99!$A$550:$F$608,[2]List99!$A$609:$F$667,[2]List99!$A$668:$F$779</definedName>
    <definedName name="AllSum98">[3]SUM2001!$A$6:$K$45,[3]SUM2001!$A$46:$K$79,[3]SUM2001!$A$80:$K$135</definedName>
    <definedName name="area1">[4]CALC1!$AH$1:$AO$50,[4]CALC1!$CB$1:$CH$23,[4]CALC1!$AR$1:$AW$47,[4]CALC1!$AZ$1:$BH$51,[4]CALC1!$BK$1:$BS$49,[4]CALC1!$BV$1:$BY$33</definedName>
    <definedName name="area2">[4]CALC1!$CB$1:$CH$23,[4]CALC1!$S$1:$Z$33</definedName>
    <definedName name="asasd" localSheetId="1">[2]List99!$A$288:$F$346,[2]List99!#REF!,[2]List99!$A$350:$F$466</definedName>
    <definedName name="asasd">[2]List99!$A$288:$F$346,[2]List99!#REF!,[2]List99!$A$350:$F$466</definedName>
    <definedName name="budget" localSheetId="1">'[5]E&amp;O Comparison'!#REF!</definedName>
    <definedName name="budget">'[5]E&amp;O Comparison'!#REF!</definedName>
    <definedName name="Budget3" localSheetId="1">'[5]E&amp;O Comparison'!#REF!</definedName>
    <definedName name="Budget3">'[5]E&amp;O Comparison'!#REF!</definedName>
    <definedName name="Budget4" localSheetId="1">'[5]E&amp;O Comparison'!#REF!</definedName>
    <definedName name="Budget4">'[5]E&amp;O Comparison'!#REF!</definedName>
    <definedName name="Budget5" localSheetId="1">'[5]E&amp;O Comparison'!#REF!</definedName>
    <definedName name="Budget5">'[5]E&amp;O Comparison'!#REF!</definedName>
    <definedName name="BudgetBook">[6]Budget!$B$3:$P$33,[6]Budget!$B$37:$N$86,[6]Budget!$B$142:$K$195,[6]Budget!$B$198:$K$237</definedName>
    <definedName name="CDM_2007">#REF!</definedName>
    <definedName name="contactf" localSheetId="13">#REF!</definedName>
    <definedName name="contactf" localSheetId="11">#REF!</definedName>
    <definedName name="contactf">#REF!</definedName>
    <definedName name="COVER">[6]SUM95!$AV$14:$BF$37,[6]SUM95!$AV$40:$BF$58</definedName>
    <definedName name="distribution" localSheetId="1">[2]List99!$A$288:$F$346,[2]List99!#REF!,[2]List99!$A$350:$F$466</definedName>
    <definedName name="distribution">[2]List99!$A$288:$F$346,[2]List99!#REF!,[2]List99!$A$350:$F$466</definedName>
    <definedName name="EDR_06_OthInfo" localSheetId="1">'[7]4. 2006 Smart Meter Information'!#REF!</definedName>
    <definedName name="EDR_06_OthInfo">'[7]4. 2006 Smart Meter Information'!#REF!</definedName>
    <definedName name="EDR06Tariffs" localSheetId="1">'[7]3. 2006 Tariff Sheet'!#REF!</definedName>
    <definedName name="EDR06Tariffs">'[7]3. 2006 Tariff Sheet'!#REF!</definedName>
    <definedName name="Final98">[8]Items98!$A$1:$G$58,[8]Items98!$A$62:$G$120,[8]Items98!$A$123:$G$181,[8]Items98!$A$184:$G$242,[8]Items98!$A$245:$G$303,[8]Items98!$A$306:$G$364,[8]Items98!$A$367:$G$425,[8]Items98!$A$428:$G$486,[8]Items98!$A$489:$G$545,[8]Items98!$A$548:$G$604,[8]Items98!$A$607:$G$657,[8]Items98!$A$662:$G$716</definedName>
    <definedName name="FinalList" localSheetId="1">[2]List99!$A$1:$F$59,[2]List99!$A$60:$F$111,[2]List99!#REF!,[2]List99!$A$112:$F$164,[2]List99!$A$165:$F$228,[2]List99!$A$288:$F$346,[2]List99!#REF!,[2]List99!$A$350:$F$466,[2]List99!$A$229:$F$287,[2]List99!$A$467:$F$519</definedName>
    <definedName name="FinalList">[2]List99!$A$1:$F$59,[2]List99!$A$60:$F$111,[2]List99!#REF!,[2]List99!$A$112:$F$164,[2]List99!$A$165:$F$228,[2]List99!$A$288:$F$346,[2]List99!#REF!,[2]List99!$A$350:$F$466,[2]List99!$A$229:$F$287,[2]List99!$A$467:$F$519</definedName>
    <definedName name="FinalProjects" localSheetId="1">[2]List99!$A$1:$F$59,[2]List99!$A$60:$F$111,[2]List99!#REF!,[2]List99!$A$112:$F$164,[2]List99!$A$165:$F$228,[2]List99!$A$288:$F$346,[2]List99!#REF!,[2]List99!$A$350:$F$466,[2]List99!$A$229:$F$287,[2]List99!$A$467:$F$519,[2]List99!$A$522:$F$574</definedName>
    <definedName name="FinalProjects">[2]List99!$A$1:$F$59,[2]List99!$A$60:$F$111,[2]List99!#REF!,[2]List99!$A$112:$F$164,[2]List99!$A$165:$F$228,[2]List99!$A$288:$F$346,[2]List99!#REF!,[2]List99!$A$350:$F$466,[2]List99!$A$229:$F$287,[2]List99!$A$467:$F$519,[2]List99!$A$522:$F$574</definedName>
    <definedName name="forecast97">[9]Forecast97!$S$3:$V$32,[9]Forecast97!$X$3:$AC$32</definedName>
    <definedName name="Group1">[6]SUM96!$A$203:$K$252,[6]SUM96!$A$253:$K$299,[6]SUM96!$A$300:$K$342,[6]SUM96!$A$343:$L$391</definedName>
    <definedName name="hello" localSheetId="9">#REF!</definedName>
    <definedName name="hello" localSheetId="13">#REF!</definedName>
    <definedName name="hello" localSheetId="11">#REF!</definedName>
    <definedName name="hello" localSheetId="10">#REF!</definedName>
    <definedName name="hello">#REF!</definedName>
    <definedName name="histdate">[10]Financials!$E$76</definedName>
    <definedName name="HOEPApr">[11]Hoep!$E$6</definedName>
    <definedName name="HOEPAug">[11]Hoep!$E$10</definedName>
    <definedName name="HOEPDec">[11]Hoep!$E$14</definedName>
    <definedName name="HOEPFeb">[11]Hoep!$E$4</definedName>
    <definedName name="HOEPJan">[11]Hoep!$E$3</definedName>
    <definedName name="HOEPJul">[11]Hoep!$E$9</definedName>
    <definedName name="HOEPJun">[11]Hoep!$E$8</definedName>
    <definedName name="HOEPMar">[11]Hoep!$E$5</definedName>
    <definedName name="HOEPMay">[11]Hoep!$E$7</definedName>
    <definedName name="HOEPNov">[11]Hoep!$E$13</definedName>
    <definedName name="HOEPOct">[11]Hoep!$E$12</definedName>
    <definedName name="HOEPSep">[11]Hoep!$E$11</definedName>
    <definedName name="impactdata">'[12]8-7 OTHER CHGS, COMMOD (Input)'!$B$15:$AS$118</definedName>
    <definedName name="Incr2000" localSheetId="13">#REF!</definedName>
    <definedName name="Incr2000" localSheetId="11">#REF!</definedName>
    <definedName name="Incr2000" localSheetId="4">#REF!</definedName>
    <definedName name="Incr2000" localSheetId="10">#REF!</definedName>
    <definedName name="Incr2000">#REF!</definedName>
    <definedName name="increase">#REF!</definedName>
    <definedName name="Items1997">[13]Items!$C$4:$E$29,[13]Items!$C$30:$E$59,[13]Items!$C$62:$E$95,[13]Items!$C$102:$E$137,[13]Items!$C$145:$E$169</definedName>
    <definedName name="Items98">[8]Items98!$A$2:$F$58,[8]Items98!$A$62:$F$120,[8]Items98!$A$123:$F$181,[8]Items98!$A$184:$F$242,[8]Items98!$A$245:$F$303,[8]Items98!$A$306:$F$364,[8]Items98!$A$367:$F$486,[8]Items98!$A$489:$F$545,[8]Items98!$A$548:$F$604,[8]Items98!$A$607:$F$657,[8]Items98!$A$662:$F$716</definedName>
    <definedName name="jjj" localSheetId="1">'[5]E&amp;O Comparison'!#REF!</definedName>
    <definedName name="jjj">'[5]E&amp;O Comparison'!#REF!</definedName>
    <definedName name="john" localSheetId="1">'[5]E&amp;O Comparison'!#REF!</definedName>
    <definedName name="john">'[5]E&amp;O Comparison'!#REF!</definedName>
    <definedName name="LastSheet" hidden="1">"Total Bill Impacts_All Customer"</definedName>
    <definedName name="LIMIT" localSheetId="13">#REF!</definedName>
    <definedName name="LIMIT" localSheetId="11">#REF!</definedName>
    <definedName name="LIMIT">#REF!</definedName>
    <definedName name="list" localSheetId="1">[2]List99!$A$1:$F$59,[2]List99!$A$60:$F$111,[2]List99!#REF!,[2]List99!$A$112:$F$164,[2]List99!$A$165:$F$228,[2]List99!$A$229:$F$287,[2]List99!$A$467:$F$519,[2]List99!$A$288:$F$346,[2]List99!#REF!,[2]List99!$A$350:$F$466</definedName>
    <definedName name="list">[2]List99!$A$1:$F$59,[2]List99!$A$60:$F$111,[2]List99!#REF!,[2]List99!$A$112:$F$164,[2]List99!$A$165:$F$228,[2]List99!$A$229:$F$287,[2]List99!$A$467:$F$519,[2]List99!$A$288:$F$346,[2]List99!#REF!,[2]List99!$A$350:$F$466</definedName>
    <definedName name="List2001">'[2]List 2001'!$A$1:$F$58,'[2]List 2001'!$A$62:$F$111,'[2]List 2001'!$A$115:$F$173,'[2]List 2001'!$A$176:$F$234,'[2]List 2001'!$A$237:$F$296,'[2]List 2001'!$A$299:$F$357,'[2]List 2001'!$A$360:$F$416,'[2]List 2001'!$A$419:$F$475,'[2]List 2001'!$A$478:$F$528,'[2]List 2001'!$A$533:$F$587</definedName>
    <definedName name="man_beg_bud" localSheetId="13">#REF!</definedName>
    <definedName name="man_beg_bud" localSheetId="11">#REF!</definedName>
    <definedName name="man_beg_bud">#REF!</definedName>
    <definedName name="man_end_bud" localSheetId="13">#REF!</definedName>
    <definedName name="man_end_bud" localSheetId="11">#REF!</definedName>
    <definedName name="man_end_bud">#REF!</definedName>
    <definedName name="man12ACT" localSheetId="13">#REF!</definedName>
    <definedName name="man12ACT" localSheetId="11">#REF!</definedName>
    <definedName name="man12ACT">#REF!</definedName>
    <definedName name="MANBUD" localSheetId="13">#REF!</definedName>
    <definedName name="MANBUD" localSheetId="11">#REF!</definedName>
    <definedName name="MANBUD">#REF!</definedName>
    <definedName name="manCYACT" localSheetId="13">#REF!</definedName>
    <definedName name="manCYACT" localSheetId="11">#REF!</definedName>
    <definedName name="manCYACT">#REF!</definedName>
    <definedName name="manCYBUD" localSheetId="13">#REF!</definedName>
    <definedName name="manCYBUD" localSheetId="11">#REF!</definedName>
    <definedName name="manCYBUD">#REF!</definedName>
    <definedName name="manCYF" localSheetId="13">#REF!</definedName>
    <definedName name="manCYF" localSheetId="11">#REF!</definedName>
    <definedName name="manCYF">#REF!</definedName>
    <definedName name="MANEND" localSheetId="13">#REF!</definedName>
    <definedName name="MANEND" localSheetId="11">#REF!</definedName>
    <definedName name="MANEND">#REF!</definedName>
    <definedName name="manNYbud" localSheetId="13">#REF!</definedName>
    <definedName name="manNYbud" localSheetId="11">#REF!</definedName>
    <definedName name="manNYbud">#REF!</definedName>
    <definedName name="manpower_costs" localSheetId="13">#REF!</definedName>
    <definedName name="manpower_costs" localSheetId="11">#REF!</definedName>
    <definedName name="manpower_costs">#REF!</definedName>
    <definedName name="manPYACT" localSheetId="13">#REF!</definedName>
    <definedName name="manPYACT" localSheetId="11">#REF!</definedName>
    <definedName name="manPYACT">#REF!</definedName>
    <definedName name="MANSTART" localSheetId="13">#REF!</definedName>
    <definedName name="MANSTART" localSheetId="11">#REF!</definedName>
    <definedName name="MANSTART">#REF!</definedName>
    <definedName name="mat_beg_bud" localSheetId="13">#REF!</definedName>
    <definedName name="mat_beg_bud" localSheetId="11">#REF!</definedName>
    <definedName name="mat_beg_bud">#REF!</definedName>
    <definedName name="mat_end_bud" localSheetId="13">#REF!</definedName>
    <definedName name="mat_end_bud" localSheetId="11">#REF!</definedName>
    <definedName name="mat_end_bud">#REF!</definedName>
    <definedName name="mat12ACT" localSheetId="13">#REF!</definedName>
    <definedName name="mat12ACT" localSheetId="11">#REF!</definedName>
    <definedName name="mat12ACT">#REF!</definedName>
    <definedName name="MATBUD" localSheetId="13">#REF!</definedName>
    <definedName name="MATBUD" localSheetId="11">#REF!</definedName>
    <definedName name="MATBUD">#REF!</definedName>
    <definedName name="matCYACT" localSheetId="13">#REF!</definedName>
    <definedName name="matCYACT" localSheetId="11">#REF!</definedName>
    <definedName name="matCYACT">#REF!</definedName>
    <definedName name="matCYBUD" localSheetId="13">#REF!</definedName>
    <definedName name="matCYBUD" localSheetId="11">#REF!</definedName>
    <definedName name="matCYBUD">#REF!</definedName>
    <definedName name="matCYF" localSheetId="13">#REF!</definedName>
    <definedName name="matCYF" localSheetId="11">#REF!</definedName>
    <definedName name="matCYF">#REF!</definedName>
    <definedName name="MATEND" localSheetId="13">#REF!</definedName>
    <definedName name="MATEND" localSheetId="11">#REF!</definedName>
    <definedName name="MATEND">#REF!</definedName>
    <definedName name="material_costs" localSheetId="13">#REF!</definedName>
    <definedName name="material_costs" localSheetId="11">#REF!</definedName>
    <definedName name="material_costs">#REF!</definedName>
    <definedName name="matNYbud" localSheetId="13">#REF!</definedName>
    <definedName name="matNYbud" localSheetId="11">#REF!</definedName>
    <definedName name="matNYbud">#REF!</definedName>
    <definedName name="matPYACT" localSheetId="13">#REF!</definedName>
    <definedName name="matPYACT" localSheetId="11">#REF!</definedName>
    <definedName name="matPYACT">#REF!</definedName>
    <definedName name="MATSTART" localSheetId="13">#REF!</definedName>
    <definedName name="MATSTART" localSheetId="11">#REF!</definedName>
    <definedName name="MATSTART">#REF!</definedName>
    <definedName name="Model_Organization">#REF!</definedName>
    <definedName name="MofF" localSheetId="9">#REF!</definedName>
    <definedName name="MofF" localSheetId="13">#REF!</definedName>
    <definedName name="MofF" localSheetId="11">#REF!</definedName>
    <definedName name="MofF" localSheetId="10">#REF!</definedName>
    <definedName name="MofF">#REF!</definedName>
    <definedName name="NONBENF">#REF!</definedName>
    <definedName name="nonreg">#REF!</definedName>
    <definedName name="nonregf">#REF!</definedName>
    <definedName name="note5d" localSheetId="13">#REF!</definedName>
    <definedName name="note5d" localSheetId="11">#REF!</definedName>
    <definedName name="note5d" localSheetId="10">#REF!</definedName>
    <definedName name="note5d">#REF!</definedName>
    <definedName name="oth_beg_bud" localSheetId="13">#REF!</definedName>
    <definedName name="oth_beg_bud" localSheetId="11">#REF!</definedName>
    <definedName name="oth_beg_bud">#REF!</definedName>
    <definedName name="oth_end_bud" localSheetId="13">#REF!</definedName>
    <definedName name="oth_end_bud" localSheetId="11">#REF!</definedName>
    <definedName name="oth_end_bud">#REF!</definedName>
    <definedName name="oth12ACT" localSheetId="13">#REF!</definedName>
    <definedName name="oth12ACT" localSheetId="11">#REF!</definedName>
    <definedName name="oth12ACT">#REF!</definedName>
    <definedName name="othCYACT" localSheetId="13">#REF!</definedName>
    <definedName name="othCYACT" localSheetId="11">#REF!</definedName>
    <definedName name="othCYACT">#REF!</definedName>
    <definedName name="othCYBUD" localSheetId="13">#REF!</definedName>
    <definedName name="othCYBUD" localSheetId="11">#REF!</definedName>
    <definedName name="othCYBUD">#REF!</definedName>
    <definedName name="othCYF" localSheetId="13">#REF!</definedName>
    <definedName name="othCYF" localSheetId="11">#REF!</definedName>
    <definedName name="othCYF">#REF!</definedName>
    <definedName name="OTHEND" localSheetId="13">#REF!</definedName>
    <definedName name="OTHEND" localSheetId="11">#REF!</definedName>
    <definedName name="OTHEND">#REF!</definedName>
    <definedName name="other_costs" localSheetId="13">#REF!</definedName>
    <definedName name="other_costs" localSheetId="11">#REF!</definedName>
    <definedName name="other_costs">#REF!</definedName>
    <definedName name="OTHERBUD" localSheetId="13">#REF!</definedName>
    <definedName name="OTHERBUD" localSheetId="11">#REF!</definedName>
    <definedName name="OTHERBUD">#REF!</definedName>
    <definedName name="OtherRateCharges">#REF!</definedName>
    <definedName name="othNYbud" localSheetId="13">#REF!</definedName>
    <definedName name="othNYbud" localSheetId="11">#REF!</definedName>
    <definedName name="othNYbud">#REF!</definedName>
    <definedName name="othPYACT" localSheetId="13">#REF!</definedName>
    <definedName name="othPYACT" localSheetId="11">#REF!</definedName>
    <definedName name="othPYACT">#REF!</definedName>
    <definedName name="OTHSTART" localSheetId="13">#REF!</definedName>
    <definedName name="OTHSTART" localSheetId="11">#REF!</definedName>
    <definedName name="OTHSTART">#REF!</definedName>
    <definedName name="page3" localSheetId="1">[8]RPCAP97!#REF!</definedName>
    <definedName name="page3">[8]RPCAP97!#REF!</definedName>
    <definedName name="page7a" localSheetId="1">[8]RPCAP97!#REF!</definedName>
    <definedName name="page7a">[8]RPCAP97!#REF!</definedName>
    <definedName name="PageAll">[8]RPCAP97!$A$1:$F$59,[8]RPCAP97!$A$60:$F$111,[8]RPCAP97!$A$112:$F$164,[8]RPCAP97!$A$165:$F$223,[8]RPCAP97!$A$283:$F$341,[8]RPCAP97!$A$345:$F$403,[8]RPCAP97!$A$224:$F$282,[8]RPCAP97!$A$404:$F$456,[8]RPCAP97!$A$459:$F$511</definedName>
    <definedName name="PagePart">[8]RPCAP97!$A$1:$F$59,[8]RPCAP97!$A$60:$F$111,[8]RPCAP97!$A$112:$F$164,[8]RPCAP97!$A$165:$F$223</definedName>
    <definedName name="Pages2000a">[2]List99!$A$1:$F$58,[2]List99!$A$62:$F$120,[2]List99!$A$123:$F$186,[2]List99!$A$189:$F$247,[2]List99!$A$250:$F$308,[2]List99!$A$311:$F$370</definedName>
    <definedName name="Pages2000b">[2]List99!$A$373:$F$427,[2]List99!$A$430:$F$488,[2]List99!$A$491:$F$549,[2]List99!$A$551:$F$608,[2]List99!$A$610:$F$667,[2]List99!$A$669:$F$720,[2]List99!$A$724:$F$779</definedName>
    <definedName name="PagesAll">[2]List99!$A$1:$F$58,[2]List99!$A$62:$F$120,[2]List99!$A$123:$F$186,[2]List99!$A$189:$F$247,[2]List99!$A$250:$F$308,[2]List99!$A$311:$F$370,[2]List99!$A$430:$F$488,[2]List99!$A$491:$F$549,[2]List99!$A$550:$F$608,[2]List99!$A$609:$F$667,[2]List99!$A$668:$F$720,[2]List99!$A$723:$F$779</definedName>
    <definedName name="PriceCapParams">#REF!</definedName>
    <definedName name="primary" localSheetId="1">[2]List99!$A$288:$F$346,[2]List99!#REF!,[2]List99!$A$350:$F$466</definedName>
    <definedName name="primary">[2]List99!$A$288:$F$346,[2]List99!#REF!,[2]List99!$A$350:$F$466</definedName>
    <definedName name="Print">'[14]Nov DEGDAYS'!$A$1:$N$36</definedName>
    <definedName name="_xlnm.Print_Area" localSheetId="7">'1595 Continuity 2010'!$A$65:$Q$143</definedName>
    <definedName name="_xlnm.Print_Area" localSheetId="5">'1595 Continuity 2011'!$A$84:$Q$163</definedName>
    <definedName name="_xlnm.Print_Area" localSheetId="6">'1595 May 1, 2008'!$A$87:$AD$162</definedName>
    <definedName name="_xlnm.Print_Area" localSheetId="9">'2011-2 Amortization'!$A$276:$P$297</definedName>
    <definedName name="_xlnm.Print_Area" localSheetId="13">#REF!</definedName>
    <definedName name="_xlnm.Print_Area" localSheetId="11">#REF!</definedName>
    <definedName name="_xlnm.Print_Area" localSheetId="10">'Reg Asset_Liability Details'!$A$1:$W$79</definedName>
    <definedName name="_xlnm.Print_Area" localSheetId="3">WorkBook_Current!$A$1:$I$49</definedName>
    <definedName name="_xlnm.Print_Area">#REF!</definedName>
    <definedName name="print_end" localSheetId="13">#REF!</definedName>
    <definedName name="print_end" localSheetId="11">#REF!</definedName>
    <definedName name="print_end">#REF!</definedName>
    <definedName name="_xlnm.Print_Titles" localSheetId="0">'2015 Continuity Schedule'!$B:$D</definedName>
    <definedName name="_xlnm.Print_Titles" localSheetId="10">'Reg Asset_Liability Details'!$A:$B</definedName>
    <definedName name="Qend">'[15]RSVA &amp; Other'!$A$3</definedName>
    <definedName name="Rate_Riders">#REF!</definedName>
    <definedName name="Ratebase" localSheetId="9">#REF!</definedName>
    <definedName name="Ratebase" localSheetId="13">#REF!</definedName>
    <definedName name="Ratebase" localSheetId="11">#REF!</definedName>
    <definedName name="Ratebase" localSheetId="10">#REF!</definedName>
    <definedName name="Ratebase">#REF!</definedName>
    <definedName name="rearrange95">[6]SUM95!$A$75:$I$109,[6]SUM95!$A$110:$I$141,[6]SUM95!$A$142:$I$177</definedName>
    <definedName name="RPP_Data">#REF!</definedName>
    <definedName name="SALBENF" localSheetId="13">#REF!</definedName>
    <definedName name="SALBENF" localSheetId="11">#REF!</definedName>
    <definedName name="SALBENF">#REF!</definedName>
    <definedName name="salreg" localSheetId="13">#REF!</definedName>
    <definedName name="salreg" localSheetId="11">#REF!</definedName>
    <definedName name="salreg">#REF!</definedName>
    <definedName name="SALREGF" localSheetId="13">#REF!</definedName>
    <definedName name="SALREGF" localSheetId="11">#REF!</definedName>
    <definedName name="SALREGF">#REF!</definedName>
    <definedName name="subtrans" localSheetId="1">[2]List99!$A$1:$F$59,[2]List99!$A$60:$F$111,[2]List99!#REF!,[2]List99!$A$112:$F$164,[2]List99!$A$165:$F$228</definedName>
    <definedName name="subtrans">[2]List99!$A$1:$F$59,[2]List99!$A$60:$F$111,[2]List99!#REF!,[2]List99!$A$112:$F$164,[2]List99!$A$165:$F$228</definedName>
    <definedName name="Surtax" localSheetId="9">#REF!</definedName>
    <definedName name="Surtax" localSheetId="13">#REF!</definedName>
    <definedName name="Surtax" localSheetId="11">#REF!</definedName>
    <definedName name="Surtax" localSheetId="10">#REF!</definedName>
    <definedName name="Surtax">#REF!</definedName>
    <definedName name="SysPageAll">'[13]MSCalc (2)'!$H$14:$AF$42,'[13]MSCalc (2)'!$H$43:$AF$85,'[13]MSCalc (2)'!$H$86:$AF$129,'[13]MSCalc (2)'!$H$130:$AF$201,'[13]MSCalc (2)'!$H$202:$AF$256,'[13]MSCalc (2)'!$H$257:$AF$279</definedName>
    <definedName name="SYSTEM">[16]OPTTABLE!$A$2:$E$15,[16]OPTTABLE!$Q$2:$T$15,[16]OPTTABLE!$AA$2:$AE$15,[16]OPTTABLE!$AG$2:$AK$15,[16]OPTTABLE!$AW$2:$AZ$15,[16]OPTTABLE!$BB$2:$BF$15,[16]OPTTABLE!$U$2:$Y$15,[16]OPTTABLE!$BH$2:$BH$15</definedName>
    <definedName name="TableLarge">[6]SUM96!$A$203:$K$252,[6]SUM96!$A$253:$K$297,[6]SUM96!$A$300:$K$370,[6]SUM96!$A$371:$K$392</definedName>
    <definedName name="TableReportAll">[6]SUM96!$A$203:$K$299,[6]SUM96!$A$300:$K$342,[6]SUM96!$A$343:$K$390</definedName>
    <definedName name="TEMPA" localSheetId="13">#REF!</definedName>
    <definedName name="TEMPA" localSheetId="11">#REF!</definedName>
    <definedName name="TEMPA">#REF!</definedName>
    <definedName name="terr_name">'[17]1-1 GENERAL (Input)'!$C$56:$D$59</definedName>
    <definedName name="total">[16]OPTTABLE!$A$2:$E$15,[16]OPTTABLE!$Q$2:$T$15,[16]OPTTABLE!$AA$2:$AE$15,[16]OPTTABLE!$AG$2:$AK$15,[16]OPTTABLE!$AW$2:$AZ$15,[16]OPTTABLE!$BB$2:$BF$15,[16]OPTTABLE!$BH$2:$BH$15,[16]OPTTABLE!$U$2:$Y$15</definedName>
    <definedName name="total_dept" localSheetId="13">#REF!</definedName>
    <definedName name="total_dept" localSheetId="11">#REF!</definedName>
    <definedName name="total_dept">#REF!</definedName>
    <definedName name="total_manpower" localSheetId="13">#REF!</definedName>
    <definedName name="total_manpower" localSheetId="11">#REF!</definedName>
    <definedName name="total_manpower">#REF!</definedName>
    <definedName name="total_material" localSheetId="13">#REF!</definedName>
    <definedName name="total_material" localSheetId="11">#REF!</definedName>
    <definedName name="total_material">#REF!</definedName>
    <definedName name="total_other" localSheetId="13">#REF!</definedName>
    <definedName name="total_other" localSheetId="11">#REF!</definedName>
    <definedName name="total_other">#REF!</definedName>
    <definedName name="total_transportation" localSheetId="13">#REF!</definedName>
    <definedName name="total_transportation" localSheetId="11">#REF!</definedName>
    <definedName name="total_transportation">#REF!</definedName>
    <definedName name="TRANBUD" localSheetId="13">#REF!</definedName>
    <definedName name="TRANBUD" localSheetId="11">#REF!</definedName>
    <definedName name="TRANBUD">#REF!</definedName>
    <definedName name="TRANEND" localSheetId="13">#REF!</definedName>
    <definedName name="TRANEND" localSheetId="11">#REF!</definedName>
    <definedName name="TRANEND">#REF!</definedName>
    <definedName name="transportation_costs" localSheetId="13">#REF!</definedName>
    <definedName name="transportation_costs" localSheetId="11">#REF!</definedName>
    <definedName name="transportation_costs">#REF!</definedName>
    <definedName name="TRANSTART" localSheetId="13">#REF!</definedName>
    <definedName name="TRANSTART" localSheetId="11">#REF!</definedName>
    <definedName name="TRANSTART">#REF!</definedName>
    <definedName name="trn_beg_bud" localSheetId="13">#REF!</definedName>
    <definedName name="trn_beg_bud" localSheetId="11">#REF!</definedName>
    <definedName name="trn_beg_bud">#REF!</definedName>
    <definedName name="trn_end_bud" localSheetId="13">#REF!</definedName>
    <definedName name="trn_end_bud" localSheetId="11">#REF!</definedName>
    <definedName name="trn_end_bud">#REF!</definedName>
    <definedName name="trn12ACT" localSheetId="13">#REF!</definedName>
    <definedName name="trn12ACT" localSheetId="11">#REF!</definedName>
    <definedName name="trn12ACT">#REF!</definedName>
    <definedName name="trnCYACT" localSheetId="13">#REF!</definedName>
    <definedName name="trnCYACT" localSheetId="11">#REF!</definedName>
    <definedName name="trnCYACT">#REF!</definedName>
    <definedName name="trnCYBUD" localSheetId="13">#REF!</definedName>
    <definedName name="trnCYBUD" localSheetId="11">#REF!</definedName>
    <definedName name="trnCYBUD">#REF!</definedName>
    <definedName name="trnCYF" localSheetId="13">#REF!</definedName>
    <definedName name="trnCYF" localSheetId="11">#REF!</definedName>
    <definedName name="trnCYF">#REF!</definedName>
    <definedName name="trnNYbud" localSheetId="13">#REF!</definedName>
    <definedName name="trnNYbud" localSheetId="11">#REF!</definedName>
    <definedName name="trnNYbud">#REF!</definedName>
    <definedName name="trnPYACT" localSheetId="13">#REF!</definedName>
    <definedName name="trnPYACT" localSheetId="11">#REF!</definedName>
    <definedName name="trnPYACT">#REF!</definedName>
    <definedName name="Utility">[10]Financials!$A$1</definedName>
    <definedName name="UtilityInfo">#REF!</definedName>
    <definedName name="utitliy1">[18]Financials!$A$1</definedName>
    <definedName name="WAGBENF" localSheetId="13">#REF!</definedName>
    <definedName name="WAGBENF" localSheetId="11">#REF!</definedName>
    <definedName name="WAGBENF">#REF!</definedName>
    <definedName name="wagdob" localSheetId="13">#REF!</definedName>
    <definedName name="wagdob" localSheetId="11">#REF!</definedName>
    <definedName name="wagdob">#REF!</definedName>
    <definedName name="wagdobf" localSheetId="13">#REF!</definedName>
    <definedName name="wagdobf" localSheetId="11">#REF!</definedName>
    <definedName name="wagdobf">#REF!</definedName>
    <definedName name="wagreg" localSheetId="13">#REF!</definedName>
    <definedName name="wagreg" localSheetId="11">#REF!</definedName>
    <definedName name="wagreg">#REF!</definedName>
    <definedName name="wagregf" localSheetId="13">#REF!</definedName>
    <definedName name="wagregf" localSheetId="11">#REF!</definedName>
    <definedName name="wagregf">#REF!</definedName>
    <definedName name="Z_Factor_Analysis">#REF!</definedName>
  </definedNames>
  <calcPr calcId="145621"/>
</workbook>
</file>

<file path=xl/calcChain.xml><?xml version="1.0" encoding="utf-8"?>
<calcChain xmlns="http://schemas.openxmlformats.org/spreadsheetml/2006/main">
  <c r="AP45" i="32" l="1"/>
  <c r="AO45" i="32"/>
  <c r="AF45" i="32"/>
  <c r="AE45" i="32"/>
  <c r="W45" i="32"/>
  <c r="R45" i="32"/>
  <c r="Q45" i="32"/>
  <c r="P45" i="32"/>
  <c r="H45" i="32"/>
  <c r="G45" i="32"/>
  <c r="AD43" i="32"/>
  <c r="AC43" i="32"/>
  <c r="Y43" i="32"/>
  <c r="X43" i="32"/>
  <c r="S43" i="32"/>
  <c r="N43" i="32"/>
  <c r="I43" i="32"/>
  <c r="AZ41" i="32"/>
  <c r="AZ45" i="32" s="1"/>
  <c r="AX41" i="32"/>
  <c r="AX45" i="32" s="1"/>
  <c r="AT41" i="32"/>
  <c r="AT45" i="32" s="1"/>
  <c r="AS41" i="32"/>
  <c r="AS45" i="32" s="1"/>
  <c r="AQ41" i="32"/>
  <c r="AQ45" i="32" s="1"/>
  <c r="AP41" i="32"/>
  <c r="AO41" i="32"/>
  <c r="AL41" i="32"/>
  <c r="AL45" i="32" s="1"/>
  <c r="AK41" i="32"/>
  <c r="AK45" i="32" s="1"/>
  <c r="AG41" i="32"/>
  <c r="AG45" i="32" s="1"/>
  <c r="AF41" i="32"/>
  <c r="AE41" i="32"/>
  <c r="AB41" i="32"/>
  <c r="AB45" i="32" s="1"/>
  <c r="AA41" i="32"/>
  <c r="AA45" i="32" s="1"/>
  <c r="W41" i="32"/>
  <c r="V41" i="32"/>
  <c r="V45" i="32" s="1"/>
  <c r="U41" i="32"/>
  <c r="U45" i="32" s="1"/>
  <c r="R41" i="32"/>
  <c r="Q41" i="32"/>
  <c r="P41" i="32"/>
  <c r="M41" i="32"/>
  <c r="M45" i="32" s="1"/>
  <c r="L41" i="32"/>
  <c r="L45" i="32" s="1"/>
  <c r="K41" i="32"/>
  <c r="K45" i="32" s="1"/>
  <c r="J41" i="32"/>
  <c r="J45" i="32" s="1"/>
  <c r="H41" i="32"/>
  <c r="G41" i="32"/>
  <c r="AZ40" i="32"/>
  <c r="AX40" i="32"/>
  <c r="AT40" i="32"/>
  <c r="AS40" i="32"/>
  <c r="AQ40" i="32"/>
  <c r="AP40" i="32"/>
  <c r="AO40" i="32"/>
  <c r="AL40" i="32"/>
  <c r="AK40" i="32"/>
  <c r="AJ40" i="32"/>
  <c r="AG40" i="32"/>
  <c r="AF40" i="32"/>
  <c r="AE40" i="32"/>
  <c r="AB40" i="32"/>
  <c r="AA40" i="32"/>
  <c r="W40" i="32"/>
  <c r="V40" i="32"/>
  <c r="U40" i="32"/>
  <c r="R40" i="32"/>
  <c r="Q40" i="32"/>
  <c r="P40" i="32"/>
  <c r="M40" i="32"/>
  <c r="L40" i="32"/>
  <c r="K40" i="32"/>
  <c r="J40" i="32"/>
  <c r="H40" i="32"/>
  <c r="G40" i="32"/>
  <c r="E40" i="32"/>
  <c r="AZ39" i="32"/>
  <c r="AX39" i="32"/>
  <c r="AT39" i="32"/>
  <c r="AS39" i="32"/>
  <c r="AQ39" i="32"/>
  <c r="AP39" i="32"/>
  <c r="AO39" i="32"/>
  <c r="AL39" i="32"/>
  <c r="AK39" i="32"/>
  <c r="AJ39" i="32"/>
  <c r="AG39" i="32"/>
  <c r="AF39" i="32"/>
  <c r="AE39" i="32"/>
  <c r="AB39" i="32"/>
  <c r="AA39" i="32"/>
  <c r="Z39" i="32"/>
  <c r="W39" i="32"/>
  <c r="V39" i="32"/>
  <c r="U39" i="32"/>
  <c r="R39" i="32"/>
  <c r="Q39" i="32"/>
  <c r="P39" i="32"/>
  <c r="N39" i="32"/>
  <c r="M39" i="32"/>
  <c r="L39" i="32"/>
  <c r="K39" i="32"/>
  <c r="J39" i="32"/>
  <c r="I39" i="32"/>
  <c r="H39" i="32"/>
  <c r="G39" i="32"/>
  <c r="F39" i="32"/>
  <c r="E39" i="32"/>
  <c r="AY37" i="32"/>
  <c r="O37" i="32"/>
  <c r="S37" i="32" s="1"/>
  <c r="Y37" i="32" s="1"/>
  <c r="AC37" i="32" s="1"/>
  <c r="AI37" i="32" s="1"/>
  <c r="AM37" i="32" s="1"/>
  <c r="N37" i="32"/>
  <c r="T37" i="32" s="1"/>
  <c r="X37" i="32" s="1"/>
  <c r="AD37" i="32" s="1"/>
  <c r="AH37" i="32" s="1"/>
  <c r="AN37" i="32" s="1"/>
  <c r="AR37" i="32" s="1"/>
  <c r="AV37" i="32" s="1"/>
  <c r="I37" i="32"/>
  <c r="AY36" i="32"/>
  <c r="T36" i="32"/>
  <c r="X36" i="32" s="1"/>
  <c r="AD36" i="32" s="1"/>
  <c r="AH36" i="32" s="1"/>
  <c r="AN36" i="32" s="1"/>
  <c r="AR36" i="32" s="1"/>
  <c r="AV36" i="32" s="1"/>
  <c r="O36" i="32"/>
  <c r="S36" i="32" s="1"/>
  <c r="Y36" i="32" s="1"/>
  <c r="AC36" i="32" s="1"/>
  <c r="AI36" i="32" s="1"/>
  <c r="AM36" i="32" s="1"/>
  <c r="N36" i="32"/>
  <c r="I36" i="32"/>
  <c r="N35" i="32"/>
  <c r="T35" i="32" s="1"/>
  <c r="X35" i="32" s="1"/>
  <c r="AD35" i="32" s="1"/>
  <c r="AH35" i="32" s="1"/>
  <c r="AN35" i="32" s="1"/>
  <c r="AR35" i="32" s="1"/>
  <c r="AV35" i="32" s="1"/>
  <c r="I35" i="32"/>
  <c r="O35" i="32" s="1"/>
  <c r="S35" i="32" s="1"/>
  <c r="Y35" i="32" s="1"/>
  <c r="AC35" i="32" s="1"/>
  <c r="AI35" i="32" s="1"/>
  <c r="AM35" i="32" s="1"/>
  <c r="AJ34" i="32"/>
  <c r="AE34" i="32"/>
  <c r="AA34" i="32"/>
  <c r="Z34" i="32"/>
  <c r="Z40" i="32" s="1"/>
  <c r="T34" i="32"/>
  <c r="X34" i="32" s="1"/>
  <c r="AD34" i="32" s="1"/>
  <c r="AH34" i="32" s="1"/>
  <c r="AN34" i="32" s="1"/>
  <c r="AR34" i="32" s="1"/>
  <c r="AV34" i="32" s="1"/>
  <c r="N34" i="32"/>
  <c r="I34" i="32"/>
  <c r="O34" i="32" s="1"/>
  <c r="S34" i="32" s="1"/>
  <c r="Y34" i="32" s="1"/>
  <c r="AC34" i="32" s="1"/>
  <c r="AI34" i="32" s="1"/>
  <c r="AM34" i="32" s="1"/>
  <c r="N33" i="32"/>
  <c r="T33" i="32" s="1"/>
  <c r="X33" i="32" s="1"/>
  <c r="AD33" i="32" s="1"/>
  <c r="AH33" i="32" s="1"/>
  <c r="AN33" i="32" s="1"/>
  <c r="AR33" i="32" s="1"/>
  <c r="AV33" i="32" s="1"/>
  <c r="I33" i="32"/>
  <c r="O33" i="32" s="1"/>
  <c r="S33" i="32" s="1"/>
  <c r="Y33" i="32" s="1"/>
  <c r="AC33" i="32" s="1"/>
  <c r="AI33" i="32" s="1"/>
  <c r="AM33" i="32" s="1"/>
  <c r="T32" i="32"/>
  <c r="X32" i="32" s="1"/>
  <c r="AD32" i="32" s="1"/>
  <c r="AH32" i="32" s="1"/>
  <c r="AN32" i="32" s="1"/>
  <c r="AR32" i="32" s="1"/>
  <c r="AV32" i="32" s="1"/>
  <c r="O32" i="32"/>
  <c r="S32" i="32" s="1"/>
  <c r="Y32" i="32" s="1"/>
  <c r="AC32" i="32" s="1"/>
  <c r="AI32" i="32" s="1"/>
  <c r="AM32" i="32" s="1"/>
  <c r="N32" i="32"/>
  <c r="K32" i="32"/>
  <c r="J32" i="32"/>
  <c r="I32" i="32"/>
  <c r="N31" i="32"/>
  <c r="T31" i="32" s="1"/>
  <c r="X31" i="32" s="1"/>
  <c r="AD31" i="32" s="1"/>
  <c r="AH31" i="32" s="1"/>
  <c r="AN31" i="32" s="1"/>
  <c r="AR31" i="32" s="1"/>
  <c r="AV31" i="32" s="1"/>
  <c r="I31" i="32"/>
  <c r="O31" i="32" s="1"/>
  <c r="S31" i="32" s="1"/>
  <c r="Y31" i="32" s="1"/>
  <c r="AC31" i="32" s="1"/>
  <c r="AI31" i="32" s="1"/>
  <c r="AM31" i="32" s="1"/>
  <c r="AJ30" i="32"/>
  <c r="T30" i="32"/>
  <c r="X30" i="32" s="1"/>
  <c r="O30" i="32"/>
  <c r="O39" i="32" s="1"/>
  <c r="N30" i="32"/>
  <c r="I30" i="32"/>
  <c r="AJ29" i="32"/>
  <c r="N29" i="32"/>
  <c r="T29" i="32" s="1"/>
  <c r="X29" i="32" s="1"/>
  <c r="AD29" i="32" s="1"/>
  <c r="AH29" i="32" s="1"/>
  <c r="AN29" i="32" s="1"/>
  <c r="AR29" i="32" s="1"/>
  <c r="AV29" i="32" s="1"/>
  <c r="I29" i="32"/>
  <c r="O29" i="32" s="1"/>
  <c r="S29" i="32" s="1"/>
  <c r="Y29" i="32" s="1"/>
  <c r="AC29" i="32" s="1"/>
  <c r="AI29" i="32" s="1"/>
  <c r="AM29" i="32" s="1"/>
  <c r="AJ28" i="32"/>
  <c r="AJ41" i="32" s="1"/>
  <c r="AJ45" i="32" s="1"/>
  <c r="O28" i="32"/>
  <c r="S28" i="32" s="1"/>
  <c r="Y28" i="32" s="1"/>
  <c r="AC28" i="32" s="1"/>
  <c r="AI28" i="32" s="1"/>
  <c r="AM28" i="32" s="1"/>
  <c r="N28" i="32"/>
  <c r="T28" i="32" s="1"/>
  <c r="X28" i="32" s="1"/>
  <c r="AD28" i="32" s="1"/>
  <c r="AH28" i="32" s="1"/>
  <c r="AN28" i="32" s="1"/>
  <c r="AR28" i="32" s="1"/>
  <c r="AV28" i="32" s="1"/>
  <c r="F28" i="32"/>
  <c r="I28" i="32" s="1"/>
  <c r="N27" i="32"/>
  <c r="T27" i="32" s="1"/>
  <c r="X27" i="32" s="1"/>
  <c r="AD27" i="32" s="1"/>
  <c r="AH27" i="32" s="1"/>
  <c r="AN27" i="32" s="1"/>
  <c r="AR27" i="32" s="1"/>
  <c r="AV27" i="32" s="1"/>
  <c r="F27" i="32"/>
  <c r="I27" i="32" s="1"/>
  <c r="O27" i="32" s="1"/>
  <c r="S27" i="32" s="1"/>
  <c r="Y27" i="32" s="1"/>
  <c r="AC27" i="32" s="1"/>
  <c r="AI27" i="32" s="1"/>
  <c r="AM27" i="32" s="1"/>
  <c r="N26" i="32"/>
  <c r="T26" i="32" s="1"/>
  <c r="F26" i="32"/>
  <c r="F41" i="32" s="1"/>
  <c r="F45" i="32" s="1"/>
  <c r="E26" i="32"/>
  <c r="E41" i="32" s="1"/>
  <c r="E45" i="32" s="1"/>
  <c r="AD25" i="32"/>
  <c r="AH25" i="32" s="1"/>
  <c r="AN25" i="32" s="1"/>
  <c r="AR25" i="32" s="1"/>
  <c r="AV25" i="32" s="1"/>
  <c r="Y25" i="32"/>
  <c r="AC25" i="32" s="1"/>
  <c r="AI25" i="32" s="1"/>
  <c r="AM25" i="32" s="1"/>
  <c r="AJ24" i="32"/>
  <c r="Y24" i="32"/>
  <c r="AC24" i="32" s="1"/>
  <c r="AI24" i="32" s="1"/>
  <c r="AM24" i="32" s="1"/>
  <c r="X24" i="32"/>
  <c r="AD24" i="32" s="1"/>
  <c r="AH24" i="32" s="1"/>
  <c r="AN24" i="32" s="1"/>
  <c r="AR24" i="32" s="1"/>
  <c r="AV24" i="32" s="1"/>
  <c r="T24" i="32"/>
  <c r="N24" i="32"/>
  <c r="F24" i="32"/>
  <c r="I24" i="32" s="1"/>
  <c r="O24" i="32" s="1"/>
  <c r="S24" i="32" s="1"/>
  <c r="AU36" i="32" l="1"/>
  <c r="BA36" i="32"/>
  <c r="AU28" i="32"/>
  <c r="BA28" i="32"/>
  <c r="BA29" i="32"/>
  <c r="AU29" i="32"/>
  <c r="BA31" i="32"/>
  <c r="AU31" i="32"/>
  <c r="AY31" i="32" s="1"/>
  <c r="AU33" i="32"/>
  <c r="BA33" i="32"/>
  <c r="X26" i="32"/>
  <c r="T40" i="32"/>
  <c r="T41" i="32"/>
  <c r="T45" i="32" s="1"/>
  <c r="BA35" i="32"/>
  <c r="AU35" i="32"/>
  <c r="BA27" i="32"/>
  <c r="AU27" i="32"/>
  <c r="AU34" i="32"/>
  <c r="BA34" i="32"/>
  <c r="AU37" i="32"/>
  <c r="BA37" i="32"/>
  <c r="BA24" i="32"/>
  <c r="AU24" i="32"/>
  <c r="AU32" i="32"/>
  <c r="AY32" i="32" s="1"/>
  <c r="BA32" i="32"/>
  <c r="BA25" i="32"/>
  <c r="AU25" i="32"/>
  <c r="AI43" i="32"/>
  <c r="N41" i="32"/>
  <c r="Z41" i="32"/>
  <c r="Z45" i="32" s="1"/>
  <c r="T39" i="32"/>
  <c r="AH43" i="32"/>
  <c r="N40" i="32"/>
  <c r="X39" i="32"/>
  <c r="AD30" i="32"/>
  <c r="S30" i="32"/>
  <c r="N45" i="32"/>
  <c r="I26" i="32"/>
  <c r="F40" i="32"/>
  <c r="AH30" i="32" l="1"/>
  <c r="AD39" i="32"/>
  <c r="AM43" i="32"/>
  <c r="AW25" i="32"/>
  <c r="AY25" i="32" s="1"/>
  <c r="X40" i="32"/>
  <c r="X41" i="32"/>
  <c r="X45" i="32" s="1"/>
  <c r="AD26" i="32"/>
  <c r="AW28" i="32"/>
  <c r="AY28" i="32"/>
  <c r="AW34" i="32"/>
  <c r="AY34" i="32"/>
  <c r="AN43" i="32"/>
  <c r="AY27" i="32"/>
  <c r="AW27" i="32"/>
  <c r="AW33" i="32"/>
  <c r="AY33" i="32"/>
  <c r="I40" i="32"/>
  <c r="O26" i="32"/>
  <c r="I41" i="32"/>
  <c r="I45" i="32" s="1"/>
  <c r="AW24" i="32"/>
  <c r="AY24" i="32"/>
  <c r="AY35" i="32"/>
  <c r="AW35" i="32"/>
  <c r="Y30" i="32"/>
  <c r="S39" i="32"/>
  <c r="AW29" i="32"/>
  <c r="AY29" i="32" s="1"/>
  <c r="AR43" i="32" l="1"/>
  <c r="O40" i="32"/>
  <c r="O41" i="32"/>
  <c r="O45" i="32" s="1"/>
  <c r="S26" i="32"/>
  <c r="Y39" i="32"/>
  <c r="AC30" i="32"/>
  <c r="BA43" i="32"/>
  <c r="AU43" i="32"/>
  <c r="AD41" i="32"/>
  <c r="AD45" i="32" s="1"/>
  <c r="AD40" i="32"/>
  <c r="AH26" i="32"/>
  <c r="AN30" i="32"/>
  <c r="AH39" i="32"/>
  <c r="Y26" i="32" l="1"/>
  <c r="S40" i="32"/>
  <c r="S41" i="32"/>
  <c r="S45" i="32" s="1"/>
  <c r="AW43" i="32"/>
  <c r="AI30" i="32"/>
  <c r="AC39" i="32"/>
  <c r="AN39" i="32"/>
  <c r="AR30" i="32"/>
  <c r="AH41" i="32"/>
  <c r="AH45" i="32" s="1"/>
  <c r="AN26" i="32"/>
  <c r="AH40" i="32"/>
  <c r="AV43" i="32"/>
  <c r="AI39" i="32" l="1"/>
  <c r="AM30" i="32"/>
  <c r="AY43" i="32"/>
  <c r="AV30" i="32"/>
  <c r="AV39" i="32" s="1"/>
  <c r="AR39" i="32"/>
  <c r="AR26" i="32"/>
  <c r="AN41" i="32"/>
  <c r="AN45" i="32" s="1"/>
  <c r="AN40" i="32"/>
  <c r="AC26" i="32"/>
  <c r="Y40" i="32"/>
  <c r="Y41" i="32"/>
  <c r="Y45" i="32" s="1"/>
  <c r="AV26" i="32" l="1"/>
  <c r="AR41" i="32"/>
  <c r="AR45" i="32" s="1"/>
  <c r="AR40" i="32"/>
  <c r="AM39" i="32"/>
  <c r="AU30" i="32"/>
  <c r="BA30" i="32"/>
  <c r="BA39" i="32" s="1"/>
  <c r="AC41" i="32"/>
  <c r="AC45" i="32" s="1"/>
  <c r="AC40" i="32"/>
  <c r="AI26" i="32"/>
  <c r="AU39" i="32" l="1"/>
  <c r="AW30" i="32"/>
  <c r="AW39" i="32" s="1"/>
  <c r="AM26" i="32"/>
  <c r="AI40" i="32"/>
  <c r="AI41" i="32"/>
  <c r="AI45" i="32" s="1"/>
  <c r="AV40" i="32"/>
  <c r="AV41" i="32"/>
  <c r="AV45" i="32" s="1"/>
  <c r="AM40" i="32" l="1"/>
  <c r="AM41" i="32"/>
  <c r="AM45" i="32" s="1"/>
  <c r="AU26" i="32"/>
  <c r="BA26" i="32"/>
  <c r="AY30" i="32"/>
  <c r="AY39" i="32" s="1"/>
  <c r="BA41" i="32" l="1"/>
  <c r="BA45" i="32" s="1"/>
  <c r="BA40" i="32"/>
  <c r="AU41" i="32"/>
  <c r="AU45" i="32" s="1"/>
  <c r="AU40" i="32"/>
  <c r="AW26" i="32"/>
  <c r="AY26" i="32"/>
  <c r="AY40" i="32" l="1"/>
  <c r="AY41" i="32"/>
  <c r="AY45" i="32" s="1"/>
  <c r="AW40" i="32"/>
  <c r="AW41" i="32"/>
  <c r="AW45" i="32" s="1"/>
  <c r="C33" i="29" l="1"/>
  <c r="H14" i="31"/>
  <c r="G14" i="31"/>
  <c r="C14" i="31"/>
  <c r="G12" i="31"/>
  <c r="H12" i="31"/>
  <c r="G11" i="31"/>
  <c r="H11" i="31"/>
  <c r="G10" i="31"/>
  <c r="H10" i="31"/>
  <c r="G9" i="31"/>
  <c r="H9" i="31"/>
  <c r="G8" i="31"/>
  <c r="H8" i="31"/>
  <c r="G7" i="31"/>
  <c r="H7" i="31"/>
  <c r="G6" i="31"/>
  <c r="H6" i="31"/>
  <c r="E12" i="31"/>
  <c r="F12" i="31"/>
  <c r="E11" i="31"/>
  <c r="F11" i="31"/>
  <c r="E10" i="31"/>
  <c r="E9" i="31"/>
  <c r="F9" i="31"/>
  <c r="E8" i="31"/>
  <c r="F8" i="31"/>
  <c r="E7" i="31"/>
  <c r="E6" i="31"/>
  <c r="F6" i="31"/>
  <c r="F10" i="31"/>
  <c r="D13" i="31"/>
  <c r="D15" i="31"/>
  <c r="H13" i="31"/>
  <c r="H15" i="31"/>
  <c r="E13" i="31"/>
  <c r="E15" i="31"/>
  <c r="F7" i="31"/>
  <c r="G13" i="31"/>
  <c r="G15" i="31"/>
  <c r="F13" i="31"/>
  <c r="F15" i="31"/>
  <c r="C28" i="29"/>
  <c r="C13" i="31"/>
  <c r="C15" i="31"/>
  <c r="C15" i="29"/>
  <c r="C26" i="29" s="1"/>
  <c r="C24" i="29"/>
  <c r="C27" i="29" s="1"/>
  <c r="C10" i="20"/>
  <c r="C16" i="20"/>
  <c r="D10" i="20"/>
  <c r="C17" i="20"/>
  <c r="F25" i="24"/>
  <c r="H27" i="24"/>
  <c r="H25" i="24"/>
  <c r="I25" i="24"/>
  <c r="F26" i="24"/>
  <c r="H26" i="24"/>
  <c r="E25" i="24"/>
  <c r="G27" i="24"/>
  <c r="G25" i="24"/>
  <c r="E26" i="24"/>
  <c r="G26" i="24"/>
  <c r="D63" i="24"/>
  <c r="D62" i="24"/>
  <c r="D64" i="24"/>
  <c r="O20" i="25"/>
  <c r="P20" i="25"/>
  <c r="O21" i="25"/>
  <c r="P21" i="25"/>
  <c r="O22" i="25"/>
  <c r="P22" i="25"/>
  <c r="O7" i="25"/>
  <c r="O14" i="25"/>
  <c r="P7" i="25"/>
  <c r="P14" i="25"/>
  <c r="P3" i="25"/>
  <c r="N6" i="25"/>
  <c r="N5" i="25"/>
  <c r="N20" i="25"/>
  <c r="N22" i="25"/>
  <c r="Q30" i="25"/>
  <c r="X8" i="25"/>
  <c r="Q26" i="25"/>
  <c r="Q31" i="25"/>
  <c r="M21" i="25"/>
  <c r="M20" i="25"/>
  <c r="M22" i="25"/>
  <c r="N13" i="25"/>
  <c r="M13" i="25"/>
  <c r="M14" i="25"/>
  <c r="E13" i="25"/>
  <c r="D13" i="25"/>
  <c r="C13" i="25"/>
  <c r="L12" i="25"/>
  <c r="L13" i="25"/>
  <c r="L14" i="25"/>
  <c r="J19" i="25"/>
  <c r="L19" i="25"/>
  <c r="J12" i="25"/>
  <c r="I12" i="25"/>
  <c r="H12" i="25"/>
  <c r="G12" i="25"/>
  <c r="I19" i="25"/>
  <c r="F12" i="25"/>
  <c r="L11" i="25"/>
  <c r="J18" i="25"/>
  <c r="J11" i="25"/>
  <c r="J13" i="25"/>
  <c r="J14" i="25"/>
  <c r="J15" i="25"/>
  <c r="I11" i="25"/>
  <c r="H11" i="25"/>
  <c r="G11" i="25"/>
  <c r="F11" i="25"/>
  <c r="W10" i="25"/>
  <c r="D9" i="25"/>
  <c r="M7" i="25"/>
  <c r="E7" i="25"/>
  <c r="E14" i="25"/>
  <c r="D7" i="25"/>
  <c r="D14" i="25"/>
  <c r="C7" i="25"/>
  <c r="C14" i="25"/>
  <c r="N21" i="25"/>
  <c r="L6" i="25"/>
  <c r="J17" i="25"/>
  <c r="K6" i="25"/>
  <c r="K17" i="25"/>
  <c r="I6" i="25"/>
  <c r="G6" i="25"/>
  <c r="I17" i="25"/>
  <c r="L17" i="25"/>
  <c r="L21" i="25"/>
  <c r="F6" i="25"/>
  <c r="L5" i="25"/>
  <c r="L7" i="25"/>
  <c r="K5" i="25"/>
  <c r="K16" i="25"/>
  <c r="K20" i="25"/>
  <c r="I5" i="25"/>
  <c r="G5" i="25"/>
  <c r="I16" i="25"/>
  <c r="F5" i="25"/>
  <c r="F7" i="25"/>
  <c r="F14" i="25"/>
  <c r="D3" i="25"/>
  <c r="D61" i="24"/>
  <c r="D60" i="24"/>
  <c r="D59" i="24"/>
  <c r="D58" i="24"/>
  <c r="D57" i="24"/>
  <c r="D56" i="24"/>
  <c r="D55" i="24"/>
  <c r="D45" i="24"/>
  <c r="D44" i="24"/>
  <c r="D43" i="24"/>
  <c r="D42" i="24"/>
  <c r="D41" i="24"/>
  <c r="D40" i="24"/>
  <c r="D39" i="24"/>
  <c r="C37" i="24"/>
  <c r="G30" i="24"/>
  <c r="G34" i="24"/>
  <c r="G29" i="24"/>
  <c r="G33" i="24"/>
  <c r="F27" i="24"/>
  <c r="E27" i="24"/>
  <c r="G24" i="24"/>
  <c r="G16" i="24"/>
  <c r="E16" i="24"/>
  <c r="D16" i="24"/>
  <c r="C16" i="24"/>
  <c r="H15" i="24"/>
  <c r="F15" i="24"/>
  <c r="I15" i="24"/>
  <c r="K15" i="24"/>
  <c r="H14" i="24"/>
  <c r="F14" i="24"/>
  <c r="I14" i="24"/>
  <c r="K14" i="24"/>
  <c r="H13" i="24"/>
  <c r="F13" i="24"/>
  <c r="I13" i="24"/>
  <c r="K13" i="24"/>
  <c r="H12" i="24"/>
  <c r="F12" i="24"/>
  <c r="I12" i="24"/>
  <c r="K12" i="24"/>
  <c r="H11" i="24"/>
  <c r="F11" i="24"/>
  <c r="I11" i="24"/>
  <c r="K11" i="24"/>
  <c r="H10" i="24"/>
  <c r="F10" i="24"/>
  <c r="I10" i="24"/>
  <c r="K10" i="24"/>
  <c r="H9" i="24"/>
  <c r="F9" i="24"/>
  <c r="N30" i="23"/>
  <c r="U8" i="23"/>
  <c r="N26" i="23"/>
  <c r="N31" i="23"/>
  <c r="E13" i="23"/>
  <c r="D13" i="23"/>
  <c r="C13" i="23"/>
  <c r="L12" i="23"/>
  <c r="J19" i="23"/>
  <c r="J12" i="23"/>
  <c r="I12" i="23"/>
  <c r="H12" i="23"/>
  <c r="N12" i="23"/>
  <c r="G12" i="23"/>
  <c r="I19" i="23"/>
  <c r="F12" i="23"/>
  <c r="L11" i="23"/>
  <c r="J11" i="23"/>
  <c r="J13" i="23"/>
  <c r="J14" i="23"/>
  <c r="J15" i="23"/>
  <c r="I11" i="23"/>
  <c r="I13" i="23"/>
  <c r="H11" i="23"/>
  <c r="H13" i="23"/>
  <c r="H14" i="23"/>
  <c r="G11" i="23"/>
  <c r="G13" i="23"/>
  <c r="G14" i="23"/>
  <c r="F11" i="23"/>
  <c r="D9" i="23"/>
  <c r="M7" i="23"/>
  <c r="E7" i="23"/>
  <c r="E14" i="23"/>
  <c r="D7" i="23"/>
  <c r="D14" i="23"/>
  <c r="C7" i="23"/>
  <c r="C14" i="23"/>
  <c r="L6" i="23"/>
  <c r="J17" i="23"/>
  <c r="J21" i="23"/>
  <c r="K6" i="23"/>
  <c r="K17" i="23"/>
  <c r="I6" i="23"/>
  <c r="G6" i="23"/>
  <c r="F6" i="23"/>
  <c r="L5" i="23"/>
  <c r="K5" i="23"/>
  <c r="I5" i="23"/>
  <c r="G5" i="23"/>
  <c r="F5" i="23"/>
  <c r="N5" i="23"/>
  <c r="D3" i="23"/>
  <c r="V71" i="19"/>
  <c r="U71" i="19"/>
  <c r="T71" i="19"/>
  <c r="D67" i="18"/>
  <c r="S71" i="19"/>
  <c r="C23" i="15"/>
  <c r="C20" i="20"/>
  <c r="C19" i="20"/>
  <c r="C21" i="20"/>
  <c r="E9" i="20"/>
  <c r="E8" i="20"/>
  <c r="E7" i="20"/>
  <c r="E6" i="20"/>
  <c r="E5" i="20"/>
  <c r="E4" i="20"/>
  <c r="E3" i="20"/>
  <c r="E10" i="20"/>
  <c r="L296" i="17"/>
  <c r="M296" i="17"/>
  <c r="K289" i="17"/>
  <c r="K291" i="17"/>
  <c r="K297" i="17"/>
  <c r="P295" i="17"/>
  <c r="P290" i="17"/>
  <c r="P288" i="17"/>
  <c r="M309" i="17"/>
  <c r="M310" i="17"/>
  <c r="M311" i="17"/>
  <c r="F173" i="18"/>
  <c r="G173" i="18"/>
  <c r="H173" i="18"/>
  <c r="I173" i="18"/>
  <c r="J173" i="18"/>
  <c r="K173" i="18"/>
  <c r="L173" i="18"/>
  <c r="M173" i="18"/>
  <c r="N173" i="18"/>
  <c r="O173" i="18"/>
  <c r="P173" i="18"/>
  <c r="F177" i="18"/>
  <c r="G177" i="18"/>
  <c r="H177" i="18"/>
  <c r="I177" i="18"/>
  <c r="J177" i="18"/>
  <c r="K177" i="18"/>
  <c r="L177" i="18"/>
  <c r="M177" i="18"/>
  <c r="N177" i="18"/>
  <c r="O177" i="18"/>
  <c r="P177" i="18"/>
  <c r="E121" i="18"/>
  <c r="F121" i="18"/>
  <c r="G121" i="18"/>
  <c r="H121" i="18"/>
  <c r="I121" i="18"/>
  <c r="J121" i="18"/>
  <c r="K121" i="18"/>
  <c r="L121" i="18"/>
  <c r="E177" i="18"/>
  <c r="E173" i="18"/>
  <c r="D175" i="18"/>
  <c r="D180" i="18"/>
  <c r="D181" i="18"/>
  <c r="D185" i="18"/>
  <c r="D190" i="18"/>
  <c r="D197" i="18"/>
  <c r="D198" i="18"/>
  <c r="D199" i="18"/>
  <c r="D201" i="18"/>
  <c r="D203" i="18"/>
  <c r="P126" i="18"/>
  <c r="D207" i="18"/>
  <c r="C186" i="18"/>
  <c r="B186" i="18"/>
  <c r="C182" i="18"/>
  <c r="C193" i="18"/>
  <c r="C176" i="18"/>
  <c r="C172" i="18"/>
  <c r="B172" i="18"/>
  <c r="L274" i="17"/>
  <c r="M274" i="17"/>
  <c r="L273" i="17"/>
  <c r="K275" i="17"/>
  <c r="P273" i="17"/>
  <c r="P268" i="17"/>
  <c r="P266" i="17"/>
  <c r="O126" i="18"/>
  <c r="E91" i="18"/>
  <c r="F17" i="17"/>
  <c r="F23" i="17"/>
  <c r="M31" i="17"/>
  <c r="K15" i="17"/>
  <c r="K53" i="17"/>
  <c r="M53" i="17"/>
  <c r="K37" i="17"/>
  <c r="L37" i="17"/>
  <c r="M75" i="17"/>
  <c r="M97" i="17"/>
  <c r="M99" i="17"/>
  <c r="K81" i="17"/>
  <c r="M119" i="17"/>
  <c r="K103" i="17"/>
  <c r="M141" i="17"/>
  <c r="K125" i="17"/>
  <c r="K147" i="17"/>
  <c r="M147" i="17"/>
  <c r="L147" i="17"/>
  <c r="M185" i="17"/>
  <c r="K169" i="17"/>
  <c r="L169" i="17"/>
  <c r="M207" i="17"/>
  <c r="M209" i="17"/>
  <c r="K191" i="17"/>
  <c r="M229" i="17"/>
  <c r="K213" i="17"/>
  <c r="L213" i="17"/>
  <c r="N92" i="18"/>
  <c r="M251" i="17"/>
  <c r="K235" i="17"/>
  <c r="E101" i="18"/>
  <c r="F25" i="17"/>
  <c r="H25" i="17"/>
  <c r="M32" i="17"/>
  <c r="K25" i="17"/>
  <c r="K27" i="17"/>
  <c r="K54" i="17"/>
  <c r="M54" i="17"/>
  <c r="K47" i="17"/>
  <c r="K49" i="17"/>
  <c r="M76" i="17"/>
  <c r="K69" i="17"/>
  <c r="K71" i="17"/>
  <c r="M98" i="17"/>
  <c r="K91" i="17"/>
  <c r="M120" i="17"/>
  <c r="M142" i="17"/>
  <c r="K135" i="17"/>
  <c r="K137" i="17"/>
  <c r="K157" i="17"/>
  <c r="K159" i="17"/>
  <c r="M186" i="17"/>
  <c r="K179" i="17"/>
  <c r="K181" i="17"/>
  <c r="M208" i="17"/>
  <c r="K201" i="17"/>
  <c r="K203" i="17"/>
  <c r="M230" i="17"/>
  <c r="M252" i="17"/>
  <c r="K245" i="17"/>
  <c r="E95" i="18"/>
  <c r="H17" i="17"/>
  <c r="M37" i="17"/>
  <c r="M169" i="17"/>
  <c r="M213" i="17"/>
  <c r="N96" i="18"/>
  <c r="E105" i="18"/>
  <c r="D123" i="18"/>
  <c r="D124" i="18"/>
  <c r="D91" i="18"/>
  <c r="D93" i="18"/>
  <c r="D101" i="18"/>
  <c r="D103" i="18"/>
  <c r="D108" i="18"/>
  <c r="D110" i="18"/>
  <c r="D113" i="18"/>
  <c r="P251" i="17"/>
  <c r="P246" i="17"/>
  <c r="P244" i="17"/>
  <c r="N126" i="18"/>
  <c r="K231" i="17"/>
  <c r="L231" i="17"/>
  <c r="P229" i="17"/>
  <c r="P224" i="17"/>
  <c r="P222" i="17"/>
  <c r="M126" i="18"/>
  <c r="P202" i="17"/>
  <c r="P200" i="17"/>
  <c r="L126" i="18"/>
  <c r="M187" i="17"/>
  <c r="P180" i="17"/>
  <c r="P178" i="17"/>
  <c r="E10" i="19"/>
  <c r="AD10" i="19"/>
  <c r="AE10" i="19"/>
  <c r="E15" i="19"/>
  <c r="D19" i="19"/>
  <c r="D23" i="19"/>
  <c r="E19" i="19"/>
  <c r="B19" i="19"/>
  <c r="C19" i="19"/>
  <c r="C23" i="19"/>
  <c r="D20" i="19"/>
  <c r="I21" i="19"/>
  <c r="E22" i="19"/>
  <c r="AD22" i="19"/>
  <c r="AE22" i="19"/>
  <c r="D26" i="19"/>
  <c r="B26" i="19"/>
  <c r="C26" i="19"/>
  <c r="D27" i="19"/>
  <c r="E29" i="19"/>
  <c r="AD29" i="19"/>
  <c r="AE29" i="19"/>
  <c r="D33" i="19"/>
  <c r="D34" i="19"/>
  <c r="G132" i="19"/>
  <c r="E36" i="19"/>
  <c r="AD36" i="19"/>
  <c r="AE36" i="19"/>
  <c r="AE37" i="19"/>
  <c r="E42" i="19"/>
  <c r="E52" i="19"/>
  <c r="D50" i="19"/>
  <c r="E11" i="9"/>
  <c r="K126" i="18"/>
  <c r="P163" i="17"/>
  <c r="P158" i="17"/>
  <c r="P156" i="17"/>
  <c r="J126" i="18"/>
  <c r="M143" i="17"/>
  <c r="L143" i="17"/>
  <c r="P141" i="17"/>
  <c r="P136" i="17"/>
  <c r="P134" i="17"/>
  <c r="L121" i="17"/>
  <c r="P119" i="17"/>
  <c r="P114" i="17"/>
  <c r="P112" i="17"/>
  <c r="H126" i="18"/>
  <c r="AD4" i="19"/>
  <c r="D8" i="19"/>
  <c r="D11" i="19"/>
  <c r="B8" i="19"/>
  <c r="C8" i="19"/>
  <c r="C11" i="19"/>
  <c r="B9" i="19"/>
  <c r="C9" i="19"/>
  <c r="B14" i="19"/>
  <c r="C14" i="19"/>
  <c r="C16" i="19"/>
  <c r="AD15" i="19"/>
  <c r="AE15" i="19"/>
  <c r="AE16" i="19"/>
  <c r="D16" i="19"/>
  <c r="B33" i="19"/>
  <c r="C33" i="19"/>
  <c r="B40" i="19"/>
  <c r="C40" i="19"/>
  <c r="B41" i="19"/>
  <c r="C41" i="19"/>
  <c r="D43" i="19"/>
  <c r="E40" i="19"/>
  <c r="AD40" i="19"/>
  <c r="Q46" i="19"/>
  <c r="AD53" i="19"/>
  <c r="E54" i="19"/>
  <c r="H72" i="19"/>
  <c r="AB56" i="19"/>
  <c r="AC56" i="19"/>
  <c r="AC58" i="19"/>
  <c r="D57" i="19"/>
  <c r="J57" i="19"/>
  <c r="L57" i="19"/>
  <c r="P57" i="19"/>
  <c r="T57" i="19"/>
  <c r="U57" i="19"/>
  <c r="V57" i="19"/>
  <c r="W57" i="19"/>
  <c r="X57" i="19"/>
  <c r="Y57" i="19"/>
  <c r="Z57" i="19"/>
  <c r="AA57" i="19"/>
  <c r="AB57" i="19"/>
  <c r="AC57" i="19"/>
  <c r="AD57" i="19"/>
  <c r="Q143" i="19"/>
  <c r="G67" i="19"/>
  <c r="D68" i="19"/>
  <c r="G68" i="19"/>
  <c r="AE69" i="19"/>
  <c r="AE70" i="19"/>
  <c r="AE71" i="19"/>
  <c r="AE72" i="19"/>
  <c r="AE73" i="19"/>
  <c r="D70" i="19"/>
  <c r="G70" i="19"/>
  <c r="K70" i="19"/>
  <c r="L70" i="19"/>
  <c r="D71" i="19"/>
  <c r="G71" i="19"/>
  <c r="C67" i="18"/>
  <c r="C74" i="18"/>
  <c r="D74" i="18"/>
  <c r="E67" i="18"/>
  <c r="E74" i="18"/>
  <c r="F67" i="18"/>
  <c r="F74" i="18"/>
  <c r="W71" i="19"/>
  <c r="D72" i="19"/>
  <c r="D81" i="19"/>
  <c r="D83" i="19"/>
  <c r="G72" i="19"/>
  <c r="I72" i="19"/>
  <c r="AE76" i="19"/>
  <c r="D80" i="19"/>
  <c r="G80" i="19"/>
  <c r="H83" i="19"/>
  <c r="I83" i="19"/>
  <c r="G84" i="19"/>
  <c r="I84" i="19"/>
  <c r="E138" i="19"/>
  <c r="D136" i="19"/>
  <c r="D102" i="19"/>
  <c r="E137" i="19"/>
  <c r="I136" i="19"/>
  <c r="E96" i="19"/>
  <c r="E101" i="19"/>
  <c r="E108" i="19"/>
  <c r="E115" i="19"/>
  <c r="E122" i="19"/>
  <c r="E128" i="19"/>
  <c r="S94" i="19"/>
  <c r="T94" i="19"/>
  <c r="T97" i="19"/>
  <c r="S100" i="19"/>
  <c r="T100" i="19"/>
  <c r="U100" i="19"/>
  <c r="S107" i="19"/>
  <c r="T107" i="19"/>
  <c r="U107" i="19"/>
  <c r="S114" i="19"/>
  <c r="T114" i="19"/>
  <c r="T116" i="19"/>
  <c r="S121" i="19"/>
  <c r="T121" i="19"/>
  <c r="T123" i="19"/>
  <c r="D105" i="19"/>
  <c r="B105" i="19"/>
  <c r="C105" i="19"/>
  <c r="C109" i="19"/>
  <c r="D106" i="19"/>
  <c r="I107" i="19"/>
  <c r="D112" i="19"/>
  <c r="D113" i="19"/>
  <c r="I114" i="19"/>
  <c r="D119" i="19"/>
  <c r="D120" i="19"/>
  <c r="B120" i="19"/>
  <c r="C120" i="19"/>
  <c r="D129" i="19"/>
  <c r="E129" i="19"/>
  <c r="AD90" i="19"/>
  <c r="D94" i="19"/>
  <c r="B94" i="19"/>
  <c r="C94" i="19"/>
  <c r="C97" i="19"/>
  <c r="C131" i="19"/>
  <c r="C133" i="19"/>
  <c r="B95" i="19"/>
  <c r="C95" i="19"/>
  <c r="S97" i="19"/>
  <c r="B100" i="19"/>
  <c r="C100" i="19"/>
  <c r="C102" i="19"/>
  <c r="E100" i="19"/>
  <c r="B102" i="19"/>
  <c r="S102" i="19"/>
  <c r="T102" i="19"/>
  <c r="B126" i="19"/>
  <c r="C126" i="19"/>
  <c r="B127" i="19"/>
  <c r="C127" i="19"/>
  <c r="C129" i="19"/>
  <c r="S127" i="19"/>
  <c r="T127" i="19"/>
  <c r="U127" i="19"/>
  <c r="B129" i="19"/>
  <c r="S129" i="19"/>
  <c r="T129" i="19"/>
  <c r="R138" i="19"/>
  <c r="S138" i="19"/>
  <c r="E140" i="19"/>
  <c r="Q142" i="19"/>
  <c r="AB142" i="19"/>
  <c r="AB144" i="19"/>
  <c r="AC142" i="19"/>
  <c r="AC144" i="19"/>
  <c r="D143" i="19"/>
  <c r="J143" i="19"/>
  <c r="L143" i="19"/>
  <c r="R143" i="19"/>
  <c r="S143" i="19"/>
  <c r="T143" i="19"/>
  <c r="S109" i="19"/>
  <c r="S116" i="19"/>
  <c r="S123" i="19"/>
  <c r="T109" i="19"/>
  <c r="G153" i="19"/>
  <c r="D154" i="19"/>
  <c r="D167" i="19"/>
  <c r="D169" i="19"/>
  <c r="G154" i="19"/>
  <c r="D156" i="19"/>
  <c r="G156" i="19"/>
  <c r="K156" i="19"/>
  <c r="L156" i="19"/>
  <c r="D157" i="19"/>
  <c r="G157" i="19"/>
  <c r="T157" i="19"/>
  <c r="U157" i="19"/>
  <c r="V157" i="19"/>
  <c r="W157" i="19"/>
  <c r="D158" i="19"/>
  <c r="G158" i="19"/>
  <c r="H158" i="19"/>
  <c r="T158" i="19"/>
  <c r="U158" i="19"/>
  <c r="V159" i="19"/>
  <c r="W159" i="19"/>
  <c r="D166" i="19"/>
  <c r="G166" i="19"/>
  <c r="H169" i="19"/>
  <c r="I169" i="19"/>
  <c r="L99" i="17"/>
  <c r="K93" i="17"/>
  <c r="P92" i="17"/>
  <c r="P90" i="17"/>
  <c r="D95" i="18"/>
  <c r="D105" i="18"/>
  <c r="D107" i="18"/>
  <c r="Q101" i="18"/>
  <c r="D121" i="18"/>
  <c r="D126" i="18"/>
  <c r="E126" i="18"/>
  <c r="F126" i="18"/>
  <c r="G126" i="18"/>
  <c r="G107" i="12"/>
  <c r="D72" i="12"/>
  <c r="D74" i="12"/>
  <c r="D82" i="12"/>
  <c r="E72" i="12"/>
  <c r="E82" i="12"/>
  <c r="K77" i="17"/>
  <c r="L77" i="17"/>
  <c r="P70" i="17"/>
  <c r="P68" i="17"/>
  <c r="F107" i="12"/>
  <c r="L55" i="17"/>
  <c r="K55" i="17"/>
  <c r="P48" i="17"/>
  <c r="P46" i="17"/>
  <c r="E107" i="12"/>
  <c r="P24" i="17"/>
  <c r="P26" i="17"/>
  <c r="K33" i="17"/>
  <c r="M33" i="17"/>
  <c r="D107" i="12"/>
  <c r="D102" i="12"/>
  <c r="D104" i="12"/>
  <c r="D105" i="12"/>
  <c r="D86" i="12"/>
  <c r="D76" i="12"/>
  <c r="E86" i="12"/>
  <c r="E76" i="12"/>
  <c r="E102" i="12"/>
  <c r="F102" i="12"/>
  <c r="G102" i="12"/>
  <c r="H102" i="12"/>
  <c r="I102" i="12"/>
  <c r="J102" i="12"/>
  <c r="K102" i="12"/>
  <c r="L102" i="12"/>
  <c r="F121" i="12"/>
  <c r="D78" i="12"/>
  <c r="F123" i="12"/>
  <c r="E121" i="12"/>
  <c r="E123" i="12"/>
  <c r="D121" i="12"/>
  <c r="Q72" i="12"/>
  <c r="Q76" i="12"/>
  <c r="E20" i="15"/>
  <c r="E26" i="15"/>
  <c r="E21" i="15"/>
  <c r="E23" i="15"/>
  <c r="B23" i="15"/>
  <c r="B25" i="15"/>
  <c r="F20" i="15"/>
  <c r="F21" i="15"/>
  <c r="F23" i="15"/>
  <c r="AA6" i="16"/>
  <c r="AA7" i="16"/>
  <c r="F8" i="16"/>
  <c r="I8" i="16"/>
  <c r="P8" i="16"/>
  <c r="T8" i="16"/>
  <c r="V8" i="16"/>
  <c r="W8" i="16"/>
  <c r="AA8" i="16"/>
  <c r="AA9" i="16"/>
  <c r="F10" i="16"/>
  <c r="I10" i="16"/>
  <c r="P10" i="16"/>
  <c r="T10" i="16"/>
  <c r="V10" i="16"/>
  <c r="W10" i="16"/>
  <c r="AA10" i="16"/>
  <c r="F11" i="16"/>
  <c r="T11" i="16"/>
  <c r="V11" i="16"/>
  <c r="W11" i="16"/>
  <c r="F12" i="16"/>
  <c r="I12" i="16"/>
  <c r="P12" i="16"/>
  <c r="T12" i="16"/>
  <c r="V12" i="16"/>
  <c r="W12" i="16"/>
  <c r="AA12" i="16"/>
  <c r="AA13" i="16"/>
  <c r="F14" i="16"/>
  <c r="I14" i="16"/>
  <c r="P14" i="16"/>
  <c r="U14" i="16"/>
  <c r="T14" i="16"/>
  <c r="AA14" i="16"/>
  <c r="F15" i="16"/>
  <c r="I15" i="16"/>
  <c r="P15" i="16"/>
  <c r="T15" i="16"/>
  <c r="V15" i="16"/>
  <c r="W15" i="16"/>
  <c r="AA15" i="16"/>
  <c r="AA16" i="16"/>
  <c r="F17" i="16"/>
  <c r="I17" i="16"/>
  <c r="P17" i="16"/>
  <c r="T17" i="16"/>
  <c r="V17" i="16"/>
  <c r="W17" i="16"/>
  <c r="AA17" i="16"/>
  <c r="F18" i="16"/>
  <c r="I18" i="16"/>
  <c r="P18" i="16"/>
  <c r="U18" i="16"/>
  <c r="T18" i="16"/>
  <c r="T20" i="16"/>
  <c r="U21" i="16"/>
  <c r="T21" i="16"/>
  <c r="T22" i="16"/>
  <c r="T23" i="16"/>
  <c r="T24" i="16"/>
  <c r="W18" i="16"/>
  <c r="AE18" i="16"/>
  <c r="F20" i="16"/>
  <c r="I20" i="16"/>
  <c r="P20" i="16"/>
  <c r="V20" i="16"/>
  <c r="W20" i="16"/>
  <c r="AA20" i="16"/>
  <c r="F21" i="16"/>
  <c r="I21" i="16"/>
  <c r="P21" i="16"/>
  <c r="V21" i="16"/>
  <c r="W21" i="16"/>
  <c r="AA21" i="16"/>
  <c r="AA22" i="16"/>
  <c r="B23" i="16"/>
  <c r="B24" i="16"/>
  <c r="F23" i="16"/>
  <c r="I23" i="16"/>
  <c r="P23" i="16"/>
  <c r="V23" i="16"/>
  <c r="W23" i="16"/>
  <c r="AA23" i="16"/>
  <c r="F24" i="16"/>
  <c r="I24" i="16"/>
  <c r="P24" i="16"/>
  <c r="V24" i="16"/>
  <c r="W24" i="16"/>
  <c r="AA24" i="16"/>
  <c r="D25" i="16"/>
  <c r="E25" i="16"/>
  <c r="G25" i="16"/>
  <c r="H25" i="16"/>
  <c r="H79" i="16"/>
  <c r="J25" i="16"/>
  <c r="K25" i="16"/>
  <c r="Q25" i="16"/>
  <c r="AA25" i="16"/>
  <c r="AA26" i="16"/>
  <c r="AA27" i="16"/>
  <c r="F28" i="16"/>
  <c r="I28" i="16"/>
  <c r="P28" i="16"/>
  <c r="T28" i="16"/>
  <c r="V28" i="16"/>
  <c r="W28" i="16"/>
  <c r="AA28" i="16"/>
  <c r="F29" i="16"/>
  <c r="I29" i="16"/>
  <c r="P29" i="16"/>
  <c r="T29" i="16"/>
  <c r="V29" i="16"/>
  <c r="W29" i="16"/>
  <c r="AA29" i="16"/>
  <c r="AA30" i="16"/>
  <c r="F31" i="16"/>
  <c r="T31" i="16"/>
  <c r="V31" i="16"/>
  <c r="W31" i="16"/>
  <c r="F32" i="16"/>
  <c r="T32" i="16"/>
  <c r="V32" i="16"/>
  <c r="W32" i="16"/>
  <c r="F34" i="16"/>
  <c r="I34" i="16"/>
  <c r="P34" i="16"/>
  <c r="T34" i="16"/>
  <c r="V34" i="16"/>
  <c r="W34" i="16"/>
  <c r="AA34" i="16"/>
  <c r="F35" i="16"/>
  <c r="I35" i="16"/>
  <c r="P35" i="16"/>
  <c r="T35" i="16"/>
  <c r="V35" i="16"/>
  <c r="W35" i="16"/>
  <c r="AA35" i="16"/>
  <c r="AA36" i="16"/>
  <c r="F37" i="16"/>
  <c r="I37" i="16"/>
  <c r="P37" i="16"/>
  <c r="U37" i="16"/>
  <c r="T37" i="16"/>
  <c r="W37" i="16"/>
  <c r="AA37" i="16"/>
  <c r="F38" i="16"/>
  <c r="I38" i="16"/>
  <c r="P38" i="16"/>
  <c r="U38" i="16"/>
  <c r="T38" i="16"/>
  <c r="W38" i="16"/>
  <c r="AA38" i="16"/>
  <c r="AA39" i="16"/>
  <c r="F40" i="16"/>
  <c r="I40" i="16"/>
  <c r="P40" i="16"/>
  <c r="U40" i="16"/>
  <c r="T40" i="16"/>
  <c r="V40" i="16"/>
  <c r="W40" i="16"/>
  <c r="AA40" i="16"/>
  <c r="B41" i="16"/>
  <c r="D41" i="16"/>
  <c r="G41" i="16"/>
  <c r="P41" i="16"/>
  <c r="U41" i="16"/>
  <c r="T41" i="16"/>
  <c r="W41" i="16"/>
  <c r="AA41" i="16"/>
  <c r="AA42" i="16"/>
  <c r="F43" i="16"/>
  <c r="I43" i="16"/>
  <c r="P43" i="16"/>
  <c r="U43" i="16"/>
  <c r="W43" i="16"/>
  <c r="T43" i="16"/>
  <c r="V43" i="16"/>
  <c r="AA43" i="16"/>
  <c r="F44" i="16"/>
  <c r="I44" i="16"/>
  <c r="P44" i="16"/>
  <c r="T44" i="16"/>
  <c r="V44" i="16"/>
  <c r="W44" i="16"/>
  <c r="AA44" i="16"/>
  <c r="AA45" i="16"/>
  <c r="F46" i="16"/>
  <c r="I46" i="16"/>
  <c r="P46" i="16"/>
  <c r="T46" i="16"/>
  <c r="V46" i="16"/>
  <c r="W46" i="16"/>
  <c r="AA46" i="16"/>
  <c r="F47" i="16"/>
  <c r="I47" i="16"/>
  <c r="P47" i="16"/>
  <c r="T47" i="16"/>
  <c r="V47" i="16"/>
  <c r="W47" i="16"/>
  <c r="AA47" i="16"/>
  <c r="AA48" i="16"/>
  <c r="F49" i="16"/>
  <c r="I49" i="16"/>
  <c r="P49" i="16"/>
  <c r="U49" i="16"/>
  <c r="T49" i="16"/>
  <c r="W49" i="16"/>
  <c r="AA49" i="16"/>
  <c r="F50" i="16"/>
  <c r="I50" i="16"/>
  <c r="P50" i="16"/>
  <c r="T50" i="16"/>
  <c r="V50" i="16"/>
  <c r="W50" i="16"/>
  <c r="AA50" i="16"/>
  <c r="AA51" i="16"/>
  <c r="F52" i="16"/>
  <c r="I52" i="16"/>
  <c r="P52" i="16"/>
  <c r="T52" i="16"/>
  <c r="V52" i="16"/>
  <c r="W52" i="16"/>
  <c r="AA52" i="16"/>
  <c r="AF52" i="16"/>
  <c r="F53" i="16"/>
  <c r="I53" i="16"/>
  <c r="P53" i="16"/>
  <c r="T53" i="16"/>
  <c r="V53" i="16"/>
  <c r="W53" i="16"/>
  <c r="AA53" i="16"/>
  <c r="AF53" i="16"/>
  <c r="F54" i="16"/>
  <c r="P54" i="16"/>
  <c r="T54" i="16"/>
  <c r="V54" i="16"/>
  <c r="W54" i="16"/>
  <c r="AA54" i="16"/>
  <c r="AA55" i="16"/>
  <c r="F56" i="16"/>
  <c r="I56" i="16"/>
  <c r="P56" i="16"/>
  <c r="T56" i="16"/>
  <c r="V56" i="16"/>
  <c r="W56" i="16"/>
  <c r="AA56" i="16"/>
  <c r="F57" i="16"/>
  <c r="I57" i="16"/>
  <c r="P57" i="16"/>
  <c r="T57" i="16"/>
  <c r="V57" i="16"/>
  <c r="W57" i="16"/>
  <c r="AA57" i="16"/>
  <c r="AA58" i="16"/>
  <c r="F59" i="16"/>
  <c r="I59" i="16"/>
  <c r="P59" i="16"/>
  <c r="U59" i="16"/>
  <c r="AA59" i="16"/>
  <c r="F60" i="16"/>
  <c r="I60" i="16"/>
  <c r="P60" i="16"/>
  <c r="U60" i="16"/>
  <c r="T60" i="16"/>
  <c r="W60" i="16"/>
  <c r="AA60" i="16"/>
  <c r="AA61" i="16"/>
  <c r="F62" i="16"/>
  <c r="I62" i="16"/>
  <c r="P62" i="16"/>
  <c r="T62" i="16"/>
  <c r="V62" i="16"/>
  <c r="W62" i="16"/>
  <c r="AA62" i="16"/>
  <c r="F63" i="16"/>
  <c r="I63" i="16"/>
  <c r="P63" i="16"/>
  <c r="T63" i="16"/>
  <c r="V63" i="16"/>
  <c r="W63" i="16"/>
  <c r="AE63" i="16"/>
  <c r="F65" i="16"/>
  <c r="I65" i="16"/>
  <c r="P65" i="16"/>
  <c r="T65" i="16"/>
  <c r="V65" i="16"/>
  <c r="W65" i="16"/>
  <c r="F66" i="16"/>
  <c r="I66" i="16"/>
  <c r="P66" i="16"/>
  <c r="T66" i="16"/>
  <c r="V66" i="16"/>
  <c r="W66" i="16"/>
  <c r="AA66" i="16"/>
  <c r="AA67" i="16"/>
  <c r="G68" i="16"/>
  <c r="F68" i="16"/>
  <c r="P68" i="16"/>
  <c r="T68" i="16"/>
  <c r="V68" i="16"/>
  <c r="W68" i="16"/>
  <c r="AE68" i="16"/>
  <c r="U76" i="16"/>
  <c r="U77" i="16"/>
  <c r="F69" i="16"/>
  <c r="I69" i="16"/>
  <c r="P69" i="16"/>
  <c r="T69" i="16"/>
  <c r="V69" i="16"/>
  <c r="W69" i="16"/>
  <c r="F70" i="16"/>
  <c r="I70" i="16"/>
  <c r="P70" i="16"/>
  <c r="T70" i="16"/>
  <c r="V70" i="16"/>
  <c r="W70" i="16"/>
  <c r="F71" i="16"/>
  <c r="I71" i="16"/>
  <c r="P71" i="16"/>
  <c r="T71" i="16"/>
  <c r="V71" i="16"/>
  <c r="W71" i="16"/>
  <c r="F73" i="16"/>
  <c r="I73" i="16"/>
  <c r="P73" i="16"/>
  <c r="T73" i="16"/>
  <c r="V73" i="16"/>
  <c r="W73" i="16"/>
  <c r="F74" i="16"/>
  <c r="I74" i="16"/>
  <c r="P74" i="16"/>
  <c r="T74" i="16"/>
  <c r="V74" i="16"/>
  <c r="W74" i="16"/>
  <c r="D75" i="16"/>
  <c r="E75" i="16"/>
  <c r="E79" i="16"/>
  <c r="H75" i="16"/>
  <c r="J75" i="16"/>
  <c r="K75" i="16"/>
  <c r="Q75" i="16"/>
  <c r="F76" i="16"/>
  <c r="F78" i="16"/>
  <c r="I76" i="16"/>
  <c r="P76" i="16"/>
  <c r="T76" i="16"/>
  <c r="T78" i="16"/>
  <c r="F77" i="16"/>
  <c r="I77" i="16"/>
  <c r="P77" i="16"/>
  <c r="P78" i="16"/>
  <c r="T77" i="16"/>
  <c r="W77" i="16"/>
  <c r="D78" i="16"/>
  <c r="E78" i="16"/>
  <c r="G78" i="16"/>
  <c r="H78" i="16"/>
  <c r="I78" i="16"/>
  <c r="J78" i="16"/>
  <c r="K78" i="16"/>
  <c r="Q78" i="16"/>
  <c r="D79" i="16"/>
  <c r="Q79" i="16"/>
  <c r="D87" i="16"/>
  <c r="F87" i="16"/>
  <c r="G87" i="16"/>
  <c r="G107" i="16"/>
  <c r="K87" i="16"/>
  <c r="L87" i="16"/>
  <c r="M87" i="16"/>
  <c r="M107" i="16"/>
  <c r="S87" i="16"/>
  <c r="V87" i="16"/>
  <c r="U87" i="16"/>
  <c r="D89" i="16"/>
  <c r="F89" i="16"/>
  <c r="G89" i="16"/>
  <c r="E89" i="16"/>
  <c r="H89" i="16"/>
  <c r="K89" i="16"/>
  <c r="L89" i="16"/>
  <c r="M89" i="16"/>
  <c r="S89" i="16"/>
  <c r="V89" i="16"/>
  <c r="U89" i="16"/>
  <c r="D90" i="16"/>
  <c r="F90" i="16"/>
  <c r="G90" i="16"/>
  <c r="K90" i="16"/>
  <c r="L90" i="16"/>
  <c r="L104" i="16"/>
  <c r="M90" i="16"/>
  <c r="S90" i="16"/>
  <c r="U90" i="16"/>
  <c r="D92" i="16"/>
  <c r="F92" i="16"/>
  <c r="G92" i="16"/>
  <c r="H92" i="16"/>
  <c r="H111" i="16"/>
  <c r="K92" i="16"/>
  <c r="L92" i="16"/>
  <c r="M92" i="16"/>
  <c r="S92" i="16"/>
  <c r="U92" i="16"/>
  <c r="V92" i="16"/>
  <c r="D93" i="16"/>
  <c r="F93" i="16"/>
  <c r="H93" i="16"/>
  <c r="G93" i="16"/>
  <c r="K93" i="16"/>
  <c r="L93" i="16"/>
  <c r="M93" i="16"/>
  <c r="S93" i="16"/>
  <c r="U93" i="16"/>
  <c r="D94" i="16"/>
  <c r="F94" i="16"/>
  <c r="H94" i="16"/>
  <c r="G94" i="16"/>
  <c r="F96" i="16"/>
  <c r="G96" i="16"/>
  <c r="H96" i="16"/>
  <c r="F98" i="16"/>
  <c r="G98" i="16"/>
  <c r="H98" i="16"/>
  <c r="F100" i="16"/>
  <c r="G100" i="16"/>
  <c r="H100" i="16"/>
  <c r="F102" i="16"/>
  <c r="H102" i="16"/>
  <c r="G102" i="16"/>
  <c r="K94" i="16"/>
  <c r="L94" i="16"/>
  <c r="M94" i="16"/>
  <c r="S94" i="16"/>
  <c r="U94" i="16"/>
  <c r="V94" i="16"/>
  <c r="D95" i="16"/>
  <c r="F95" i="16"/>
  <c r="H95" i="16"/>
  <c r="G95" i="16"/>
  <c r="K95" i="16"/>
  <c r="L95" i="16"/>
  <c r="M95" i="16"/>
  <c r="S95" i="16"/>
  <c r="U95" i="16"/>
  <c r="D96" i="16"/>
  <c r="K96" i="16"/>
  <c r="L96" i="16"/>
  <c r="M96" i="16"/>
  <c r="S96" i="16"/>
  <c r="U96" i="16"/>
  <c r="V96" i="16"/>
  <c r="D97" i="16"/>
  <c r="F97" i="16"/>
  <c r="H97" i="16"/>
  <c r="G97" i="16"/>
  <c r="K97" i="16"/>
  <c r="L97" i="16"/>
  <c r="M97" i="16"/>
  <c r="S97" i="16"/>
  <c r="U97" i="16"/>
  <c r="D98" i="16"/>
  <c r="D99" i="16"/>
  <c r="D100" i="16"/>
  <c r="D101" i="16"/>
  <c r="D102" i="16"/>
  <c r="D103" i="16"/>
  <c r="D107" i="16"/>
  <c r="D109" i="16"/>
  <c r="E98" i="16"/>
  <c r="E111" i="16"/>
  <c r="E113" i="16"/>
  <c r="K98" i="16"/>
  <c r="L98" i="16"/>
  <c r="M98" i="16"/>
  <c r="S98" i="16"/>
  <c r="S111" i="16"/>
  <c r="U98" i="16"/>
  <c r="F99" i="16"/>
  <c r="G99" i="16"/>
  <c r="E99" i="16"/>
  <c r="E112" i="16"/>
  <c r="K99" i="16"/>
  <c r="L99" i="16"/>
  <c r="M99" i="16"/>
  <c r="S99" i="16"/>
  <c r="U99" i="16"/>
  <c r="F101" i="16"/>
  <c r="F103" i="16"/>
  <c r="F108" i="16"/>
  <c r="F109" i="16"/>
  <c r="F112" i="16"/>
  <c r="K100" i="16"/>
  <c r="L100" i="16"/>
  <c r="M100" i="16"/>
  <c r="S100" i="16"/>
  <c r="S101" i="16"/>
  <c r="S102" i="16"/>
  <c r="S103" i="16"/>
  <c r="S108" i="16"/>
  <c r="S109" i="16"/>
  <c r="U100" i="16"/>
  <c r="G101" i="16"/>
  <c r="K101" i="16"/>
  <c r="L101" i="16"/>
  <c r="M101" i="16"/>
  <c r="U101" i="16"/>
  <c r="M102" i="16"/>
  <c r="U102" i="16"/>
  <c r="G103" i="16"/>
  <c r="M103" i="16"/>
  <c r="U103" i="16"/>
  <c r="U104" i="16"/>
  <c r="E107" i="16"/>
  <c r="U107" i="16"/>
  <c r="G108" i="16"/>
  <c r="H108" i="16"/>
  <c r="U108" i="16"/>
  <c r="M109" i="16"/>
  <c r="U109" i="16"/>
  <c r="U110" i="16"/>
  <c r="M111" i="16"/>
  <c r="U112" i="16"/>
  <c r="K119" i="12"/>
  <c r="E24" i="9"/>
  <c r="G6" i="7"/>
  <c r="G11" i="7"/>
  <c r="G12" i="7"/>
  <c r="G13" i="7"/>
  <c r="G15" i="7"/>
  <c r="G16" i="7"/>
  <c r="E23" i="7"/>
  <c r="E24" i="7"/>
  <c r="E25" i="7"/>
  <c r="C40" i="7"/>
  <c r="D40" i="7"/>
  <c r="E40" i="7"/>
  <c r="C53" i="7"/>
  <c r="M55" i="17"/>
  <c r="E108" i="16"/>
  <c r="E126" i="19"/>
  <c r="V77" i="16"/>
  <c r="I68" i="16"/>
  <c r="V60" i="16"/>
  <c r="V49" i="16"/>
  <c r="V41" i="16"/>
  <c r="V38" i="16"/>
  <c r="V37" i="16"/>
  <c r="V18" i="16"/>
  <c r="B43" i="19"/>
  <c r="B11" i="19"/>
  <c r="L253" i="17"/>
  <c r="M253" i="17"/>
  <c r="K247" i="17"/>
  <c r="I46" i="19"/>
  <c r="Q91" i="18"/>
  <c r="I121" i="19"/>
  <c r="L295" i="17"/>
  <c r="L297" i="17"/>
  <c r="B182" i="18"/>
  <c r="B193" i="18"/>
  <c r="B22" i="15"/>
  <c r="C82" i="12"/>
  <c r="C93" i="12"/>
  <c r="F221" i="18"/>
  <c r="F238" i="18"/>
  <c r="B20" i="15"/>
  <c r="C22" i="15"/>
  <c r="C21" i="15"/>
  <c r="I21" i="15"/>
  <c r="C86" i="12"/>
  <c r="B86" i="12"/>
  <c r="C28" i="15"/>
  <c r="B28" i="15"/>
  <c r="C91" i="18"/>
  <c r="E22" i="15"/>
  <c r="F22" i="15"/>
  <c r="F24" i="15"/>
  <c r="F28" i="15"/>
  <c r="F30" i="15"/>
  <c r="F25" i="15"/>
  <c r="E28" i="15"/>
  <c r="E25" i="15"/>
  <c r="E24" i="15"/>
  <c r="H18" i="17"/>
  <c r="F18" i="17"/>
  <c r="H19" i="17"/>
  <c r="H22" i="17"/>
  <c r="H20" i="17"/>
  <c r="H21" i="17"/>
  <c r="F21" i="17"/>
  <c r="J21" i="17"/>
  <c r="F22" i="17"/>
  <c r="F20" i="17"/>
  <c r="F19" i="17"/>
  <c r="K16" i="23"/>
  <c r="L16" i="23"/>
  <c r="G23" i="15"/>
  <c r="B21" i="15"/>
  <c r="H21" i="15"/>
  <c r="B24" i="15"/>
  <c r="B26" i="15"/>
  <c r="C101" i="18"/>
  <c r="B101" i="18"/>
  <c r="B112" i="18"/>
  <c r="C24" i="15"/>
  <c r="C72" i="12"/>
  <c r="C79" i="12"/>
  <c r="C105" i="18"/>
  <c r="B105" i="18"/>
  <c r="E221" i="18"/>
  <c r="J16" i="23"/>
  <c r="E238" i="18"/>
  <c r="C20" i="15"/>
  <c r="I20" i="15"/>
  <c r="C25" i="15"/>
  <c r="C95" i="18"/>
  <c r="C114" i="18"/>
  <c r="C76" i="12"/>
  <c r="B76" i="12"/>
  <c r="C26" i="15"/>
  <c r="K7" i="25"/>
  <c r="N7" i="25"/>
  <c r="N14" i="25"/>
  <c r="I9" i="24"/>
  <c r="K9" i="24"/>
  <c r="H13" i="25"/>
  <c r="H14" i="25"/>
  <c r="B112" i="19"/>
  <c r="C112" i="19"/>
  <c r="C116" i="19"/>
  <c r="J158" i="19"/>
  <c r="D55" i="19"/>
  <c r="D56" i="19"/>
  <c r="D58" i="19"/>
  <c r="N132" i="19"/>
  <c r="B27" i="19"/>
  <c r="C27" i="19"/>
  <c r="C30" i="19"/>
  <c r="AF29" i="19"/>
  <c r="AG29" i="19"/>
  <c r="L46" i="19"/>
  <c r="H132" i="19"/>
  <c r="B119" i="19"/>
  <c r="C119" i="19"/>
  <c r="C123" i="19"/>
  <c r="G167" i="19"/>
  <c r="E46" i="7"/>
  <c r="M295" i="17"/>
  <c r="K279" i="17"/>
  <c r="M279" i="17"/>
  <c r="M297" i="17"/>
  <c r="D142" i="19"/>
  <c r="D144" i="19"/>
  <c r="E141" i="19"/>
  <c r="AD42" i="19"/>
  <c r="AE42" i="19"/>
  <c r="E43" i="19"/>
  <c r="F132" i="19"/>
  <c r="D30" i="19"/>
  <c r="F46" i="19"/>
  <c r="L132" i="19"/>
  <c r="G46" i="19"/>
  <c r="I132" i="19"/>
  <c r="O46" i="19"/>
  <c r="I28" i="19"/>
  <c r="AD28" i="19"/>
  <c r="AF28" i="19"/>
  <c r="AG28" i="19"/>
  <c r="AG30" i="19"/>
  <c r="AB58" i="19"/>
  <c r="B113" i="19"/>
  <c r="C113" i="19"/>
  <c r="D116" i="19"/>
  <c r="I35" i="19"/>
  <c r="AD35" i="19"/>
  <c r="G81" i="19"/>
  <c r="B30" i="19"/>
  <c r="E30" i="19"/>
  <c r="F26" i="19"/>
  <c r="E26" i="19"/>
  <c r="AD26" i="19"/>
  <c r="M132" i="19"/>
  <c r="D141" i="19"/>
  <c r="H46" i="19"/>
  <c r="B20" i="19"/>
  <c r="C20" i="19"/>
  <c r="D37" i="19"/>
  <c r="E102" i="19"/>
  <c r="F100" i="19"/>
  <c r="B37" i="19"/>
  <c r="F126" i="19"/>
  <c r="F129" i="19"/>
  <c r="G129" i="19"/>
  <c r="G126" i="19"/>
  <c r="H129" i="19"/>
  <c r="I129" i="19"/>
  <c r="J129" i="19"/>
  <c r="K126" i="19"/>
  <c r="H126" i="19"/>
  <c r="G7" i="23"/>
  <c r="F30" i="19"/>
  <c r="AD19" i="19"/>
  <c r="B23" i="19"/>
  <c r="L279" i="17"/>
  <c r="E23" i="19"/>
  <c r="F19" i="19"/>
  <c r="AD43" i="19"/>
  <c r="D109" i="19"/>
  <c r="B106" i="19"/>
  <c r="C106" i="19"/>
  <c r="E45" i="7"/>
  <c r="E109" i="19"/>
  <c r="J16" i="25"/>
  <c r="J20" i="25"/>
  <c r="J18" i="23"/>
  <c r="J20" i="23"/>
  <c r="J22" i="23"/>
  <c r="K7" i="23"/>
  <c r="F13" i="23"/>
  <c r="Q11" i="25"/>
  <c r="L19" i="23"/>
  <c r="L13" i="23"/>
  <c r="F13" i="25"/>
  <c r="Q5" i="25"/>
  <c r="L7" i="23"/>
  <c r="G31" i="24"/>
  <c r="G35" i="24"/>
  <c r="I16" i="23"/>
  <c r="I7" i="25"/>
  <c r="I13" i="25"/>
  <c r="I14" i="25"/>
  <c r="L16" i="25"/>
  <c r="J21" i="25"/>
  <c r="Q21" i="25"/>
  <c r="F26" i="15"/>
  <c r="AD21" i="19"/>
  <c r="AF21" i="19"/>
  <c r="AE11" i="19"/>
  <c r="AG21" i="19"/>
  <c r="AE30" i="19"/>
  <c r="AD30" i="19"/>
  <c r="F102" i="19"/>
  <c r="AF35" i="19"/>
  <c r="AF30" i="19"/>
  <c r="I126" i="19"/>
  <c r="AE43" i="19"/>
  <c r="K267" i="17"/>
  <c r="K269" i="17"/>
  <c r="G102" i="19"/>
  <c r="G100" i="19"/>
  <c r="J126" i="19"/>
  <c r="K129" i="19"/>
  <c r="L126" i="19"/>
  <c r="AG23" i="19"/>
  <c r="N6" i="23"/>
  <c r="N7" i="23"/>
  <c r="F7" i="23"/>
  <c r="F14" i="23"/>
  <c r="H102" i="19"/>
  <c r="H100" i="19"/>
  <c r="F105" i="19"/>
  <c r="F109" i="19"/>
  <c r="F23" i="19"/>
  <c r="I15" i="23"/>
  <c r="L15" i="23"/>
  <c r="AG35" i="19"/>
  <c r="G26" i="19"/>
  <c r="G30" i="19"/>
  <c r="G23" i="9"/>
  <c r="I23" i="9"/>
  <c r="G17" i="9"/>
  <c r="I17" i="9"/>
  <c r="G22" i="9"/>
  <c r="I22" i="9"/>
  <c r="G18" i="9"/>
  <c r="G19" i="9"/>
  <c r="I19" i="9"/>
  <c r="J22" i="25"/>
  <c r="F40" i="19"/>
  <c r="F43" i="19"/>
  <c r="I25" i="16"/>
  <c r="Q82" i="12"/>
  <c r="D84" i="12"/>
  <c r="V100" i="19"/>
  <c r="U102" i="19"/>
  <c r="AE23" i="19"/>
  <c r="AE45" i="19"/>
  <c r="AE47" i="19"/>
  <c r="AF22" i="19"/>
  <c r="AG22" i="19"/>
  <c r="D119" i="18"/>
  <c r="E123" i="18"/>
  <c r="I7" i="23"/>
  <c r="I14" i="23"/>
  <c r="I17" i="23"/>
  <c r="F16" i="24"/>
  <c r="AF15" i="19"/>
  <c r="AF23" i="19"/>
  <c r="Q6" i="25"/>
  <c r="Q7" i="25"/>
  <c r="M273" i="17"/>
  <c r="L275" i="17"/>
  <c r="E16" i="19"/>
  <c r="E51" i="19"/>
  <c r="E14" i="19"/>
  <c r="AD14" i="19"/>
  <c r="AD16" i="19"/>
  <c r="B16" i="19"/>
  <c r="B45" i="19"/>
  <c r="B47" i="19"/>
  <c r="D45" i="19"/>
  <c r="I21" i="25"/>
  <c r="F141" i="19"/>
  <c r="G21" i="9"/>
  <c r="I21" i="9"/>
  <c r="M108" i="16"/>
  <c r="M104" i="16"/>
  <c r="F25" i="16"/>
  <c r="D97" i="18"/>
  <c r="Q95" i="18"/>
  <c r="Q12" i="25"/>
  <c r="G7" i="25"/>
  <c r="G111" i="16"/>
  <c r="G20" i="9"/>
  <c r="I20" i="9"/>
  <c r="U114" i="16"/>
  <c r="U115" i="16"/>
  <c r="K104" i="16"/>
  <c r="S104" i="16"/>
  <c r="V104" i="16"/>
  <c r="S107" i="16"/>
  <c r="S110" i="16"/>
  <c r="W59" i="16"/>
  <c r="V59" i="16"/>
  <c r="U75" i="16"/>
  <c r="V75" i="16"/>
  <c r="T59" i="16"/>
  <c r="T75" i="16"/>
  <c r="W75" i="16"/>
  <c r="M102" i="12"/>
  <c r="N102" i="12"/>
  <c r="O102" i="12"/>
  <c r="P102" i="12"/>
  <c r="V127" i="19"/>
  <c r="U129" i="19"/>
  <c r="L129" i="19"/>
  <c r="E116" i="19"/>
  <c r="E112" i="19"/>
  <c r="B116" i="19"/>
  <c r="K113" i="17"/>
  <c r="K115" i="17"/>
  <c r="M121" i="17"/>
  <c r="AE70" i="16"/>
  <c r="L191" i="17"/>
  <c r="M92" i="18"/>
  <c r="M191" i="17"/>
  <c r="M96" i="18"/>
  <c r="C221" i="18"/>
  <c r="C238" i="18"/>
  <c r="D221" i="18"/>
  <c r="D238" i="18"/>
  <c r="I26" i="24"/>
  <c r="L14" i="23"/>
  <c r="E37" i="19"/>
  <c r="E33" i="19"/>
  <c r="AD33" i="19"/>
  <c r="AD37" i="19"/>
  <c r="B95" i="12"/>
  <c r="C98" i="18"/>
  <c r="B91" i="18"/>
  <c r="B98" i="18"/>
  <c r="J79" i="16"/>
  <c r="P25" i="16"/>
  <c r="V107" i="19"/>
  <c r="U109" i="19"/>
  <c r="T131" i="19"/>
  <c r="T133" i="19"/>
  <c r="U138" i="19"/>
  <c r="AF10" i="19"/>
  <c r="L81" i="17"/>
  <c r="H92" i="18"/>
  <c r="M81" i="17"/>
  <c r="H96" i="18"/>
  <c r="AD23" i="19"/>
  <c r="D104" i="16"/>
  <c r="D108" i="16"/>
  <c r="D110" i="16"/>
  <c r="D114" i="16"/>
  <c r="D115" i="16"/>
  <c r="H87" i="16"/>
  <c r="H104" i="16"/>
  <c r="F104" i="16"/>
  <c r="F107" i="16"/>
  <c r="I18" i="9"/>
  <c r="K223" i="17"/>
  <c r="K225" i="17"/>
  <c r="M231" i="17"/>
  <c r="K59" i="17"/>
  <c r="M77" i="17"/>
  <c r="E132" i="19"/>
  <c r="F41" i="16"/>
  <c r="G75" i="16"/>
  <c r="G79" i="16"/>
  <c r="I41" i="16"/>
  <c r="P75" i="16"/>
  <c r="I75" i="16"/>
  <c r="F75" i="16"/>
  <c r="D91" i="12"/>
  <c r="D79" i="12"/>
  <c r="U94" i="19"/>
  <c r="J132" i="19"/>
  <c r="D132" i="19"/>
  <c r="K132" i="19"/>
  <c r="K46" i="19"/>
  <c r="O132" i="19"/>
  <c r="N46" i="19"/>
  <c r="J46" i="19"/>
  <c r="D46" i="19"/>
  <c r="M46" i="19"/>
  <c r="B34" i="19"/>
  <c r="C34" i="19"/>
  <c r="C37" i="19"/>
  <c r="M235" i="17"/>
  <c r="O96" i="18"/>
  <c r="L235" i="17"/>
  <c r="O92" i="18"/>
  <c r="P121" i="18"/>
  <c r="D202" i="18"/>
  <c r="E202" i="18"/>
  <c r="F202" i="18"/>
  <c r="G202" i="18"/>
  <c r="H202" i="18"/>
  <c r="I202" i="18"/>
  <c r="J202" i="18"/>
  <c r="K202" i="18"/>
  <c r="L202" i="18"/>
  <c r="M121" i="18"/>
  <c r="N121" i="18"/>
  <c r="O121" i="18"/>
  <c r="N11" i="23"/>
  <c r="N13" i="23"/>
  <c r="I18" i="23"/>
  <c r="I15" i="25"/>
  <c r="L15" i="25"/>
  <c r="N15" i="25"/>
  <c r="B109" i="19"/>
  <c r="E105" i="19"/>
  <c r="D123" i="19"/>
  <c r="E46" i="19"/>
  <c r="G24" i="15"/>
  <c r="H20" i="15"/>
  <c r="H26" i="15"/>
  <c r="D20" i="15"/>
  <c r="S112" i="16"/>
  <c r="S113" i="16"/>
  <c r="G109" i="16"/>
  <c r="G110" i="16"/>
  <c r="E90" i="16"/>
  <c r="H117" i="16"/>
  <c r="M110" i="16"/>
  <c r="D88" i="12"/>
  <c r="D92" i="12"/>
  <c r="D95" i="12"/>
  <c r="D147" i="12"/>
  <c r="Q86" i="12"/>
  <c r="S131" i="19"/>
  <c r="S133" i="19"/>
  <c r="T138" i="19"/>
  <c r="E8" i="19"/>
  <c r="AD8" i="19"/>
  <c r="E11" i="19"/>
  <c r="E124" i="18"/>
  <c r="G13" i="25"/>
  <c r="Q13" i="25"/>
  <c r="I18" i="25"/>
  <c r="C23" i="20"/>
  <c r="C18" i="20"/>
  <c r="G112" i="16"/>
  <c r="I158" i="19"/>
  <c r="H103" i="16"/>
  <c r="H99" i="16"/>
  <c r="H112" i="16"/>
  <c r="H113" i="16"/>
  <c r="F111" i="16"/>
  <c r="F113" i="16"/>
  <c r="H90" i="16"/>
  <c r="V76" i="16"/>
  <c r="U78" i="16"/>
  <c r="V78" i="16"/>
  <c r="W76" i="16"/>
  <c r="W78" i="16"/>
  <c r="W14" i="16"/>
  <c r="W25" i="16"/>
  <c r="C43" i="19"/>
  <c r="AF42" i="19"/>
  <c r="E55" i="19"/>
  <c r="M125" i="17"/>
  <c r="L125" i="17"/>
  <c r="H101" i="16"/>
  <c r="V98" i="16"/>
  <c r="U111" i="16"/>
  <c r="U113" i="16"/>
  <c r="D111" i="16"/>
  <c r="D113" i="16"/>
  <c r="S141" i="19"/>
  <c r="S142" i="19"/>
  <c r="S144" i="19"/>
  <c r="U121" i="19"/>
  <c r="U114" i="19"/>
  <c r="AD54" i="19"/>
  <c r="I27" i="24"/>
  <c r="C22" i="20"/>
  <c r="D112" i="16"/>
  <c r="M112" i="16"/>
  <c r="M113" i="16"/>
  <c r="G104" i="16"/>
  <c r="K79" i="16"/>
  <c r="U25" i="16"/>
  <c r="V14" i="16"/>
  <c r="T25" i="16"/>
  <c r="R141" i="19"/>
  <c r="R142" i="19"/>
  <c r="R144" i="19"/>
  <c r="M103" i="17"/>
  <c r="L103" i="17"/>
  <c r="I92" i="18"/>
  <c r="L15" i="17"/>
  <c r="L17" i="17"/>
  <c r="N17" i="17"/>
  <c r="F39" i="17"/>
  <c r="M15" i="17"/>
  <c r="Q105" i="18"/>
  <c r="D97" i="19"/>
  <c r="G17" i="17"/>
  <c r="G23" i="17"/>
  <c r="G22" i="17"/>
  <c r="G20" i="17"/>
  <c r="L20" i="17"/>
  <c r="N20" i="17"/>
  <c r="F42" i="17"/>
  <c r="G19" i="17"/>
  <c r="B95" i="18"/>
  <c r="B114" i="18"/>
  <c r="C30" i="15"/>
  <c r="H24" i="15"/>
  <c r="K24" i="15"/>
  <c r="B82" i="12"/>
  <c r="B93" i="12"/>
  <c r="J19" i="17"/>
  <c r="J17" i="17"/>
  <c r="J23" i="17"/>
  <c r="C195" i="18"/>
  <c r="G20" i="15"/>
  <c r="F27" i="17"/>
  <c r="F28" i="17"/>
  <c r="G27" i="17"/>
  <c r="J22" i="17"/>
  <c r="C194" i="18"/>
  <c r="I23" i="15"/>
  <c r="L23" i="15"/>
  <c r="E30" i="15"/>
  <c r="G30" i="15"/>
  <c r="I22" i="15"/>
  <c r="L22" i="15"/>
  <c r="D22" i="15"/>
  <c r="L21" i="15"/>
  <c r="H23" i="17"/>
  <c r="I18" i="17"/>
  <c r="M18" i="17"/>
  <c r="O18" i="17"/>
  <c r="H40" i="17"/>
  <c r="I25" i="15"/>
  <c r="L25" i="15"/>
  <c r="B176" i="18"/>
  <c r="B195" i="18"/>
  <c r="C179" i="18"/>
  <c r="G26" i="15"/>
  <c r="C112" i="18"/>
  <c r="G21" i="15"/>
  <c r="D26" i="15"/>
  <c r="C113" i="18"/>
  <c r="C115" i="18"/>
  <c r="G21" i="17"/>
  <c r="D21" i="15"/>
  <c r="B72" i="12"/>
  <c r="B94" i="12"/>
  <c r="B96" i="12"/>
  <c r="J20" i="17"/>
  <c r="C95" i="12"/>
  <c r="C94" i="12"/>
  <c r="B179" i="18"/>
  <c r="B194" i="18"/>
  <c r="I24" i="15"/>
  <c r="D24" i="15"/>
  <c r="I26" i="15"/>
  <c r="L20" i="15"/>
  <c r="L26" i="15"/>
  <c r="J18" i="17"/>
  <c r="G18" i="17"/>
  <c r="G28" i="15"/>
  <c r="I28" i="15"/>
  <c r="L28" i="15"/>
  <c r="D28" i="15"/>
  <c r="H28" i="15"/>
  <c r="B30" i="15"/>
  <c r="D30" i="15"/>
  <c r="J21" i="15"/>
  <c r="K21" i="15"/>
  <c r="G22" i="15"/>
  <c r="H22" i="15"/>
  <c r="C196" i="18"/>
  <c r="H25" i="15"/>
  <c r="D25" i="15"/>
  <c r="H23" i="15"/>
  <c r="D23" i="15"/>
  <c r="I19" i="17"/>
  <c r="M19" i="17"/>
  <c r="O19" i="17"/>
  <c r="H41" i="17"/>
  <c r="G25" i="15"/>
  <c r="J25" i="17"/>
  <c r="I25" i="17"/>
  <c r="M25" i="17"/>
  <c r="I24" i="9"/>
  <c r="K24" i="9"/>
  <c r="E26" i="7"/>
  <c r="E27" i="7"/>
  <c r="E29" i="7"/>
  <c r="E30" i="7"/>
  <c r="E34" i="7"/>
  <c r="Q14" i="25"/>
  <c r="Q32" i="25"/>
  <c r="X5" i="25"/>
  <c r="N14" i="23"/>
  <c r="N32" i="23"/>
  <c r="U5" i="23"/>
  <c r="M202" i="18"/>
  <c r="N202" i="18"/>
  <c r="O202" i="18"/>
  <c r="P202" i="18"/>
  <c r="D47" i="19"/>
  <c r="H70" i="19"/>
  <c r="I70" i="19"/>
  <c r="L22" i="17"/>
  <c r="N22" i="17"/>
  <c r="F44" i="17"/>
  <c r="H30" i="19"/>
  <c r="H26" i="19"/>
  <c r="L18" i="17"/>
  <c r="K18" i="17"/>
  <c r="L21" i="17"/>
  <c r="N21" i="17"/>
  <c r="F43" i="17"/>
  <c r="W79" i="16"/>
  <c r="F8" i="19"/>
  <c r="E45" i="19"/>
  <c r="E47" i="19"/>
  <c r="F11" i="19"/>
  <c r="W107" i="19"/>
  <c r="V109" i="19"/>
  <c r="F33" i="19"/>
  <c r="F37" i="19"/>
  <c r="M129" i="19"/>
  <c r="M126" i="19"/>
  <c r="M21" i="15"/>
  <c r="B196" i="18"/>
  <c r="B97" i="19"/>
  <c r="D131" i="19"/>
  <c r="E94" i="19"/>
  <c r="E97" i="19"/>
  <c r="T79" i="16"/>
  <c r="C24" i="20"/>
  <c r="AD11" i="19"/>
  <c r="AD45" i="19"/>
  <c r="AF36" i="19"/>
  <c r="C45" i="19"/>
  <c r="C47" i="19"/>
  <c r="P79" i="16"/>
  <c r="H109" i="16"/>
  <c r="I50" i="19"/>
  <c r="AD50" i="19"/>
  <c r="AD51" i="19"/>
  <c r="L17" i="23"/>
  <c r="L21" i="23"/>
  <c r="I21" i="23"/>
  <c r="W100" i="19"/>
  <c r="V102" i="19"/>
  <c r="F55" i="19"/>
  <c r="E56" i="19"/>
  <c r="L59" i="17"/>
  <c r="M59" i="17"/>
  <c r="U141" i="19"/>
  <c r="D111" i="18"/>
  <c r="D98" i="18"/>
  <c r="G43" i="19"/>
  <c r="G40" i="19"/>
  <c r="G23" i="19"/>
  <c r="G19" i="19"/>
  <c r="AF43" i="19"/>
  <c r="AG42" i="19"/>
  <c r="AG43" i="19"/>
  <c r="E109" i="16"/>
  <c r="E110" i="16"/>
  <c r="E114" i="16"/>
  <c r="E104" i="16"/>
  <c r="E119" i="19"/>
  <c r="B123" i="19"/>
  <c r="E123" i="19"/>
  <c r="F112" i="19"/>
  <c r="F116" i="19"/>
  <c r="F79" i="16"/>
  <c r="AG15" i="19"/>
  <c r="AG16" i="19"/>
  <c r="AF16" i="19"/>
  <c r="G105" i="19"/>
  <c r="G109" i="19"/>
  <c r="J20" i="15"/>
  <c r="K20" i="15"/>
  <c r="K26" i="15"/>
  <c r="T141" i="19"/>
  <c r="T159" i="19"/>
  <c r="J80" i="16"/>
  <c r="J81" i="16"/>
  <c r="W127" i="19"/>
  <c r="V129" i="19"/>
  <c r="G113" i="16"/>
  <c r="G114" i="16"/>
  <c r="G115" i="16"/>
  <c r="F14" i="19"/>
  <c r="F16" i="19"/>
  <c r="D89" i="12"/>
  <c r="I100" i="19"/>
  <c r="I102" i="19"/>
  <c r="J23" i="15"/>
  <c r="U79" i="16"/>
  <c r="V25" i="16"/>
  <c r="L18" i="23"/>
  <c r="I20" i="23"/>
  <c r="V94" i="19"/>
  <c r="U97" i="19"/>
  <c r="S114" i="16"/>
  <c r="S115" i="16"/>
  <c r="G14" i="25"/>
  <c r="V114" i="19"/>
  <c r="U116" i="19"/>
  <c r="H107" i="16"/>
  <c r="F110" i="16"/>
  <c r="G141" i="19"/>
  <c r="H166" i="19"/>
  <c r="I166" i="19"/>
  <c r="K257" i="17"/>
  <c r="M275" i="17"/>
  <c r="I79" i="16"/>
  <c r="B113" i="18"/>
  <c r="L19" i="17"/>
  <c r="N19" i="17"/>
  <c r="V121" i="19"/>
  <c r="U123" i="19"/>
  <c r="I20" i="25"/>
  <c r="L18" i="25"/>
  <c r="M114" i="16"/>
  <c r="M115" i="16"/>
  <c r="D94" i="12"/>
  <c r="D93" i="12"/>
  <c r="AF11" i="19"/>
  <c r="AG10" i="19"/>
  <c r="AG11" i="19"/>
  <c r="G24" i="9"/>
  <c r="N23" i="17"/>
  <c r="J27" i="17"/>
  <c r="B115" i="18"/>
  <c r="I21" i="17"/>
  <c r="M21" i="17"/>
  <c r="O21" i="17"/>
  <c r="H43" i="17"/>
  <c r="I22" i="17"/>
  <c r="M22" i="17"/>
  <c r="K22" i="17"/>
  <c r="L23" i="17"/>
  <c r="E73" i="12"/>
  <c r="B79" i="12"/>
  <c r="H27" i="17"/>
  <c r="H28" i="17"/>
  <c r="I27" i="17"/>
  <c r="C96" i="12"/>
  <c r="I20" i="17"/>
  <c r="M20" i="17"/>
  <c r="I17" i="17"/>
  <c r="M17" i="17"/>
  <c r="K23" i="15"/>
  <c r="M23" i="15"/>
  <c r="K19" i="17"/>
  <c r="M20" i="15"/>
  <c r="E87" i="12"/>
  <c r="M27" i="17"/>
  <c r="E106" i="18"/>
  <c r="J22" i="15"/>
  <c r="K22" i="15"/>
  <c r="M22" i="15"/>
  <c r="O22" i="17"/>
  <c r="F45" i="17"/>
  <c r="G39" i="17"/>
  <c r="J26" i="15"/>
  <c r="I30" i="15"/>
  <c r="O25" i="17"/>
  <c r="G25" i="17"/>
  <c r="L25" i="17"/>
  <c r="L24" i="15"/>
  <c r="M24" i="15"/>
  <c r="J24" i="15"/>
  <c r="P19" i="17"/>
  <c r="F41" i="17"/>
  <c r="M26" i="15"/>
  <c r="J25" i="15"/>
  <c r="K25" i="15"/>
  <c r="M25" i="15"/>
  <c r="H30" i="15"/>
  <c r="J30" i="15"/>
  <c r="J28" i="15"/>
  <c r="K28" i="15"/>
  <c r="M28" i="15"/>
  <c r="N18" i="17"/>
  <c r="L30" i="15"/>
  <c r="H109" i="19"/>
  <c r="H105" i="19"/>
  <c r="G92" i="18"/>
  <c r="G73" i="12"/>
  <c r="E58" i="19"/>
  <c r="F4" i="19"/>
  <c r="G37" i="19"/>
  <c r="G33" i="19"/>
  <c r="H141" i="19"/>
  <c r="J102" i="19"/>
  <c r="J100" i="19"/>
  <c r="K21" i="17"/>
  <c r="AF45" i="19"/>
  <c r="AF47" i="19"/>
  <c r="U131" i="19"/>
  <c r="U133" i="19"/>
  <c r="V138" i="19"/>
  <c r="D133" i="19"/>
  <c r="H156" i="19"/>
  <c r="I156" i="19"/>
  <c r="W94" i="19"/>
  <c r="V97" i="19"/>
  <c r="D114" i="18"/>
  <c r="D115" i="18"/>
  <c r="D125" i="18"/>
  <c r="D127" i="18"/>
  <c r="D112" i="18"/>
  <c r="W102" i="19"/>
  <c r="X100" i="19"/>
  <c r="AG36" i="19"/>
  <c r="AG37" i="19"/>
  <c r="AG45" i="19"/>
  <c r="AF37" i="19"/>
  <c r="B131" i="19"/>
  <c r="B133" i="19"/>
  <c r="W109" i="19"/>
  <c r="X107" i="19"/>
  <c r="I26" i="19"/>
  <c r="I30" i="19"/>
  <c r="V79" i="16"/>
  <c r="X79" i="16"/>
  <c r="N126" i="19"/>
  <c r="N129" i="19"/>
  <c r="W121" i="19"/>
  <c r="V123" i="19"/>
  <c r="H40" i="19"/>
  <c r="H43" i="19"/>
  <c r="H80" i="19"/>
  <c r="I80" i="19"/>
  <c r="G55" i="19"/>
  <c r="F56" i="19"/>
  <c r="F114" i="16"/>
  <c r="F115" i="16"/>
  <c r="H110" i="16"/>
  <c r="H114" i="16"/>
  <c r="H115" i="16"/>
  <c r="E115" i="16"/>
  <c r="E92" i="18"/>
  <c r="D100" i="12"/>
  <c r="E104" i="12"/>
  <c r="E105" i="12"/>
  <c r="D96" i="12"/>
  <c r="D106" i="12"/>
  <c r="D108" i="12"/>
  <c r="D146" i="12"/>
  <c r="L20" i="23"/>
  <c r="L22" i="23"/>
  <c r="I22" i="23"/>
  <c r="G16" i="19"/>
  <c r="G14" i="19"/>
  <c r="T142" i="19"/>
  <c r="T160" i="19"/>
  <c r="T161" i="19"/>
  <c r="G116" i="19"/>
  <c r="G112" i="19"/>
  <c r="J70" i="19"/>
  <c r="H71" i="19"/>
  <c r="G11" i="19"/>
  <c r="G8" i="19"/>
  <c r="F45" i="19"/>
  <c r="F47" i="19"/>
  <c r="AE71" i="16"/>
  <c r="I22" i="25"/>
  <c r="L20" i="25"/>
  <c r="H19" i="19"/>
  <c r="H23" i="19"/>
  <c r="X127" i="19"/>
  <c r="W129" i="19"/>
  <c r="F97" i="19"/>
  <c r="E131" i="19"/>
  <c r="F94" i="19"/>
  <c r="AD47" i="19"/>
  <c r="L257" i="17"/>
  <c r="M257" i="17"/>
  <c r="P96" i="18"/>
  <c r="D177" i="18"/>
  <c r="W114" i="19"/>
  <c r="V116" i="19"/>
  <c r="F119" i="19"/>
  <c r="F123" i="19"/>
  <c r="G96" i="18"/>
  <c r="G77" i="12"/>
  <c r="E35" i="7"/>
  <c r="E44" i="7"/>
  <c r="P21" i="17"/>
  <c r="I23" i="17"/>
  <c r="K20" i="17"/>
  <c r="O20" i="17"/>
  <c r="J28" i="17"/>
  <c r="L39" i="17"/>
  <c r="G45" i="17"/>
  <c r="L27" i="17"/>
  <c r="L28" i="17"/>
  <c r="E102" i="18"/>
  <c r="E83" i="12"/>
  <c r="N25" i="17"/>
  <c r="H47" i="17"/>
  <c r="O27" i="17"/>
  <c r="M23" i="17"/>
  <c r="K17" i="17"/>
  <c r="K23" i="17"/>
  <c r="K28" i="17"/>
  <c r="O17" i="17"/>
  <c r="K30" i="15"/>
  <c r="M30" i="15"/>
  <c r="P18" i="17"/>
  <c r="F40" i="17"/>
  <c r="J41" i="17"/>
  <c r="G41" i="17"/>
  <c r="L41" i="17"/>
  <c r="N41" i="17"/>
  <c r="H44" i="17"/>
  <c r="P22" i="17"/>
  <c r="E93" i="18"/>
  <c r="Q92" i="18"/>
  <c r="Q93" i="18"/>
  <c r="E107" i="18"/>
  <c r="F105" i="18"/>
  <c r="F107" i="18"/>
  <c r="G105" i="18"/>
  <c r="G107" i="18"/>
  <c r="H105" i="18"/>
  <c r="H107" i="18"/>
  <c r="I105" i="18"/>
  <c r="I107" i="18"/>
  <c r="J105" i="18"/>
  <c r="J107" i="18"/>
  <c r="K105" i="18"/>
  <c r="K107" i="18"/>
  <c r="L105" i="18"/>
  <c r="L107" i="18"/>
  <c r="M105" i="18"/>
  <c r="M107" i="18"/>
  <c r="N105" i="18"/>
  <c r="N107" i="18"/>
  <c r="O105" i="18"/>
  <c r="O107" i="18"/>
  <c r="P105" i="18"/>
  <c r="Q106" i="18"/>
  <c r="Q107" i="18"/>
  <c r="G44" i="17"/>
  <c r="L44" i="17"/>
  <c r="G42" i="17"/>
  <c r="L42" i="17"/>
  <c r="J43" i="17"/>
  <c r="G43" i="17"/>
  <c r="L43" i="17"/>
  <c r="N43" i="17"/>
  <c r="E74" i="12"/>
  <c r="C121" i="12"/>
  <c r="Q73" i="12"/>
  <c r="Q74" i="12"/>
  <c r="E88" i="12"/>
  <c r="F86" i="12"/>
  <c r="F88" i="12"/>
  <c r="G86" i="12"/>
  <c r="G88" i="12"/>
  <c r="H86" i="12"/>
  <c r="H88" i="12"/>
  <c r="I86" i="12"/>
  <c r="I88" i="12"/>
  <c r="J86" i="12"/>
  <c r="J88" i="12"/>
  <c r="K86" i="12"/>
  <c r="K88" i="12"/>
  <c r="L86" i="12"/>
  <c r="L88" i="12"/>
  <c r="M86" i="12"/>
  <c r="M88" i="12"/>
  <c r="N86" i="12"/>
  <c r="N88" i="12"/>
  <c r="O86" i="12"/>
  <c r="O88" i="12"/>
  <c r="P86" i="12"/>
  <c r="P88" i="12"/>
  <c r="Q87" i="12"/>
  <c r="Q88" i="12"/>
  <c r="H116" i="19"/>
  <c r="H112" i="19"/>
  <c r="I43" i="19"/>
  <c r="I40" i="19"/>
  <c r="Y100" i="19"/>
  <c r="X102" i="19"/>
  <c r="W116" i="19"/>
  <c r="X114" i="19"/>
  <c r="G94" i="19"/>
  <c r="H157" i="19"/>
  <c r="G97" i="19"/>
  <c r="F131" i="19"/>
  <c r="T144" i="19"/>
  <c r="T162" i="19"/>
  <c r="J26" i="19"/>
  <c r="J30" i="19"/>
  <c r="H33" i="19"/>
  <c r="H37" i="19"/>
  <c r="E133" i="19"/>
  <c r="E142" i="19"/>
  <c r="V141" i="19"/>
  <c r="Y127" i="19"/>
  <c r="X129" i="19"/>
  <c r="H11" i="19"/>
  <c r="G45" i="19"/>
  <c r="G47" i="19"/>
  <c r="H8" i="19"/>
  <c r="H14" i="19"/>
  <c r="H16" i="19"/>
  <c r="W123" i="19"/>
  <c r="X121" i="19"/>
  <c r="X109" i="19"/>
  <c r="Y107" i="19"/>
  <c r="I23" i="19"/>
  <c r="I19" i="19"/>
  <c r="I71" i="19"/>
  <c r="H81" i="19"/>
  <c r="O126" i="19"/>
  <c r="O129" i="19"/>
  <c r="V131" i="19"/>
  <c r="V133" i="19"/>
  <c r="W138" i="19"/>
  <c r="W141" i="19"/>
  <c r="K100" i="19"/>
  <c r="K102" i="19"/>
  <c r="G4" i="19"/>
  <c r="F58" i="19"/>
  <c r="X94" i="19"/>
  <c r="W97" i="19"/>
  <c r="W131" i="19"/>
  <c r="W133" i="19"/>
  <c r="G123" i="19"/>
  <c r="G119" i="19"/>
  <c r="U142" i="19"/>
  <c r="U144" i="19"/>
  <c r="L22" i="25"/>
  <c r="Q20" i="25"/>
  <c r="Q22" i="25"/>
  <c r="R22" i="25"/>
  <c r="S22" i="25"/>
  <c r="D148" i="12"/>
  <c r="C146" i="12"/>
  <c r="H55" i="19"/>
  <c r="I105" i="19"/>
  <c r="I109" i="19"/>
  <c r="P20" i="17"/>
  <c r="H42" i="17"/>
  <c r="J42" i="17"/>
  <c r="F65" i="17"/>
  <c r="F47" i="17"/>
  <c r="P25" i="17"/>
  <c r="N27" i="17"/>
  <c r="N44" i="17"/>
  <c r="E96" i="18"/>
  <c r="M28" i="17"/>
  <c r="E77" i="12"/>
  <c r="L45" i="17"/>
  <c r="N39" i="17"/>
  <c r="G40" i="17"/>
  <c r="L40" i="17"/>
  <c r="N40" i="17"/>
  <c r="J40" i="17"/>
  <c r="Q83" i="12"/>
  <c r="Q84" i="12"/>
  <c r="Q91" i="12"/>
  <c r="E84" i="12"/>
  <c r="E91" i="12"/>
  <c r="E94" i="12"/>
  <c r="J44" i="17"/>
  <c r="H39" i="17"/>
  <c r="O23" i="17"/>
  <c r="P17" i="17"/>
  <c r="D186" i="18"/>
  <c r="P107" i="18"/>
  <c r="D188" i="18"/>
  <c r="E186" i="18"/>
  <c r="E188" i="18"/>
  <c r="F186" i="18"/>
  <c r="F188" i="18"/>
  <c r="G186" i="18"/>
  <c r="G188" i="18"/>
  <c r="H186" i="18"/>
  <c r="E103" i="18"/>
  <c r="E110" i="18"/>
  <c r="E113" i="18"/>
  <c r="Q102" i="18"/>
  <c r="Q103" i="18"/>
  <c r="Q110" i="18"/>
  <c r="N42" i="17"/>
  <c r="F63" i="17"/>
  <c r="F91" i="18"/>
  <c r="F72" i="12"/>
  <c r="J19" i="19"/>
  <c r="J23" i="19"/>
  <c r="I157" i="19"/>
  <c r="H167" i="19"/>
  <c r="H119" i="19"/>
  <c r="H123" i="19"/>
  <c r="Y121" i="19"/>
  <c r="X123" i="19"/>
  <c r="Z127" i="19"/>
  <c r="Y129" i="19"/>
  <c r="K26" i="19"/>
  <c r="K30" i="19"/>
  <c r="X116" i="19"/>
  <c r="Y114" i="19"/>
  <c r="G56" i="19"/>
  <c r="U159" i="19"/>
  <c r="Y94" i="19"/>
  <c r="X97" i="19"/>
  <c r="H82" i="19"/>
  <c r="I81" i="19"/>
  <c r="I82" i="19"/>
  <c r="I14" i="19"/>
  <c r="I16" i="19"/>
  <c r="AD138" i="19"/>
  <c r="L102" i="19"/>
  <c r="L100" i="19"/>
  <c r="H97" i="19"/>
  <c r="H94" i="19"/>
  <c r="G131" i="19"/>
  <c r="J43" i="19"/>
  <c r="J40" i="19"/>
  <c r="Z107" i="19"/>
  <c r="Y109" i="19"/>
  <c r="H45" i="19"/>
  <c r="H47" i="19"/>
  <c r="I52" i="19"/>
  <c r="I8" i="19"/>
  <c r="I11" i="19"/>
  <c r="I37" i="19"/>
  <c r="I33" i="19"/>
  <c r="W142" i="19"/>
  <c r="U160" i="19"/>
  <c r="U161" i="19"/>
  <c r="X141" i="19"/>
  <c r="I55" i="19"/>
  <c r="H56" i="19"/>
  <c r="E150" i="12"/>
  <c r="C148" i="12"/>
  <c r="C147" i="12"/>
  <c r="V142" i="19"/>
  <c r="V144" i="19"/>
  <c r="Z100" i="19"/>
  <c r="Y102" i="19"/>
  <c r="J105" i="19"/>
  <c r="J109" i="19"/>
  <c r="F90" i="19"/>
  <c r="E144" i="19"/>
  <c r="F133" i="19"/>
  <c r="F142" i="19"/>
  <c r="I116" i="19"/>
  <c r="I112" i="19"/>
  <c r="F61" i="17"/>
  <c r="N45" i="17"/>
  <c r="F66" i="17"/>
  <c r="F73" i="12"/>
  <c r="F74" i="12"/>
  <c r="F92" i="18"/>
  <c r="F93" i="18"/>
  <c r="O28" i="17"/>
  <c r="O29" i="17"/>
  <c r="O15" i="17"/>
  <c r="P23" i="17"/>
  <c r="P27" i="17"/>
  <c r="N28" i="17"/>
  <c r="N15" i="17"/>
  <c r="E119" i="18"/>
  <c r="F123" i="18"/>
  <c r="H188" i="18"/>
  <c r="I186" i="18"/>
  <c r="I188" i="18"/>
  <c r="J186" i="18"/>
  <c r="J188" i="18"/>
  <c r="K186" i="18"/>
  <c r="K188" i="18"/>
  <c r="L186" i="18"/>
  <c r="L188" i="18"/>
  <c r="M186" i="18"/>
  <c r="M188" i="18"/>
  <c r="N186" i="18"/>
  <c r="N188" i="18"/>
  <c r="O186" i="18"/>
  <c r="O188" i="18"/>
  <c r="P186" i="18"/>
  <c r="P188" i="18"/>
  <c r="P185" i="17"/>
  <c r="F64" i="17"/>
  <c r="E100" i="12"/>
  <c r="F104" i="12"/>
  <c r="F105" i="12"/>
  <c r="E146" i="12"/>
  <c r="E108" i="18"/>
  <c r="F101" i="18"/>
  <c r="H45" i="17"/>
  <c r="J39" i="17"/>
  <c r="J45" i="17"/>
  <c r="Q77" i="12"/>
  <c r="Q78" i="12"/>
  <c r="E78" i="12"/>
  <c r="F62" i="17"/>
  <c r="J47" i="17"/>
  <c r="I47" i="17"/>
  <c r="M47" i="17"/>
  <c r="F49" i="17"/>
  <c r="E89" i="12"/>
  <c r="F82" i="12"/>
  <c r="Q96" i="18"/>
  <c r="Q97" i="18"/>
  <c r="E97" i="18"/>
  <c r="C140" i="18"/>
  <c r="Y141" i="19"/>
  <c r="J112" i="19"/>
  <c r="J116" i="19"/>
  <c r="AA100" i="19"/>
  <c r="Z102" i="19"/>
  <c r="Z109" i="19"/>
  <c r="AA107" i="19"/>
  <c r="Y123" i="19"/>
  <c r="Z121" i="19"/>
  <c r="J33" i="19"/>
  <c r="J37" i="19"/>
  <c r="G133" i="19"/>
  <c r="G142" i="19"/>
  <c r="L30" i="19"/>
  <c r="L26" i="19"/>
  <c r="H168" i="19"/>
  <c r="I167" i="19"/>
  <c r="I168" i="19"/>
  <c r="M100" i="19"/>
  <c r="M102" i="19"/>
  <c r="H4" i="19"/>
  <c r="G58" i="19"/>
  <c r="Z114" i="19"/>
  <c r="Y116" i="19"/>
  <c r="K43" i="19"/>
  <c r="K40" i="19"/>
  <c r="J8" i="19"/>
  <c r="I45" i="19"/>
  <c r="I47" i="19"/>
  <c r="J52" i="19"/>
  <c r="J71" i="19"/>
  <c r="J81" i="19"/>
  <c r="J82" i="19"/>
  <c r="J11" i="19"/>
  <c r="K109" i="19"/>
  <c r="K105" i="19"/>
  <c r="I4" i="19"/>
  <c r="H58" i="19"/>
  <c r="I94" i="19"/>
  <c r="H131" i="19"/>
  <c r="I97" i="19"/>
  <c r="X131" i="19"/>
  <c r="X133" i="19"/>
  <c r="K19" i="19"/>
  <c r="K23" i="19"/>
  <c r="F144" i="19"/>
  <c r="G90" i="19"/>
  <c r="U162" i="19"/>
  <c r="W144" i="19"/>
  <c r="J16" i="19"/>
  <c r="J14" i="19"/>
  <c r="I123" i="19"/>
  <c r="I119" i="19"/>
  <c r="J80" i="19"/>
  <c r="J72" i="19"/>
  <c r="Y97" i="19"/>
  <c r="Z94" i="19"/>
  <c r="Z129" i="19"/>
  <c r="AA127" i="19"/>
  <c r="C123" i="12"/>
  <c r="C126" i="12"/>
  <c r="C128" i="12"/>
  <c r="J49" i="17"/>
  <c r="G47" i="17"/>
  <c r="L47" i="17"/>
  <c r="N47" i="17"/>
  <c r="F69" i="17"/>
  <c r="F50" i="17"/>
  <c r="Q111" i="18"/>
  <c r="Q112" i="18"/>
  <c r="Q115" i="18"/>
  <c r="F124" i="18"/>
  <c r="C142" i="18"/>
  <c r="C159" i="18"/>
  <c r="C157" i="18"/>
  <c r="E111" i="18"/>
  <c r="E114" i="18"/>
  <c r="E115" i="18"/>
  <c r="E125" i="18"/>
  <c r="E127" i="18"/>
  <c r="F95" i="18"/>
  <c r="E98" i="18"/>
  <c r="E112" i="18"/>
  <c r="H49" i="17"/>
  <c r="I43" i="17"/>
  <c r="M43" i="17"/>
  <c r="I40" i="17"/>
  <c r="M40" i="17"/>
  <c r="I41" i="17"/>
  <c r="M41" i="17"/>
  <c r="I42" i="17"/>
  <c r="M42" i="17"/>
  <c r="I44" i="17"/>
  <c r="M44" i="17"/>
  <c r="I39" i="17"/>
  <c r="P28" i="17"/>
  <c r="N29" i="17"/>
  <c r="F67" i="17"/>
  <c r="G61" i="17"/>
  <c r="P15" i="17"/>
  <c r="G91" i="18"/>
  <c r="G93" i="18"/>
  <c r="F76" i="12"/>
  <c r="E92" i="12"/>
  <c r="E95" i="12"/>
  <c r="E96" i="12"/>
  <c r="E79" i="12"/>
  <c r="E93" i="12"/>
  <c r="M49" i="17"/>
  <c r="F106" i="18"/>
  <c r="F87" i="12"/>
  <c r="O47" i="17"/>
  <c r="G72" i="12"/>
  <c r="G74" i="12"/>
  <c r="Q92" i="12"/>
  <c r="Q93" i="12"/>
  <c r="Q96" i="12"/>
  <c r="AB127" i="19"/>
  <c r="AA129" i="19"/>
  <c r="AA109" i="19"/>
  <c r="AB107" i="19"/>
  <c r="J119" i="19"/>
  <c r="J123" i="19"/>
  <c r="L105" i="19"/>
  <c r="L109" i="19"/>
  <c r="Z116" i="19"/>
  <c r="AA114" i="19"/>
  <c r="H90" i="19"/>
  <c r="G144" i="19"/>
  <c r="K14" i="19"/>
  <c r="K16" i="19"/>
  <c r="AB100" i="19"/>
  <c r="AA102" i="19"/>
  <c r="H133" i="19"/>
  <c r="I138" i="19"/>
  <c r="I141" i="19"/>
  <c r="H142" i="19"/>
  <c r="J55" i="19"/>
  <c r="N102" i="19"/>
  <c r="N100" i="19"/>
  <c r="K37" i="19"/>
  <c r="K33" i="19"/>
  <c r="K112" i="19"/>
  <c r="K116" i="19"/>
  <c r="J45" i="19"/>
  <c r="J47" i="19"/>
  <c r="K52" i="19"/>
  <c r="K8" i="19"/>
  <c r="K11" i="19"/>
  <c r="AA121" i="19"/>
  <c r="Z123" i="19"/>
  <c r="X142" i="19"/>
  <c r="X144" i="19"/>
  <c r="L19" i="19"/>
  <c r="L23" i="19"/>
  <c r="M26" i="19"/>
  <c r="M30" i="19"/>
  <c r="AA94" i="19"/>
  <c r="Z97" i="19"/>
  <c r="Y131" i="19"/>
  <c r="Y133" i="19"/>
  <c r="J97" i="19"/>
  <c r="J94" i="19"/>
  <c r="I131" i="19"/>
  <c r="I133" i="19"/>
  <c r="J138" i="19"/>
  <c r="J157" i="19"/>
  <c r="I56" i="19"/>
  <c r="L43" i="19"/>
  <c r="L40" i="19"/>
  <c r="Z141" i="19"/>
  <c r="F102" i="18"/>
  <c r="F103" i="18"/>
  <c r="G101" i="18"/>
  <c r="F83" i="12"/>
  <c r="F84" i="12"/>
  <c r="G82" i="12"/>
  <c r="N49" i="17"/>
  <c r="N37" i="17"/>
  <c r="L49" i="17"/>
  <c r="L50" i="17"/>
  <c r="G62" i="17"/>
  <c r="L62" i="17"/>
  <c r="N62" i="17"/>
  <c r="L61" i="17"/>
  <c r="G67" i="17"/>
  <c r="F89" i="12"/>
  <c r="H72" i="12"/>
  <c r="H74" i="12"/>
  <c r="E147" i="12"/>
  <c r="E148" i="12"/>
  <c r="F150" i="12"/>
  <c r="E106" i="12"/>
  <c r="E108" i="12"/>
  <c r="O40" i="17"/>
  <c r="K40" i="17"/>
  <c r="H69" i="17"/>
  <c r="J69" i="17"/>
  <c r="G69" i="17"/>
  <c r="L69" i="17"/>
  <c r="O49" i="17"/>
  <c r="G66" i="17"/>
  <c r="L66" i="17"/>
  <c r="M39" i="17"/>
  <c r="I45" i="17"/>
  <c r="O43" i="17"/>
  <c r="K43" i="17"/>
  <c r="C145" i="18"/>
  <c r="H91" i="18"/>
  <c r="H93" i="18"/>
  <c r="H50" i="17"/>
  <c r="I49" i="17"/>
  <c r="F71" i="17"/>
  <c r="G63" i="17"/>
  <c r="L63" i="17"/>
  <c r="G65" i="17"/>
  <c r="L65" i="17"/>
  <c r="G49" i="17"/>
  <c r="Q28" i="17"/>
  <c r="P47" i="17"/>
  <c r="O41" i="17"/>
  <c r="K41" i="17"/>
  <c r="K44" i="17"/>
  <c r="O44" i="17"/>
  <c r="G64" i="17"/>
  <c r="L64" i="17"/>
  <c r="O42" i="17"/>
  <c r="K42" i="17"/>
  <c r="L33" i="19"/>
  <c r="L37" i="19"/>
  <c r="V158" i="19"/>
  <c r="Z131" i="19"/>
  <c r="Z133" i="19"/>
  <c r="M40" i="19"/>
  <c r="M43" i="19"/>
  <c r="AA97" i="19"/>
  <c r="AB94" i="19"/>
  <c r="L11" i="19"/>
  <c r="L8" i="19"/>
  <c r="K45" i="19"/>
  <c r="K47" i="19"/>
  <c r="L52" i="19"/>
  <c r="L55" i="19"/>
  <c r="O102" i="19"/>
  <c r="O100" i="19"/>
  <c r="I58" i="19"/>
  <c r="J4" i="19"/>
  <c r="N30" i="19"/>
  <c r="N26" i="19"/>
  <c r="AB109" i="19"/>
  <c r="AC107" i="19"/>
  <c r="K94" i="19"/>
  <c r="K97" i="19"/>
  <c r="J131" i="19"/>
  <c r="J133" i="19"/>
  <c r="K138" i="19"/>
  <c r="K141" i="19"/>
  <c r="M109" i="19"/>
  <c r="M105" i="19"/>
  <c r="Y142" i="19"/>
  <c r="Y144" i="19"/>
  <c r="AB102" i="19"/>
  <c r="AC100" i="19"/>
  <c r="L16" i="19"/>
  <c r="L14" i="19"/>
  <c r="J167" i="19"/>
  <c r="J168" i="19"/>
  <c r="J56" i="19"/>
  <c r="J141" i="19"/>
  <c r="K158" i="19"/>
  <c r="M23" i="19"/>
  <c r="M19" i="19"/>
  <c r="L112" i="19"/>
  <c r="L116" i="19"/>
  <c r="H144" i="19"/>
  <c r="I90" i="19"/>
  <c r="AB114" i="19"/>
  <c r="AA116" i="19"/>
  <c r="V160" i="19"/>
  <c r="AA141" i="19"/>
  <c r="Z142" i="19"/>
  <c r="AB121" i="19"/>
  <c r="AA123" i="19"/>
  <c r="K119" i="19"/>
  <c r="K123" i="19"/>
  <c r="K55" i="19"/>
  <c r="I142" i="19"/>
  <c r="J166" i="19"/>
  <c r="AC127" i="19"/>
  <c r="AB129" i="19"/>
  <c r="P49" i="17"/>
  <c r="F110" i="18"/>
  <c r="F113" i="18"/>
  <c r="F119" i="18"/>
  <c r="G123" i="18"/>
  <c r="G124" i="18"/>
  <c r="F91" i="12"/>
  <c r="F94" i="12"/>
  <c r="F108" i="18"/>
  <c r="N50" i="17"/>
  <c r="N51" i="17"/>
  <c r="J50" i="17"/>
  <c r="G102" i="18"/>
  <c r="G103" i="18"/>
  <c r="L71" i="17"/>
  <c r="G83" i="12"/>
  <c r="G84" i="12"/>
  <c r="F84" i="17"/>
  <c r="N65" i="17"/>
  <c r="I91" i="18"/>
  <c r="I93" i="18"/>
  <c r="M45" i="17"/>
  <c r="K39" i="17"/>
  <c r="K45" i="17"/>
  <c r="O39" i="17"/>
  <c r="H62" i="17"/>
  <c r="P40" i="17"/>
  <c r="H63" i="17"/>
  <c r="P41" i="17"/>
  <c r="N69" i="17"/>
  <c r="L67" i="17"/>
  <c r="N61" i="17"/>
  <c r="N64" i="17"/>
  <c r="N63" i="17"/>
  <c r="N66" i="17"/>
  <c r="C147" i="18"/>
  <c r="I69" i="17"/>
  <c r="M69" i="17"/>
  <c r="O69" i="17"/>
  <c r="H64" i="17"/>
  <c r="P42" i="17"/>
  <c r="H65" i="17"/>
  <c r="P43" i="17"/>
  <c r="F146" i="12"/>
  <c r="F100" i="12"/>
  <c r="G104" i="12"/>
  <c r="G105" i="12"/>
  <c r="F72" i="17"/>
  <c r="G71" i="17"/>
  <c r="H66" i="17"/>
  <c r="P44" i="17"/>
  <c r="I72" i="12"/>
  <c r="I74" i="12"/>
  <c r="N109" i="19"/>
  <c r="N105" i="19"/>
  <c r="N43" i="19"/>
  <c r="N40" i="19"/>
  <c r="M116" i="19"/>
  <c r="M112" i="19"/>
  <c r="M14" i="19"/>
  <c r="M16" i="19"/>
  <c r="I144" i="19"/>
  <c r="J90" i="19"/>
  <c r="W160" i="19"/>
  <c r="AB141" i="19"/>
  <c r="AC141" i="19"/>
  <c r="AD141" i="19"/>
  <c r="AD100" i="19"/>
  <c r="AD102" i="19"/>
  <c r="AC102" i="19"/>
  <c r="AD107" i="19"/>
  <c r="AD109" i="19"/>
  <c r="AC109" i="19"/>
  <c r="K80" i="19"/>
  <c r="L56" i="19"/>
  <c r="V161" i="19"/>
  <c r="J58" i="19"/>
  <c r="K4" i="19"/>
  <c r="AA131" i="19"/>
  <c r="AA133" i="19"/>
  <c r="W158" i="19"/>
  <c r="W161" i="19"/>
  <c r="AC129" i="19"/>
  <c r="AD127" i="19"/>
  <c r="AD129" i="19"/>
  <c r="L94" i="19"/>
  <c r="L97" i="19"/>
  <c r="K131" i="19"/>
  <c r="K133" i="19"/>
  <c r="L138" i="19"/>
  <c r="L141" i="19"/>
  <c r="M33" i="19"/>
  <c r="M37" i="19"/>
  <c r="K56" i="19"/>
  <c r="L45" i="19"/>
  <c r="L47" i="19"/>
  <c r="M52" i="19"/>
  <c r="M11" i="19"/>
  <c r="K71" i="19"/>
  <c r="K81" i="19"/>
  <c r="K82" i="19"/>
  <c r="M8" i="19"/>
  <c r="AC121" i="19"/>
  <c r="AB123" i="19"/>
  <c r="V162" i="19"/>
  <c r="Z144" i="19"/>
  <c r="N23" i="19"/>
  <c r="N19" i="19"/>
  <c r="L123" i="19"/>
  <c r="L119" i="19"/>
  <c r="AC114" i="19"/>
  <c r="AB116" i="19"/>
  <c r="J142" i="19"/>
  <c r="O26" i="19"/>
  <c r="O30" i="19"/>
  <c r="AC94" i="19"/>
  <c r="AB97" i="19"/>
  <c r="K72" i="19"/>
  <c r="L72" i="17"/>
  <c r="G89" i="12"/>
  <c r="H82" i="12"/>
  <c r="H84" i="12"/>
  <c r="C122" i="12"/>
  <c r="G91" i="12"/>
  <c r="G94" i="12"/>
  <c r="F85" i="17"/>
  <c r="K46" i="17"/>
  <c r="K50" i="17"/>
  <c r="H91" i="17"/>
  <c r="O71" i="17"/>
  <c r="G106" i="18"/>
  <c r="M71" i="17"/>
  <c r="G87" i="12"/>
  <c r="F91" i="17"/>
  <c r="P69" i="17"/>
  <c r="N71" i="17"/>
  <c r="J63" i="17"/>
  <c r="J65" i="17"/>
  <c r="J91" i="18"/>
  <c r="H61" i="17"/>
  <c r="O45" i="17"/>
  <c r="P39" i="17"/>
  <c r="F86" i="17"/>
  <c r="F77" i="12"/>
  <c r="F78" i="12"/>
  <c r="M50" i="17"/>
  <c r="F96" i="18"/>
  <c r="F97" i="18"/>
  <c r="F88" i="17"/>
  <c r="J72" i="12"/>
  <c r="J74" i="12"/>
  <c r="N67" i="17"/>
  <c r="F83" i="17"/>
  <c r="J62" i="17"/>
  <c r="F87" i="17"/>
  <c r="J66" i="17"/>
  <c r="H101" i="18"/>
  <c r="G108" i="18"/>
  <c r="G110" i="18"/>
  <c r="G113" i="18"/>
  <c r="J64" i="17"/>
  <c r="C143" i="18"/>
  <c r="C160" i="18"/>
  <c r="J144" i="19"/>
  <c r="K90" i="19"/>
  <c r="K58" i="19"/>
  <c r="L4" i="19"/>
  <c r="AD121" i="19"/>
  <c r="AD123" i="19"/>
  <c r="AC123" i="19"/>
  <c r="K142" i="19"/>
  <c r="N112" i="19"/>
  <c r="N116" i="19"/>
  <c r="AB131" i="19"/>
  <c r="AB133" i="19"/>
  <c r="M119" i="19"/>
  <c r="M123" i="19"/>
  <c r="M97" i="19"/>
  <c r="K157" i="19"/>
  <c r="K167" i="19"/>
  <c r="K168" i="19"/>
  <c r="L131" i="19"/>
  <c r="L133" i="19"/>
  <c r="M138" i="19"/>
  <c r="M94" i="19"/>
  <c r="AA142" i="19"/>
  <c r="N14" i="19"/>
  <c r="N16" i="19"/>
  <c r="N37" i="19"/>
  <c r="N33" i="19"/>
  <c r="AD94" i="19"/>
  <c r="AC97" i="19"/>
  <c r="AC131" i="19"/>
  <c r="AC133" i="19"/>
  <c r="M4" i="19"/>
  <c r="L58" i="19"/>
  <c r="O43" i="19"/>
  <c r="O40" i="19"/>
  <c r="P26" i="19"/>
  <c r="P30" i="19"/>
  <c r="Q30" i="19"/>
  <c r="R28" i="19"/>
  <c r="O23" i="19"/>
  <c r="O19" i="19"/>
  <c r="N11" i="19"/>
  <c r="N8" i="19"/>
  <c r="M45" i="19"/>
  <c r="M47" i="19"/>
  <c r="N52" i="19"/>
  <c r="N55" i="19"/>
  <c r="AC116" i="19"/>
  <c r="AD114" i="19"/>
  <c r="AD116" i="19"/>
  <c r="K166" i="19"/>
  <c r="M55" i="19"/>
  <c r="O105" i="19"/>
  <c r="O109" i="19"/>
  <c r="P71" i="17"/>
  <c r="G119" i="18"/>
  <c r="H123" i="18"/>
  <c r="O37" i="17"/>
  <c r="P37" i="17"/>
  <c r="O50" i="17"/>
  <c r="P45" i="17"/>
  <c r="J91" i="17"/>
  <c r="G91" i="17"/>
  <c r="L91" i="17"/>
  <c r="N91" i="17"/>
  <c r="G95" i="18"/>
  <c r="G97" i="18"/>
  <c r="F111" i="18"/>
  <c r="F114" i="18"/>
  <c r="F115" i="18"/>
  <c r="F125" i="18"/>
  <c r="F127" i="18"/>
  <c r="F98" i="18"/>
  <c r="F112" i="18"/>
  <c r="N59" i="17"/>
  <c r="N72" i="17"/>
  <c r="I82" i="12"/>
  <c r="I84" i="12"/>
  <c r="H89" i="12"/>
  <c r="H91" i="12"/>
  <c r="H94" i="12"/>
  <c r="F89" i="17"/>
  <c r="G88" i="17"/>
  <c r="L88" i="17"/>
  <c r="N88" i="17"/>
  <c r="G100" i="12"/>
  <c r="H104" i="12"/>
  <c r="H67" i="17"/>
  <c r="I61" i="17"/>
  <c r="J61" i="17"/>
  <c r="J67" i="17"/>
  <c r="J71" i="17"/>
  <c r="F92" i="12"/>
  <c r="F95" i="12"/>
  <c r="F96" i="12"/>
  <c r="G76" i="12"/>
  <c r="G78" i="12"/>
  <c r="F79" i="12"/>
  <c r="F93" i="12"/>
  <c r="G87" i="17"/>
  <c r="L87" i="17"/>
  <c r="N87" i="17"/>
  <c r="K72" i="12"/>
  <c r="K74" i="12"/>
  <c r="O14" i="19"/>
  <c r="O16" i="19"/>
  <c r="L158" i="19"/>
  <c r="M141" i="19"/>
  <c r="N97" i="19"/>
  <c r="N94" i="19"/>
  <c r="M131" i="19"/>
  <c r="M133" i="19"/>
  <c r="N138" i="19"/>
  <c r="N141" i="19"/>
  <c r="N123" i="19"/>
  <c r="N119" i="19"/>
  <c r="AA144" i="19"/>
  <c r="W162" i="19"/>
  <c r="O112" i="19"/>
  <c r="O116" i="19"/>
  <c r="L142" i="19"/>
  <c r="P19" i="19"/>
  <c r="P23" i="19"/>
  <c r="Q23" i="19"/>
  <c r="R21" i="19"/>
  <c r="J156" i="19"/>
  <c r="AD97" i="19"/>
  <c r="AD131" i="19"/>
  <c r="K144" i="19"/>
  <c r="L90" i="19"/>
  <c r="S28" i="19"/>
  <c r="R30" i="19"/>
  <c r="O37" i="19"/>
  <c r="O33" i="19"/>
  <c r="P43" i="19"/>
  <c r="Q43" i="19"/>
  <c r="R41" i="19"/>
  <c r="P40" i="19"/>
  <c r="M56" i="19"/>
  <c r="O8" i="19"/>
  <c r="N45" i="19"/>
  <c r="N47" i="19"/>
  <c r="O52" i="19"/>
  <c r="O11" i="19"/>
  <c r="I91" i="17"/>
  <c r="M91" i="17"/>
  <c r="O91" i="17"/>
  <c r="F110" i="17"/>
  <c r="D123" i="12"/>
  <c r="D126" i="12"/>
  <c r="H105" i="12"/>
  <c r="I105" i="12"/>
  <c r="J105" i="12"/>
  <c r="K105" i="12"/>
  <c r="L105" i="12"/>
  <c r="M105" i="12"/>
  <c r="N105" i="12"/>
  <c r="O105" i="12"/>
  <c r="P105" i="12"/>
  <c r="M61" i="17"/>
  <c r="I67" i="17"/>
  <c r="N73" i="17"/>
  <c r="D142" i="18"/>
  <c r="D159" i="18"/>
  <c r="H124" i="18"/>
  <c r="H71" i="17"/>
  <c r="I63" i="17"/>
  <c r="M63" i="17"/>
  <c r="I65" i="17"/>
  <c r="M65" i="17"/>
  <c r="I62" i="17"/>
  <c r="M62" i="17"/>
  <c r="I64" i="17"/>
  <c r="M64" i="17"/>
  <c r="I66" i="17"/>
  <c r="M66" i="17"/>
  <c r="F93" i="17"/>
  <c r="G84" i="17"/>
  <c r="L84" i="17"/>
  <c r="H95" i="18"/>
  <c r="H97" i="18"/>
  <c r="G111" i="18"/>
  <c r="G114" i="18"/>
  <c r="G115" i="18"/>
  <c r="G125" i="18"/>
  <c r="G127" i="18"/>
  <c r="G98" i="18"/>
  <c r="G112" i="18"/>
  <c r="C141" i="18"/>
  <c r="G85" i="17"/>
  <c r="L85" i="17"/>
  <c r="J82" i="12"/>
  <c r="J84" i="12"/>
  <c r="I89" i="12"/>
  <c r="I91" i="12"/>
  <c r="I94" i="12"/>
  <c r="O51" i="17"/>
  <c r="P50" i="17"/>
  <c r="H76" i="12"/>
  <c r="H78" i="12"/>
  <c r="G92" i="12"/>
  <c r="G95" i="12"/>
  <c r="G96" i="12"/>
  <c r="G106" i="12"/>
  <c r="G108" i="12"/>
  <c r="G79" i="12"/>
  <c r="G93" i="12"/>
  <c r="C124" i="12"/>
  <c r="C125" i="12"/>
  <c r="C127" i="12"/>
  <c r="G83" i="17"/>
  <c r="H102" i="18"/>
  <c r="H103" i="18"/>
  <c r="L93" i="17"/>
  <c r="L72" i="12"/>
  <c r="L74" i="12"/>
  <c r="F109" i="17"/>
  <c r="F147" i="12"/>
  <c r="F148" i="12"/>
  <c r="F106" i="12"/>
  <c r="F108" i="12"/>
  <c r="H100" i="12"/>
  <c r="H113" i="17"/>
  <c r="O93" i="17"/>
  <c r="F113" i="17"/>
  <c r="N93" i="17"/>
  <c r="P91" i="17"/>
  <c r="M93" i="17"/>
  <c r="H106" i="18"/>
  <c r="G86" i="17"/>
  <c r="L86" i="17"/>
  <c r="R23" i="19"/>
  <c r="S21" i="19"/>
  <c r="O55" i="19"/>
  <c r="L72" i="19"/>
  <c r="P33" i="19"/>
  <c r="P37" i="19"/>
  <c r="Q37" i="19"/>
  <c r="R35" i="19"/>
  <c r="N142" i="19"/>
  <c r="M90" i="19"/>
  <c r="L144" i="19"/>
  <c r="O45" i="19"/>
  <c r="O47" i="19"/>
  <c r="P52" i="19"/>
  <c r="L71" i="19"/>
  <c r="P8" i="19"/>
  <c r="P11" i="19"/>
  <c r="O119" i="19"/>
  <c r="O123" i="19"/>
  <c r="M58" i="19"/>
  <c r="N4" i="19"/>
  <c r="S30" i="19"/>
  <c r="T28" i="19"/>
  <c r="O94" i="19"/>
  <c r="O97" i="19"/>
  <c r="N131" i="19"/>
  <c r="N133" i="19"/>
  <c r="O138" i="19"/>
  <c r="O141" i="19"/>
  <c r="M142" i="19"/>
  <c r="R43" i="19"/>
  <c r="S41" i="19"/>
  <c r="AD145" i="19"/>
  <c r="AD133" i="19"/>
  <c r="AD142" i="19"/>
  <c r="AD144" i="19"/>
  <c r="P14" i="19"/>
  <c r="P16" i="19"/>
  <c r="Q16" i="19"/>
  <c r="R14" i="19"/>
  <c r="N56" i="19"/>
  <c r="P93" i="17"/>
  <c r="M72" i="12"/>
  <c r="M74" i="12"/>
  <c r="H111" i="18"/>
  <c r="H114" i="18"/>
  <c r="I95" i="18"/>
  <c r="H98" i="18"/>
  <c r="K63" i="17"/>
  <c r="O63" i="17"/>
  <c r="J113" i="17"/>
  <c r="G113" i="17"/>
  <c r="L113" i="17"/>
  <c r="I100" i="12"/>
  <c r="H72" i="17"/>
  <c r="M67" i="17"/>
  <c r="M72" i="17"/>
  <c r="K61" i="17"/>
  <c r="K67" i="17"/>
  <c r="O61" i="17"/>
  <c r="H92" i="12"/>
  <c r="H95" i="12"/>
  <c r="H96" i="12"/>
  <c r="H106" i="12"/>
  <c r="H108" i="12"/>
  <c r="I76" i="12"/>
  <c r="I78" i="12"/>
  <c r="H79" i="12"/>
  <c r="H93" i="12"/>
  <c r="N84" i="17"/>
  <c r="N86" i="17"/>
  <c r="L83" i="17"/>
  <c r="G89" i="17"/>
  <c r="N85" i="17"/>
  <c r="K66" i="17"/>
  <c r="O66" i="17"/>
  <c r="G141" i="18"/>
  <c r="C158" i="18"/>
  <c r="C144" i="18"/>
  <c r="K64" i="17"/>
  <c r="O64" i="17"/>
  <c r="D128" i="12"/>
  <c r="E126" i="12"/>
  <c r="F94" i="17"/>
  <c r="G93" i="17"/>
  <c r="I101" i="18"/>
  <c r="H108" i="18"/>
  <c r="H110" i="18"/>
  <c r="H113" i="18"/>
  <c r="J89" i="12"/>
  <c r="K82" i="12"/>
  <c r="K84" i="12"/>
  <c r="D122" i="12"/>
  <c r="J91" i="12"/>
  <c r="J94" i="12"/>
  <c r="P97" i="17"/>
  <c r="K62" i="17"/>
  <c r="O62" i="17"/>
  <c r="K65" i="17"/>
  <c r="O65" i="17"/>
  <c r="S14" i="19"/>
  <c r="R16" i="19"/>
  <c r="N144" i="19"/>
  <c r="O90" i="19"/>
  <c r="L166" i="19"/>
  <c r="S35" i="19"/>
  <c r="R37" i="19"/>
  <c r="L157" i="19"/>
  <c r="O131" i="19"/>
  <c r="O133" i="19"/>
  <c r="Q11" i="19"/>
  <c r="S72" i="19"/>
  <c r="P45" i="19"/>
  <c r="O4" i="19"/>
  <c r="N58" i="19"/>
  <c r="N90" i="19"/>
  <c r="M144" i="19"/>
  <c r="U28" i="19"/>
  <c r="T30" i="19"/>
  <c r="L80" i="19"/>
  <c r="L81" i="19"/>
  <c r="L82" i="19"/>
  <c r="O56" i="19"/>
  <c r="S43" i="19"/>
  <c r="T41" i="19"/>
  <c r="P55" i="19"/>
  <c r="T21" i="19"/>
  <c r="S23" i="19"/>
  <c r="I113" i="17"/>
  <c r="M113" i="17"/>
  <c r="O113" i="17"/>
  <c r="L115" i="17"/>
  <c r="I102" i="18"/>
  <c r="I103" i="18"/>
  <c r="N113" i="17"/>
  <c r="I92" i="12"/>
  <c r="I95" i="12"/>
  <c r="I96" i="12"/>
  <c r="I106" i="12"/>
  <c r="I108" i="12"/>
  <c r="J76" i="12"/>
  <c r="J78" i="12"/>
  <c r="I79" i="12"/>
  <c r="I93" i="12"/>
  <c r="H135" i="17"/>
  <c r="O115" i="17"/>
  <c r="F126" i="12"/>
  <c r="F128" i="12"/>
  <c r="E128" i="12"/>
  <c r="I106" i="18"/>
  <c r="M115" i="17"/>
  <c r="O67" i="17"/>
  <c r="H83" i="17"/>
  <c r="P61" i="17"/>
  <c r="H112" i="18"/>
  <c r="H85" i="17"/>
  <c r="P63" i="17"/>
  <c r="H84" i="17"/>
  <c r="P62" i="17"/>
  <c r="L89" i="17"/>
  <c r="L94" i="17"/>
  <c r="N83" i="17"/>
  <c r="K68" i="17"/>
  <c r="K72" i="17"/>
  <c r="H86" i="17"/>
  <c r="P64" i="17"/>
  <c r="H88" i="17"/>
  <c r="P66" i="17"/>
  <c r="F106" i="17"/>
  <c r="K89" i="12"/>
  <c r="L82" i="12"/>
  <c r="L84" i="12"/>
  <c r="K91" i="12"/>
  <c r="K94" i="12"/>
  <c r="H87" i="17"/>
  <c r="P65" i="17"/>
  <c r="H115" i="18"/>
  <c r="H125" i="18"/>
  <c r="H127" i="18"/>
  <c r="H119" i="18"/>
  <c r="I123" i="18"/>
  <c r="I124" i="18"/>
  <c r="F108" i="17"/>
  <c r="C161" i="18"/>
  <c r="C162" i="18"/>
  <c r="C146" i="18"/>
  <c r="F107" i="17"/>
  <c r="I71" i="17"/>
  <c r="J72" i="17"/>
  <c r="J100" i="12"/>
  <c r="N72" i="12"/>
  <c r="N74" i="12"/>
  <c r="T35" i="19"/>
  <c r="S37" i="19"/>
  <c r="P4" i="19"/>
  <c r="O58" i="19"/>
  <c r="O142" i="19"/>
  <c r="O144" i="19"/>
  <c r="T43" i="19"/>
  <c r="U41" i="19"/>
  <c r="R67" i="19"/>
  <c r="P47" i="19"/>
  <c r="T72" i="19"/>
  <c r="R8" i="19"/>
  <c r="Q45" i="19"/>
  <c r="Q47" i="19"/>
  <c r="U21" i="19"/>
  <c r="T23" i="19"/>
  <c r="V28" i="19"/>
  <c r="U30" i="19"/>
  <c r="P56" i="19"/>
  <c r="P58" i="19"/>
  <c r="L167" i="19"/>
  <c r="L168" i="19"/>
  <c r="S16" i="19"/>
  <c r="T14" i="19"/>
  <c r="J87" i="17"/>
  <c r="H89" i="17"/>
  <c r="H93" i="17"/>
  <c r="J83" i="17"/>
  <c r="J89" i="17"/>
  <c r="J93" i="17"/>
  <c r="K100" i="12"/>
  <c r="J84" i="17"/>
  <c r="O72" i="17"/>
  <c r="O59" i="17"/>
  <c r="P59" i="17"/>
  <c r="P67" i="17"/>
  <c r="J101" i="18"/>
  <c r="I108" i="18"/>
  <c r="I110" i="18"/>
  <c r="I113" i="18"/>
  <c r="K76" i="12"/>
  <c r="K78" i="12"/>
  <c r="J92" i="12"/>
  <c r="J95" i="12"/>
  <c r="J96" i="12"/>
  <c r="J106" i="12"/>
  <c r="J108" i="12"/>
  <c r="D124" i="12"/>
  <c r="D125" i="12"/>
  <c r="D127" i="12"/>
  <c r="J79" i="12"/>
  <c r="J93" i="12"/>
  <c r="J85" i="17"/>
  <c r="O72" i="12"/>
  <c r="O74" i="12"/>
  <c r="J88" i="17"/>
  <c r="F105" i="17"/>
  <c r="N89" i="17"/>
  <c r="F135" i="17"/>
  <c r="P113" i="17"/>
  <c r="N115" i="17"/>
  <c r="P115" i="17"/>
  <c r="M82" i="12"/>
  <c r="M84" i="12"/>
  <c r="L89" i="12"/>
  <c r="L91" i="12"/>
  <c r="L94" i="12"/>
  <c r="J86" i="17"/>
  <c r="R70" i="19"/>
  <c r="AF78" i="19"/>
  <c r="R82" i="19"/>
  <c r="AF72" i="19"/>
  <c r="R83" i="19"/>
  <c r="R71" i="19"/>
  <c r="AF76" i="19"/>
  <c r="Z52" i="19"/>
  <c r="R81" i="19"/>
  <c r="AF74" i="19"/>
  <c r="X52" i="19"/>
  <c r="AF70" i="19"/>
  <c r="R72" i="19"/>
  <c r="AF69" i="19"/>
  <c r="R84" i="19"/>
  <c r="R52" i="19"/>
  <c r="R80" i="19"/>
  <c r="AF71" i="19"/>
  <c r="U52" i="19"/>
  <c r="AF79" i="19"/>
  <c r="AF77" i="19"/>
  <c r="AA52" i="19"/>
  <c r="AF73" i="19"/>
  <c r="W52" i="19"/>
  <c r="AF75" i="19"/>
  <c r="Y52" i="19"/>
  <c r="AF68" i="19"/>
  <c r="V41" i="19"/>
  <c r="U43" i="19"/>
  <c r="U14" i="19"/>
  <c r="T16" i="19"/>
  <c r="S8" i="19"/>
  <c r="R11" i="19"/>
  <c r="W28" i="19"/>
  <c r="V30" i="19"/>
  <c r="C68" i="18"/>
  <c r="C75" i="18"/>
  <c r="V21" i="19"/>
  <c r="U23" i="19"/>
  <c r="U35" i="19"/>
  <c r="T37" i="19"/>
  <c r="I88" i="17"/>
  <c r="M88" i="17"/>
  <c r="K88" i="17"/>
  <c r="I83" i="17"/>
  <c r="M83" i="17"/>
  <c r="I84" i="17"/>
  <c r="M84" i="17"/>
  <c r="I86" i="17"/>
  <c r="M86" i="17"/>
  <c r="K86" i="17"/>
  <c r="I85" i="17"/>
  <c r="M85" i="17"/>
  <c r="K85" i="17"/>
  <c r="I89" i="17"/>
  <c r="P72" i="17"/>
  <c r="O73" i="17"/>
  <c r="H94" i="17"/>
  <c r="J94" i="17"/>
  <c r="L100" i="12"/>
  <c r="I87" i="17"/>
  <c r="M87" i="17"/>
  <c r="J135" i="17"/>
  <c r="I135" i="17"/>
  <c r="M135" i="17"/>
  <c r="L76" i="12"/>
  <c r="L78" i="12"/>
  <c r="K92" i="12"/>
  <c r="K95" i="12"/>
  <c r="K96" i="12"/>
  <c r="K106" i="12"/>
  <c r="K108" i="12"/>
  <c r="K79" i="12"/>
  <c r="K93" i="12"/>
  <c r="P72" i="12"/>
  <c r="P74" i="12"/>
  <c r="M89" i="12"/>
  <c r="N82" i="12"/>
  <c r="N84" i="12"/>
  <c r="E122" i="12"/>
  <c r="M91" i="12"/>
  <c r="M94" i="12"/>
  <c r="N81" i="17"/>
  <c r="N94" i="17"/>
  <c r="I119" i="18"/>
  <c r="J123" i="18"/>
  <c r="J124" i="18"/>
  <c r="F111" i="17"/>
  <c r="AF80" i="19"/>
  <c r="V52" i="19"/>
  <c r="U80" i="19"/>
  <c r="D69" i="18"/>
  <c r="D76" i="18"/>
  <c r="V43" i="19"/>
  <c r="W41" i="19"/>
  <c r="R45" i="19"/>
  <c r="R47" i="19"/>
  <c r="U72" i="19"/>
  <c r="V23" i="19"/>
  <c r="W21" i="19"/>
  <c r="V14" i="19"/>
  <c r="U16" i="19"/>
  <c r="S52" i="19"/>
  <c r="W30" i="19"/>
  <c r="X28" i="19"/>
  <c r="O88" i="17"/>
  <c r="H110" i="17"/>
  <c r="V35" i="19"/>
  <c r="U37" i="19"/>
  <c r="T8" i="19"/>
  <c r="S11" i="19"/>
  <c r="S45" i="19"/>
  <c r="S47" i="19"/>
  <c r="AB52" i="19"/>
  <c r="V80" i="19"/>
  <c r="E69" i="18"/>
  <c r="E76" i="18"/>
  <c r="R85" i="19"/>
  <c r="Q52" i="19"/>
  <c r="O86" i="17"/>
  <c r="P86" i="17"/>
  <c r="K84" i="17"/>
  <c r="O84" i="17"/>
  <c r="G135" i="17"/>
  <c r="L135" i="17"/>
  <c r="J102" i="18"/>
  <c r="J103" i="18"/>
  <c r="O85" i="17"/>
  <c r="H107" i="17"/>
  <c r="L137" i="17"/>
  <c r="K87" i="17"/>
  <c r="O87" i="17"/>
  <c r="D143" i="18"/>
  <c r="D160" i="18"/>
  <c r="L92" i="12"/>
  <c r="L95" i="12"/>
  <c r="L96" i="12"/>
  <c r="L106" i="12"/>
  <c r="L108" i="12"/>
  <c r="M76" i="12"/>
  <c r="M78" i="12"/>
  <c r="L79" i="12"/>
  <c r="L93" i="12"/>
  <c r="F115" i="17"/>
  <c r="G109" i="17"/>
  <c r="L109" i="17"/>
  <c r="G110" i="17"/>
  <c r="L110" i="17"/>
  <c r="G106" i="17"/>
  <c r="L106" i="17"/>
  <c r="G107" i="17"/>
  <c r="L107" i="17"/>
  <c r="G108" i="17"/>
  <c r="L108" i="17"/>
  <c r="P88" i="17"/>
  <c r="O82" i="12"/>
  <c r="O84" i="12"/>
  <c r="N89" i="12"/>
  <c r="N91" i="12"/>
  <c r="N94" i="12"/>
  <c r="J106" i="18"/>
  <c r="M137" i="17"/>
  <c r="O135" i="17"/>
  <c r="I93" i="17"/>
  <c r="N95" i="17"/>
  <c r="M100" i="12"/>
  <c r="G105" i="17"/>
  <c r="M89" i="17"/>
  <c r="M94" i="17"/>
  <c r="K83" i="17"/>
  <c r="K89" i="17"/>
  <c r="O83" i="17"/>
  <c r="T52" i="19"/>
  <c r="W14" i="19"/>
  <c r="V16" i="19"/>
  <c r="W23" i="19"/>
  <c r="X21" i="19"/>
  <c r="H108" i="17"/>
  <c r="J108" i="17"/>
  <c r="Y28" i="19"/>
  <c r="X30" i="19"/>
  <c r="V37" i="19"/>
  <c r="W35" i="19"/>
  <c r="AC52" i="19"/>
  <c r="D68" i="18"/>
  <c r="D75" i="18"/>
  <c r="U8" i="19"/>
  <c r="T11" i="19"/>
  <c r="T45" i="19"/>
  <c r="T47" i="19"/>
  <c r="S80" i="19"/>
  <c r="Q55" i="19"/>
  <c r="W43" i="19"/>
  <c r="X41" i="19"/>
  <c r="T80" i="19"/>
  <c r="C69" i="18"/>
  <c r="C76" i="18"/>
  <c r="N135" i="17"/>
  <c r="P85" i="17"/>
  <c r="H106" i="17"/>
  <c r="J106" i="17"/>
  <c r="P84" i="17"/>
  <c r="H157" i="17"/>
  <c r="O137" i="17"/>
  <c r="H105" i="17"/>
  <c r="O89" i="17"/>
  <c r="P83" i="17"/>
  <c r="N107" i="17"/>
  <c r="N108" i="17"/>
  <c r="N110" i="17"/>
  <c r="F157" i="17"/>
  <c r="N137" i="17"/>
  <c r="P137" i="17"/>
  <c r="P135" i="17"/>
  <c r="L105" i="17"/>
  <c r="G111" i="17"/>
  <c r="F116" i="17"/>
  <c r="N106" i="17"/>
  <c r="N100" i="12"/>
  <c r="N76" i="12"/>
  <c r="N78" i="12"/>
  <c r="M92" i="12"/>
  <c r="M95" i="12"/>
  <c r="M96" i="12"/>
  <c r="M106" i="12"/>
  <c r="M108" i="12"/>
  <c r="E124" i="12"/>
  <c r="E125" i="12"/>
  <c r="E127" i="12"/>
  <c r="M79" i="12"/>
  <c r="M93" i="12"/>
  <c r="K94" i="17"/>
  <c r="K90" i="17"/>
  <c r="J107" i="17"/>
  <c r="N109" i="17"/>
  <c r="H109" i="17"/>
  <c r="P87" i="17"/>
  <c r="O89" i="12"/>
  <c r="P82" i="12"/>
  <c r="P84" i="12"/>
  <c r="O91" i="12"/>
  <c r="O94" i="12"/>
  <c r="J110" i="17"/>
  <c r="K101" i="18"/>
  <c r="J108" i="18"/>
  <c r="AD52" i="19"/>
  <c r="AD55" i="19"/>
  <c r="S81" i="19"/>
  <c r="S82" i="19"/>
  <c r="Q56" i="19"/>
  <c r="R55" i="19"/>
  <c r="X35" i="19"/>
  <c r="W37" i="19"/>
  <c r="W16" i="19"/>
  <c r="X14" i="19"/>
  <c r="Y41" i="19"/>
  <c r="X43" i="19"/>
  <c r="Y21" i="19"/>
  <c r="X23" i="19"/>
  <c r="V8" i="19"/>
  <c r="U11" i="19"/>
  <c r="U45" i="19"/>
  <c r="U47" i="19"/>
  <c r="Z28" i="19"/>
  <c r="Y30" i="19"/>
  <c r="W80" i="19"/>
  <c r="F69" i="18"/>
  <c r="F76" i="18"/>
  <c r="O76" i="12"/>
  <c r="O78" i="12"/>
  <c r="N92" i="12"/>
  <c r="N95" i="12"/>
  <c r="N96" i="12"/>
  <c r="N106" i="12"/>
  <c r="N108" i="12"/>
  <c r="N79" i="12"/>
  <c r="N93" i="12"/>
  <c r="O100" i="12"/>
  <c r="L111" i="17"/>
  <c r="L116" i="17"/>
  <c r="N105" i="17"/>
  <c r="F129" i="17"/>
  <c r="F128" i="17"/>
  <c r="J109" i="17"/>
  <c r="F132" i="17"/>
  <c r="H111" i="17"/>
  <c r="J105" i="17"/>
  <c r="J111" i="17"/>
  <c r="J115" i="17"/>
  <c r="J157" i="17"/>
  <c r="G157" i="17"/>
  <c r="L157" i="17"/>
  <c r="N157" i="17"/>
  <c r="F131" i="17"/>
  <c r="G115" i="17"/>
  <c r="P89" i="12"/>
  <c r="F122" i="12"/>
  <c r="P91" i="12"/>
  <c r="P94" i="12"/>
  <c r="O94" i="17"/>
  <c r="O81" i="17"/>
  <c r="P81" i="17"/>
  <c r="P89" i="17"/>
  <c r="F130" i="17"/>
  <c r="Y35" i="19"/>
  <c r="X37" i="19"/>
  <c r="R56" i="19"/>
  <c r="S55" i="19"/>
  <c r="Z21" i="19"/>
  <c r="Y23" i="19"/>
  <c r="Q58" i="19"/>
  <c r="S83" i="19"/>
  <c r="Q57" i="19"/>
  <c r="W8" i="19"/>
  <c r="V11" i="19"/>
  <c r="V45" i="19"/>
  <c r="V47" i="19"/>
  <c r="I157" i="17"/>
  <c r="M157" i="17"/>
  <c r="O157" i="17"/>
  <c r="P157" i="17"/>
  <c r="Z41" i="19"/>
  <c r="Y43" i="19"/>
  <c r="AD56" i="19"/>
  <c r="W81" i="19"/>
  <c r="F70" i="18"/>
  <c r="F77" i="18"/>
  <c r="Z30" i="19"/>
  <c r="AA28" i="19"/>
  <c r="X16" i="19"/>
  <c r="Y14" i="19"/>
  <c r="H179" i="17"/>
  <c r="O159" i="17"/>
  <c r="H115" i="17"/>
  <c r="I106" i="17"/>
  <c r="M106" i="17"/>
  <c r="I110" i="17"/>
  <c r="M110" i="17"/>
  <c r="I108" i="17"/>
  <c r="M108" i="17"/>
  <c r="I107" i="17"/>
  <c r="M107" i="17"/>
  <c r="I109" i="17"/>
  <c r="M109" i="17"/>
  <c r="P100" i="12"/>
  <c r="F179" i="17"/>
  <c r="N159" i="17"/>
  <c r="M159" i="17"/>
  <c r="F127" i="17"/>
  <c r="N111" i="17"/>
  <c r="I105" i="17"/>
  <c r="K102" i="18"/>
  <c r="K103" i="18"/>
  <c r="L159" i="17"/>
  <c r="O95" i="17"/>
  <c r="P94" i="17"/>
  <c r="O92" i="12"/>
  <c r="O95" i="12"/>
  <c r="O96" i="12"/>
  <c r="O106" i="12"/>
  <c r="O108" i="12"/>
  <c r="P76" i="12"/>
  <c r="P78" i="12"/>
  <c r="O79" i="12"/>
  <c r="O93" i="12"/>
  <c r="AD58" i="19"/>
  <c r="Z14" i="19"/>
  <c r="Y16" i="19"/>
  <c r="AA41" i="19"/>
  <c r="Z43" i="19"/>
  <c r="Z23" i="19"/>
  <c r="AA21" i="19"/>
  <c r="S56" i="19"/>
  <c r="T55" i="19"/>
  <c r="AA30" i="19"/>
  <c r="AB28" i="19"/>
  <c r="R57" i="19"/>
  <c r="R58" i="19"/>
  <c r="K106" i="18"/>
  <c r="W11" i="19"/>
  <c r="W45" i="19"/>
  <c r="W47" i="19"/>
  <c r="X8" i="19"/>
  <c r="AD59" i="19"/>
  <c r="Z35" i="19"/>
  <c r="Y37" i="19"/>
  <c r="P159" i="17"/>
  <c r="N116" i="17"/>
  <c r="N103" i="17"/>
  <c r="O107" i="17"/>
  <c r="K107" i="17"/>
  <c r="F133" i="17"/>
  <c r="G127" i="17"/>
  <c r="O108" i="17"/>
  <c r="K108" i="17"/>
  <c r="O110" i="17"/>
  <c r="K110" i="17"/>
  <c r="H116" i="17"/>
  <c r="J116" i="17"/>
  <c r="O106" i="17"/>
  <c r="K106" i="17"/>
  <c r="M105" i="17"/>
  <c r="I111" i="17"/>
  <c r="J179" i="17"/>
  <c r="G179" i="17"/>
  <c r="L179" i="17"/>
  <c r="N179" i="17"/>
  <c r="P92" i="12"/>
  <c r="P95" i="12"/>
  <c r="P96" i="12"/>
  <c r="P106" i="12"/>
  <c r="P108" i="12"/>
  <c r="F124" i="12"/>
  <c r="F125" i="12"/>
  <c r="F127" i="12"/>
  <c r="P79" i="12"/>
  <c r="P93" i="12"/>
  <c r="L101" i="18"/>
  <c r="K108" i="18"/>
  <c r="K109" i="17"/>
  <c r="O109" i="17"/>
  <c r="AB30" i="19"/>
  <c r="AC28" i="19"/>
  <c r="AC30" i="19"/>
  <c r="T56" i="19"/>
  <c r="T81" i="19"/>
  <c r="U55" i="19"/>
  <c r="AA23" i="19"/>
  <c r="AB21" i="19"/>
  <c r="AB41" i="19"/>
  <c r="AA43" i="19"/>
  <c r="AA35" i="19"/>
  <c r="Z37" i="19"/>
  <c r="Z16" i="19"/>
  <c r="AA14" i="19"/>
  <c r="I115" i="17"/>
  <c r="Y8" i="19"/>
  <c r="X11" i="19"/>
  <c r="X45" i="19"/>
  <c r="X47" i="19"/>
  <c r="S57" i="19"/>
  <c r="S58" i="19"/>
  <c r="I179" i="17"/>
  <c r="M179" i="17"/>
  <c r="O179" i="17"/>
  <c r="H201" i="17"/>
  <c r="F201" i="17"/>
  <c r="N181" i="17"/>
  <c r="H131" i="17"/>
  <c r="P109" i="17"/>
  <c r="F137" i="17"/>
  <c r="G128" i="17"/>
  <c r="L128" i="17"/>
  <c r="G131" i="17"/>
  <c r="L131" i="17"/>
  <c r="G130" i="17"/>
  <c r="L130" i="17"/>
  <c r="G132" i="17"/>
  <c r="L132" i="17"/>
  <c r="G129" i="17"/>
  <c r="L129" i="17"/>
  <c r="M111" i="17"/>
  <c r="O105" i="17"/>
  <c r="K105" i="17"/>
  <c r="K111" i="17"/>
  <c r="G133" i="17"/>
  <c r="L127" i="17"/>
  <c r="H129" i="17"/>
  <c r="P107" i="17"/>
  <c r="H130" i="17"/>
  <c r="P108" i="17"/>
  <c r="L102" i="18"/>
  <c r="L103" i="18"/>
  <c r="L181" i="17"/>
  <c r="H132" i="17"/>
  <c r="P110" i="17"/>
  <c r="H128" i="17"/>
  <c r="P106" i="17"/>
  <c r="N117" i="17"/>
  <c r="Y11" i="19"/>
  <c r="Y45" i="19"/>
  <c r="Y47" i="19"/>
  <c r="Z8" i="19"/>
  <c r="C70" i="18"/>
  <c r="C77" i="18"/>
  <c r="T82" i="19"/>
  <c r="AB14" i="19"/>
  <c r="AA16" i="19"/>
  <c r="AA37" i="19"/>
  <c r="AB35" i="19"/>
  <c r="AC41" i="19"/>
  <c r="AC43" i="19"/>
  <c r="AB43" i="19"/>
  <c r="AB23" i="19"/>
  <c r="AC21" i="19"/>
  <c r="AC23" i="19"/>
  <c r="U56" i="19"/>
  <c r="U58" i="19"/>
  <c r="V55" i="19"/>
  <c r="T58" i="19"/>
  <c r="T83" i="19"/>
  <c r="L106" i="18"/>
  <c r="M181" i="17"/>
  <c r="O181" i="17"/>
  <c r="P179" i="17"/>
  <c r="J129" i="17"/>
  <c r="N128" i="17"/>
  <c r="H127" i="17"/>
  <c r="O111" i="17"/>
  <c r="P105" i="17"/>
  <c r="I96" i="18"/>
  <c r="I97" i="18"/>
  <c r="M116" i="17"/>
  <c r="L133" i="17"/>
  <c r="N127" i="17"/>
  <c r="N129" i="17"/>
  <c r="J128" i="17"/>
  <c r="F138" i="17"/>
  <c r="J131" i="17"/>
  <c r="N132" i="17"/>
  <c r="P181" i="17"/>
  <c r="N131" i="17"/>
  <c r="M101" i="18"/>
  <c r="L108" i="18"/>
  <c r="J132" i="17"/>
  <c r="J130" i="17"/>
  <c r="K116" i="17"/>
  <c r="K112" i="17"/>
  <c r="N130" i="17"/>
  <c r="J201" i="17"/>
  <c r="I201" i="17"/>
  <c r="M201" i="17"/>
  <c r="O201" i="17"/>
  <c r="G201" i="17"/>
  <c r="L201" i="17"/>
  <c r="N201" i="17"/>
  <c r="V56" i="19"/>
  <c r="V58" i="19"/>
  <c r="W55" i="19"/>
  <c r="AB16" i="19"/>
  <c r="AC14" i="19"/>
  <c r="AC16" i="19"/>
  <c r="C71" i="18"/>
  <c r="C78" i="18"/>
  <c r="C79" i="18"/>
  <c r="AB37" i="19"/>
  <c r="AC35" i="19"/>
  <c r="AC37" i="19"/>
  <c r="AA8" i="19"/>
  <c r="Z11" i="19"/>
  <c r="F223" i="17"/>
  <c r="P201" i="17"/>
  <c r="N203" i="17"/>
  <c r="F153" i="17"/>
  <c r="M106" i="18"/>
  <c r="M203" i="17"/>
  <c r="H133" i="17"/>
  <c r="I127" i="17"/>
  <c r="J127" i="17"/>
  <c r="J133" i="17"/>
  <c r="J137" i="17"/>
  <c r="O116" i="17"/>
  <c r="O103" i="17"/>
  <c r="P103" i="17"/>
  <c r="P111" i="17"/>
  <c r="G137" i="17"/>
  <c r="F154" i="17"/>
  <c r="J92" i="18"/>
  <c r="L138" i="17"/>
  <c r="M102" i="18"/>
  <c r="M103" i="18"/>
  <c r="L203" i="17"/>
  <c r="F150" i="17"/>
  <c r="F152" i="17"/>
  <c r="H223" i="17"/>
  <c r="O203" i="17"/>
  <c r="N133" i="17"/>
  <c r="F149" i="17"/>
  <c r="F151" i="17"/>
  <c r="J95" i="18"/>
  <c r="I111" i="18"/>
  <c r="I114" i="18"/>
  <c r="I115" i="18"/>
  <c r="I125" i="18"/>
  <c r="I127" i="18"/>
  <c r="I98" i="18"/>
  <c r="I112" i="18"/>
  <c r="Z45" i="19"/>
  <c r="Z47" i="19"/>
  <c r="V72" i="19"/>
  <c r="U81" i="19"/>
  <c r="W56" i="19"/>
  <c r="X55" i="19"/>
  <c r="AB8" i="19"/>
  <c r="AA11" i="19"/>
  <c r="F155" i="17"/>
  <c r="F159" i="17"/>
  <c r="M127" i="17"/>
  <c r="I133" i="17"/>
  <c r="N138" i="17"/>
  <c r="N125" i="17"/>
  <c r="P203" i="17"/>
  <c r="G153" i="17"/>
  <c r="L153" i="17"/>
  <c r="N153" i="17"/>
  <c r="D140" i="18"/>
  <c r="J93" i="18"/>
  <c r="O117" i="17"/>
  <c r="P116" i="17"/>
  <c r="N101" i="18"/>
  <c r="M108" i="18"/>
  <c r="G150" i="17"/>
  <c r="L150" i="17"/>
  <c r="N150" i="17"/>
  <c r="H137" i="17"/>
  <c r="I129" i="17"/>
  <c r="M129" i="17"/>
  <c r="I128" i="17"/>
  <c r="M128" i="17"/>
  <c r="I132" i="17"/>
  <c r="M132" i="17"/>
  <c r="I130" i="17"/>
  <c r="M130" i="17"/>
  <c r="I131" i="17"/>
  <c r="M131" i="17"/>
  <c r="J223" i="17"/>
  <c r="G223" i="17"/>
  <c r="L223" i="17"/>
  <c r="G151" i="17"/>
  <c r="L151" i="17"/>
  <c r="G154" i="17"/>
  <c r="L154" i="17"/>
  <c r="N154" i="17"/>
  <c r="G152" i="17"/>
  <c r="L152" i="17"/>
  <c r="N152" i="17"/>
  <c r="F174" i="17"/>
  <c r="X56" i="19"/>
  <c r="X58" i="19"/>
  <c r="Y55" i="19"/>
  <c r="W72" i="19"/>
  <c r="AA45" i="19"/>
  <c r="AA47" i="19"/>
  <c r="AB11" i="19"/>
  <c r="AB45" i="19"/>
  <c r="AB47" i="19"/>
  <c r="AC8" i="19"/>
  <c r="AC11" i="19"/>
  <c r="AC45" i="19"/>
  <c r="AC47" i="19"/>
  <c r="U83" i="19"/>
  <c r="W58" i="19"/>
  <c r="D70" i="18"/>
  <c r="D77" i="18"/>
  <c r="U82" i="19"/>
  <c r="E68" i="18"/>
  <c r="E75" i="18"/>
  <c r="F176" i="17"/>
  <c r="N102" i="18"/>
  <c r="L225" i="17"/>
  <c r="N223" i="17"/>
  <c r="F172" i="17"/>
  <c r="K91" i="18"/>
  <c r="J110" i="18"/>
  <c r="J113" i="18"/>
  <c r="K130" i="17"/>
  <c r="O130" i="17"/>
  <c r="D145" i="18"/>
  <c r="D147" i="18"/>
  <c r="D157" i="18"/>
  <c r="N139" i="17"/>
  <c r="O132" i="17"/>
  <c r="K132" i="17"/>
  <c r="N151" i="17"/>
  <c r="K128" i="17"/>
  <c r="O128" i="17"/>
  <c r="O129" i="17"/>
  <c r="K129" i="17"/>
  <c r="H138" i="17"/>
  <c r="N103" i="18"/>
  <c r="I223" i="17"/>
  <c r="M223" i="17"/>
  <c r="F160" i="17"/>
  <c r="G159" i="17"/>
  <c r="K131" i="17"/>
  <c r="O131" i="17"/>
  <c r="M133" i="17"/>
  <c r="K127" i="17"/>
  <c r="K133" i="17"/>
  <c r="O127" i="17"/>
  <c r="F175" i="17"/>
  <c r="G149" i="17"/>
  <c r="F68" i="18"/>
  <c r="F75" i="18"/>
  <c r="W82" i="19"/>
  <c r="D71" i="18"/>
  <c r="D78" i="18"/>
  <c r="D79" i="18"/>
  <c r="Y56" i="19"/>
  <c r="Y58" i="19"/>
  <c r="Z55" i="19"/>
  <c r="H153" i="17"/>
  <c r="P131" i="17"/>
  <c r="I137" i="17"/>
  <c r="J138" i="17"/>
  <c r="F173" i="17"/>
  <c r="O101" i="18"/>
  <c r="N108" i="18"/>
  <c r="L149" i="17"/>
  <c r="G155" i="17"/>
  <c r="H152" i="17"/>
  <c r="P130" i="17"/>
  <c r="H154" i="17"/>
  <c r="P132" i="17"/>
  <c r="K134" i="17"/>
  <c r="K138" i="17"/>
  <c r="J119" i="18"/>
  <c r="J96" i="18"/>
  <c r="J97" i="18"/>
  <c r="M138" i="17"/>
  <c r="F245" i="17"/>
  <c r="N225" i="17"/>
  <c r="H151" i="17"/>
  <c r="P129" i="17"/>
  <c r="H149" i="17"/>
  <c r="O133" i="17"/>
  <c r="P127" i="17"/>
  <c r="N106" i="18"/>
  <c r="M225" i="17"/>
  <c r="O223" i="17"/>
  <c r="H150" i="17"/>
  <c r="P128" i="17"/>
  <c r="Z56" i="19"/>
  <c r="V81" i="19"/>
  <c r="AA55" i="19"/>
  <c r="F79" i="18"/>
  <c r="F71" i="18"/>
  <c r="F78" i="18"/>
  <c r="W83" i="19"/>
  <c r="O125" i="17"/>
  <c r="P125" i="17"/>
  <c r="O138" i="17"/>
  <c r="P133" i="17"/>
  <c r="K95" i="18"/>
  <c r="J111" i="18"/>
  <c r="J114" i="18"/>
  <c r="J115" i="18"/>
  <c r="J125" i="18"/>
  <c r="J127" i="18"/>
  <c r="D141" i="18"/>
  <c r="J98" i="18"/>
  <c r="J112" i="18"/>
  <c r="J152" i="17"/>
  <c r="J154" i="17"/>
  <c r="H155" i="17"/>
  <c r="H159" i="17"/>
  <c r="J149" i="17"/>
  <c r="J155" i="17"/>
  <c r="J159" i="17"/>
  <c r="J150" i="17"/>
  <c r="J151" i="17"/>
  <c r="L155" i="17"/>
  <c r="N149" i="17"/>
  <c r="H245" i="17"/>
  <c r="O225" i="17"/>
  <c r="P225" i="17"/>
  <c r="K123" i="18"/>
  <c r="K135" i="18"/>
  <c r="K138" i="18"/>
  <c r="P223" i="17"/>
  <c r="J153" i="17"/>
  <c r="I151" i="17"/>
  <c r="M151" i="17"/>
  <c r="K151" i="17"/>
  <c r="AA56" i="19"/>
  <c r="AA58" i="19"/>
  <c r="AB55" i="19"/>
  <c r="AC55" i="19"/>
  <c r="I150" i="17"/>
  <c r="M150" i="17"/>
  <c r="E70" i="18"/>
  <c r="E77" i="18"/>
  <c r="V82" i="19"/>
  <c r="Z58" i="19"/>
  <c r="V83" i="19"/>
  <c r="I154" i="17"/>
  <c r="M154" i="17"/>
  <c r="K154" i="17"/>
  <c r="O154" i="17"/>
  <c r="F171" i="17"/>
  <c r="N155" i="17"/>
  <c r="J245" i="17"/>
  <c r="G245" i="17"/>
  <c r="L245" i="17"/>
  <c r="H160" i="17"/>
  <c r="J160" i="17"/>
  <c r="P138" i="17"/>
  <c r="O139" i="17"/>
  <c r="D144" i="18"/>
  <c r="D158" i="18"/>
  <c r="K92" i="18"/>
  <c r="L160" i="17"/>
  <c r="I149" i="17"/>
  <c r="I152" i="17"/>
  <c r="M152" i="17"/>
  <c r="E142" i="18"/>
  <c r="E159" i="18"/>
  <c r="K124" i="18"/>
  <c r="I153" i="17"/>
  <c r="M153" i="17"/>
  <c r="O151" i="17"/>
  <c r="E79" i="18"/>
  <c r="E71" i="18"/>
  <c r="E78" i="18"/>
  <c r="K150" i="17"/>
  <c r="O150" i="17"/>
  <c r="O102" i="18"/>
  <c r="O103" i="18"/>
  <c r="L247" i="17"/>
  <c r="N245" i="17"/>
  <c r="K152" i="17"/>
  <c r="O152" i="17"/>
  <c r="H176" i="17"/>
  <c r="P154" i="17"/>
  <c r="K153" i="17"/>
  <c r="O153" i="17"/>
  <c r="D146" i="18"/>
  <c r="D161" i="18"/>
  <c r="F177" i="17"/>
  <c r="M149" i="17"/>
  <c r="I155" i="17"/>
  <c r="I245" i="17"/>
  <c r="M245" i="17"/>
  <c r="K93" i="18"/>
  <c r="N160" i="17"/>
  <c r="N147" i="17"/>
  <c r="H173" i="17"/>
  <c r="P151" i="17"/>
  <c r="I159" i="17"/>
  <c r="H172" i="17"/>
  <c r="J172" i="17"/>
  <c r="P150" i="17"/>
  <c r="K110" i="18"/>
  <c r="K113" i="18"/>
  <c r="L91" i="18"/>
  <c r="M155" i="17"/>
  <c r="K149" i="17"/>
  <c r="K155" i="17"/>
  <c r="O149" i="17"/>
  <c r="N247" i="17"/>
  <c r="F267" i="17"/>
  <c r="M247" i="17"/>
  <c r="O106" i="18"/>
  <c r="O245" i="17"/>
  <c r="P245" i="17"/>
  <c r="H174" i="17"/>
  <c r="P152" i="17"/>
  <c r="J173" i="17"/>
  <c r="N161" i="17"/>
  <c r="F181" i="17"/>
  <c r="G175" i="17"/>
  <c r="L175" i="17"/>
  <c r="G176" i="17"/>
  <c r="L176" i="17"/>
  <c r="G174" i="17"/>
  <c r="L174" i="17"/>
  <c r="G172" i="17"/>
  <c r="L172" i="17"/>
  <c r="G173" i="17"/>
  <c r="L173" i="17"/>
  <c r="J176" i="17"/>
  <c r="G171" i="17"/>
  <c r="H175" i="17"/>
  <c r="P153" i="17"/>
  <c r="O108" i="18"/>
  <c r="P101" i="18"/>
  <c r="J175" i="17"/>
  <c r="N174" i="17"/>
  <c r="L171" i="17"/>
  <c r="G177" i="17"/>
  <c r="N176" i="17"/>
  <c r="N175" i="17"/>
  <c r="J174" i="17"/>
  <c r="K96" i="18"/>
  <c r="M160" i="17"/>
  <c r="D182" i="18"/>
  <c r="H171" i="17"/>
  <c r="O155" i="17"/>
  <c r="P149" i="17"/>
  <c r="K156" i="17"/>
  <c r="K160" i="17"/>
  <c r="H267" i="17"/>
  <c r="J267" i="17"/>
  <c r="G267" i="17"/>
  <c r="L267" i="17"/>
  <c r="O247" i="17"/>
  <c r="P247" i="17"/>
  <c r="N173" i="17"/>
  <c r="F182" i="17"/>
  <c r="N172" i="17"/>
  <c r="K119" i="18"/>
  <c r="L123" i="18"/>
  <c r="L124" i="18"/>
  <c r="P102" i="18"/>
  <c r="L269" i="17"/>
  <c r="N267" i="17"/>
  <c r="K97" i="18"/>
  <c r="E140" i="18"/>
  <c r="G181" i="17"/>
  <c r="L177" i="17"/>
  <c r="N171" i="17"/>
  <c r="O160" i="17"/>
  <c r="O147" i="17"/>
  <c r="P147" i="17"/>
  <c r="P155" i="17"/>
  <c r="H177" i="17"/>
  <c r="I171" i="17"/>
  <c r="J171" i="17"/>
  <c r="J177" i="17"/>
  <c r="J181" i="17"/>
  <c r="F195" i="17"/>
  <c r="F198" i="17"/>
  <c r="F196" i="17"/>
  <c r="F197" i="17"/>
  <c r="F194" i="17"/>
  <c r="I267" i="17"/>
  <c r="M267" i="17"/>
  <c r="H181" i="17"/>
  <c r="I172" i="17"/>
  <c r="M172" i="17"/>
  <c r="I176" i="17"/>
  <c r="M176" i="17"/>
  <c r="I173" i="17"/>
  <c r="M173" i="17"/>
  <c r="I175" i="17"/>
  <c r="M175" i="17"/>
  <c r="I174" i="17"/>
  <c r="M174" i="17"/>
  <c r="P106" i="18"/>
  <c r="D187" i="18"/>
  <c r="M269" i="17"/>
  <c r="N269" i="17"/>
  <c r="F289" i="17"/>
  <c r="L92" i="18"/>
  <c r="L93" i="18"/>
  <c r="L182" i="17"/>
  <c r="E145" i="18"/>
  <c r="E147" i="18"/>
  <c r="E157" i="18"/>
  <c r="O161" i="17"/>
  <c r="P160" i="17"/>
  <c r="N177" i="17"/>
  <c r="F193" i="17"/>
  <c r="M171" i="17"/>
  <c r="I177" i="17"/>
  <c r="O267" i="17"/>
  <c r="L95" i="18"/>
  <c r="K111" i="18"/>
  <c r="K114" i="18"/>
  <c r="K115" i="18"/>
  <c r="K125" i="18"/>
  <c r="K127" i="18"/>
  <c r="K98" i="18"/>
  <c r="K112" i="18"/>
  <c r="D183" i="18"/>
  <c r="P103" i="18"/>
  <c r="H289" i="17"/>
  <c r="O269" i="17"/>
  <c r="P269" i="17"/>
  <c r="O173" i="17"/>
  <c r="K173" i="17"/>
  <c r="F199" i="17"/>
  <c r="G193" i="17"/>
  <c r="H182" i="17"/>
  <c r="N169" i="17"/>
  <c r="N182" i="17"/>
  <c r="J289" i="17"/>
  <c r="G289" i="17"/>
  <c r="L289" i="17"/>
  <c r="L291" i="17"/>
  <c r="O176" i="17"/>
  <c r="K176" i="17"/>
  <c r="M91" i="18"/>
  <c r="M93" i="18"/>
  <c r="L110" i="18"/>
  <c r="L113" i="18"/>
  <c r="O175" i="17"/>
  <c r="K175" i="17"/>
  <c r="M177" i="17"/>
  <c r="K171" i="17"/>
  <c r="K177" i="17"/>
  <c r="O171" i="17"/>
  <c r="O172" i="17"/>
  <c r="K172" i="17"/>
  <c r="P108" i="18"/>
  <c r="D189" i="18"/>
  <c r="D184" i="18"/>
  <c r="E182" i="18"/>
  <c r="E184" i="18"/>
  <c r="P267" i="17"/>
  <c r="K174" i="17"/>
  <c r="O174" i="17"/>
  <c r="L193" i="17"/>
  <c r="G199" i="17"/>
  <c r="L119" i="18"/>
  <c r="M123" i="18"/>
  <c r="M124" i="18"/>
  <c r="N183" i="17"/>
  <c r="F203" i="17"/>
  <c r="G196" i="17"/>
  <c r="L196" i="17"/>
  <c r="G194" i="17"/>
  <c r="L194" i="17"/>
  <c r="G195" i="17"/>
  <c r="L195" i="17"/>
  <c r="G198" i="17"/>
  <c r="L198" i="17"/>
  <c r="G197" i="17"/>
  <c r="L197" i="17"/>
  <c r="M110" i="18"/>
  <c r="M113" i="18"/>
  <c r="N91" i="18"/>
  <c r="N93" i="18"/>
  <c r="H193" i="17"/>
  <c r="O177" i="17"/>
  <c r="P171" i="17"/>
  <c r="H198" i="17"/>
  <c r="P176" i="17"/>
  <c r="I181" i="17"/>
  <c r="J182" i="17"/>
  <c r="K178" i="17"/>
  <c r="K182" i="17"/>
  <c r="H194" i="17"/>
  <c r="P172" i="17"/>
  <c r="H196" i="17"/>
  <c r="P174" i="17"/>
  <c r="H195" i="17"/>
  <c r="P173" i="17"/>
  <c r="L96" i="18"/>
  <c r="L97" i="18"/>
  <c r="M182" i="17"/>
  <c r="F182" i="18"/>
  <c r="F184" i="18"/>
  <c r="E189" i="18"/>
  <c r="H197" i="17"/>
  <c r="P175" i="17"/>
  <c r="N289" i="17"/>
  <c r="I289" i="17"/>
  <c r="M289" i="17"/>
  <c r="M291" i="17"/>
  <c r="O289" i="17"/>
  <c r="O291" i="17"/>
  <c r="N196" i="17"/>
  <c r="P289" i="17"/>
  <c r="N291" i="17"/>
  <c r="P291" i="17"/>
  <c r="J195" i="17"/>
  <c r="F204" i="17"/>
  <c r="N110" i="18"/>
  <c r="N113" i="18"/>
  <c r="O91" i="18"/>
  <c r="O93" i="18"/>
  <c r="J196" i="17"/>
  <c r="N197" i="17"/>
  <c r="J194" i="17"/>
  <c r="N198" i="17"/>
  <c r="E143" i="18"/>
  <c r="E160" i="18"/>
  <c r="J197" i="17"/>
  <c r="J198" i="17"/>
  <c r="F189" i="18"/>
  <c r="G182" i="18"/>
  <c r="G184" i="18"/>
  <c r="O182" i="17"/>
  <c r="O169" i="17"/>
  <c r="P169" i="17"/>
  <c r="P177" i="17"/>
  <c r="N195" i="17"/>
  <c r="M119" i="18"/>
  <c r="N123" i="18"/>
  <c r="F142" i="18"/>
  <c r="F159" i="18"/>
  <c r="M95" i="18"/>
  <c r="M97" i="18"/>
  <c r="L111" i="18"/>
  <c r="L114" i="18"/>
  <c r="L115" i="18"/>
  <c r="L125" i="18"/>
  <c r="L127" i="18"/>
  <c r="L98" i="18"/>
  <c r="L112" i="18"/>
  <c r="H199" i="17"/>
  <c r="H203" i="17"/>
  <c r="J193" i="17"/>
  <c r="J199" i="17"/>
  <c r="J203" i="17"/>
  <c r="N194" i="17"/>
  <c r="L199" i="17"/>
  <c r="L204" i="17"/>
  <c r="N193" i="17"/>
  <c r="N124" i="18"/>
  <c r="I195" i="17"/>
  <c r="M195" i="17"/>
  <c r="K195" i="17"/>
  <c r="I198" i="17"/>
  <c r="M198" i="17"/>
  <c r="I196" i="17"/>
  <c r="M196" i="17"/>
  <c r="K196" i="17"/>
  <c r="I193" i="17"/>
  <c r="M193" i="17"/>
  <c r="G189" i="18"/>
  <c r="H182" i="18"/>
  <c r="H184" i="18"/>
  <c r="F220" i="17"/>
  <c r="F216" i="17"/>
  <c r="F217" i="17"/>
  <c r="H204" i="17"/>
  <c r="I203" i="17"/>
  <c r="O110" i="18"/>
  <c r="O113" i="18"/>
  <c r="P91" i="18"/>
  <c r="I199" i="17"/>
  <c r="I194" i="17"/>
  <c r="M194" i="17"/>
  <c r="N119" i="18"/>
  <c r="O123" i="18"/>
  <c r="O124" i="18"/>
  <c r="F218" i="17"/>
  <c r="N95" i="18"/>
  <c r="N97" i="18"/>
  <c r="M111" i="18"/>
  <c r="M114" i="18"/>
  <c r="M115" i="18"/>
  <c r="M125" i="18"/>
  <c r="M127" i="18"/>
  <c r="E141" i="18"/>
  <c r="M98" i="18"/>
  <c r="M112" i="18"/>
  <c r="F215" i="17"/>
  <c r="N199" i="17"/>
  <c r="O183" i="17"/>
  <c r="P182" i="17"/>
  <c r="I197" i="17"/>
  <c r="M197" i="17"/>
  <c r="F219" i="17"/>
  <c r="G203" i="17"/>
  <c r="J204" i="17"/>
  <c r="O195" i="17"/>
  <c r="H217" i="17"/>
  <c r="K198" i="17"/>
  <c r="O198" i="17"/>
  <c r="O196" i="17"/>
  <c r="H218" i="17"/>
  <c r="J218" i="17"/>
  <c r="G216" i="17"/>
  <c r="L216" i="17"/>
  <c r="N216" i="17"/>
  <c r="N204" i="17"/>
  <c r="N191" i="17"/>
  <c r="P196" i="17"/>
  <c r="D172" i="18"/>
  <c r="K194" i="17"/>
  <c r="O194" i="17"/>
  <c r="J217" i="17"/>
  <c r="O95" i="18"/>
  <c r="O97" i="18"/>
  <c r="N111" i="18"/>
  <c r="N114" i="18"/>
  <c r="N115" i="18"/>
  <c r="N125" i="18"/>
  <c r="N127" i="18"/>
  <c r="N98" i="18"/>
  <c r="N112" i="18"/>
  <c r="F221" i="17"/>
  <c r="F225" i="17"/>
  <c r="E144" i="18"/>
  <c r="E158" i="18"/>
  <c r="M199" i="17"/>
  <c r="M204" i="17"/>
  <c r="K193" i="17"/>
  <c r="K199" i="17"/>
  <c r="O193" i="17"/>
  <c r="P195" i="17"/>
  <c r="H189" i="18"/>
  <c r="I182" i="18"/>
  <c r="I184" i="18"/>
  <c r="O119" i="18"/>
  <c r="P123" i="18"/>
  <c r="D204" i="18"/>
  <c r="G219" i="17"/>
  <c r="L219" i="17"/>
  <c r="N219" i="17"/>
  <c r="K197" i="17"/>
  <c r="O197" i="17"/>
  <c r="G217" i="17"/>
  <c r="L217" i="17"/>
  <c r="N217" i="17"/>
  <c r="G218" i="17"/>
  <c r="L218" i="17"/>
  <c r="N218" i="17"/>
  <c r="G220" i="17"/>
  <c r="L220" i="17"/>
  <c r="H220" i="17"/>
  <c r="J220" i="17"/>
  <c r="P198" i="17"/>
  <c r="F238" i="17"/>
  <c r="F240" i="17"/>
  <c r="O111" i="18"/>
  <c r="O114" i="18"/>
  <c r="O115" i="18"/>
  <c r="O125" i="18"/>
  <c r="O127" i="18"/>
  <c r="P95" i="18"/>
  <c r="O98" i="18"/>
  <c r="O112" i="18"/>
  <c r="F239" i="17"/>
  <c r="N205" i="17"/>
  <c r="F226" i="17"/>
  <c r="G225" i="17"/>
  <c r="G226" i="17"/>
  <c r="H216" i="17"/>
  <c r="P194" i="17"/>
  <c r="H219" i="17"/>
  <c r="P197" i="17"/>
  <c r="F241" i="17"/>
  <c r="K200" i="17"/>
  <c r="K204" i="17"/>
  <c r="G215" i="17"/>
  <c r="I189" i="18"/>
  <c r="J182" i="18"/>
  <c r="J184" i="18"/>
  <c r="H215" i="17"/>
  <c r="O199" i="17"/>
  <c r="P193" i="17"/>
  <c r="E146" i="18"/>
  <c r="E161" i="18"/>
  <c r="H161" i="18"/>
  <c r="N220" i="17"/>
  <c r="P124" i="18"/>
  <c r="D205" i="18"/>
  <c r="K182" i="18"/>
  <c r="K184" i="18"/>
  <c r="J189" i="18"/>
  <c r="O191" i="17"/>
  <c r="P191" i="17"/>
  <c r="O204" i="17"/>
  <c r="P199" i="17"/>
  <c r="H221" i="17"/>
  <c r="I219" i="17"/>
  <c r="M219" i="17"/>
  <c r="J215" i="17"/>
  <c r="J221" i="17"/>
  <c r="J225" i="17"/>
  <c r="F242" i="17"/>
  <c r="J219" i="17"/>
  <c r="G161" i="18"/>
  <c r="J216" i="17"/>
  <c r="D176" i="18"/>
  <c r="P97" i="18"/>
  <c r="L215" i="17"/>
  <c r="G221" i="17"/>
  <c r="K219" i="17"/>
  <c r="O219" i="17"/>
  <c r="I216" i="17"/>
  <c r="M216" i="17"/>
  <c r="K216" i="17"/>
  <c r="O205" i="17"/>
  <c r="P204" i="17"/>
  <c r="F143" i="18"/>
  <c r="F160" i="18"/>
  <c r="D178" i="18"/>
  <c r="E176" i="18"/>
  <c r="E178" i="18"/>
  <c r="P111" i="18"/>
  <c r="H225" i="17"/>
  <c r="I220" i="17"/>
  <c r="M220" i="17"/>
  <c r="I218" i="17"/>
  <c r="M218" i="17"/>
  <c r="I217" i="17"/>
  <c r="M217" i="17"/>
  <c r="I215" i="17"/>
  <c r="H241" i="17"/>
  <c r="P219" i="17"/>
  <c r="L221" i="17"/>
  <c r="L226" i="17"/>
  <c r="N215" i="17"/>
  <c r="K189" i="18"/>
  <c r="L182" i="18"/>
  <c r="L184" i="18"/>
  <c r="O216" i="17"/>
  <c r="H226" i="17"/>
  <c r="J226" i="17"/>
  <c r="I225" i="17"/>
  <c r="O220" i="17"/>
  <c r="K220" i="17"/>
  <c r="P114" i="18"/>
  <c r="D195" i="18"/>
  <c r="D192" i="18"/>
  <c r="F237" i="17"/>
  <c r="N221" i="17"/>
  <c r="H238" i="17"/>
  <c r="P216" i="17"/>
  <c r="E192" i="18"/>
  <c r="E195" i="18"/>
  <c r="F176" i="18"/>
  <c r="F178" i="18"/>
  <c r="O217" i="17"/>
  <c r="K217" i="17"/>
  <c r="M182" i="18"/>
  <c r="M184" i="18"/>
  <c r="L189" i="18"/>
  <c r="J241" i="17"/>
  <c r="M215" i="17"/>
  <c r="I221" i="17"/>
  <c r="O218" i="17"/>
  <c r="K218" i="17"/>
  <c r="F192" i="18"/>
  <c r="F195" i="18"/>
  <c r="G176" i="18"/>
  <c r="G178" i="18"/>
  <c r="H242" i="17"/>
  <c r="P220" i="17"/>
  <c r="J238" i="17"/>
  <c r="H240" i="17"/>
  <c r="P218" i="17"/>
  <c r="M221" i="17"/>
  <c r="M226" i="17"/>
  <c r="O215" i="17"/>
  <c r="K215" i="17"/>
  <c r="K221" i="17"/>
  <c r="N213" i="17"/>
  <c r="N226" i="17"/>
  <c r="F243" i="17"/>
  <c r="H239" i="17"/>
  <c r="P217" i="17"/>
  <c r="M189" i="18"/>
  <c r="N182" i="18"/>
  <c r="N184" i="18"/>
  <c r="O182" i="18"/>
  <c r="O184" i="18"/>
  <c r="N189" i="18"/>
  <c r="N227" i="17"/>
  <c r="K222" i="17"/>
  <c r="K226" i="17"/>
  <c r="H237" i="17"/>
  <c r="O221" i="17"/>
  <c r="P215" i="17"/>
  <c r="J242" i="17"/>
  <c r="F247" i="17"/>
  <c r="G241" i="17"/>
  <c r="L241" i="17"/>
  <c r="G240" i="17"/>
  <c r="L240" i="17"/>
  <c r="G238" i="17"/>
  <c r="L238" i="17"/>
  <c r="G239" i="17"/>
  <c r="L239" i="17"/>
  <c r="G242" i="17"/>
  <c r="L242" i="17"/>
  <c r="J239" i="17"/>
  <c r="G237" i="17"/>
  <c r="H176" i="18"/>
  <c r="H178" i="18"/>
  <c r="G192" i="18"/>
  <c r="G195" i="18"/>
  <c r="J240" i="17"/>
  <c r="N240" i="17"/>
  <c r="H243" i="17"/>
  <c r="I237" i="17"/>
  <c r="J237" i="17"/>
  <c r="J243" i="17"/>
  <c r="J247" i="17"/>
  <c r="N238" i="17"/>
  <c r="N241" i="17"/>
  <c r="G247" i="17"/>
  <c r="F248" i="17"/>
  <c r="H192" i="18"/>
  <c r="H195" i="18"/>
  <c r="I176" i="18"/>
  <c r="I178" i="18"/>
  <c r="G243" i="17"/>
  <c r="L237" i="17"/>
  <c r="N242" i="17"/>
  <c r="O226" i="17"/>
  <c r="O213" i="17"/>
  <c r="P213" i="17"/>
  <c r="P221" i="17"/>
  <c r="N239" i="17"/>
  <c r="P182" i="18"/>
  <c r="P184" i="18"/>
  <c r="P189" i="18"/>
  <c r="O189" i="18"/>
  <c r="I192" i="18"/>
  <c r="I195" i="18"/>
  <c r="J176" i="18"/>
  <c r="J178" i="18"/>
  <c r="F261" i="17"/>
  <c r="I243" i="17"/>
  <c r="M237" i="17"/>
  <c r="F264" i="17"/>
  <c r="H247" i="17"/>
  <c r="I241" i="17"/>
  <c r="M241" i="17"/>
  <c r="I238" i="17"/>
  <c r="M238" i="17"/>
  <c r="I240" i="17"/>
  <c r="M240" i="17"/>
  <c r="I239" i="17"/>
  <c r="M239" i="17"/>
  <c r="I242" i="17"/>
  <c r="M242" i="17"/>
  <c r="F263" i="17"/>
  <c r="F262" i="17"/>
  <c r="F260" i="17"/>
  <c r="O227" i="17"/>
  <c r="P226" i="17"/>
  <c r="L243" i="17"/>
  <c r="L248" i="17"/>
  <c r="N237" i="17"/>
  <c r="M243" i="17"/>
  <c r="M248" i="17"/>
  <c r="O237" i="17"/>
  <c r="P237" i="17"/>
  <c r="O242" i="17"/>
  <c r="K242" i="17"/>
  <c r="O238" i="17"/>
  <c r="K238" i="17"/>
  <c r="O240" i="17"/>
  <c r="K240" i="17"/>
  <c r="O241" i="17"/>
  <c r="K241" i="17"/>
  <c r="K176" i="18"/>
  <c r="K178" i="18"/>
  <c r="J192" i="18"/>
  <c r="J195" i="18"/>
  <c r="O239" i="17"/>
  <c r="K239" i="17"/>
  <c r="N243" i="17"/>
  <c r="F259" i="17"/>
  <c r="K237" i="17"/>
  <c r="K243" i="17"/>
  <c r="I247" i="17"/>
  <c r="H248" i="17"/>
  <c r="J248" i="17"/>
  <c r="H260" i="17"/>
  <c r="P238" i="17"/>
  <c r="H264" i="17"/>
  <c r="P242" i="17"/>
  <c r="H262" i="17"/>
  <c r="P240" i="17"/>
  <c r="J259" i="17"/>
  <c r="J265" i="17"/>
  <c r="J269" i="17"/>
  <c r="F265" i="17"/>
  <c r="G259" i="17"/>
  <c r="H263" i="17"/>
  <c r="P241" i="17"/>
  <c r="O243" i="17"/>
  <c r="H259" i="17"/>
  <c r="K192" i="18"/>
  <c r="K195" i="18"/>
  <c r="L176" i="18"/>
  <c r="L178" i="18"/>
  <c r="N248" i="17"/>
  <c r="N235" i="17"/>
  <c r="K248" i="17"/>
  <c r="K244" i="17"/>
  <c r="H261" i="17"/>
  <c r="P239" i="17"/>
  <c r="J261" i="17"/>
  <c r="H265" i="17"/>
  <c r="H269" i="17"/>
  <c r="I259" i="17"/>
  <c r="O235" i="17"/>
  <c r="P235" i="17"/>
  <c r="O248" i="17"/>
  <c r="O249" i="17"/>
  <c r="J264" i="17"/>
  <c r="N249" i="17"/>
  <c r="M176" i="18"/>
  <c r="M178" i="18"/>
  <c r="L192" i="18"/>
  <c r="L195" i="18"/>
  <c r="I262" i="17"/>
  <c r="M262" i="17"/>
  <c r="O262" i="17"/>
  <c r="H284" i="17"/>
  <c r="J262" i="17"/>
  <c r="I263" i="17"/>
  <c r="M263" i="17"/>
  <c r="O263" i="17"/>
  <c r="H285" i="17"/>
  <c r="J263" i="17"/>
  <c r="G265" i="17"/>
  <c r="L259" i="17"/>
  <c r="P243" i="17"/>
  <c r="F269" i="17"/>
  <c r="G262" i="17"/>
  <c r="L262" i="17"/>
  <c r="G264" i="17"/>
  <c r="L264" i="17"/>
  <c r="G261" i="17"/>
  <c r="L261" i="17"/>
  <c r="G260" i="17"/>
  <c r="L260" i="17"/>
  <c r="G263" i="17"/>
  <c r="L263" i="17"/>
  <c r="I260" i="17"/>
  <c r="M260" i="17"/>
  <c r="O260" i="17"/>
  <c r="H282" i="17"/>
  <c r="J260" i="17"/>
  <c r="K263" i="17"/>
  <c r="N263" i="17"/>
  <c r="M192" i="18"/>
  <c r="M195" i="18"/>
  <c r="N176" i="18"/>
  <c r="N178" i="18"/>
  <c r="L265" i="17"/>
  <c r="N259" i="17"/>
  <c r="M259" i="17"/>
  <c r="K259" i="17"/>
  <c r="K265" i="17"/>
  <c r="I265" i="17"/>
  <c r="P248" i="17"/>
  <c r="K262" i="17"/>
  <c r="N262" i="17"/>
  <c r="F270" i="17"/>
  <c r="G269" i="17"/>
  <c r="I264" i="17"/>
  <c r="M264" i="17"/>
  <c r="O264" i="17"/>
  <c r="H286" i="17"/>
  <c r="K260" i="17"/>
  <c r="N260" i="17"/>
  <c r="N261" i="17"/>
  <c r="N264" i="17"/>
  <c r="H270" i="17"/>
  <c r="I269" i="17"/>
  <c r="I261" i="17"/>
  <c r="M261" i="17"/>
  <c r="O261" i="17"/>
  <c r="H283" i="17"/>
  <c r="K270" i="17"/>
  <c r="K266" i="17"/>
  <c r="P260" i="17"/>
  <c r="F282" i="17"/>
  <c r="K264" i="17"/>
  <c r="P92" i="18"/>
  <c r="K305" i="17"/>
  <c r="L270" i="17"/>
  <c r="M265" i="17"/>
  <c r="O259" i="17"/>
  <c r="P259" i="17"/>
  <c r="J270" i="17"/>
  <c r="F283" i="17"/>
  <c r="P261" i="17"/>
  <c r="O176" i="18"/>
  <c r="O178" i="18"/>
  <c r="N192" i="18"/>
  <c r="N195" i="18"/>
  <c r="P263" i="17"/>
  <c r="F285" i="17"/>
  <c r="F281" i="17"/>
  <c r="N265" i="17"/>
  <c r="F286" i="17"/>
  <c r="P264" i="17"/>
  <c r="F284" i="17"/>
  <c r="P262" i="17"/>
  <c r="K261" i="17"/>
  <c r="P176" i="18"/>
  <c r="P178" i="18"/>
  <c r="O192" i="18"/>
  <c r="O195" i="18"/>
  <c r="F287" i="17"/>
  <c r="F291" i="17"/>
  <c r="G281" i="17"/>
  <c r="J285" i="17"/>
  <c r="M270" i="17"/>
  <c r="K306" i="17"/>
  <c r="M306" i="17"/>
  <c r="F140" i="18"/>
  <c r="D173" i="18"/>
  <c r="P93" i="18"/>
  <c r="H281" i="17"/>
  <c r="O265" i="17"/>
  <c r="N270" i="17"/>
  <c r="N257" i="17"/>
  <c r="J283" i="17"/>
  <c r="G283" i="17"/>
  <c r="L283" i="17"/>
  <c r="J282" i="17"/>
  <c r="J284" i="17"/>
  <c r="G284" i="17"/>
  <c r="L284" i="17"/>
  <c r="J286" i="17"/>
  <c r="G286" i="17"/>
  <c r="L286" i="17"/>
  <c r="N286" i="17"/>
  <c r="K307" i="17"/>
  <c r="M307" i="17"/>
  <c r="M305" i="17"/>
  <c r="H287" i="17"/>
  <c r="I281" i="17"/>
  <c r="D174" i="18"/>
  <c r="E172" i="18"/>
  <c r="E174" i="18"/>
  <c r="P98" i="18"/>
  <c r="P110" i="18"/>
  <c r="F141" i="18"/>
  <c r="F145" i="18"/>
  <c r="F147" i="18"/>
  <c r="F157" i="18"/>
  <c r="F292" i="17"/>
  <c r="G291" i="17"/>
  <c r="O257" i="17"/>
  <c r="P257" i="17"/>
  <c r="O270" i="17"/>
  <c r="O271" i="17"/>
  <c r="J281" i="17"/>
  <c r="J287" i="17"/>
  <c r="J291" i="17"/>
  <c r="L281" i="17"/>
  <c r="G287" i="17"/>
  <c r="N271" i="17"/>
  <c r="N283" i="17"/>
  <c r="N284" i="17"/>
  <c r="G282" i="17"/>
  <c r="L282" i="17"/>
  <c r="P265" i="17"/>
  <c r="G285" i="17"/>
  <c r="L285" i="17"/>
  <c r="P192" i="18"/>
  <c r="P195" i="18"/>
  <c r="P113" i="18"/>
  <c r="D191" i="18"/>
  <c r="P112" i="18"/>
  <c r="D193" i="18"/>
  <c r="D179" i="18"/>
  <c r="N282" i="17"/>
  <c r="P270" i="17"/>
  <c r="I287" i="17"/>
  <c r="M281" i="17"/>
  <c r="K281" i="17"/>
  <c r="K287" i="17"/>
  <c r="F158" i="18"/>
  <c r="F144" i="18"/>
  <c r="N285" i="17"/>
  <c r="F172" i="18"/>
  <c r="F174" i="18"/>
  <c r="E191" i="18"/>
  <c r="E194" i="18"/>
  <c r="E179" i="18"/>
  <c r="E193" i="18"/>
  <c r="L287" i="17"/>
  <c r="L292" i="17"/>
  <c r="N281" i="17"/>
  <c r="H291" i="17"/>
  <c r="I282" i="17"/>
  <c r="M282" i="17"/>
  <c r="O282" i="17"/>
  <c r="I284" i="17"/>
  <c r="M284" i="17"/>
  <c r="I285" i="17"/>
  <c r="M285" i="17"/>
  <c r="O285" i="17"/>
  <c r="I283" i="17"/>
  <c r="M283" i="17"/>
  <c r="I286" i="17"/>
  <c r="M286" i="17"/>
  <c r="P285" i="17"/>
  <c r="K285" i="17"/>
  <c r="H292" i="17"/>
  <c r="J292" i="17"/>
  <c r="P282" i="17"/>
  <c r="N287" i="17"/>
  <c r="F146" i="18"/>
  <c r="F161" i="18"/>
  <c r="K282" i="17"/>
  <c r="O283" i="17"/>
  <c r="P283" i="17"/>
  <c r="K283" i="17"/>
  <c r="O286" i="17"/>
  <c r="P286" i="17"/>
  <c r="K286" i="17"/>
  <c r="E200" i="18"/>
  <c r="F204" i="18"/>
  <c r="E196" i="18"/>
  <c r="M287" i="17"/>
  <c r="M292" i="17"/>
  <c r="O281" i="17"/>
  <c r="O287" i="17"/>
  <c r="P119" i="18"/>
  <c r="D200" i="18"/>
  <c r="E204" i="18"/>
  <c r="P115" i="18"/>
  <c r="D194" i="18"/>
  <c r="K288" i="17"/>
  <c r="K292" i="17"/>
  <c r="O284" i="17"/>
  <c r="P284" i="17"/>
  <c r="K284" i="17"/>
  <c r="F179" i="18"/>
  <c r="F193" i="18"/>
  <c r="F191" i="18"/>
  <c r="F194" i="18"/>
  <c r="G172" i="18"/>
  <c r="G174" i="18"/>
  <c r="P281" i="17"/>
  <c r="N279" i="17"/>
  <c r="P287" i="17"/>
  <c r="N292" i="17"/>
  <c r="C223" i="18"/>
  <c r="C240" i="18"/>
  <c r="E205" i="18"/>
  <c r="F205" i="18"/>
  <c r="H172" i="18"/>
  <c r="H174" i="18"/>
  <c r="G191" i="18"/>
  <c r="G194" i="18"/>
  <c r="C222" i="18"/>
  <c r="G179" i="18"/>
  <c r="G193" i="18"/>
  <c r="D196" i="18"/>
  <c r="P125" i="18"/>
  <c r="F200" i="18"/>
  <c r="G204" i="18"/>
  <c r="F196" i="18"/>
  <c r="I291" i="17"/>
  <c r="O292" i="17"/>
  <c r="O293" i="17"/>
  <c r="O279" i="17"/>
  <c r="G200" i="18"/>
  <c r="H204" i="18"/>
  <c r="D223" i="18"/>
  <c r="G196" i="18"/>
  <c r="H179" i="18"/>
  <c r="H193" i="18"/>
  <c r="I172" i="18"/>
  <c r="I174" i="18"/>
  <c r="H191" i="18"/>
  <c r="H194" i="18"/>
  <c r="F206" i="18"/>
  <c r="F208" i="18"/>
  <c r="E206" i="18"/>
  <c r="E208" i="18"/>
  <c r="G205" i="18"/>
  <c r="D206" i="18"/>
  <c r="P127" i="18"/>
  <c r="D208" i="18"/>
  <c r="P292" i="17"/>
  <c r="N293" i="17"/>
  <c r="C239" i="18"/>
  <c r="G222" i="18"/>
  <c r="P279" i="17"/>
  <c r="C224" i="18"/>
  <c r="H205" i="18"/>
  <c r="H196" i="18"/>
  <c r="H206" i="18"/>
  <c r="H208" i="18"/>
  <c r="P207" i="17"/>
  <c r="H200" i="18"/>
  <c r="I204" i="18"/>
  <c r="G206" i="18"/>
  <c r="G208" i="18"/>
  <c r="I191" i="18"/>
  <c r="I194" i="18"/>
  <c r="I179" i="18"/>
  <c r="I193" i="18"/>
  <c r="J172" i="18"/>
  <c r="J174" i="18"/>
  <c r="D240" i="18"/>
  <c r="J179" i="18"/>
  <c r="J193" i="18"/>
  <c r="J191" i="18"/>
  <c r="J194" i="18"/>
  <c r="K172" i="18"/>
  <c r="K174" i="18"/>
  <c r="D222" i="18"/>
  <c r="I200" i="18"/>
  <c r="J204" i="18"/>
  <c r="I196" i="18"/>
  <c r="I205" i="18"/>
  <c r="J205" i="18"/>
  <c r="C241" i="18"/>
  <c r="C225" i="18"/>
  <c r="I206" i="18"/>
  <c r="I208" i="18"/>
  <c r="D224" i="18"/>
  <c r="D241" i="18"/>
  <c r="L172" i="18"/>
  <c r="L174" i="18"/>
  <c r="K191" i="18"/>
  <c r="K194" i="18"/>
  <c r="K179" i="18"/>
  <c r="K193" i="18"/>
  <c r="J200" i="18"/>
  <c r="J196" i="18"/>
  <c r="J206" i="18"/>
  <c r="J208" i="18"/>
  <c r="D225" i="18"/>
  <c r="D239" i="18"/>
  <c r="C242" i="18"/>
  <c r="C226" i="18"/>
  <c r="L179" i="18"/>
  <c r="L193" i="18"/>
  <c r="M172" i="18"/>
  <c r="M174" i="18"/>
  <c r="L191" i="18"/>
  <c r="L194" i="18"/>
  <c r="D227" i="18"/>
  <c r="D242" i="18"/>
  <c r="C243" i="18"/>
  <c r="C228" i="18"/>
  <c r="D226" i="18"/>
  <c r="D228" i="18"/>
  <c r="C227" i="18"/>
  <c r="K216" i="18"/>
  <c r="K219" i="18"/>
  <c r="K204" i="18"/>
  <c r="K200" i="18"/>
  <c r="L204" i="18"/>
  <c r="K196" i="18"/>
  <c r="E223" i="18"/>
  <c r="K205" i="18"/>
  <c r="L205" i="18"/>
  <c r="L196" i="18"/>
  <c r="L206" i="18"/>
  <c r="L208" i="18"/>
  <c r="L200" i="18"/>
  <c r="M204" i="18"/>
  <c r="M179" i="18"/>
  <c r="M193" i="18"/>
  <c r="M191" i="18"/>
  <c r="M194" i="18"/>
  <c r="E222" i="18"/>
  <c r="N172" i="18"/>
  <c r="N174" i="18"/>
  <c r="M205" i="18"/>
  <c r="N179" i="18"/>
  <c r="N193" i="18"/>
  <c r="N191" i="18"/>
  <c r="N194" i="18"/>
  <c r="O172" i="18"/>
  <c r="O174" i="18"/>
  <c r="E226" i="18"/>
  <c r="E228" i="18"/>
  <c r="E240" i="18"/>
  <c r="M196" i="18"/>
  <c r="M206" i="18"/>
  <c r="M208" i="18"/>
  <c r="M200" i="18"/>
  <c r="N204" i="18"/>
  <c r="F223" i="18"/>
  <c r="E239" i="18"/>
  <c r="K206" i="18"/>
  <c r="K208" i="18"/>
  <c r="N200" i="18"/>
  <c r="O204" i="18"/>
  <c r="N196" i="18"/>
  <c r="F226" i="18"/>
  <c r="F228" i="18"/>
  <c r="F240" i="18"/>
  <c r="O179" i="18"/>
  <c r="O193" i="18"/>
  <c r="O191" i="18"/>
  <c r="O194" i="18"/>
  <c r="P172" i="18"/>
  <c r="P174" i="18"/>
  <c r="E224" i="18"/>
  <c r="N205" i="18"/>
  <c r="O205" i="18"/>
  <c r="O200" i="18"/>
  <c r="P204" i="18"/>
  <c r="P205" i="18"/>
  <c r="F224" i="18"/>
  <c r="F241" i="18"/>
  <c r="O196" i="18"/>
  <c r="O206" i="18"/>
  <c r="O208" i="18"/>
  <c r="P191" i="18"/>
  <c r="P194" i="18"/>
  <c r="P179" i="18"/>
  <c r="P193" i="18"/>
  <c r="F222" i="18"/>
  <c r="E241" i="18"/>
  <c r="E225" i="18"/>
  <c r="N206" i="18"/>
  <c r="N208" i="18"/>
  <c r="E242" i="18"/>
  <c r="H242" i="18"/>
  <c r="E227" i="18"/>
  <c r="F239" i="18"/>
  <c r="F225" i="18"/>
  <c r="P200" i="18"/>
  <c r="P196" i="18"/>
  <c r="P206" i="18"/>
  <c r="P208" i="18"/>
  <c r="F227" i="18"/>
  <c r="F242" i="18"/>
  <c r="G242" i="18"/>
  <c r="C29" i="29" l="1"/>
  <c r="C32" i="29"/>
  <c r="C34" i="29" s="1"/>
</calcChain>
</file>

<file path=xl/comments1.xml><?xml version="1.0" encoding="utf-8"?>
<comments xmlns="http://schemas.openxmlformats.org/spreadsheetml/2006/main">
  <authors>
    <author>jkeizer</author>
  </authors>
  <commentList>
    <comment ref="J52" authorId="0">
      <text>
        <r>
          <rPr>
            <b/>
            <sz val="8"/>
            <color indexed="81"/>
            <rFont val="Tahoma"/>
            <family val="2"/>
          </rPr>
          <t>jkeizer:</t>
        </r>
        <r>
          <rPr>
            <sz val="8"/>
            <color indexed="81"/>
            <rFont val="Tahoma"/>
            <family val="2"/>
          </rPr>
          <t xml:space="preserve">
To be reclassed in Nov. from 10.136080 to 10.136510</t>
        </r>
      </text>
    </comment>
    <comment ref="J138" authorId="0">
      <text>
        <r>
          <rPr>
            <b/>
            <sz val="8"/>
            <color indexed="81"/>
            <rFont val="Tahoma"/>
            <family val="2"/>
          </rPr>
          <t>jkeizer:</t>
        </r>
        <r>
          <rPr>
            <sz val="8"/>
            <color indexed="81"/>
            <rFont val="Tahoma"/>
            <family val="2"/>
          </rPr>
          <t xml:space="preserve">
To be reclassed in Nov. from 10.136080 to 10.136510</t>
        </r>
      </text>
    </comment>
  </commentList>
</comments>
</file>

<file path=xl/comments2.xml><?xml version="1.0" encoding="utf-8"?>
<comments xmlns="http://schemas.openxmlformats.org/spreadsheetml/2006/main">
  <authors>
    <author>Jeff Keizer</author>
  </authors>
  <commentList>
    <comment ref="K25" authorId="0">
      <text>
        <r>
          <rPr>
            <b/>
            <sz val="8"/>
            <color indexed="81"/>
            <rFont val="Tahoma"/>
            <family val="2"/>
          </rPr>
          <t>Jeff Keizer:</t>
        </r>
        <r>
          <rPr>
            <sz val="8"/>
            <color indexed="81"/>
            <rFont val="Tahoma"/>
            <family val="2"/>
          </rPr>
          <t xml:space="preserve">
Accrual plus permanent billings</t>
        </r>
      </text>
    </comment>
    <comment ref="K47" authorId="0">
      <text>
        <r>
          <rPr>
            <b/>
            <sz val="8"/>
            <color indexed="81"/>
            <rFont val="Tahoma"/>
            <family val="2"/>
          </rPr>
          <t>Jeff Keizer:</t>
        </r>
        <r>
          <rPr>
            <sz val="8"/>
            <color indexed="81"/>
            <rFont val="Tahoma"/>
            <family val="2"/>
          </rPr>
          <t xml:space="preserve">
Accrual plus permanent billings</t>
        </r>
      </text>
    </comment>
    <comment ref="K69" authorId="0">
      <text>
        <r>
          <rPr>
            <b/>
            <sz val="8"/>
            <color indexed="81"/>
            <rFont val="Tahoma"/>
            <family val="2"/>
          </rPr>
          <t>Jeff Keizer:</t>
        </r>
        <r>
          <rPr>
            <sz val="8"/>
            <color indexed="81"/>
            <rFont val="Tahoma"/>
            <family val="2"/>
          </rPr>
          <t xml:space="preserve">
Accrual plus permanent billings</t>
        </r>
      </text>
    </comment>
    <comment ref="K91" authorId="0">
      <text>
        <r>
          <rPr>
            <b/>
            <sz val="8"/>
            <color indexed="81"/>
            <rFont val="Tahoma"/>
            <family val="2"/>
          </rPr>
          <t>Jeff Keizer:</t>
        </r>
        <r>
          <rPr>
            <sz val="8"/>
            <color indexed="81"/>
            <rFont val="Tahoma"/>
            <family val="2"/>
          </rPr>
          <t xml:space="preserve">
Accrual plus permanent billings</t>
        </r>
      </text>
    </comment>
    <comment ref="K113" authorId="0">
      <text>
        <r>
          <rPr>
            <b/>
            <sz val="8"/>
            <color indexed="81"/>
            <rFont val="Tahoma"/>
            <family val="2"/>
          </rPr>
          <t>Jeff Keizer:</t>
        </r>
        <r>
          <rPr>
            <sz val="8"/>
            <color indexed="81"/>
            <rFont val="Tahoma"/>
            <family val="2"/>
          </rPr>
          <t xml:space="preserve">
Accrual plus permanent billings</t>
        </r>
      </text>
    </comment>
    <comment ref="K135" authorId="0">
      <text>
        <r>
          <rPr>
            <b/>
            <sz val="8"/>
            <color indexed="81"/>
            <rFont val="Tahoma"/>
            <family val="2"/>
          </rPr>
          <t>Jeff Keizer:</t>
        </r>
        <r>
          <rPr>
            <sz val="8"/>
            <color indexed="81"/>
            <rFont val="Tahoma"/>
            <family val="2"/>
          </rPr>
          <t xml:space="preserve">
Accrual plus permanent billings</t>
        </r>
      </text>
    </comment>
    <comment ref="K157" authorId="0">
      <text>
        <r>
          <rPr>
            <b/>
            <sz val="8"/>
            <color indexed="81"/>
            <rFont val="Tahoma"/>
            <family val="2"/>
          </rPr>
          <t>Jeff Keizer:</t>
        </r>
        <r>
          <rPr>
            <sz val="8"/>
            <color indexed="81"/>
            <rFont val="Tahoma"/>
            <family val="2"/>
          </rPr>
          <t xml:space="preserve">
Accrual plus permanent billings</t>
        </r>
      </text>
    </comment>
    <comment ref="K179" authorId="0">
      <text>
        <r>
          <rPr>
            <b/>
            <sz val="8"/>
            <color indexed="81"/>
            <rFont val="Tahoma"/>
            <family val="2"/>
          </rPr>
          <t>Jeff Keizer:</t>
        </r>
        <r>
          <rPr>
            <sz val="8"/>
            <color indexed="81"/>
            <rFont val="Tahoma"/>
            <family val="2"/>
          </rPr>
          <t xml:space="preserve">
Accrual plus permanent billings</t>
        </r>
      </text>
    </comment>
    <comment ref="K201" authorId="0">
      <text>
        <r>
          <rPr>
            <b/>
            <sz val="8"/>
            <color indexed="81"/>
            <rFont val="Tahoma"/>
            <family val="2"/>
          </rPr>
          <t>Jeff Keizer:</t>
        </r>
        <r>
          <rPr>
            <sz val="8"/>
            <color indexed="81"/>
            <rFont val="Tahoma"/>
            <family val="2"/>
          </rPr>
          <t xml:space="preserve">
Accrual plus permanent billings</t>
        </r>
      </text>
    </comment>
    <comment ref="K223" authorId="0">
      <text>
        <r>
          <rPr>
            <b/>
            <sz val="8"/>
            <color indexed="81"/>
            <rFont val="Tahoma"/>
            <family val="2"/>
          </rPr>
          <t>Jeff Keizer:</t>
        </r>
        <r>
          <rPr>
            <sz val="8"/>
            <color indexed="81"/>
            <rFont val="Tahoma"/>
            <family val="2"/>
          </rPr>
          <t xml:space="preserve">
Accrual plus permanent billings</t>
        </r>
      </text>
    </comment>
    <comment ref="K245" authorId="0">
      <text>
        <r>
          <rPr>
            <b/>
            <sz val="8"/>
            <color indexed="81"/>
            <rFont val="Tahoma"/>
            <family val="2"/>
          </rPr>
          <t>Jeff Keizer:</t>
        </r>
        <r>
          <rPr>
            <sz val="8"/>
            <color indexed="81"/>
            <rFont val="Tahoma"/>
            <family val="2"/>
          </rPr>
          <t xml:space="preserve">
Accrual plus permanent billings</t>
        </r>
      </text>
    </comment>
    <comment ref="K267" authorId="0">
      <text>
        <r>
          <rPr>
            <b/>
            <sz val="8"/>
            <color indexed="81"/>
            <rFont val="Tahoma"/>
            <family val="2"/>
          </rPr>
          <t>Jeff Keizer:</t>
        </r>
        <r>
          <rPr>
            <sz val="8"/>
            <color indexed="81"/>
            <rFont val="Tahoma"/>
            <family val="2"/>
          </rPr>
          <t xml:space="preserve">
Accrual plus permanent billings</t>
        </r>
      </text>
    </comment>
    <comment ref="K289" authorId="0">
      <text>
        <r>
          <rPr>
            <b/>
            <sz val="8"/>
            <color indexed="81"/>
            <rFont val="Tahoma"/>
            <family val="2"/>
          </rPr>
          <t>Jeff Keizer:</t>
        </r>
        <r>
          <rPr>
            <sz val="8"/>
            <color indexed="81"/>
            <rFont val="Tahoma"/>
            <family val="2"/>
          </rPr>
          <t xml:space="preserve">
Accrual plus permanent billings</t>
        </r>
      </text>
    </comment>
  </commentList>
</comments>
</file>

<file path=xl/sharedStrings.xml><?xml version="1.0" encoding="utf-8"?>
<sst xmlns="http://schemas.openxmlformats.org/spreadsheetml/2006/main" count="2170" uniqueCount="659">
  <si>
    <t>CT 146</t>
  </si>
  <si>
    <t>System Load (MWh)</t>
  </si>
  <si>
    <t>Rate ($/MWh)</t>
  </si>
  <si>
    <t>Billing Global Adj</t>
  </si>
  <si>
    <t>Forecasted MIST  (UnReg)</t>
  </si>
  <si>
    <t>Forecasted GSDEM (UnReg)</t>
  </si>
  <si>
    <t>Forecasted LV (Reg)</t>
  </si>
  <si>
    <t xml:space="preserve">Estimated UnReg GA Variance </t>
  </si>
  <si>
    <t>Estimated UnReg Paid Out</t>
  </si>
  <si>
    <t>Global Adjustment - Unbilled Calculation Estimate</t>
  </si>
  <si>
    <t>Invoice</t>
  </si>
  <si>
    <t>IESO Forecast Global Adj</t>
  </si>
  <si>
    <t>Checked</t>
  </si>
  <si>
    <t>Embedded Generation</t>
  </si>
  <si>
    <t>Immaterial difference</t>
  </si>
  <si>
    <t>Accrual</t>
  </si>
  <si>
    <t>YTD</t>
  </si>
  <si>
    <t>EST February 2010</t>
  </si>
  <si>
    <t>Estimated Variance February 2010</t>
  </si>
  <si>
    <t>Provincial Benefit Adjustment (Est. Feb Billings)</t>
  </si>
  <si>
    <t>Based on Non-RPP Consumption</t>
  </si>
  <si>
    <t>GA Provincial Benefit Adjustment Rate</t>
  </si>
  <si>
    <t xml:space="preserve">Name of LDC:       Enersource Hydro Mississauga Inc. </t>
  </si>
  <si>
    <t xml:space="preserve">File Number:          </t>
  </si>
  <si>
    <t>Effective Date:       February 1, 2010</t>
  </si>
  <si>
    <t>Calculation of Global Adjustment Recovery Rate Rider</t>
  </si>
  <si>
    <t>Tab 4</t>
  </si>
  <si>
    <t>Rate Rider Recovery Period - Years</t>
  </si>
  <si>
    <t>Schedule 4</t>
  </si>
  <si>
    <t>Rate Rider Effective To Date</t>
  </si>
  <si>
    <t>Account 1588 Global Adjustment (GA) - Total Claim</t>
  </si>
  <si>
    <t xml:space="preserve"> </t>
  </si>
  <si>
    <t>Rate Class</t>
  </si>
  <si>
    <t>Volumetric</t>
  </si>
  <si>
    <t>Non-RPP Billed kWh*</t>
  </si>
  <si>
    <t>Cost Allocation - kWh (RPP)</t>
  </si>
  <si>
    <t>Account 1588 GA Non-RPP</t>
  </si>
  <si>
    <t>Rate Rider kWh</t>
  </si>
  <si>
    <t>(A)</t>
  </si>
  <si>
    <t>(B)</t>
  </si>
  <si>
    <t xml:space="preserve">(C) </t>
  </si>
  <si>
    <t>D = C/A (kWh)</t>
  </si>
  <si>
    <t>Residential</t>
  </si>
  <si>
    <t>kWh</t>
  </si>
  <si>
    <t>General Service Less Than 50 kW</t>
  </si>
  <si>
    <t>Small Commercial and USL</t>
  </si>
  <si>
    <t>General Service 50 to 499 kW</t>
  </si>
  <si>
    <t>kW</t>
  </si>
  <si>
    <t>General Service 500 to 4,999 kW</t>
  </si>
  <si>
    <t>Large Use &gt; 5000 kW</t>
  </si>
  <si>
    <t>Street Lighting</t>
  </si>
  <si>
    <t>*Note: Total Non-RPP Billed kWh is based on 2008 Actuals</t>
  </si>
  <si>
    <t>Unbilled Energy-GServ</t>
  </si>
  <si>
    <t>10.112210</t>
  </si>
  <si>
    <t>10.136360</t>
  </si>
  <si>
    <t>GA Provincial Benefit Adjustment</t>
  </si>
  <si>
    <t>To record estimated Provincial Benefit Adjustment</t>
  </si>
  <si>
    <t>Enersource Hydro Mississauga</t>
  </si>
  <si>
    <t>Continuity Schedule</t>
  </si>
  <si>
    <t>Table 1</t>
  </si>
  <si>
    <t>RSVAs</t>
  </si>
  <si>
    <t>Global Adjustment</t>
  </si>
  <si>
    <t>Total</t>
  </si>
  <si>
    <t>Decision Principal</t>
  </si>
  <si>
    <t>Decision Interest</t>
  </si>
  <si>
    <t>Total Decision</t>
  </si>
  <si>
    <t>Table 2</t>
  </si>
  <si>
    <t>Account</t>
  </si>
  <si>
    <t>Remaining Principal Balance</t>
  </si>
  <si>
    <t>Allocation</t>
  </si>
  <si>
    <t>Remaining Interest Balance</t>
  </si>
  <si>
    <t>Recovery/Refund</t>
  </si>
  <si>
    <t>Principal Recovery</t>
  </si>
  <si>
    <t>Interest Recovery</t>
  </si>
  <si>
    <t>LV Variance Account 1550</t>
  </si>
  <si>
    <t>WMSC - Account 1580</t>
  </si>
  <si>
    <t>Network - Account 1584</t>
  </si>
  <si>
    <t>Connection - Account 1586</t>
  </si>
  <si>
    <t>Power - Account 1588</t>
  </si>
  <si>
    <t xml:space="preserve">   Recovery of Regulatory Asset Balances 1590</t>
  </si>
  <si>
    <t>Power - Account 1588 Global Adjustment</t>
  </si>
  <si>
    <t>Total Balance for Disposition/Recovery</t>
  </si>
  <si>
    <t>Total per OEB Decision</t>
  </si>
  <si>
    <t>10.136520.PRINCIP</t>
  </si>
  <si>
    <t>10.136520.CARRYCHG</t>
  </si>
  <si>
    <t>OEB Decision</t>
  </si>
  <si>
    <t>LV Variance Account</t>
  </si>
  <si>
    <t>Total Retail Settlement Variances</t>
  </si>
  <si>
    <t>GA Reg Asset Recovery</t>
  </si>
  <si>
    <t>1)</t>
  </si>
  <si>
    <t>2)</t>
  </si>
  <si>
    <t>3)</t>
  </si>
  <si>
    <t>Amortization of Reg Assets GA</t>
  </si>
  <si>
    <t>4)</t>
  </si>
  <si>
    <t>1595 Reg Assets Recovery - Principal</t>
  </si>
  <si>
    <t>To record estimated recovery of GA Provincial Benfit for February 2010</t>
  </si>
  <si>
    <t>1595 Reg Assets Recovery - Interest</t>
  </si>
  <si>
    <t>To record actual Provincial Benefit Adjustment billed in February (booked already)</t>
  </si>
  <si>
    <t>10.703100</t>
  </si>
  <si>
    <t>ENERSOURCE HYDRO MISSISSAUGA</t>
  </si>
  <si>
    <t>Per Month</t>
  </si>
  <si>
    <t>Opening Bal.</t>
  </si>
  <si>
    <t>Refund/Recovery</t>
  </si>
  <si>
    <t xml:space="preserve">Opening Balance </t>
  </si>
  <si>
    <t>RSVAs Refunded</t>
  </si>
  <si>
    <t>Reg Asset Refunded Principal</t>
  </si>
  <si>
    <t>Reg Asset Refunded Interest</t>
  </si>
  <si>
    <t>Reg Asset Recovery</t>
  </si>
  <si>
    <t>Closing Balance for CC purposes (excluding interest on Reg Asset Refunded)</t>
  </si>
  <si>
    <t>Interest Calculation:</t>
  </si>
  <si>
    <t>Interest Opening Balance</t>
  </si>
  <si>
    <t>Interest Adjustment - 1595 on Opening Balance excluding Interest</t>
  </si>
  <si>
    <t xml:space="preserve">Cumulative Interest </t>
  </si>
  <si>
    <t>Calculated Account Balance</t>
  </si>
  <si>
    <t>GL Balance</t>
  </si>
  <si>
    <t>Difference</t>
  </si>
  <si>
    <t>Actual Interest Posted</t>
  </si>
  <si>
    <t>Interest should be</t>
  </si>
  <si>
    <t>Summary of Interest Opening Balance</t>
  </si>
  <si>
    <t>OEB (RRR) Reporting</t>
  </si>
  <si>
    <t>Principal</t>
  </si>
  <si>
    <t>Reg Asset Recovery - May 2002 - December 31,  2003 (Market Opening Balances)</t>
  </si>
  <si>
    <t>Q2</t>
  </si>
  <si>
    <t>Q3</t>
  </si>
  <si>
    <t>Q4</t>
  </si>
  <si>
    <t>Q1</t>
  </si>
  <si>
    <t>Review &amp; Vary  - December 31, 2004 Balances</t>
  </si>
  <si>
    <t>Activity</t>
  </si>
  <si>
    <t>2004 OEB Assessed Costs</t>
  </si>
  <si>
    <t>Activity YTD</t>
  </si>
  <si>
    <t>June</t>
  </si>
  <si>
    <t>2004 OMERS Assessed Costs</t>
  </si>
  <si>
    <t>Interest</t>
  </si>
  <si>
    <t>Interest on Account 1590 @ April 30, 2008</t>
  </si>
  <si>
    <t>Interest YTD</t>
  </si>
  <si>
    <t>Net Account 1590 Residual Balance</t>
  </si>
  <si>
    <t>Balance</t>
  </si>
  <si>
    <t>2008 Rate Application Approved OEB for Recovery</t>
  </si>
  <si>
    <t>check=0</t>
  </si>
  <si>
    <t>Net Underrecovery Reg Asset Residual Balance</t>
  </si>
  <si>
    <t>Breakout of 2008 Rate Decision</t>
  </si>
  <si>
    <t>May</t>
  </si>
  <si>
    <t>GA Recovery</t>
  </si>
  <si>
    <t>Reg Asset Refunded Principal Amortization</t>
  </si>
  <si>
    <t>Reg Asset Refunded Interest Amortization</t>
  </si>
  <si>
    <t>Reg Asset Recovery Principal Amortization</t>
  </si>
  <si>
    <t>Reg Assets GA Recovery</t>
  </si>
  <si>
    <t>Reg Asset Recovery Interest Amortization</t>
  </si>
  <si>
    <t>Net Principal Balance Remaining</t>
  </si>
  <si>
    <t>Net Interest Balance Remaining</t>
  </si>
  <si>
    <t>2010 Activity</t>
  </si>
  <si>
    <t>Mar 31,10</t>
  </si>
  <si>
    <t>June 30,10</t>
  </si>
  <si>
    <t>Sep 30,10</t>
  </si>
  <si>
    <t>Dec 31,10</t>
  </si>
  <si>
    <t xml:space="preserve"> Opening Balance</t>
  </si>
  <si>
    <t>Interest on 2010 EDVARR Decision excluding Interest Calculation</t>
  </si>
  <si>
    <t>Net Closing Balance</t>
  </si>
  <si>
    <t>Interest Adjustmen Difference (1590 Actual) vs 2010 Decision</t>
  </si>
  <si>
    <t>To record recovery of GA accrual</t>
  </si>
  <si>
    <t>GA Recovered</t>
  </si>
  <si>
    <t>Unbilled</t>
  </si>
  <si>
    <t>Billed</t>
  </si>
  <si>
    <t>sb=0</t>
  </si>
  <si>
    <t>sb=1</t>
  </si>
  <si>
    <t>(Feb 1, 2010 - Jan 31, 2012)</t>
  </si>
  <si>
    <t>EDDVAR Decision</t>
  </si>
  <si>
    <t>Methodology for Allocating 2010 Recovery/Refund to Variance Accounts for 2010 EDDVAR Decision</t>
  </si>
  <si>
    <t>2010 Decision Refund/Recovery (Principal &amp; Interest)</t>
  </si>
  <si>
    <t>2010 EDDVAR Decision</t>
  </si>
  <si>
    <t xml:space="preserve">Total Refund/Recovery </t>
  </si>
  <si>
    <t>Reg Funds</t>
  </si>
  <si>
    <t>Change</t>
  </si>
  <si>
    <t>Actual</t>
  </si>
  <si>
    <t>Posted</t>
  </si>
  <si>
    <t xml:space="preserve">Variance(Adjust) </t>
  </si>
  <si>
    <t>August adjustment</t>
  </si>
  <si>
    <t>Group 1 Accounts</t>
  </si>
  <si>
    <t>Net Decision</t>
  </si>
  <si>
    <t>Balance as at August 31, 2010</t>
  </si>
  <si>
    <t>Summary of Regulatory Assets / Liabilities</t>
  </si>
  <si>
    <t>Actual YTD July 2010</t>
  </si>
  <si>
    <t>A</t>
  </si>
  <si>
    <t>B</t>
  </si>
  <si>
    <t>C</t>
  </si>
  <si>
    <t>GLI Download</t>
  </si>
  <si>
    <t>Regulatory Asset / Liability</t>
  </si>
  <si>
    <t>JDE Account</t>
  </si>
  <si>
    <t>Actual Balance December 31, 2008</t>
  </si>
  <si>
    <t>Actual Balance December 31, 2009</t>
  </si>
  <si>
    <t>Jan 2010 Activity</t>
  </si>
  <si>
    <t>Actual Balance January 31, 2010</t>
  </si>
  <si>
    <t>Feb 2010 Activity</t>
  </si>
  <si>
    <t>Actual Balance February 28, 2010</t>
  </si>
  <si>
    <t>Mar 2010 Activity</t>
  </si>
  <si>
    <t>Actual Balance March 31, 2010</t>
  </si>
  <si>
    <t>April 2010 Activity</t>
  </si>
  <si>
    <t>Actual Balance April 30, 2010</t>
  </si>
  <si>
    <t>May 2010 Activity</t>
  </si>
  <si>
    <t>Actual Balance May 31, 2010</t>
  </si>
  <si>
    <t>June 2010 Activity</t>
  </si>
  <si>
    <t>Actual Balance June 30, 2010</t>
  </si>
  <si>
    <t>July 2010 Activity</t>
  </si>
  <si>
    <t>Actual Balance July 31, 2010</t>
  </si>
  <si>
    <t>YTD July 10 vs. YTD December 09</t>
  </si>
  <si>
    <t>YTD June 10 vs. YTD March 10</t>
  </si>
  <si>
    <t>Company</t>
  </si>
  <si>
    <t>Business
Unit</t>
  </si>
  <si>
    <t>Concatenate</t>
  </si>
  <si>
    <t>Object
Account</t>
  </si>
  <si>
    <t>Subsidiary</t>
  </si>
  <si>
    <t>Description</t>
  </si>
  <si>
    <t>Cumulative 5
GAAP Ledger
2010</t>
  </si>
  <si>
    <t>IFRS</t>
  </si>
  <si>
    <t>Deferred IFRS Transition Costs</t>
  </si>
  <si>
    <t>00010</t>
  </si>
  <si>
    <t>10</t>
  </si>
  <si>
    <t>135155</t>
  </si>
  <si>
    <t/>
  </si>
  <si>
    <t>Variance Acct 1555-Smart Meter</t>
  </si>
  <si>
    <t>IFRSCARR</t>
  </si>
  <si>
    <t>IFRS Transit. Carrying Charge</t>
  </si>
  <si>
    <t>Regulatory Assets</t>
  </si>
  <si>
    <t>CARRYCHG</t>
  </si>
  <si>
    <t>1555 Crryng Chrgs-Smart Meter</t>
  </si>
  <si>
    <t>INCRCAP</t>
  </si>
  <si>
    <t>Incremental Capital Charges</t>
  </si>
  <si>
    <t>1555 SM Rev</t>
  </si>
  <si>
    <t>SM</t>
  </si>
  <si>
    <t>SMSAR</t>
  </si>
  <si>
    <t>Smart Mtr Stranded(RES)-Asset</t>
  </si>
  <si>
    <t>INCRCARR</t>
  </si>
  <si>
    <t>Increm Capital Carrying Charge</t>
  </si>
  <si>
    <t>135160</t>
  </si>
  <si>
    <t>Variance Acct 1556-Smart Mtr</t>
  </si>
  <si>
    <t>1521-Subacct2010 SPCAssmtVarCC</t>
  </si>
  <si>
    <t>1555 SM Stranded</t>
  </si>
  <si>
    <t>1556 Crryng Chrgs-Smart Mtr</t>
  </si>
  <si>
    <t>SPCCHRGE</t>
  </si>
  <si>
    <t>1521-Subacct2010 SPCAssesmtVar</t>
  </si>
  <si>
    <t>SMSAR2</t>
  </si>
  <si>
    <t>1518 RCVA Retail</t>
  </si>
  <si>
    <t>1555 SM Carry Charge</t>
  </si>
  <si>
    <t>CC</t>
  </si>
  <si>
    <t>134005</t>
  </si>
  <si>
    <t>1518CarryChgPostDec2003</t>
  </si>
  <si>
    <t>1548 RCVA STR Retail</t>
  </si>
  <si>
    <t>1556 SM Op</t>
  </si>
  <si>
    <t>1548CarryChgPostDec2003</t>
  </si>
  <si>
    <t>1556 SM Op Carry Charge</t>
  </si>
  <si>
    <t>Deferred PILS Var(1592)</t>
  </si>
  <si>
    <t>135010</t>
  </si>
  <si>
    <t>Extraordinary Costs [1572]</t>
  </si>
  <si>
    <t>1592 Carrying Charges</t>
  </si>
  <si>
    <t>1508 Deferred IFRS Transition Costs</t>
  </si>
  <si>
    <t>deferral</t>
  </si>
  <si>
    <t>[1572] Carrying Charges</t>
  </si>
  <si>
    <t>Deferred PILS (1562)</t>
  </si>
  <si>
    <t>1508 Deferred IFRS Transition Costs Carrying Charge</t>
  </si>
  <si>
    <t>Deferred PILS Sub(1562)</t>
  </si>
  <si>
    <t>DeferredPILSContra(1563)(1562)</t>
  </si>
  <si>
    <t>1508 Deferred Incremental Capital Charges</t>
  </si>
  <si>
    <t>134380</t>
  </si>
  <si>
    <t>DeferrPILSContrSub(1563)(1562)</t>
  </si>
  <si>
    <t>1508 Deferred Incremental Capital Carrying Chargs</t>
  </si>
  <si>
    <t>CAPITAL</t>
  </si>
  <si>
    <t>CDM Expenditures &amp; Recoveries</t>
  </si>
  <si>
    <t>134390</t>
  </si>
  <si>
    <t>EXPENSE</t>
  </si>
  <si>
    <t>1572 Ectraordinary Costs  (PCB)</t>
  </si>
  <si>
    <t>REVENUE</t>
  </si>
  <si>
    <t>1572 Ectraordinary Costs  (PCB) Carrying Charge</t>
  </si>
  <si>
    <t>134505</t>
  </si>
  <si>
    <t>134510</t>
  </si>
  <si>
    <t>Regulatory Liabilities</t>
  </si>
  <si>
    <t>134520</t>
  </si>
  <si>
    <t>1518 RCVA - Retail</t>
  </si>
  <si>
    <t>134530</t>
  </si>
  <si>
    <t>1518 RCVA Carrying Charge</t>
  </si>
  <si>
    <t>134540</t>
  </si>
  <si>
    <t>RSVA WHM [USofA 1580]</t>
  </si>
  <si>
    <t>134550</t>
  </si>
  <si>
    <t>1580CarryChgPostDec2003</t>
  </si>
  <si>
    <t>1521 SPC Assessment</t>
  </si>
  <si>
    <t>SPCCHGE</t>
  </si>
  <si>
    <t>RSVA 1-Time [USofA 1582]</t>
  </si>
  <si>
    <t>1582CarryChgPostDec2003</t>
  </si>
  <si>
    <t>RSVA NW [USofA 1584]</t>
  </si>
  <si>
    <t>1548 RCVA - STR</t>
  </si>
  <si>
    <t>1584CarryChgPostDec2003</t>
  </si>
  <si>
    <t>1548 RCVA Carrying Charge</t>
  </si>
  <si>
    <t>RSVA CN [USofA 1586]</t>
  </si>
  <si>
    <t>134551</t>
  </si>
  <si>
    <t>1586CarryChgPostDec2003</t>
  </si>
  <si>
    <t>1562 PILs</t>
  </si>
  <si>
    <t>10.134510/20</t>
  </si>
  <si>
    <t>RSVA Power [USofA 1588]</t>
  </si>
  <si>
    <t>1563 PILs</t>
  </si>
  <si>
    <t>deferral contra</t>
  </si>
  <si>
    <t>10.134530/40</t>
  </si>
  <si>
    <t>1588CarryChgPostDec2003 Power</t>
  </si>
  <si>
    <t>135110</t>
  </si>
  <si>
    <t>GLOBADJM</t>
  </si>
  <si>
    <t>1588 Global Adjustment</t>
  </si>
  <si>
    <t>1565 CDM</t>
  </si>
  <si>
    <t>GLOBCARR</t>
  </si>
  <si>
    <t>Carrying Charge Global Adjustm</t>
  </si>
  <si>
    <t>1566 CDM Contra</t>
  </si>
  <si>
    <t>135120</t>
  </si>
  <si>
    <t>1592 PILs Tax Variance</t>
  </si>
  <si>
    <t>135130</t>
  </si>
  <si>
    <t>1592 PILs Tax Variance Carry Charge</t>
  </si>
  <si>
    <t>SmM Stranded in Inventory(RES)</t>
  </si>
  <si>
    <t>135140</t>
  </si>
  <si>
    <t>1590 Reg Asset Rec*</t>
  </si>
  <si>
    <t>approval</t>
  </si>
  <si>
    <t>10.136005/10</t>
  </si>
  <si>
    <t>1590 Reg Asset Rec Carry Charge</t>
  </si>
  <si>
    <t>135150</t>
  </si>
  <si>
    <t>LVBILLED</t>
  </si>
  <si>
    <t>Billed - LV -Hydro One</t>
  </si>
  <si>
    <t>LVCHARGE</t>
  </si>
  <si>
    <t>Charges-LV-Hydro One</t>
  </si>
  <si>
    <t>1595 Reg Asset Rec. May 1 2008 **</t>
  </si>
  <si>
    <t>1595 Reg Asset Rec. May 1 2008 CC</t>
  </si>
  <si>
    <t>1550 Carrying Charges</t>
  </si>
  <si>
    <t>135163</t>
  </si>
  <si>
    <t>Contra-RSVA-Liab reclass</t>
  </si>
  <si>
    <t>1595 Reg Asset Rec. Feb 1, 2010 Principal  Disp</t>
  </si>
  <si>
    <t>Reg Asset Recov Amount</t>
  </si>
  <si>
    <t>1595 Reg Asset Rec. Feb 1, 2010  Interest Disp</t>
  </si>
  <si>
    <t>135165</t>
  </si>
  <si>
    <t>Reg Asset Recov [Res]</t>
  </si>
  <si>
    <t>1595 Reg Asset Rec. Feb 1, 2010 CC</t>
  </si>
  <si>
    <t>Disp. of Acct. Balances (Int)</t>
  </si>
  <si>
    <t>136005</t>
  </si>
  <si>
    <t>PRINCIP</t>
  </si>
  <si>
    <t>Disp. of Acct. Balances (Prin)</t>
  </si>
  <si>
    <t>1580 RSVA - Whls Mkt</t>
  </si>
  <si>
    <t>COP</t>
  </si>
  <si>
    <t>136010</t>
  </si>
  <si>
    <t>1595 Carrying Charge</t>
  </si>
  <si>
    <t>1580 RSVA Carry Charge</t>
  </si>
  <si>
    <t>136505</t>
  </si>
  <si>
    <t>2009 Disp.of Carrying Chg.</t>
  </si>
  <si>
    <t>2009 Disp.of Principal Bal.</t>
  </si>
  <si>
    <t>1582 RSVA - One Time</t>
  </si>
  <si>
    <t>136510</t>
  </si>
  <si>
    <t>2009 Disp.of Ch.Chg.Net PrincB</t>
  </si>
  <si>
    <t>1582 RSVA Carry Charge</t>
  </si>
  <si>
    <t>136520</t>
  </si>
  <si>
    <t>FIT Regulatory Assets</t>
  </si>
  <si>
    <t>FIT Reg. Assets- Non Current</t>
  </si>
  <si>
    <t>1584 RSVA - Network</t>
  </si>
  <si>
    <t>136530</t>
  </si>
  <si>
    <t>Fut. Reg. IT Liabil. - Current</t>
  </si>
  <si>
    <t>1584 RSVA Carry Charge</t>
  </si>
  <si>
    <t>Fut. Reg. IT Liab - NonCurrent</t>
  </si>
  <si>
    <t>1586 RSVA - Connection</t>
  </si>
  <si>
    <t>1586 RSVA Carry Charge</t>
  </si>
  <si>
    <t>222300</t>
  </si>
  <si>
    <t>222350</t>
  </si>
  <si>
    <t>1588 RSVA - POWER</t>
  </si>
  <si>
    <t>1588 RSVA Carrying Charge</t>
  </si>
  <si>
    <t>1588 RSVA Global Adj</t>
  </si>
  <si>
    <t>1588 RSVA GA Carrying Charge</t>
  </si>
  <si>
    <t>1550 Low Voltage</t>
  </si>
  <si>
    <t>1550 LV Carrying Charge</t>
  </si>
  <si>
    <t>Retail Settlement Variances</t>
  </si>
  <si>
    <t>2296 Future Reg. IT Liability - Current</t>
  </si>
  <si>
    <t>FIT</t>
  </si>
  <si>
    <t>2350 Future Reg. IT Liability - Non Current</t>
  </si>
  <si>
    <t>Future Income Tax Liability</t>
  </si>
  <si>
    <t>Proposed 2011 IRM Disposition</t>
  </si>
  <si>
    <t>Account No.</t>
  </si>
  <si>
    <t>Net Balance as At Dec. 31, 2009 after EDDVAR</t>
  </si>
  <si>
    <t>Retail Settlement Balances</t>
  </si>
  <si>
    <t>Stranded Costs</t>
  </si>
  <si>
    <t>Global Adjustment Interest</t>
  </si>
  <si>
    <t>Retail Settlement Variances other</t>
  </si>
  <si>
    <t>WHMS</t>
  </si>
  <si>
    <t>WHMS Interest</t>
  </si>
  <si>
    <t>Network</t>
  </si>
  <si>
    <t>Network Interest</t>
  </si>
  <si>
    <t>Connection</t>
  </si>
  <si>
    <t>Connection Interest</t>
  </si>
  <si>
    <t>Power</t>
  </si>
  <si>
    <t>Power Interest</t>
  </si>
  <si>
    <t>LV</t>
  </si>
  <si>
    <t>LV Interest</t>
  </si>
  <si>
    <t>Summary</t>
  </si>
  <si>
    <t>Reg Assets</t>
  </si>
  <si>
    <t>Reg Liabilities</t>
  </si>
  <si>
    <t>Net Reg Assets (Liabilities)</t>
  </si>
  <si>
    <t>2011 IRM</t>
  </si>
  <si>
    <t>OEB Group 1 Accounts Review</t>
  </si>
  <si>
    <t>RSVAs, Including LV Forecast Balance</t>
  </si>
  <si>
    <t>Forecast Recoveries (Feb 1 - Sep 30, 2010)</t>
  </si>
  <si>
    <t>Forecast Balance as at Sep 30, 2010</t>
  </si>
  <si>
    <t>Account 1595 (2010 EDDVAR Decision) - YTD December 31, 2010</t>
  </si>
  <si>
    <t>Account 1595 (2010 EDDVAR Decision) - YTD January 31, 2011</t>
  </si>
  <si>
    <t>Mar 31,11</t>
  </si>
  <si>
    <t>June 30,11</t>
  </si>
  <si>
    <t>Sep 30,11</t>
  </si>
  <si>
    <t>Dec 31,11</t>
  </si>
  <si>
    <t>YTD Jan 11</t>
  </si>
  <si>
    <t>YTD Feb 11</t>
  </si>
  <si>
    <t>YTD Mar 11</t>
  </si>
  <si>
    <t>April</t>
  </si>
  <si>
    <t>YTD Apr 11</t>
  </si>
  <si>
    <t>Change YTD</t>
  </si>
  <si>
    <t>Account 1595 - YTD December 31, 2010</t>
  </si>
  <si>
    <t>YTD Actual Refund/Recovery</t>
  </si>
  <si>
    <t>Remaining Balance to Recover (Apr 09)</t>
  </si>
  <si>
    <t>Per Month Remaining</t>
  </si>
  <si>
    <t>(May 1, 2008 - April 30, 2009)</t>
  </si>
  <si>
    <t>2008 Activity</t>
  </si>
  <si>
    <t>Interest on Reg Assets</t>
  </si>
  <si>
    <t>OEB Cost Assessments</t>
  </si>
  <si>
    <t>OEB Costs for 2005/6 Principal</t>
  </si>
  <si>
    <t>OEB Costs for 2005/6 Interest</t>
  </si>
  <si>
    <t>Interest Accrual (Actual vs OEB Approved)</t>
  </si>
  <si>
    <t>Pension Contributions</t>
  </si>
  <si>
    <t>OMERS Costs for 2005/6 Principal</t>
  </si>
  <si>
    <t>OMERS Costs for 2005/6 Interest</t>
  </si>
  <si>
    <t xml:space="preserve">Reg Assets Recovery </t>
  </si>
  <si>
    <t>Misc Deferred Debit</t>
  </si>
  <si>
    <t>OPC Principal</t>
  </si>
  <si>
    <t>OPC Interest</t>
  </si>
  <si>
    <t>PILs and Taxes Variance</t>
  </si>
  <si>
    <t>LCT Overrecovery Principal</t>
  </si>
  <si>
    <t>LCT Overrecovery Interest</t>
  </si>
  <si>
    <t>Closing Balance</t>
  </si>
  <si>
    <t>Interest on 2008 Reg Assets Decision be excluded from 1590 Interest Calculation</t>
  </si>
  <si>
    <t>Reg Asset Interest Recovery Account 1590 per OEB Decision</t>
  </si>
  <si>
    <t>Interest on Opening Balance</t>
  </si>
  <si>
    <t>Interest Adjustment - 1508 for May 2008</t>
  </si>
  <si>
    <t>Sep Entry</t>
  </si>
  <si>
    <t>June 30,08</t>
  </si>
  <si>
    <t>Sep 30,08</t>
  </si>
  <si>
    <t>Dec 31,08</t>
  </si>
  <si>
    <t>Mar 31,09</t>
  </si>
  <si>
    <t>Interest:</t>
  </si>
  <si>
    <t>January</t>
  </si>
  <si>
    <t>February</t>
  </si>
  <si>
    <t xml:space="preserve">May </t>
  </si>
  <si>
    <t>March</t>
  </si>
  <si>
    <t>July</t>
  </si>
  <si>
    <t>August</t>
  </si>
  <si>
    <t>September</t>
  </si>
  <si>
    <t>October</t>
  </si>
  <si>
    <t>November</t>
  </si>
  <si>
    <t>December</t>
  </si>
  <si>
    <t xml:space="preserve">October </t>
  </si>
  <si>
    <t xml:space="preserve">November </t>
  </si>
  <si>
    <t>Opening Bal Mar</t>
  </si>
  <si>
    <t>Account 1595 - YTD March 31, 2011</t>
  </si>
  <si>
    <t>YTD May 11</t>
  </si>
  <si>
    <t>10.703100.GA</t>
  </si>
  <si>
    <t>YTD June 11</t>
  </si>
  <si>
    <t>YTD July 11</t>
  </si>
  <si>
    <t>YTD Aug 11</t>
  </si>
  <si>
    <t>YTD Sep 11</t>
  </si>
  <si>
    <t>YTD Oct 11</t>
  </si>
  <si>
    <t>YTD Nov 11</t>
  </si>
  <si>
    <t>YTD Dec 11</t>
  </si>
  <si>
    <t>Account 1595 (2010 EDDVAR Decision) - YTD December 31, 2011</t>
  </si>
  <si>
    <t>Mar 31,12</t>
  </si>
  <si>
    <t>June 30,12</t>
  </si>
  <si>
    <t>Sep 30,12</t>
  </si>
  <si>
    <t>Dec 31,12</t>
  </si>
  <si>
    <t>Account 1595 (2010 EDDVAR Decision) - YTD January 31, 2012</t>
  </si>
  <si>
    <t>YTD Jan 12</t>
  </si>
  <si>
    <t>2011 EDDVAR - Final Balances</t>
  </si>
  <si>
    <t>Balance at Dec-31-10</t>
  </si>
  <si>
    <t>Interest to Jan-31-2012</t>
  </si>
  <si>
    <t>Low Voltage</t>
  </si>
  <si>
    <t>RSVA Wholesale Market Service Charge</t>
  </si>
  <si>
    <t>RSVA Retail Transmission Network Charges</t>
  </si>
  <si>
    <t>RSVA Retail Transmission Connection Charges</t>
  </si>
  <si>
    <t>RSVA Power (Excluding Global Adjustment)</t>
  </si>
  <si>
    <t>RSVA Power (Global Adjusmtent Sub-account)</t>
  </si>
  <si>
    <t>Recovery of Regulatory Asset Balances</t>
  </si>
  <si>
    <t>Total Net Refund</t>
  </si>
  <si>
    <t>Decision</t>
  </si>
  <si>
    <t>Difference in 1595 Balances</t>
  </si>
  <si>
    <t>RSVAS</t>
  </si>
  <si>
    <t>GA</t>
  </si>
  <si>
    <t>GA Interest</t>
  </si>
  <si>
    <t>Totals</t>
  </si>
  <si>
    <t>2010-2011 EDDVAR</t>
  </si>
  <si>
    <t>2010 EDDVAR</t>
  </si>
  <si>
    <t>2011 EDDVAR</t>
  </si>
  <si>
    <t>Account
Description</t>
  </si>
  <si>
    <t>Cumulative 5
Actual
2012</t>
  </si>
  <si>
    <t>RSVAs refund</t>
  </si>
  <si>
    <t>PR</t>
  </si>
  <si>
    <t>703100</t>
  </si>
  <si>
    <t>Amort-Regulatory Assets</t>
  </si>
  <si>
    <t>INT</t>
  </si>
  <si>
    <t>1595CONT</t>
  </si>
  <si>
    <t>OEB 2009 Disp.of Carrying Chg.</t>
  </si>
  <si>
    <t>CONTRA</t>
  </si>
  <si>
    <t>CONTRA Amort-Regulatory Assets</t>
  </si>
  <si>
    <t>Amort-Regulatory Assets GA</t>
  </si>
  <si>
    <t>GACONTRA</t>
  </si>
  <si>
    <t>CONTRA Amort-Regulat Assets GA</t>
  </si>
  <si>
    <t>Total 10</t>
  </si>
  <si>
    <t>GA Recovery/Refund</t>
  </si>
  <si>
    <t>Refund Total</t>
  </si>
  <si>
    <t>Distribution Refund</t>
  </si>
  <si>
    <t>GA Revenue</t>
  </si>
  <si>
    <t>GA 2010</t>
  </si>
  <si>
    <t>GA Refund</t>
  </si>
  <si>
    <t>GA 2011</t>
  </si>
  <si>
    <t>GA Net Refund</t>
  </si>
  <si>
    <t>Total Amortization</t>
  </si>
  <si>
    <t xml:space="preserve"> Please indicate the Rate Rider Recovery Period (in years)</t>
  </si>
  <si>
    <t>Deferral/Variance Account Rate Rider</t>
  </si>
  <si>
    <t>Unit</t>
  </si>
  <si>
    <t>Billed kWh</t>
  </si>
  <si>
    <t>Billed kW</t>
  </si>
  <si>
    <t>1521 RR</t>
  </si>
  <si>
    <t>1562 RR</t>
  </si>
  <si>
    <t>SC</t>
  </si>
  <si>
    <t>GS&lt;50</t>
  </si>
  <si>
    <t>50-499</t>
  </si>
  <si>
    <t>KW</t>
  </si>
  <si>
    <t>500-4999</t>
  </si>
  <si>
    <t>LU</t>
  </si>
  <si>
    <t>SL</t>
  </si>
  <si>
    <t>1563 Allocation</t>
  </si>
  <si>
    <t>1564 Allocation</t>
  </si>
  <si>
    <t>Average per month</t>
  </si>
  <si>
    <t>Rates 1562</t>
  </si>
  <si>
    <t>Rates 1521</t>
  </si>
  <si>
    <t>Refund</t>
  </si>
  <si>
    <t>Hydro</t>
  </si>
  <si>
    <t>WHAT SUPPORTS THIS DECISION???</t>
  </si>
  <si>
    <t>Enersource Hydro Mississauga Inc.</t>
  </si>
  <si>
    <t>EB-2012-0033</t>
  </si>
  <si>
    <t>Group 1 Accounts:</t>
  </si>
  <si>
    <t>USoA</t>
  </si>
  <si>
    <t>RSVA - WHMS</t>
  </si>
  <si>
    <t>RSVA - WHMS One Time</t>
  </si>
  <si>
    <t>RSVA - NW</t>
  </si>
  <si>
    <t>RSVA - CN</t>
  </si>
  <si>
    <t>RSVA - Power</t>
  </si>
  <si>
    <t>RSVA - GA</t>
  </si>
  <si>
    <t>2008 Balances</t>
  </si>
  <si>
    <t>Group 2 Accounts:</t>
  </si>
  <si>
    <t>Incremental Capital</t>
  </si>
  <si>
    <t>RCVA - Retail</t>
  </si>
  <si>
    <t>RCVA - STR</t>
  </si>
  <si>
    <t>Extraordinary - PCB Costs</t>
  </si>
  <si>
    <t>PILS &amp; Tax Variance</t>
  </si>
  <si>
    <t>Total Amount disclosed per 2016 IRM Rate Generator Model</t>
  </si>
  <si>
    <t>Total Disposition Approved per OEB Decision</t>
  </si>
  <si>
    <t>EB-2011-0266</t>
  </si>
  <si>
    <t>IRM Application</t>
  </si>
  <si>
    <t>Total Group 1 Accounts</t>
  </si>
  <si>
    <t>Total Group 2 Accounts</t>
  </si>
  <si>
    <t>Less: Group 2 Accounts</t>
  </si>
  <si>
    <t>Less: 1582 - WHMS One Time</t>
  </si>
  <si>
    <t>Total Disposition per OEB Decision</t>
  </si>
  <si>
    <t>Interest Projection per Original Filing</t>
  </si>
  <si>
    <t>Total Disposition per 2016 IRM Rate Generator Model</t>
  </si>
  <si>
    <r>
      <t>Interest Projection per Subsequent Filing</t>
    </r>
    <r>
      <rPr>
        <b/>
        <vertAlign val="superscript"/>
        <sz val="11"/>
        <color theme="1"/>
        <rFont val="Calibri"/>
        <family val="2"/>
      </rPr>
      <t>1</t>
    </r>
  </si>
  <si>
    <t>Cost Of Service Application</t>
  </si>
  <si>
    <t>1. Original interest calculation was for the period Jan. 1, 2011 to Dec. 31, 2011.   The revised interest projection was to capture interest for Jan 2012 as decision was not implemented until Feb 1, 2012.</t>
  </si>
  <si>
    <r>
      <t>Residual Balance of 1595</t>
    </r>
    <r>
      <rPr>
        <vertAlign val="superscript"/>
        <sz val="10"/>
        <rFont val="Arial"/>
        <family val="2"/>
      </rPr>
      <t>2</t>
    </r>
  </si>
  <si>
    <r>
      <t>Total Amount disclosed per 2016 IRM Rate Generator Model</t>
    </r>
    <r>
      <rPr>
        <b/>
        <vertAlign val="superscript"/>
        <sz val="10"/>
        <rFont val="Arial"/>
        <family val="2"/>
      </rPr>
      <t>1</t>
    </r>
  </si>
  <si>
    <r>
      <t>Difference</t>
    </r>
    <r>
      <rPr>
        <b/>
        <vertAlign val="superscript"/>
        <sz val="10"/>
        <rFont val="Arial"/>
        <family val="2"/>
      </rPr>
      <t>2</t>
    </r>
    <r>
      <rPr>
        <b/>
        <sz val="10"/>
        <rFont val="Arial"/>
        <family val="2"/>
      </rPr>
      <t xml:space="preserve">: </t>
    </r>
  </si>
  <si>
    <t xml:space="preserve">1. Total Group 1 accounts excluding 1595 (2011) in the 2016 IRM Rate Generator Model Continuity Schedule </t>
  </si>
  <si>
    <t>is equal to the Total Disposition per OEB decision, less Group 2 accounts and the 1582 - WHMS One time Account.</t>
  </si>
  <si>
    <t xml:space="preserve"> less than the Total Disposition per OEB decision and includes the disposition of both Group 1 and Group 2 accounts.</t>
  </si>
  <si>
    <t>2. Actual amount transferred to 1595 (2011) in the 2016 IRM Rate Generator Model Continuity Schedule was $6,556</t>
  </si>
  <si>
    <t xml:space="preserve"> in the residual balances of 1595 (2008) Account.</t>
  </si>
  <si>
    <t>2. Actual amount transferred to 1595 (2010) in the 2016 IRM Rate Generator Model Continuity Schedule was off by $3,237.31 from the Total Disposition Approved per OEB decision due to a change</t>
  </si>
  <si>
    <t xml:space="preserve">Please complete the following continuity schedule for the following Deferral / Variance Accounts.  Enter information into green cells only.  COLUMN AZ has been prepopulated from the latest 2.1.7 RRR filing.
If you have received approval to dispose of balances from prior years, the starting point for entries in the schedule below will be the balance sheet date as per your G/L for which you received approval.  For example, if in the 2015 EDR process (CoS or IRM) you received approval for the December 31, 2013 balances, the starting point for your entries below should be the 2012 year.  This will allow for the correct starting point for the 2013 opening balance columns for both principal and interest.
Please refer to the footnotes for further instructions.
</t>
  </si>
  <si>
    <t>**Auto-populated by Rate Generator**</t>
  </si>
  <si>
    <t>Projected Interest on Dec-31-14 Balances</t>
  </si>
  <si>
    <t>As of Dec 31, 2014 (RRR - 2.1.7)  
April 30, 2015</t>
  </si>
  <si>
    <r>
      <t xml:space="preserve">Variance
RRR vs. 2014 Balance
</t>
    </r>
    <r>
      <rPr>
        <b/>
        <i/>
        <sz val="10"/>
        <rFont val="Arial"/>
        <family val="2"/>
      </rPr>
      <t>(Principal + Interest)</t>
    </r>
  </si>
  <si>
    <t>Account Descriptions</t>
  </si>
  <si>
    <t>Account Number</t>
  </si>
  <si>
    <t>Opening Principal Amounts as of Jan-1-11</t>
  </si>
  <si>
    <r>
      <t xml:space="preserve">Transactions Debit / (Credit) during 2011 excluding interest and adjustments </t>
    </r>
    <r>
      <rPr>
        <b/>
        <vertAlign val="superscript"/>
        <sz val="10"/>
        <rFont val="Arial"/>
        <family val="2"/>
      </rPr>
      <t>2</t>
    </r>
  </si>
  <si>
    <t>Board-Approved Disposition during 2011</t>
  </si>
  <si>
    <r>
      <t xml:space="preserve">Adjustments during 2011 - other </t>
    </r>
    <r>
      <rPr>
        <b/>
        <vertAlign val="superscript"/>
        <sz val="10"/>
        <rFont val="Arial"/>
        <family val="2"/>
      </rPr>
      <t>1</t>
    </r>
  </si>
  <si>
    <t>Closing Principal Balance as of Dec-31-11</t>
  </si>
  <si>
    <t>Opening Interest Amounts as of Jan-1-11</t>
  </si>
  <si>
    <t>Interest Jan-1 to Dec-31-11</t>
  </si>
  <si>
    <r>
      <t xml:space="preserve">Adjustments during 2011 - other </t>
    </r>
    <r>
      <rPr>
        <b/>
        <vertAlign val="superscript"/>
        <sz val="10"/>
        <rFont val="Arial"/>
        <family val="2"/>
      </rPr>
      <t>2</t>
    </r>
  </si>
  <si>
    <t>Closing Interest Amounts as of Dec-31-11</t>
  </si>
  <si>
    <t>Opening Principal Amounts as of Jan-1-12</t>
  </si>
  <si>
    <r>
      <t xml:space="preserve">Transactions Debit / (Credit) during 2012 excluding interest and adjustments </t>
    </r>
    <r>
      <rPr>
        <b/>
        <vertAlign val="superscript"/>
        <sz val="10"/>
        <rFont val="Arial"/>
        <family val="2"/>
      </rPr>
      <t>2</t>
    </r>
  </si>
  <si>
    <t>Board-Approved Disposition during 2012</t>
  </si>
  <si>
    <r>
      <t xml:space="preserve">Adjustments during 2012 - other </t>
    </r>
    <r>
      <rPr>
        <b/>
        <vertAlign val="superscript"/>
        <sz val="10"/>
        <rFont val="Arial"/>
        <family val="2"/>
      </rPr>
      <t>1</t>
    </r>
  </si>
  <si>
    <t>Closing Principal Balance as of Dec-31-12</t>
  </si>
  <si>
    <t>Opening Interest Amounts as of Jan-1-12</t>
  </si>
  <si>
    <t>Interest Jan-1 to Dec-31-12</t>
  </si>
  <si>
    <r>
      <t xml:space="preserve">Adjustments during 2012 - other </t>
    </r>
    <r>
      <rPr>
        <b/>
        <vertAlign val="superscript"/>
        <sz val="10"/>
        <rFont val="Arial"/>
        <family val="2"/>
      </rPr>
      <t>2</t>
    </r>
  </si>
  <si>
    <t>Closing Interest Amounts as of Dec-31-12</t>
  </si>
  <si>
    <t>Opening Principal Amounts as of Jan-1-13</t>
  </si>
  <si>
    <r>
      <t xml:space="preserve">Transactions Debit / (Credit) during 2013 excluding interest and adjustments </t>
    </r>
    <r>
      <rPr>
        <b/>
        <vertAlign val="superscript"/>
        <sz val="10"/>
        <rFont val="Arial"/>
        <family val="2"/>
      </rPr>
      <t>2</t>
    </r>
  </si>
  <si>
    <t>Board-Approved Disposition during 2013</t>
  </si>
  <si>
    <r>
      <t xml:space="preserve">Adjustments during 2013 - other </t>
    </r>
    <r>
      <rPr>
        <b/>
        <vertAlign val="superscript"/>
        <sz val="10"/>
        <rFont val="Arial"/>
        <family val="2"/>
      </rPr>
      <t>1</t>
    </r>
  </si>
  <si>
    <t>Closing Principal Balance as of Dec-31-13</t>
  </si>
  <si>
    <t>Opening Interest Amounts as of Jan-1-13</t>
  </si>
  <si>
    <t>Interest Jan-1 to Dec-31-13</t>
  </si>
  <si>
    <r>
      <t xml:space="preserve">Adjustments during 2013 - other </t>
    </r>
    <r>
      <rPr>
        <b/>
        <vertAlign val="superscript"/>
        <sz val="10"/>
        <rFont val="Arial"/>
        <family val="2"/>
      </rPr>
      <t>2</t>
    </r>
  </si>
  <si>
    <t>Closing Interest Amounts as of Dec-31-13</t>
  </si>
  <si>
    <t>Opening Principal Amounts as of Jan-1-14</t>
  </si>
  <si>
    <r>
      <t xml:space="preserve">Transactions Debit / (Credit) during 2014 excluding interest and adjustments </t>
    </r>
    <r>
      <rPr>
        <b/>
        <vertAlign val="superscript"/>
        <sz val="10"/>
        <rFont val="Arial"/>
        <family val="2"/>
      </rPr>
      <t>2</t>
    </r>
  </si>
  <si>
    <t>Board-Approved Disposition during 2014</t>
  </si>
  <si>
    <r>
      <t xml:space="preserve">Adjustments during 2014 - other </t>
    </r>
    <r>
      <rPr>
        <b/>
        <vertAlign val="superscript"/>
        <sz val="10"/>
        <rFont val="Arial"/>
        <family val="2"/>
      </rPr>
      <t>1</t>
    </r>
  </si>
  <si>
    <t>Closing Principal Balance as of Dec-31-14</t>
  </si>
  <si>
    <t>Opening Interest Amounts as of Jan-1-14</t>
  </si>
  <si>
    <t>Interest Jan-1 to Dec-31-14</t>
  </si>
  <si>
    <r>
      <t xml:space="preserve">Adjustments during 2014 - other </t>
    </r>
    <r>
      <rPr>
        <b/>
        <vertAlign val="superscript"/>
        <sz val="10"/>
        <rFont val="Arial"/>
        <family val="2"/>
      </rPr>
      <t>2</t>
    </r>
  </si>
  <si>
    <t>Closing Interest Amounts as of Dec-31-14</t>
  </si>
  <si>
    <t>Principal Disposition during 2015 - instructed by Board</t>
  </si>
  <si>
    <t>Interest Disposition during 2015 - instructed by Board</t>
  </si>
  <si>
    <t>Closing Principal Balances as of Dec 31, 2014 Adjusted for Dispositions during 2015</t>
  </si>
  <si>
    <t>Closing Interest Balances as of Dec 31, 2014 Adjusted for Dispositions during 2015</t>
  </si>
  <si>
    <r>
      <t xml:space="preserve">Projected Interest from Jan 1, 2015 to December 31, 2015 on Dec 31, 2014 balance adjusted for disposition during 2015 </t>
    </r>
    <r>
      <rPr>
        <b/>
        <vertAlign val="superscript"/>
        <sz val="10"/>
        <rFont val="Arial"/>
        <family val="2"/>
      </rPr>
      <t>3</t>
    </r>
  </si>
  <si>
    <r>
      <t xml:space="preserve">Projected Interest from January 1, 2016 to April 30, 2016 on Dec 31, 2014 balance adjusted for disposition during 2014  </t>
    </r>
    <r>
      <rPr>
        <b/>
        <vertAlign val="superscript"/>
        <sz val="11"/>
        <rFont val="Arial"/>
        <family val="2"/>
      </rPr>
      <t>3</t>
    </r>
  </si>
  <si>
    <t>Total Claim</t>
  </si>
  <si>
    <t>Claim before Forecasted Transactions</t>
  </si>
  <si>
    <t>Smart Metering Entity Charge Variance</t>
  </si>
  <si>
    <t>RSVA - Wholesale Market Service Charge</t>
  </si>
  <si>
    <t>RSVA - Retail Transmission Network Charge</t>
  </si>
  <si>
    <t>RSVA - Retail Transmission Connection Charge</t>
  </si>
  <si>
    <t>RSVA - Power (excluding Global Adjustment)</t>
  </si>
  <si>
    <t>RSVA - Global Adjustment</t>
  </si>
  <si>
    <r>
      <t>Disposition and Recovery/Refund of Regulatory Balances (2008)</t>
    </r>
    <r>
      <rPr>
        <vertAlign val="superscript"/>
        <sz val="11"/>
        <rFont val="Arial"/>
        <family val="2"/>
      </rPr>
      <t>4</t>
    </r>
  </si>
  <si>
    <t>1595_(2008)</t>
  </si>
  <si>
    <r>
      <t>Disposition and Recovery/Refund of Regulatory Balances (2009)</t>
    </r>
    <r>
      <rPr>
        <vertAlign val="superscript"/>
        <sz val="11"/>
        <rFont val="Arial"/>
        <family val="2"/>
      </rPr>
      <t>4</t>
    </r>
  </si>
  <si>
    <t>1595_(2009)</t>
  </si>
  <si>
    <r>
      <t>Disposition and Recovery/Refund of Regulatory Balances (2010)</t>
    </r>
    <r>
      <rPr>
        <vertAlign val="superscript"/>
        <sz val="11"/>
        <rFont val="Arial"/>
        <family val="2"/>
      </rPr>
      <t>4</t>
    </r>
  </si>
  <si>
    <t>1595_(2010)</t>
  </si>
  <si>
    <r>
      <t>Disposition and Recovery/Refund of Regulatory Balances (2011)</t>
    </r>
    <r>
      <rPr>
        <vertAlign val="superscript"/>
        <sz val="11"/>
        <rFont val="Arial"/>
        <family val="2"/>
      </rPr>
      <t>4</t>
    </r>
  </si>
  <si>
    <t>1595_(2011)</t>
  </si>
  <si>
    <r>
      <t>Disposition and Recovery/Refund of Regulatory Balances (2012)</t>
    </r>
    <r>
      <rPr>
        <vertAlign val="superscript"/>
        <sz val="11"/>
        <rFont val="Arial"/>
        <family val="2"/>
      </rPr>
      <t>4</t>
    </r>
  </si>
  <si>
    <t>1595_(2012)</t>
  </si>
  <si>
    <r>
      <t>Disposition and Recovery/Refund of Regulatory Balances (2013)</t>
    </r>
    <r>
      <rPr>
        <vertAlign val="superscript"/>
        <sz val="11"/>
        <rFont val="Arial"/>
        <family val="2"/>
      </rPr>
      <t>4</t>
    </r>
  </si>
  <si>
    <t>1595_(2013)</t>
  </si>
  <si>
    <r>
      <t>Disposition and Recovery/Refund of Regulatory Balances (2014)</t>
    </r>
    <r>
      <rPr>
        <vertAlign val="superscript"/>
        <sz val="11"/>
        <rFont val="Arial"/>
        <family val="2"/>
      </rPr>
      <t xml:space="preserve">4  
</t>
    </r>
    <r>
      <rPr>
        <i/>
        <sz val="11"/>
        <color rgb="FFFF0000"/>
        <rFont val="Arial"/>
        <family val="2"/>
      </rPr>
      <t>Not to be disposed of unless rate rider has expired and balance has been audited</t>
    </r>
  </si>
  <si>
    <t>1595_(2014)</t>
  </si>
  <si>
    <t>Total Group 1 Balance excluding Account 1589 - Global Adjustment</t>
  </si>
  <si>
    <t>Total Group 1 Balance</t>
  </si>
  <si>
    <t>LRAM Variance Account (only input amounts if applying for disposition of this account)</t>
  </si>
  <si>
    <t>Total including Account 1568</t>
  </si>
  <si>
    <t>For all Board-Approved dispositions, please ensure that the disposition amount has the same sign (e.g: debit balances are to have a positive figure and credit balance are to have a negative figure) as per the related Board decision.</t>
  </si>
  <si>
    <t>Please provide explanations for the nature of the adjustments.  If the adjustment relates to previously Board Approved disposed balances, please provide amounts for adjustments and include supporting documentations.</t>
  </si>
  <si>
    <t>For RSVA accounts only, report the net variance to the account during the year.  For all other accounts, record the transactions during the year.</t>
  </si>
  <si>
    <t>If the LDC’s rate year begins on January 1, 2016, the projected interest is recorded from January 1, 2015 to December 31, 2015 on the December 31, 2014 balances adjusted for the disposed balances approved by the Board in the 2015 rate decision.  If the LDC’s rate year begins on May 1, 2016, the projected interest is recorded from January 1, 2015 to April 30, 2016 on the December 31, 2014 balances adjusted for the disposed interest balances approved by the Board in the 2015 rate decision.</t>
  </si>
  <si>
    <t>Include Account 1595 as part of Group 1 accounts (lines 31-37) for review and disposition if the recovery (or refund) period has been completed. If the recovery (or refund) period has not been completed, do not include the respective balance in Account 1595 for disposition at this time.</t>
  </si>
</sst>
</file>

<file path=xl/styles.xml><?xml version="1.0" encoding="utf-8"?>
<styleSheet xmlns="http://schemas.openxmlformats.org/spreadsheetml/2006/main" xmlns:mc="http://schemas.openxmlformats.org/markup-compatibility/2006" xmlns:x14ac="http://schemas.microsoft.com/office/spreadsheetml/2009/9/ac" mc:Ignorable="x14ac">
  <numFmts count="43">
    <numFmt numFmtId="44" formatCode="_-&quot;$&quot;* #,##0.00_-;\-&quot;$&quot;* #,##0.00_-;_-&quot;$&quot;* &quot;-&quot;??_-;_-@_-"/>
    <numFmt numFmtId="43" formatCode="_-* #,##0.00_-;\-* #,##0.00_-;_-* &quot;-&quot;??_-;_-@_-"/>
    <numFmt numFmtId="164" formatCode="&quot;$&quot;#,##0_);\(&quot;$&quot;#,##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_(* #,##0.0_);_(* \(#,##0.0\);_(* &quot;-&quot;??_);_(@_)"/>
    <numFmt numFmtId="170" formatCode="_(* #,##0_);_(* \(#,##0\);_(* &quot;-&quot;??_);_(@_)"/>
    <numFmt numFmtId="171" formatCode="_(&quot;$&quot;* #,##0_);_(&quot;$&quot;* \(#,##0\);_(&quot;$&quot;* &quot;-&quot;??_);_(@_)"/>
    <numFmt numFmtId="172" formatCode="_(&quot;$&quot;* #,##0.00000_);_(&quot;$&quot;* \(#,##0.00000\);_(&quot;$&quot;* &quot;-&quot;??_);_(@_)"/>
    <numFmt numFmtId="173" formatCode="[$-409]mmmm\-yy;@"/>
    <numFmt numFmtId="174" formatCode="#,##0.00000"/>
    <numFmt numFmtId="175" formatCode="#,##0.000"/>
    <numFmt numFmtId="176" formatCode="&quot;$&quot;#,##0.00"/>
    <numFmt numFmtId="177" formatCode="#,##0.0"/>
    <numFmt numFmtId="178" formatCode="0.000000"/>
    <numFmt numFmtId="179" formatCode="_-&quot;$&quot;* #,##0_-;\-&quot;$&quot;* #,##0_-;_-&quot;$&quot;* &quot;-&quot;??_-;_-@_-"/>
    <numFmt numFmtId="180" formatCode="_-* #,##0_-;\-* #,##0_-;_-* &quot;-&quot;??_-;_-@_-"/>
    <numFmt numFmtId="181" formatCode="&quot;£ &quot;#,##0.00;[Red]\-&quot;£ &quot;#,##0.00"/>
    <numFmt numFmtId="182" formatCode="##\-#"/>
    <numFmt numFmtId="183" formatCode="mm/dd/yyyy"/>
    <numFmt numFmtId="184" formatCode="0\-0"/>
    <numFmt numFmtId="185" formatCode="_([$€-2]* #,##0.00_);_([$€-2]* \(#,##0.00\);_([$€-2]* &quot;-&quot;??_)"/>
    <numFmt numFmtId="186" formatCode="_-* #,##0.0_-;\-* #,##0.0_-;_-* &quot;-&quot;??_-;_-@_-"/>
    <numFmt numFmtId="187" formatCode="0.0%"/>
    <numFmt numFmtId="188" formatCode="#,##0_);\(#,##0\ \)"/>
    <numFmt numFmtId="189" formatCode="#,##0.00000_);\(#,##0.00000\)"/>
    <numFmt numFmtId="190" formatCode="#,##0.0000_);\(#,##0.0000\)"/>
    <numFmt numFmtId="191" formatCode="[$-1009]mmmm\ d\,\ yyyy;@"/>
    <numFmt numFmtId="192" formatCode="_-* #,##0.0000000_-;\-* #,##0.0000000_-;_-* &quot;-&quot;??_-;_-@_-"/>
    <numFmt numFmtId="193" formatCode="0.0000000"/>
    <numFmt numFmtId="194" formatCode="&quot;$&quot;#,##0.0000_);\(&quot;$&quot;#,##0.0000\)"/>
    <numFmt numFmtId="195" formatCode="_-* #,##0.000000_-;\-* #,##0.000000_-;_-* &quot;-&quot;??_-;_-@_-"/>
    <numFmt numFmtId="196" formatCode="_(* #,##0_);_(* \(#,##0\);_(* &quot;-&quot;???_);_(@_)"/>
    <numFmt numFmtId="197" formatCode="_(&quot;$&quot;* #,##0.00_);_(&quot;$&quot;* \(#,##0.00\);_(&quot;$&quot;* &quot;-&quot;_);_(@_)"/>
    <numFmt numFmtId="198" formatCode="_(* #,##0_);_(* \(#,##0\);_(* &quot;-&quot;?_);_(@_)"/>
    <numFmt numFmtId="199" formatCode="&quot;$&quot;#,##0_);[Red]\(&quot;$&quot;#,##0\)"/>
    <numFmt numFmtId="200" formatCode="_-* #,##0.00000_-;\-* #,##0.00000_-;_-* &quot;-&quot;??_-;_-@_-"/>
    <numFmt numFmtId="201" formatCode="_(* #,##0.0000_);_(* \(#,##0.0000\);_(* &quot;-&quot;??_);_(@_)"/>
    <numFmt numFmtId="202" formatCode="#,##0.00;\(#,##0.00\)"/>
    <numFmt numFmtId="203" formatCode="_ #,##0;[Red]\(#,##0\)"/>
    <numFmt numFmtId="204" formatCode="_ #,##0.00;[Red]\(#,##0.00\)"/>
  </numFmts>
  <fonts count="93"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9"/>
      <color indexed="72"/>
      <name val="Arial"/>
      <family val="2"/>
    </font>
    <font>
      <u/>
      <sz val="10"/>
      <name val="Arial"/>
      <family val="2"/>
    </font>
    <font>
      <b/>
      <sz val="12"/>
      <name val="Arial"/>
      <family val="2"/>
    </font>
    <font>
      <sz val="10"/>
      <name val="Arial"/>
      <family val="2"/>
    </font>
    <font>
      <sz val="9"/>
      <name val="Arial"/>
      <family val="2"/>
    </font>
    <font>
      <u/>
      <sz val="10"/>
      <color indexed="12"/>
      <name val="Arial"/>
      <family val="2"/>
    </font>
    <font>
      <sz val="14"/>
      <name val="Arial"/>
      <family val="2"/>
    </font>
    <font>
      <b/>
      <sz val="9"/>
      <name val="Arial"/>
      <family val="2"/>
    </font>
    <font>
      <b/>
      <u/>
      <sz val="10"/>
      <name val="Arial"/>
      <family val="2"/>
    </font>
    <font>
      <sz val="9"/>
      <name val="Arial"/>
      <family val="2"/>
    </font>
    <font>
      <sz val="8"/>
      <name val="Arial"/>
      <family val="2"/>
    </font>
    <font>
      <b/>
      <sz val="18"/>
      <name val="Arial"/>
      <family val="2"/>
    </font>
    <font>
      <b/>
      <sz val="12"/>
      <name val="Arial"/>
      <family val="2"/>
    </font>
    <font>
      <sz val="8"/>
      <name val="Arial"/>
      <family val="2"/>
    </font>
    <font>
      <b/>
      <sz val="14"/>
      <name val="Arial"/>
      <family val="2"/>
    </font>
    <font>
      <b/>
      <sz val="14"/>
      <name val="Arial"/>
      <family val="2"/>
    </font>
    <font>
      <b/>
      <sz val="20"/>
      <name val="Arial"/>
      <family val="2"/>
    </font>
    <font>
      <b/>
      <sz val="11"/>
      <name val="Arial"/>
      <family val="2"/>
    </font>
    <font>
      <b/>
      <sz val="12"/>
      <color indexed="9"/>
      <name val="Arial"/>
      <family val="2"/>
    </font>
    <font>
      <sz val="12"/>
      <name val="Times New Roman"/>
      <family val="1"/>
    </font>
    <font>
      <b/>
      <sz val="9"/>
      <name val="Times New Roman"/>
      <family val="1"/>
    </font>
    <font>
      <sz val="9"/>
      <name val="Times New Roman"/>
      <family val="1"/>
    </font>
    <font>
      <b/>
      <u/>
      <sz val="9"/>
      <name val="Times New Roman"/>
      <family val="1"/>
    </font>
    <font>
      <b/>
      <u val="singleAccounting"/>
      <sz val="9"/>
      <name val="Times New Roman"/>
      <family val="1"/>
    </font>
    <font>
      <u val="singleAccounting"/>
      <sz val="9"/>
      <name val="Times New Roman"/>
      <family val="1"/>
    </font>
    <font>
      <b/>
      <sz val="8"/>
      <name val="Arial"/>
      <family val="2"/>
    </font>
    <font>
      <b/>
      <sz val="8"/>
      <name val="Times New Roman"/>
      <family val="1"/>
    </font>
    <font>
      <sz val="8"/>
      <name val="Times New Roman"/>
      <family val="1"/>
    </font>
    <font>
      <b/>
      <u/>
      <sz val="8"/>
      <name val="Times New Roman"/>
      <family val="1"/>
    </font>
    <font>
      <sz val="12"/>
      <name val="Times New Roman"/>
      <family val="1"/>
    </font>
    <font>
      <b/>
      <sz val="8"/>
      <color indexed="9"/>
      <name val="Times New Roman"/>
      <family val="1"/>
    </font>
    <font>
      <sz val="8"/>
      <color indexed="9"/>
      <name val="Arial"/>
      <family val="2"/>
    </font>
    <font>
      <sz val="8"/>
      <color indexed="81"/>
      <name val="Tahoma"/>
      <family val="2"/>
    </font>
    <font>
      <b/>
      <sz val="8"/>
      <color indexed="81"/>
      <name val="Tahoma"/>
      <family val="2"/>
    </font>
    <font>
      <sz val="10"/>
      <name val="Times New Roman"/>
      <family val="1"/>
    </font>
    <font>
      <b/>
      <sz val="1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b/>
      <sz val="14"/>
      <name val="Times New Roman"/>
      <family val="1"/>
    </font>
    <font>
      <b/>
      <sz val="12"/>
      <name val="Times New Roman"/>
      <family val="1"/>
    </font>
    <font>
      <b/>
      <sz val="9"/>
      <color indexed="8"/>
      <name val="Times New Roman"/>
      <family val="1"/>
    </font>
    <font>
      <b/>
      <u/>
      <sz val="10"/>
      <name val="Times New Roman"/>
      <family val="1"/>
    </font>
    <font>
      <sz val="10"/>
      <color indexed="9"/>
      <name val="Times New Roman"/>
      <family val="1"/>
    </font>
    <font>
      <b/>
      <u/>
      <sz val="10"/>
      <color indexed="9"/>
      <name val="Times New Roman"/>
      <family val="1"/>
    </font>
    <font>
      <b/>
      <u/>
      <sz val="9"/>
      <name val="Arial"/>
      <family val="2"/>
    </font>
    <font>
      <b/>
      <sz val="10"/>
      <name val="Arial"/>
      <family val="2"/>
    </font>
    <font>
      <sz val="9"/>
      <color indexed="10"/>
      <name val="Times New Roman"/>
      <family val="1"/>
    </font>
    <font>
      <sz val="8"/>
      <color indexed="9"/>
      <name val="Arial"/>
      <family val="2"/>
    </font>
    <font>
      <sz val="8"/>
      <color indexed="10"/>
      <name val="Times New Roman"/>
      <family val="1"/>
    </font>
    <font>
      <sz val="8"/>
      <color indexed="9"/>
      <name val="Times New Roman"/>
      <family val="1"/>
    </font>
    <font>
      <u val="singleAccounting"/>
      <sz val="12"/>
      <name val="Times New Roman"/>
      <family val="1"/>
    </font>
    <font>
      <sz val="10"/>
      <name val="Tahoma"/>
      <family val="2"/>
    </font>
    <font>
      <b/>
      <sz val="16"/>
      <name val="Times New Roman"/>
      <family val="1"/>
    </font>
    <font>
      <b/>
      <sz val="10"/>
      <color indexed="9"/>
      <name val="Arial"/>
      <family val="2"/>
    </font>
    <font>
      <u val="singleAccounting"/>
      <sz val="10"/>
      <name val="Arial"/>
      <family val="2"/>
    </font>
    <font>
      <sz val="10"/>
      <name val="Arial"/>
      <family val="2"/>
    </font>
    <font>
      <sz val="10"/>
      <name val="Arial"/>
      <family val="2"/>
    </font>
    <font>
      <sz val="11"/>
      <color theme="1"/>
      <name val="Calibri"/>
      <family val="2"/>
      <scheme val="minor"/>
    </font>
    <font>
      <b/>
      <sz val="11"/>
      <color theme="1"/>
      <name val="Calibri"/>
      <family val="2"/>
      <scheme val="minor"/>
    </font>
    <font>
      <b/>
      <sz val="16"/>
      <color theme="1"/>
      <name val="Arial"/>
      <family val="2"/>
    </font>
    <font>
      <b/>
      <sz val="12"/>
      <color theme="1"/>
      <name val="Arial"/>
      <family val="2"/>
    </font>
    <font>
      <b/>
      <vertAlign val="superscript"/>
      <sz val="11"/>
      <color theme="1"/>
      <name val="Calibri"/>
      <family val="2"/>
    </font>
    <font>
      <vertAlign val="superscript"/>
      <sz val="10"/>
      <name val="Arial"/>
      <family val="2"/>
    </font>
    <font>
      <b/>
      <vertAlign val="superscript"/>
      <sz val="10"/>
      <name val="Arial"/>
      <family val="2"/>
    </font>
    <font>
      <sz val="8"/>
      <color rgb="FF000000"/>
      <name val="Tahoma"/>
      <family val="2"/>
    </font>
    <font>
      <b/>
      <sz val="22"/>
      <name val="Arial"/>
      <family val="2"/>
    </font>
    <font>
      <sz val="22"/>
      <name val="Arial"/>
      <family val="2"/>
    </font>
    <font>
      <b/>
      <i/>
      <sz val="10"/>
      <name val="Arial"/>
      <family val="2"/>
    </font>
    <font>
      <b/>
      <sz val="26"/>
      <name val="Arial"/>
      <family val="2"/>
    </font>
    <font>
      <b/>
      <vertAlign val="superscript"/>
      <sz val="11"/>
      <name val="Arial"/>
      <family val="2"/>
    </font>
    <font>
      <b/>
      <sz val="16"/>
      <name val="Arial"/>
      <family val="2"/>
    </font>
    <font>
      <sz val="11"/>
      <name val="Arial"/>
      <family val="2"/>
    </font>
    <font>
      <vertAlign val="superscript"/>
      <sz val="11"/>
      <name val="Arial"/>
      <family val="2"/>
    </font>
    <font>
      <i/>
      <sz val="11"/>
      <color rgb="FFFF0000"/>
      <name val="Arial"/>
      <family val="2"/>
    </font>
    <font>
      <strike/>
      <sz val="10"/>
      <name val="Arial"/>
      <family val="2"/>
    </font>
    <font>
      <b/>
      <sz val="11"/>
      <color indexed="12"/>
      <name val="Arial"/>
      <family val="2"/>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21"/>
        <bgColor indexed="64"/>
      </patternFill>
    </fill>
    <fill>
      <patternFill patternType="solid">
        <fgColor indexed="9"/>
        <bgColor indexed="64"/>
      </patternFill>
    </fill>
    <fill>
      <patternFill patternType="solid">
        <fgColor indexed="42"/>
        <bgColor indexed="64"/>
      </patternFill>
    </fill>
    <fill>
      <patternFill patternType="solid">
        <fgColor indexed="13"/>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66"/>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34998626667073579"/>
        <bgColor indexed="64"/>
      </patternFill>
    </fill>
  </fills>
  <borders count="8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double">
        <color indexed="64"/>
      </top>
      <bottom style="medium">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thin">
        <color indexed="64"/>
      </top>
      <bottom style="double">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medium">
        <color indexed="64"/>
      </left>
      <right/>
      <top style="thin">
        <color indexed="64"/>
      </top>
      <bottom style="double">
        <color indexed="64"/>
      </bottom>
      <diagonal/>
    </border>
    <border>
      <left/>
      <right/>
      <top style="double">
        <color indexed="64"/>
      </top>
      <bottom style="medium">
        <color indexed="64"/>
      </bottom>
      <diagonal/>
    </border>
    <border>
      <left style="thin">
        <color indexed="64"/>
      </left>
      <right style="thin">
        <color indexed="64"/>
      </right>
      <top/>
      <bottom/>
      <diagonal/>
    </border>
    <border>
      <left style="medium">
        <color indexed="64"/>
      </left>
      <right/>
      <top/>
      <bottom style="medium">
        <color indexed="12"/>
      </bottom>
      <diagonal/>
    </border>
    <border>
      <left/>
      <right/>
      <top/>
      <bottom style="medium">
        <color indexed="12"/>
      </bottom>
      <diagonal/>
    </border>
    <border>
      <left/>
      <right style="medium">
        <color indexed="64"/>
      </right>
      <top/>
      <bottom style="medium">
        <color indexed="12"/>
      </bottom>
      <diagonal/>
    </border>
    <border>
      <left style="medium">
        <color indexed="64"/>
      </left>
      <right style="medium">
        <color indexed="64"/>
      </right>
      <top/>
      <bottom style="medium">
        <color indexed="39"/>
      </bottom>
      <diagonal/>
    </border>
    <border>
      <left style="medium">
        <color indexed="64"/>
      </left>
      <right style="medium">
        <color indexed="64"/>
      </right>
      <top/>
      <bottom style="medium">
        <color indexed="12"/>
      </bottom>
      <diagonal/>
    </border>
    <border>
      <left style="medium">
        <color indexed="64"/>
      </left>
      <right/>
      <top style="medium">
        <color indexed="12"/>
      </top>
      <bottom/>
      <diagonal/>
    </border>
    <border>
      <left/>
      <right/>
      <top style="medium">
        <color indexed="12"/>
      </top>
      <bottom/>
      <diagonal/>
    </border>
    <border>
      <left/>
      <right style="medium">
        <color indexed="64"/>
      </right>
      <top style="medium">
        <color indexed="12"/>
      </top>
      <bottom/>
      <diagonal/>
    </border>
    <border>
      <left style="medium">
        <color indexed="64"/>
      </left>
      <right style="medium">
        <color indexed="64"/>
      </right>
      <top style="medium">
        <color indexed="39"/>
      </top>
      <bottom/>
      <diagonal/>
    </border>
    <border>
      <left style="medium">
        <color indexed="9"/>
      </left>
      <right style="medium">
        <color indexed="9"/>
      </right>
      <top style="medium">
        <color indexed="9"/>
      </top>
      <bottom/>
      <diagonal/>
    </border>
    <border>
      <left style="medium">
        <color indexed="9"/>
      </left>
      <right/>
      <top style="medium">
        <color indexed="9"/>
      </top>
      <bottom/>
      <diagonal/>
    </border>
    <border>
      <left style="medium">
        <color indexed="9"/>
      </left>
      <right style="medium">
        <color indexed="64"/>
      </right>
      <top style="medium">
        <color indexed="9"/>
      </top>
      <bottom/>
      <diagonal/>
    </border>
    <border>
      <left style="medium">
        <color indexed="64"/>
      </left>
      <right style="medium">
        <color indexed="9"/>
      </right>
      <top style="medium">
        <color indexed="9"/>
      </top>
      <bottom/>
      <diagonal/>
    </border>
    <border>
      <left style="medium">
        <color indexed="9"/>
      </left>
      <right style="medium">
        <color indexed="9"/>
      </right>
      <top/>
      <bottom style="medium">
        <color indexed="9"/>
      </bottom>
      <diagonal/>
    </border>
    <border>
      <left style="medium">
        <color indexed="64"/>
      </left>
      <right style="medium">
        <color indexed="9"/>
      </right>
      <top/>
      <bottom/>
      <diagonal/>
    </border>
    <border>
      <left style="medium">
        <color indexed="9"/>
      </left>
      <right style="medium">
        <color indexed="9"/>
      </right>
      <top/>
      <bottom/>
      <diagonal/>
    </border>
    <border>
      <left style="medium">
        <color indexed="64"/>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style="medium">
        <color indexed="64"/>
      </right>
      <top style="medium">
        <color indexed="9"/>
      </top>
      <bottom style="medium">
        <color indexed="9"/>
      </bottom>
      <diagonal/>
    </border>
    <border>
      <left/>
      <right/>
      <top style="medium">
        <color theme="0"/>
      </top>
      <bottom style="medium">
        <color theme="0"/>
      </bottom>
      <diagonal/>
    </border>
    <border>
      <left/>
      <right style="medium">
        <color auto="1"/>
      </right>
      <top style="medium">
        <color theme="0"/>
      </top>
      <bottom style="medium">
        <color theme="0"/>
      </bottom>
      <diagonal/>
    </border>
    <border>
      <left style="medium">
        <color indexed="9"/>
      </left>
      <right/>
      <top/>
      <bottom style="medium">
        <color indexed="9"/>
      </bottom>
      <diagonal/>
    </border>
    <border>
      <left style="medium">
        <color indexed="9"/>
      </left>
      <right style="medium">
        <color indexed="64"/>
      </right>
      <top/>
      <bottom style="medium">
        <color indexed="9"/>
      </bottom>
      <diagonal/>
    </border>
    <border>
      <left style="medium">
        <color indexed="64"/>
      </left>
      <right style="medium">
        <color indexed="9"/>
      </right>
      <top/>
      <bottom style="medium">
        <color indexed="9"/>
      </bottom>
      <diagonal/>
    </border>
    <border>
      <left style="medium">
        <color indexed="9"/>
      </left>
      <right/>
      <top style="medium">
        <color indexed="9"/>
      </top>
      <bottom style="medium">
        <color indexed="9"/>
      </bottom>
      <diagonal/>
    </border>
    <border>
      <left style="medium">
        <color indexed="9"/>
      </left>
      <right/>
      <top/>
      <bottom/>
      <diagonal/>
    </border>
    <border>
      <left style="medium">
        <color indexed="64"/>
      </left>
      <right style="medium">
        <color indexed="64"/>
      </right>
      <top style="medium">
        <color indexed="9"/>
      </top>
      <bottom style="medium">
        <color indexed="9"/>
      </bottom>
      <diagonal/>
    </border>
  </borders>
  <cellStyleXfs count="127">
    <xf numFmtId="0" fontId="0" fillId="0" borderId="0"/>
    <xf numFmtId="169" fontId="3" fillId="0" borderId="0"/>
    <xf numFmtId="169" fontId="8" fillId="0" borderId="0"/>
    <xf numFmtId="177" fontId="3" fillId="0" borderId="0"/>
    <xf numFmtId="177" fontId="8" fillId="0" borderId="0"/>
    <xf numFmtId="169" fontId="8" fillId="0" borderId="0"/>
    <xf numFmtId="183" fontId="3" fillId="0" borderId="0"/>
    <xf numFmtId="183" fontId="8" fillId="0" borderId="0"/>
    <xf numFmtId="184" fontId="3" fillId="0" borderId="0"/>
    <xf numFmtId="184" fontId="8" fillId="0" borderId="0"/>
    <xf numFmtId="183" fontId="8" fillId="0" borderId="0"/>
    <xf numFmtId="0" fontId="41" fillId="2" borderId="0" applyNumberFormat="0" applyBorder="0" applyAlignment="0" applyProtection="0"/>
    <xf numFmtId="0" fontId="41" fillId="3" borderId="0" applyNumberFormat="0" applyBorder="0" applyAlignment="0" applyProtection="0"/>
    <xf numFmtId="0" fontId="41" fillId="4" borderId="0" applyNumberFormat="0" applyBorder="0" applyAlignment="0" applyProtection="0"/>
    <xf numFmtId="0" fontId="41" fillId="5"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8" borderId="0" applyNumberFormat="0" applyBorder="0" applyAlignment="0" applyProtection="0"/>
    <xf numFmtId="0" fontId="41" fillId="11" borderId="0" applyNumberFormat="0" applyBorder="0" applyAlignment="0" applyProtection="0"/>
    <xf numFmtId="0" fontId="42" fillId="12" borderId="0" applyNumberFormat="0" applyBorder="0" applyAlignment="0" applyProtection="0"/>
    <xf numFmtId="0" fontId="42" fillId="9" borderId="0" applyNumberFormat="0" applyBorder="0" applyAlignment="0" applyProtection="0"/>
    <xf numFmtId="0" fontId="42" fillId="10"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9" borderId="0" applyNumberFormat="0" applyBorder="0" applyAlignment="0" applyProtection="0"/>
    <xf numFmtId="0" fontId="43" fillId="3" borderId="0" applyNumberFormat="0" applyBorder="0" applyAlignment="0" applyProtection="0"/>
    <xf numFmtId="0" fontId="44" fillId="20" borderId="1" applyNumberFormat="0" applyAlignment="0" applyProtection="0"/>
    <xf numFmtId="0" fontId="45" fillId="21" borderId="2" applyNumberFormat="0" applyAlignment="0" applyProtection="0"/>
    <xf numFmtId="168" fontId="3" fillId="0" borderId="0" applyFont="0" applyFill="0" applyBorder="0" applyAlignment="0" applyProtection="0"/>
    <xf numFmtId="168" fontId="73" fillId="0" borderId="0" applyFont="0" applyFill="0" applyBorder="0" applyAlignment="0" applyProtection="0"/>
    <xf numFmtId="43" fontId="8" fillId="0" borderId="0" applyFont="0" applyFill="0" applyBorder="0" applyAlignment="0" applyProtection="0"/>
    <xf numFmtId="177" fontId="39"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6"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5" fillId="0" borderId="0" applyAlignment="0">
      <alignment vertical="top" wrapText="1"/>
      <protection locked="0"/>
    </xf>
    <xf numFmtId="3" fontId="3" fillId="0" borderId="0" applyFont="0" applyFill="0" applyBorder="0" applyAlignment="0" applyProtection="0"/>
    <xf numFmtId="3" fontId="8" fillId="0" borderId="0" applyFont="0" applyFill="0" applyBorder="0" applyAlignment="0" applyProtection="0"/>
    <xf numFmtId="167" fontId="3" fillId="0" borderId="0" applyFont="0" applyFill="0" applyBorder="0" applyAlignment="0" applyProtection="0"/>
    <xf numFmtId="44" fontId="8" fillId="0" borderId="0" applyFont="0" applyFill="0" applyBorder="0" applyAlignment="0" applyProtection="0"/>
    <xf numFmtId="199" fontId="39" fillId="0" borderId="0" applyFont="0" applyFill="0" applyBorder="0" applyAlignment="0" applyProtection="0"/>
    <xf numFmtId="167" fontId="8" fillId="0" borderId="0" applyFont="0" applyFill="0" applyBorder="0" applyAlignment="0" applyProtection="0"/>
    <xf numFmtId="187" fontId="39" fillId="0" borderId="0" applyFont="0" applyFill="0" applyBorder="0" applyAlignment="0" applyProtection="0"/>
    <xf numFmtId="169" fontId="8" fillId="0" borderId="0" applyFont="0" applyFill="0" applyBorder="0" applyAlignment="0" applyProtection="0"/>
    <xf numFmtId="167" fontId="8" fillId="0" borderId="0" applyFont="0" applyFill="0" applyBorder="0" applyAlignment="0" applyProtection="0"/>
    <xf numFmtId="44" fontId="8" fillId="0" borderId="0" applyFont="0" applyFill="0" applyBorder="0" applyAlignment="0" applyProtection="0"/>
    <xf numFmtId="167" fontId="8" fillId="0" borderId="0" applyFont="0" applyFill="0" applyBorder="0" applyAlignment="0" applyProtection="0"/>
    <xf numFmtId="169" fontId="72" fillId="0" borderId="0" applyFont="0" applyFill="0" applyBorder="0" applyAlignment="0" applyProtection="0"/>
    <xf numFmtId="167" fontId="7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7" fontId="24" fillId="0" borderId="0" applyFont="0" applyFill="0" applyBorder="0" applyAlignment="0" applyProtection="0"/>
    <xf numFmtId="167"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7" fontId="3" fillId="0" borderId="0" applyFont="0" applyFill="0" applyBorder="0" applyAlignment="0" applyProtection="0"/>
    <xf numFmtId="164" fontId="3" fillId="0" borderId="0" applyFont="0" applyFill="0" applyBorder="0" applyAlignment="0" applyProtection="0"/>
    <xf numFmtId="164" fontId="8" fillId="0" borderId="0" applyFont="0" applyFill="0" applyBorder="0" applyAlignment="0" applyProtection="0"/>
    <xf numFmtId="4" fontId="68" fillId="0" borderId="0"/>
    <xf numFmtId="14" fontId="3" fillId="0" borderId="0" applyFont="0" applyFill="0" applyBorder="0" applyAlignment="0" applyProtection="0"/>
    <xf numFmtId="14" fontId="8" fillId="0" borderId="0" applyFont="0" applyFill="0" applyBorder="0" applyAlignment="0" applyProtection="0"/>
    <xf numFmtId="185" fontId="3" fillId="0" borderId="0" applyFont="0" applyFill="0" applyBorder="0" applyAlignment="0" applyProtection="0"/>
    <xf numFmtId="0" fontId="46" fillId="0" borderId="0" applyNumberFormat="0" applyFill="0" applyBorder="0" applyAlignment="0" applyProtection="0"/>
    <xf numFmtId="2" fontId="3" fillId="0" borderId="0" applyFont="0" applyFill="0" applyBorder="0" applyAlignment="0" applyProtection="0"/>
    <xf numFmtId="2" fontId="8" fillId="0" borderId="0" applyFont="0" applyFill="0" applyBorder="0" applyAlignment="0" applyProtection="0"/>
    <xf numFmtId="0" fontId="47" fillId="4" borderId="0" applyNumberFormat="0" applyBorder="0" applyAlignment="0" applyProtection="0"/>
    <xf numFmtId="38" fontId="15" fillId="22" borderId="0" applyNumberFormat="0" applyBorder="0" applyAlignment="0" applyProtection="0"/>
    <xf numFmtId="0" fontId="69" fillId="0" borderId="0"/>
    <xf numFmtId="0" fontId="7" fillId="0" borderId="3" applyNumberFormat="0" applyAlignment="0" applyProtection="0">
      <alignment horizontal="left" vertical="center"/>
    </xf>
    <xf numFmtId="0" fontId="7" fillId="0" borderId="4">
      <alignment horizontal="left" vertical="center"/>
    </xf>
    <xf numFmtId="0" fontId="16" fillId="0" borderId="0" applyNumberFormat="0" applyFont="0" applyFill="0" applyAlignment="0" applyProtection="0"/>
    <xf numFmtId="0" fontId="17" fillId="0" borderId="0" applyNumberFormat="0" applyFont="0" applyFill="0" applyAlignment="0" applyProtection="0"/>
    <xf numFmtId="0" fontId="48" fillId="0" borderId="5" applyNumberFormat="0" applyFill="0" applyAlignment="0" applyProtection="0"/>
    <xf numFmtId="0" fontId="48" fillId="0" borderId="0" applyNumberFormat="0" applyFill="0" applyBorder="0" applyAlignment="0" applyProtection="0"/>
    <xf numFmtId="0" fontId="10" fillId="0" borderId="0" applyNumberFormat="0" applyFill="0" applyBorder="0" applyAlignment="0" applyProtection="0">
      <alignment vertical="top"/>
      <protection locked="0"/>
    </xf>
    <xf numFmtId="0" fontId="49" fillId="7" borderId="1" applyNumberFormat="0" applyAlignment="0" applyProtection="0"/>
    <xf numFmtId="10" fontId="15" fillId="23" borderId="6" applyNumberFormat="0" applyBorder="0" applyAlignment="0" applyProtection="0"/>
    <xf numFmtId="0" fontId="50" fillId="0" borderId="7" applyNumberFormat="0" applyFill="0" applyAlignment="0" applyProtection="0"/>
    <xf numFmtId="182" fontId="3" fillId="0" borderId="0"/>
    <xf numFmtId="182" fontId="8" fillId="0" borderId="0"/>
    <xf numFmtId="170" fontId="3" fillId="0" borderId="0"/>
    <xf numFmtId="170" fontId="8" fillId="0" borderId="0"/>
    <xf numFmtId="182" fontId="8" fillId="0" borderId="0"/>
    <xf numFmtId="0" fontId="51" fillId="24" borderId="0" applyNumberFormat="0" applyBorder="0" applyAlignment="0" applyProtection="0"/>
    <xf numFmtId="181" fontId="3" fillId="0" borderId="0"/>
    <xf numFmtId="181" fontId="8" fillId="0" borderId="0"/>
    <xf numFmtId="181" fontId="8" fillId="0" borderId="0"/>
    <xf numFmtId="0" fontId="8" fillId="0" borderId="0"/>
    <xf numFmtId="0" fontId="39" fillId="0" borderId="0"/>
    <xf numFmtId="0" fontId="8" fillId="0" borderId="0"/>
    <xf numFmtId="0" fontId="74" fillId="0" borderId="0"/>
    <xf numFmtId="0" fontId="41" fillId="0" borderId="0"/>
    <xf numFmtId="0" fontId="24" fillId="0" borderId="0"/>
    <xf numFmtId="0" fontId="5" fillId="0" borderId="0" applyAlignment="0">
      <alignment vertical="top" wrapText="1"/>
      <protection locked="0"/>
    </xf>
    <xf numFmtId="0" fontId="3" fillId="25" borderId="8" applyNumberFormat="0" applyFont="0" applyAlignment="0" applyProtection="0"/>
    <xf numFmtId="0" fontId="52" fillId="20" borderId="9" applyNumberFormat="0" applyAlignment="0" applyProtection="0"/>
    <xf numFmtId="0" fontId="70" fillId="26" borderId="0"/>
    <xf numFmtId="9" fontId="3" fillId="0" borderId="0" applyFont="0" applyFill="0" applyBorder="0" applyAlignment="0" applyProtection="0"/>
    <xf numFmtId="10" fontId="3" fillId="0" borderId="0" applyFont="0" applyFill="0" applyBorder="0" applyAlignment="0" applyProtection="0"/>
    <xf numFmtId="10" fontId="8" fillId="0" borderId="0" applyFont="0" applyFill="0" applyBorder="0" applyAlignment="0" applyProtection="0"/>
    <xf numFmtId="9" fontId="8" fillId="0" borderId="0" applyFont="0" applyFill="0" applyBorder="0" applyAlignment="0" applyProtection="0"/>
    <xf numFmtId="9" fontId="3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53" fillId="0" borderId="0" applyNumberFormat="0" applyFill="0" applyBorder="0" applyAlignment="0" applyProtection="0"/>
    <xf numFmtId="0" fontId="3" fillId="0" borderId="10" applyNumberFormat="0" applyFont="0" applyBorder="0" applyAlignment="0" applyProtection="0"/>
    <xf numFmtId="0" fontId="54" fillId="0" borderId="0" applyNumberFormat="0" applyFill="0" applyBorder="0" applyAlignment="0" applyProtection="0"/>
  </cellStyleXfs>
  <cellXfs count="923">
    <xf numFmtId="0" fontId="0" fillId="0" borderId="0" xfId="0"/>
    <xf numFmtId="0" fontId="5" fillId="0" borderId="0" xfId="112" applyAlignment="1">
      <alignment vertical="top" wrapText="1"/>
      <protection locked="0"/>
    </xf>
    <xf numFmtId="0" fontId="11" fillId="29" borderId="11" xfId="0" applyFont="1" applyFill="1" applyBorder="1"/>
    <xf numFmtId="0" fontId="0" fillId="29" borderId="3" xfId="0" applyFill="1" applyBorder="1"/>
    <xf numFmtId="0" fontId="0" fillId="29" borderId="12" xfId="0" applyFill="1" applyBorder="1"/>
    <xf numFmtId="167" fontId="4" fillId="0" borderId="0" xfId="0" applyNumberFormat="1" applyFont="1" applyFill="1" applyBorder="1"/>
    <xf numFmtId="174" fontId="0" fillId="0" borderId="0" xfId="0" applyNumberFormat="1" applyAlignment="1">
      <alignment horizontal="center"/>
    </xf>
    <xf numFmtId="0" fontId="4" fillId="22" borderId="0" xfId="0" applyFont="1" applyFill="1"/>
    <xf numFmtId="167" fontId="0" fillId="0" borderId="0" xfId="0" applyNumberFormat="1" applyBorder="1"/>
    <xf numFmtId="167" fontId="0" fillId="0" borderId="0" xfId="0" applyNumberFormat="1"/>
    <xf numFmtId="173" fontId="12" fillId="22" borderId="0" xfId="0" applyNumberFormat="1" applyFont="1" applyFill="1"/>
    <xf numFmtId="0" fontId="13" fillId="0" borderId="0" xfId="0" applyFont="1" applyAlignment="1">
      <alignment horizontal="right"/>
    </xf>
    <xf numFmtId="165" fontId="4" fillId="29" borderId="14" xfId="0" applyNumberFormat="1" applyFont="1" applyFill="1" applyBorder="1" applyAlignment="1">
      <alignment horizontal="center"/>
    </xf>
    <xf numFmtId="49" fontId="5" fillId="28" borderId="15" xfId="112" applyNumberFormat="1" applyFont="1" applyFill="1" applyBorder="1" applyAlignment="1">
      <protection locked="0"/>
    </xf>
    <xf numFmtId="0" fontId="0" fillId="0" borderId="0" xfId="0" applyBorder="1"/>
    <xf numFmtId="0" fontId="0" fillId="0" borderId="0" xfId="0" applyAlignment="1">
      <alignment horizontal="right"/>
    </xf>
    <xf numFmtId="174" fontId="0" fillId="0" borderId="0" xfId="0" applyNumberFormat="1" applyFill="1" applyAlignment="1">
      <alignment horizontal="center"/>
    </xf>
    <xf numFmtId="170" fontId="0" fillId="0" borderId="0" xfId="38" applyNumberFormat="1" applyFont="1"/>
    <xf numFmtId="170" fontId="0" fillId="30" borderId="0" xfId="38" applyNumberFormat="1" applyFont="1" applyFill="1"/>
    <xf numFmtId="167" fontId="4" fillId="29" borderId="16" xfId="0" applyNumberFormat="1" applyFont="1" applyFill="1" applyBorder="1"/>
    <xf numFmtId="3" fontId="0" fillId="0" borderId="0" xfId="0" applyNumberFormat="1" applyFill="1" applyAlignment="1">
      <alignment horizontal="right"/>
    </xf>
    <xf numFmtId="175" fontId="0" fillId="0" borderId="0" xfId="0" applyNumberFormat="1" applyAlignment="1">
      <alignment horizontal="center"/>
    </xf>
    <xf numFmtId="0" fontId="0" fillId="0" borderId="0" xfId="0" applyFill="1"/>
    <xf numFmtId="165" fontId="4" fillId="0" borderId="0" xfId="0" applyNumberFormat="1" applyFont="1" applyFill="1" applyBorder="1" applyAlignment="1">
      <alignment horizontal="center"/>
    </xf>
    <xf numFmtId="176" fontId="0" fillId="0" borderId="0" xfId="0" applyNumberFormat="1" applyBorder="1"/>
    <xf numFmtId="0" fontId="8" fillId="0" borderId="0" xfId="0" applyFont="1"/>
    <xf numFmtId="174" fontId="4" fillId="29" borderId="17" xfId="0" applyNumberFormat="1" applyFont="1" applyFill="1" applyBorder="1" applyAlignment="1">
      <alignment horizontal="center"/>
    </xf>
    <xf numFmtId="170" fontId="8" fillId="0" borderId="0" xfId="38" applyNumberFormat="1" applyFont="1" applyFill="1" applyBorder="1" applyAlignment="1">
      <alignment horizontal="right"/>
    </xf>
    <xf numFmtId="170" fontId="8" fillId="0" borderId="0" xfId="38" applyNumberFormat="1" applyFont="1" applyFill="1" applyBorder="1" applyAlignment="1"/>
    <xf numFmtId="170" fontId="0" fillId="0" borderId="0" xfId="38" applyNumberFormat="1" applyFont="1" applyAlignment="1">
      <alignment horizontal="right"/>
    </xf>
    <xf numFmtId="170" fontId="8" fillId="0" borderId="18" xfId="38" applyNumberFormat="1" applyFont="1" applyFill="1" applyBorder="1" applyAlignment="1"/>
    <xf numFmtId="0" fontId="19" fillId="0" borderId="0" xfId="0" applyFont="1" applyProtection="1"/>
    <xf numFmtId="0" fontId="0" fillId="27" borderId="0" xfId="0" applyFill="1"/>
    <xf numFmtId="0" fontId="20" fillId="0" borderId="0" xfId="0" applyFont="1" applyProtection="1"/>
    <xf numFmtId="0" fontId="21" fillId="27" borderId="0" xfId="0" applyFont="1" applyFill="1" applyAlignment="1" applyProtection="1">
      <alignment horizontal="left"/>
    </xf>
    <xf numFmtId="0" fontId="0" fillId="27" borderId="0" xfId="0" applyFill="1" applyProtection="1"/>
    <xf numFmtId="0" fontId="0" fillId="27" borderId="0" xfId="0" applyFill="1" applyAlignment="1" applyProtection="1">
      <alignment horizontal="center"/>
    </xf>
    <xf numFmtId="0" fontId="0" fillId="27" borderId="0" xfId="0" applyFill="1" applyBorder="1" applyAlignment="1" applyProtection="1">
      <alignment horizontal="center"/>
    </xf>
    <xf numFmtId="0" fontId="0" fillId="27" borderId="0" xfId="0" applyFill="1" applyAlignment="1" applyProtection="1">
      <alignment horizontal="left"/>
    </xf>
    <xf numFmtId="0" fontId="4" fillId="27" borderId="0" xfId="0" applyFont="1" applyFill="1" applyBorder="1"/>
    <xf numFmtId="0" fontId="7" fillId="27" borderId="0" xfId="0" applyFont="1" applyFill="1" applyAlignment="1" applyProtection="1">
      <alignment horizontal="left"/>
    </xf>
    <xf numFmtId="0" fontId="0" fillId="29" borderId="16" xfId="0" applyFill="1" applyBorder="1" applyAlignment="1" applyProtection="1">
      <alignment horizontal="center"/>
      <protection locked="0"/>
    </xf>
    <xf numFmtId="0" fontId="4" fillId="0" borderId="0" xfId="0" applyFont="1" applyBorder="1"/>
    <xf numFmtId="191" fontId="0" fillId="29" borderId="16" xfId="0" applyNumberFormat="1" applyFill="1" applyBorder="1" applyProtection="1"/>
    <xf numFmtId="0" fontId="13" fillId="27" borderId="0" xfId="0" applyFont="1" applyFill="1" applyProtection="1"/>
    <xf numFmtId="165" fontId="3" fillId="28" borderId="16" xfId="52" applyNumberFormat="1" applyFont="1" applyFill="1" applyBorder="1" applyProtection="1"/>
    <xf numFmtId="0" fontId="4" fillId="27" borderId="0" xfId="0" applyFont="1" applyFill="1" applyAlignment="1" applyProtection="1">
      <alignment horizontal="center"/>
    </xf>
    <xf numFmtId="0" fontId="22" fillId="27" borderId="0" xfId="0" applyFont="1" applyFill="1" applyAlignment="1" applyProtection="1">
      <alignment horizontal="left"/>
    </xf>
    <xf numFmtId="0" fontId="22" fillId="27" borderId="0" xfId="0" applyFont="1" applyFill="1" applyProtection="1"/>
    <xf numFmtId="0" fontId="22" fillId="27" borderId="0" xfId="0" applyFont="1" applyFill="1" applyAlignment="1" applyProtection="1">
      <alignment horizontal="center"/>
    </xf>
    <xf numFmtId="0" fontId="22" fillId="27" borderId="0" xfId="0" applyFont="1" applyFill="1" applyBorder="1"/>
    <xf numFmtId="0" fontId="22" fillId="27" borderId="0" xfId="0" applyFont="1" applyFill="1"/>
    <xf numFmtId="0" fontId="22" fillId="27" borderId="0" xfId="0" applyFont="1" applyFill="1" applyAlignment="1" applyProtection="1">
      <alignment horizontal="center" wrapText="1"/>
    </xf>
    <xf numFmtId="0" fontId="17" fillId="27" borderId="0" xfId="0" applyFont="1" applyFill="1" applyBorder="1" applyAlignment="1" applyProtection="1">
      <alignment horizontal="center" wrapText="1"/>
    </xf>
    <xf numFmtId="0" fontId="22" fillId="27" borderId="0" xfId="0" applyFont="1" applyFill="1" applyBorder="1" applyAlignment="1"/>
    <xf numFmtId="0" fontId="7" fillId="27" borderId="0" xfId="0" applyFont="1" applyFill="1" applyBorder="1" applyAlignment="1" applyProtection="1">
      <alignment horizontal="center" wrapText="1"/>
    </xf>
    <xf numFmtId="0" fontId="22" fillId="27" borderId="0" xfId="0" applyFont="1" applyFill="1" applyBorder="1" applyAlignment="1">
      <alignment horizontal="center"/>
    </xf>
    <xf numFmtId="188" fontId="7" fillId="27" borderId="0" xfId="0" applyNumberFormat="1" applyFont="1" applyFill="1" applyAlignment="1" applyProtection="1">
      <alignment horizontal="center"/>
    </xf>
    <xf numFmtId="188" fontId="23" fillId="27" borderId="0" xfId="0" applyNumberFormat="1" applyFont="1" applyFill="1" applyAlignment="1" applyProtection="1">
      <alignment horizontal="center"/>
    </xf>
    <xf numFmtId="188" fontId="0" fillId="27" borderId="0" xfId="0" applyNumberFormat="1" applyFill="1" applyProtection="1"/>
    <xf numFmtId="187" fontId="3" fillId="27" borderId="0" xfId="116" applyNumberFormat="1" applyFill="1" applyBorder="1"/>
    <xf numFmtId="165" fontId="3" fillId="27" borderId="0" xfId="52" applyNumberFormat="1" applyFont="1" applyFill="1" applyBorder="1" applyProtection="1"/>
    <xf numFmtId="188" fontId="0" fillId="27" borderId="0" xfId="0" applyNumberFormat="1" applyFill="1" applyAlignment="1" applyProtection="1">
      <alignment horizontal="center"/>
    </xf>
    <xf numFmtId="190" fontId="3" fillId="27" borderId="0" xfId="72" applyNumberFormat="1" applyFill="1" applyAlignment="1" applyProtection="1">
      <alignment horizontal="center"/>
    </xf>
    <xf numFmtId="0" fontId="0" fillId="27" borderId="0" xfId="0" applyFill="1" applyBorder="1" applyAlignment="1">
      <alignment horizontal="center"/>
    </xf>
    <xf numFmtId="192" fontId="0" fillId="27" borderId="0" xfId="0" applyNumberFormat="1" applyFill="1" applyBorder="1" applyAlignment="1">
      <alignment horizontal="center"/>
    </xf>
    <xf numFmtId="188" fontId="0" fillId="27" borderId="0" xfId="0" applyNumberFormat="1" applyFill="1" applyAlignment="1" applyProtection="1">
      <alignment horizontal="left"/>
    </xf>
    <xf numFmtId="188" fontId="0" fillId="27" borderId="19" xfId="0" applyNumberFormat="1" applyFill="1" applyBorder="1" applyProtection="1"/>
    <xf numFmtId="9" fontId="3" fillId="27" borderId="19" xfId="116" applyFont="1" applyFill="1" applyBorder="1" applyProtection="1"/>
    <xf numFmtId="9" fontId="3" fillId="27" borderId="0" xfId="116" applyFont="1" applyFill="1" applyBorder="1" applyProtection="1"/>
    <xf numFmtId="165" fontId="3" fillId="27" borderId="19" xfId="52" applyNumberFormat="1" applyFont="1" applyFill="1" applyBorder="1" applyProtection="1"/>
    <xf numFmtId="188" fontId="0" fillId="27" borderId="0" xfId="0" applyNumberFormat="1" applyFill="1" applyBorder="1" applyAlignment="1" applyProtection="1">
      <alignment horizontal="center"/>
    </xf>
    <xf numFmtId="189" fontId="3" fillId="27" borderId="19" xfId="72" applyNumberFormat="1" applyFill="1" applyBorder="1" applyAlignment="1" applyProtection="1">
      <alignment horizontal="center"/>
    </xf>
    <xf numFmtId="179" fontId="0" fillId="27" borderId="0" xfId="0" applyNumberFormat="1" applyFill="1" applyBorder="1"/>
    <xf numFmtId="172" fontId="0" fillId="0" borderId="18" xfId="57" applyNumberFormat="1" applyFont="1" applyBorder="1"/>
    <xf numFmtId="171" fontId="0" fillId="0" borderId="19" xfId="57" applyNumberFormat="1" applyFont="1" applyBorder="1"/>
    <xf numFmtId="0" fontId="14" fillId="0" borderId="0" xfId="0" quotePrefix="1" applyFont="1" applyFill="1" applyBorder="1"/>
    <xf numFmtId="178" fontId="5" fillId="0" borderId="0" xfId="112" applyNumberFormat="1" applyFont="1" applyFill="1" applyBorder="1" applyAlignment="1">
      <alignment horizontal="left"/>
      <protection locked="0"/>
    </xf>
    <xf numFmtId="49" fontId="9" fillId="0" borderId="0" xfId="0" applyNumberFormat="1" applyFont="1" applyFill="1" applyBorder="1" applyAlignment="1">
      <alignment horizontal="left"/>
    </xf>
    <xf numFmtId="39" fontId="5" fillId="0" borderId="0" xfId="54" applyNumberFormat="1" applyFill="1" applyBorder="1" applyAlignment="1">
      <protection locked="0"/>
    </xf>
    <xf numFmtId="0" fontId="0" fillId="0" borderId="0" xfId="0" applyFill="1" applyBorder="1"/>
    <xf numFmtId="0" fontId="25" fillId="0" borderId="0" xfId="0" applyFont="1"/>
    <xf numFmtId="0" fontId="26" fillId="0" borderId="0" xfId="0" applyFont="1"/>
    <xf numFmtId="0" fontId="27" fillId="0" borderId="20" xfId="0" applyFont="1" applyBorder="1"/>
    <xf numFmtId="0" fontId="26" fillId="0" borderId="21" xfId="0" applyFont="1" applyBorder="1" applyAlignment="1">
      <alignment horizontal="center"/>
    </xf>
    <xf numFmtId="0" fontId="26" fillId="0" borderId="22" xfId="0" applyFont="1" applyBorder="1"/>
    <xf numFmtId="0" fontId="26" fillId="0" borderId="23" xfId="0" applyFont="1" applyBorder="1"/>
    <xf numFmtId="171" fontId="26" fillId="0" borderId="0" xfId="0" applyNumberFormat="1" applyFont="1" applyBorder="1"/>
    <xf numFmtId="187" fontId="26" fillId="0" borderId="24" xfId="116" applyNumberFormat="1" applyFont="1" applyBorder="1"/>
    <xf numFmtId="0" fontId="26" fillId="0" borderId="25" xfId="0" applyFont="1" applyBorder="1"/>
    <xf numFmtId="171" fontId="26" fillId="0" borderId="19" xfId="0" applyNumberFormat="1" applyFont="1" applyBorder="1"/>
    <xf numFmtId="187" fontId="26" fillId="0" borderId="26" xfId="116" applyNumberFormat="1" applyFont="1" applyBorder="1"/>
    <xf numFmtId="0" fontId="26" fillId="0" borderId="0" xfId="0" applyFont="1" applyBorder="1"/>
    <xf numFmtId="171" fontId="26" fillId="0" borderId="0" xfId="0" applyNumberFormat="1" applyFont="1"/>
    <xf numFmtId="0" fontId="26" fillId="0" borderId="20" xfId="0" applyFont="1" applyBorder="1"/>
    <xf numFmtId="0" fontId="26" fillId="0" borderId="21" xfId="0" applyFont="1" applyBorder="1"/>
    <xf numFmtId="0" fontId="26" fillId="0" borderId="16" xfId="0" applyFont="1" applyBorder="1"/>
    <xf numFmtId="186" fontId="26" fillId="0" borderId="16" xfId="52" applyNumberFormat="1" applyFont="1" applyBorder="1"/>
    <xf numFmtId="0" fontId="26" fillId="0" borderId="23" xfId="111" applyFont="1" applyBorder="1" applyAlignment="1"/>
    <xf numFmtId="0" fontId="27" fillId="0" borderId="27" xfId="0" applyFont="1" applyBorder="1" applyAlignment="1">
      <alignment horizontal="center" wrapText="1"/>
    </xf>
    <xf numFmtId="9" fontId="27" fillId="0" borderId="27" xfId="116" applyFont="1" applyBorder="1" applyAlignment="1">
      <alignment horizontal="center"/>
    </xf>
    <xf numFmtId="171" fontId="28" fillId="0" borderId="27" xfId="0" applyNumberFormat="1" applyFont="1" applyBorder="1" applyAlignment="1">
      <alignment horizontal="center"/>
    </xf>
    <xf numFmtId="0" fontId="27" fillId="0" borderId="23" xfId="0" applyFont="1" applyBorder="1" applyAlignment="1">
      <alignment wrapText="1"/>
    </xf>
    <xf numFmtId="0" fontId="27" fillId="0" borderId="28" xfId="111" applyFont="1" applyBorder="1" applyAlignment="1">
      <alignment horizontal="center" wrapText="1"/>
    </xf>
    <xf numFmtId="0" fontId="27" fillId="0" borderId="28" xfId="0" applyFont="1" applyBorder="1" applyAlignment="1">
      <alignment horizontal="center" wrapText="1"/>
    </xf>
    <xf numFmtId="171" fontId="28" fillId="0" borderId="28" xfId="0" applyNumberFormat="1" applyFont="1" applyBorder="1" applyAlignment="1">
      <alignment horizontal="center"/>
    </xf>
    <xf numFmtId="0" fontId="25" fillId="0" borderId="23" xfId="0" applyFont="1" applyBorder="1"/>
    <xf numFmtId="166" fontId="26" fillId="0" borderId="28" xfId="111" applyNumberFormat="1" applyFont="1" applyBorder="1" applyAlignment="1">
      <alignment horizontal="center" wrapText="1"/>
    </xf>
    <xf numFmtId="9" fontId="26" fillId="0" borderId="28" xfId="116" applyFont="1" applyBorder="1"/>
    <xf numFmtId="166" fontId="26" fillId="0" borderId="28" xfId="0" applyNumberFormat="1" applyFont="1" applyBorder="1" applyAlignment="1">
      <alignment horizontal="center"/>
    </xf>
    <xf numFmtId="171" fontId="26" fillId="0" borderId="28" xfId="0" applyNumberFormat="1" applyFont="1" applyBorder="1"/>
    <xf numFmtId="171" fontId="28" fillId="0" borderId="28" xfId="71" applyNumberFormat="1" applyFont="1" applyBorder="1" applyAlignment="1">
      <alignment horizontal="right"/>
    </xf>
    <xf numFmtId="171" fontId="28" fillId="0" borderId="28" xfId="71" applyNumberFormat="1" applyFont="1" applyBorder="1" applyAlignment="1"/>
    <xf numFmtId="171" fontId="29" fillId="0" borderId="27" xfId="0" applyNumberFormat="1" applyFont="1" applyBorder="1"/>
    <xf numFmtId="0" fontId="26" fillId="0" borderId="23" xfId="111" applyFont="1" applyBorder="1" applyAlignment="1">
      <alignment horizontal="left" indent="1"/>
    </xf>
    <xf numFmtId="167" fontId="26" fillId="0" borderId="28" xfId="71" applyFont="1" applyBorder="1" applyAlignment="1"/>
    <xf numFmtId="0" fontId="26" fillId="0" borderId="28" xfId="0" applyFont="1" applyBorder="1"/>
    <xf numFmtId="171" fontId="26" fillId="0" borderId="28" xfId="70" applyNumberFormat="1" applyFont="1" applyBorder="1"/>
    <xf numFmtId="171" fontId="26" fillId="0" borderId="28" xfId="71" applyNumberFormat="1" applyFont="1" applyBorder="1"/>
    <xf numFmtId="0" fontId="26" fillId="27" borderId="23" xfId="0" applyFont="1" applyFill="1" applyBorder="1" applyProtection="1"/>
    <xf numFmtId="171" fontId="26" fillId="0" borderId="29" xfId="70" applyNumberFormat="1" applyFont="1" applyBorder="1"/>
    <xf numFmtId="9" fontId="26" fillId="0" borderId="29" xfId="116" applyFont="1" applyBorder="1"/>
    <xf numFmtId="171" fontId="26" fillId="0" borderId="29" xfId="0" applyNumberFormat="1" applyFont="1" applyBorder="1"/>
    <xf numFmtId="0" fontId="25" fillId="0" borderId="23" xfId="111" applyFont="1" applyBorder="1"/>
    <xf numFmtId="171" fontId="25" fillId="0" borderId="29" xfId="111" applyNumberFormat="1" applyFont="1" applyBorder="1"/>
    <xf numFmtId="9" fontId="25" fillId="0" borderId="29" xfId="116" applyFont="1" applyBorder="1"/>
    <xf numFmtId="171" fontId="25" fillId="0" borderId="30" xfId="0" applyNumberFormat="1" applyFont="1" applyBorder="1"/>
    <xf numFmtId="171" fontId="26" fillId="0" borderId="31" xfId="0" applyNumberFormat="1" applyFont="1" applyBorder="1"/>
    <xf numFmtId="0" fontId="25" fillId="0" borderId="25" xfId="0" applyFont="1" applyBorder="1"/>
    <xf numFmtId="166" fontId="25" fillId="0" borderId="32" xfId="0" applyNumberFormat="1" applyFont="1" applyBorder="1"/>
    <xf numFmtId="0" fontId="25" fillId="0" borderId="32" xfId="0" applyFont="1" applyBorder="1"/>
    <xf numFmtId="171" fontId="25" fillId="0" borderId="32" xfId="0" applyNumberFormat="1" applyFont="1" applyBorder="1"/>
    <xf numFmtId="170" fontId="25" fillId="0" borderId="33" xfId="0" applyNumberFormat="1" applyFont="1" applyBorder="1"/>
    <xf numFmtId="171" fontId="26" fillId="0" borderId="33" xfId="0" applyNumberFormat="1" applyFont="1" applyBorder="1"/>
    <xf numFmtId="0" fontId="25" fillId="0" borderId="0" xfId="0" applyFont="1" applyBorder="1"/>
    <xf numFmtId="166" fontId="25" fillId="0" borderId="0" xfId="0" applyNumberFormat="1" applyFont="1" applyBorder="1"/>
    <xf numFmtId="171" fontId="25" fillId="0" borderId="0" xfId="0" applyNumberFormat="1" applyFont="1" applyBorder="1"/>
    <xf numFmtId="170" fontId="25" fillId="0" borderId="0" xfId="0" applyNumberFormat="1" applyFont="1" applyBorder="1"/>
    <xf numFmtId="0" fontId="26" fillId="0" borderId="23" xfId="0" applyFont="1" applyFill="1" applyBorder="1"/>
    <xf numFmtId="0" fontId="26" fillId="0" borderId="25" xfId="0" applyFont="1" applyFill="1" applyBorder="1"/>
    <xf numFmtId="0" fontId="25" fillId="0" borderId="20" xfId="0" applyFont="1" applyBorder="1"/>
    <xf numFmtId="0" fontId="25" fillId="0" borderId="21" xfId="0" applyFont="1" applyBorder="1"/>
    <xf numFmtId="0" fontId="26" fillId="0" borderId="13" xfId="0" applyFont="1" applyBorder="1"/>
    <xf numFmtId="171" fontId="26" fillId="0" borderId="21" xfId="0" applyNumberFormat="1" applyFont="1" applyBorder="1"/>
    <xf numFmtId="0" fontId="0" fillId="0" borderId="23" xfId="0" applyBorder="1"/>
    <xf numFmtId="0" fontId="0" fillId="0" borderId="0" xfId="0" applyBorder="1" applyAlignment="1">
      <alignment horizontal="right"/>
    </xf>
    <xf numFmtId="0" fontId="0" fillId="0" borderId="24" xfId="0" applyBorder="1"/>
    <xf numFmtId="9" fontId="0" fillId="0" borderId="24" xfId="116" applyFont="1" applyBorder="1"/>
    <xf numFmtId="170" fontId="0" fillId="0" borderId="0" xfId="38" applyNumberFormat="1" applyFont="1" applyBorder="1" applyAlignment="1">
      <alignment horizontal="right"/>
    </xf>
    <xf numFmtId="170" fontId="0" fillId="0" borderId="24" xfId="38" applyNumberFormat="1" applyFont="1" applyBorder="1"/>
    <xf numFmtId="171" fontId="0" fillId="0" borderId="0" xfId="0" applyNumberFormat="1" applyBorder="1"/>
    <xf numFmtId="178" fontId="0" fillId="0" borderId="0" xfId="0" applyNumberFormat="1" applyBorder="1" applyAlignment="1">
      <alignment horizontal="left"/>
    </xf>
    <xf numFmtId="0" fontId="0" fillId="0" borderId="25" xfId="0" applyBorder="1"/>
    <xf numFmtId="0" fontId="0" fillId="0" borderId="13" xfId="0" applyBorder="1"/>
    <xf numFmtId="0" fontId="0" fillId="0" borderId="35" xfId="0" applyBorder="1"/>
    <xf numFmtId="0" fontId="0" fillId="0" borderId="11" xfId="0" applyBorder="1"/>
    <xf numFmtId="0" fontId="0" fillId="0" borderId="3" xfId="0" applyBorder="1"/>
    <xf numFmtId="0" fontId="0" fillId="0" borderId="12" xfId="0" applyBorder="1"/>
    <xf numFmtId="171" fontId="0" fillId="0" borderId="0" xfId="57" applyNumberFormat="1" applyFont="1" applyBorder="1"/>
    <xf numFmtId="193" fontId="0" fillId="0" borderId="0" xfId="0" applyNumberFormat="1" applyBorder="1" applyAlignment="1">
      <alignment horizontal="left"/>
    </xf>
    <xf numFmtId="193" fontId="9" fillId="0" borderId="0" xfId="0" applyNumberFormat="1" applyFont="1" applyFill="1" applyBorder="1" applyAlignment="1">
      <alignment horizontal="left"/>
    </xf>
    <xf numFmtId="0" fontId="30" fillId="0" borderId="0" xfId="0" applyFont="1"/>
    <xf numFmtId="0" fontId="18" fillId="0" borderId="0" xfId="0" applyFont="1"/>
    <xf numFmtId="0" fontId="18" fillId="0" borderId="0" xfId="0" applyFont="1" applyFill="1"/>
    <xf numFmtId="17" fontId="31" fillId="0" borderId="16" xfId="0" applyNumberFormat="1" applyFont="1" applyFill="1" applyBorder="1" applyAlignment="1">
      <alignment horizontal="center"/>
    </xf>
    <xf numFmtId="17" fontId="32" fillId="0" borderId="28" xfId="0" applyNumberFormat="1" applyFont="1" applyFill="1" applyBorder="1" applyAlignment="1">
      <alignment horizontal="center"/>
    </xf>
    <xf numFmtId="0" fontId="18" fillId="0" borderId="28" xfId="0" applyFont="1" applyBorder="1"/>
    <xf numFmtId="165" fontId="32" fillId="0" borderId="28" xfId="0" applyNumberFormat="1" applyFont="1" applyFill="1" applyBorder="1" applyAlignment="1">
      <alignment horizontal="center"/>
    </xf>
    <xf numFmtId="165" fontId="32" fillId="0" borderId="28" xfId="50" applyNumberFormat="1" applyFont="1" applyFill="1" applyBorder="1"/>
    <xf numFmtId="0" fontId="33" fillId="0" borderId="28" xfId="0" applyFont="1" applyBorder="1"/>
    <xf numFmtId="165" fontId="32" fillId="0" borderId="36" xfId="0" applyNumberFormat="1" applyFont="1" applyFill="1" applyBorder="1" applyAlignment="1">
      <alignment horizontal="center"/>
    </xf>
    <xf numFmtId="0" fontId="32" fillId="0" borderId="28" xfId="0" applyFont="1" applyBorder="1"/>
    <xf numFmtId="167" fontId="32" fillId="0" borderId="28" xfId="74" applyFont="1" applyFill="1" applyBorder="1"/>
    <xf numFmtId="0" fontId="18" fillId="0" borderId="28" xfId="0" applyFont="1" applyFill="1" applyBorder="1"/>
    <xf numFmtId="0" fontId="34" fillId="0" borderId="28" xfId="0" applyFont="1" applyBorder="1"/>
    <xf numFmtId="167" fontId="32" fillId="0" borderId="28" xfId="74" applyFont="1" applyBorder="1" applyAlignment="1">
      <alignment horizontal="left" indent="2"/>
    </xf>
    <xf numFmtId="167" fontId="32" fillId="0" borderId="28" xfId="74" applyFont="1" applyFill="1" applyBorder="1" applyAlignment="1">
      <alignment horizontal="left" indent="2"/>
    </xf>
    <xf numFmtId="0" fontId="32" fillId="0" borderId="14" xfId="0" applyFont="1" applyBorder="1" applyAlignment="1">
      <alignment horizontal="right"/>
    </xf>
    <xf numFmtId="0" fontId="32" fillId="29" borderId="37" xfId="0" applyFont="1" applyFill="1" applyBorder="1" applyAlignment="1">
      <alignment horizontal="right"/>
    </xf>
    <xf numFmtId="0" fontId="32" fillId="29" borderId="32" xfId="0" applyFont="1" applyFill="1" applyBorder="1" applyAlignment="1">
      <alignment horizontal="right"/>
    </xf>
    <xf numFmtId="180" fontId="18" fillId="0" borderId="0" xfId="50" applyNumberFormat="1" applyFont="1" applyFill="1"/>
    <xf numFmtId="167" fontId="35" fillId="0" borderId="0" xfId="74" applyFont="1" applyBorder="1"/>
    <xf numFmtId="0" fontId="36" fillId="0" borderId="0" xfId="0" applyFont="1" applyBorder="1"/>
    <xf numFmtId="0" fontId="32" fillId="0" borderId="23" xfId="0" applyFont="1" applyBorder="1"/>
    <xf numFmtId="0" fontId="18" fillId="0" borderId="24" xfId="0" applyFont="1" applyFill="1" applyBorder="1"/>
    <xf numFmtId="0" fontId="0" fillId="0" borderId="20" xfId="0" applyBorder="1"/>
    <xf numFmtId="171" fontId="32" fillId="0" borderId="28" xfId="74" applyNumberFormat="1" applyFont="1" applyFill="1" applyBorder="1"/>
    <xf numFmtId="171" fontId="32" fillId="0" borderId="28" xfId="0" applyNumberFormat="1" applyFont="1" applyFill="1" applyBorder="1"/>
    <xf numFmtId="0" fontId="32" fillId="0" borderId="23" xfId="0" applyFont="1" applyBorder="1" applyAlignment="1"/>
    <xf numFmtId="171" fontId="32" fillId="0" borderId="0" xfId="74" applyNumberFormat="1" applyFont="1" applyFill="1" applyBorder="1"/>
    <xf numFmtId="165" fontId="32" fillId="0" borderId="0" xfId="0" applyNumberFormat="1" applyFont="1" applyFill="1" applyBorder="1" applyAlignment="1">
      <alignment horizontal="center"/>
    </xf>
    <xf numFmtId="171" fontId="32" fillId="0" borderId="0" xfId="0" applyNumberFormat="1" applyFont="1" applyFill="1" applyBorder="1"/>
    <xf numFmtId="0" fontId="32" fillId="0" borderId="0" xfId="0" applyFont="1" applyBorder="1" applyAlignment="1"/>
    <xf numFmtId="0" fontId="30" fillId="0" borderId="20" xfId="0" applyFont="1" applyFill="1" applyBorder="1"/>
    <xf numFmtId="0" fontId="30" fillId="0" borderId="22" xfId="0" applyFont="1" applyFill="1" applyBorder="1"/>
    <xf numFmtId="0" fontId="31" fillId="0" borderId="16" xfId="0" applyFont="1" applyFill="1" applyBorder="1" applyAlignment="1">
      <alignment horizontal="center" wrapText="1"/>
    </xf>
    <xf numFmtId="0" fontId="31" fillId="0" borderId="28" xfId="0" applyFont="1" applyFill="1" applyBorder="1" applyAlignment="1">
      <alignment horizontal="center" wrapText="1"/>
    </xf>
    <xf numFmtId="167" fontId="32" fillId="0" borderId="28" xfId="74" applyFont="1" applyFill="1" applyBorder="1" applyAlignment="1">
      <alignment horizontal="center" wrapText="1"/>
    </xf>
    <xf numFmtId="0" fontId="33" fillId="0" borderId="28" xfId="0" applyFont="1" applyFill="1" applyBorder="1"/>
    <xf numFmtId="171" fontId="32" fillId="0" borderId="28" xfId="0" applyNumberFormat="1" applyFont="1" applyFill="1" applyBorder="1" applyAlignment="1"/>
    <xf numFmtId="171" fontId="32" fillId="0" borderId="36" xfId="0" applyNumberFormat="1" applyFont="1" applyFill="1" applyBorder="1" applyAlignment="1"/>
    <xf numFmtId="171" fontId="33" fillId="0" borderId="28" xfId="0" applyNumberFormat="1" applyFont="1" applyFill="1" applyBorder="1"/>
    <xf numFmtId="165" fontId="32" fillId="0" borderId="27" xfId="50" applyNumberFormat="1" applyFont="1" applyFill="1" applyBorder="1"/>
    <xf numFmtId="165" fontId="18" fillId="0" borderId="0" xfId="0" applyNumberFormat="1" applyFont="1" applyFill="1"/>
    <xf numFmtId="165" fontId="32" fillId="0" borderId="32" xfId="50" applyNumberFormat="1" applyFont="1" applyFill="1" applyBorder="1"/>
    <xf numFmtId="165" fontId="34" fillId="0" borderId="28" xfId="0" applyNumberFormat="1" applyFont="1" applyFill="1" applyBorder="1"/>
    <xf numFmtId="0" fontId="18" fillId="0" borderId="0" xfId="0" applyFont="1" applyFill="1" applyBorder="1"/>
    <xf numFmtId="0" fontId="32" fillId="0" borderId="14" xfId="0" applyFont="1" applyFill="1" applyBorder="1" applyAlignment="1">
      <alignment horizontal="right"/>
    </xf>
    <xf numFmtId="180" fontId="32" fillId="0" borderId="14" xfId="50" applyNumberFormat="1" applyFont="1" applyFill="1" applyBorder="1"/>
    <xf numFmtId="0" fontId="32" fillId="0" borderId="37" xfId="0" applyFont="1" applyFill="1" applyBorder="1" applyAlignment="1">
      <alignment horizontal="right"/>
    </xf>
    <xf numFmtId="170" fontId="32" fillId="0" borderId="37" xfId="0" applyNumberFormat="1" applyFont="1" applyFill="1" applyBorder="1"/>
    <xf numFmtId="0" fontId="32" fillId="0" borderId="32" xfId="0" applyFont="1" applyFill="1" applyBorder="1" applyAlignment="1">
      <alignment horizontal="right"/>
    </xf>
    <xf numFmtId="171" fontId="32" fillId="0" borderId="32" xfId="74" applyNumberFormat="1" applyFont="1" applyFill="1" applyBorder="1"/>
    <xf numFmtId="180" fontId="18" fillId="0" borderId="38" xfId="0" applyNumberFormat="1" applyFont="1" applyFill="1" applyBorder="1"/>
    <xf numFmtId="167" fontId="35" fillId="0" borderId="0" xfId="74" applyFont="1" applyFill="1" applyBorder="1"/>
    <xf numFmtId="0" fontId="36" fillId="0" borderId="0" xfId="0" applyFont="1" applyFill="1" applyBorder="1"/>
    <xf numFmtId="0" fontId="32" fillId="0" borderId="23" xfId="0" applyFont="1" applyFill="1" applyBorder="1"/>
    <xf numFmtId="0" fontId="18" fillId="0" borderId="23" xfId="0" applyFont="1" applyFill="1" applyBorder="1"/>
    <xf numFmtId="0" fontId="18" fillId="0" borderId="25" xfId="0" applyFont="1" applyFill="1" applyBorder="1"/>
    <xf numFmtId="0" fontId="18" fillId="0" borderId="11" xfId="0" applyFont="1" applyFill="1" applyBorder="1"/>
    <xf numFmtId="0" fontId="18" fillId="0" borderId="3" xfId="0" applyFont="1" applyFill="1" applyBorder="1"/>
    <xf numFmtId="17" fontId="18" fillId="0" borderId="3" xfId="0" applyNumberFormat="1" applyFont="1" applyFill="1" applyBorder="1"/>
    <xf numFmtId="0" fontId="18" fillId="0" borderId="20" xfId="0" applyFont="1" applyFill="1" applyBorder="1"/>
    <xf numFmtId="9" fontId="18" fillId="0" borderId="22" xfId="116" applyFont="1" applyFill="1" applyBorder="1"/>
    <xf numFmtId="44" fontId="18" fillId="0" borderId="20" xfId="68" applyFont="1" applyFill="1" applyBorder="1"/>
    <xf numFmtId="44" fontId="18" fillId="0" borderId="21" xfId="68" applyFont="1" applyFill="1" applyBorder="1"/>
    <xf numFmtId="9" fontId="18" fillId="0" borderId="24" xfId="116" applyFont="1" applyFill="1" applyBorder="1"/>
    <xf numFmtId="44" fontId="18" fillId="0" borderId="23" xfId="68" applyFont="1" applyFill="1" applyBorder="1"/>
    <xf numFmtId="44" fontId="18" fillId="0" borderId="0" xfId="68" applyFont="1" applyFill="1" applyBorder="1"/>
    <xf numFmtId="166" fontId="18" fillId="0" borderId="23" xfId="0" applyNumberFormat="1" applyFont="1" applyFill="1" applyBorder="1"/>
    <xf numFmtId="10" fontId="18" fillId="0" borderId="23" xfId="116" applyNumberFormat="1" applyFont="1" applyFill="1" applyBorder="1"/>
    <xf numFmtId="10" fontId="18" fillId="0" borderId="0" xfId="116" applyNumberFormat="1" applyFont="1" applyFill="1" applyBorder="1"/>
    <xf numFmtId="166" fontId="18" fillId="0" borderId="25" xfId="0" applyNumberFormat="1" applyFont="1" applyFill="1" applyBorder="1"/>
    <xf numFmtId="0" fontId="18" fillId="0" borderId="35" xfId="0" applyFont="1" applyFill="1" applyBorder="1"/>
    <xf numFmtId="44" fontId="18" fillId="0" borderId="13" xfId="68" applyFont="1" applyFill="1" applyBorder="1"/>
    <xf numFmtId="166" fontId="18" fillId="0" borderId="0" xfId="0" applyNumberFormat="1" applyFont="1" applyFill="1"/>
    <xf numFmtId="44" fontId="18" fillId="0" borderId="0" xfId="68" applyFont="1" applyFill="1"/>
    <xf numFmtId="9" fontId="32" fillId="0" borderId="0" xfId="116" applyFont="1" applyFill="1" applyBorder="1"/>
    <xf numFmtId="171" fontId="32" fillId="0" borderId="29" xfId="0" applyNumberFormat="1" applyFont="1" applyFill="1" applyBorder="1" applyAlignment="1"/>
    <xf numFmtId="165" fontId="32" fillId="0" borderId="29" xfId="0" applyNumberFormat="1" applyFont="1" applyFill="1" applyBorder="1" applyAlignment="1">
      <alignment horizontal="center"/>
    </xf>
    <xf numFmtId="171" fontId="32" fillId="0" borderId="29" xfId="0" applyNumberFormat="1" applyFont="1" applyFill="1" applyBorder="1"/>
    <xf numFmtId="171" fontId="32" fillId="0" borderId="29" xfId="74" applyNumberFormat="1" applyFont="1" applyFill="1" applyBorder="1"/>
    <xf numFmtId="165" fontId="32" fillId="0" borderId="29" xfId="50" applyNumberFormat="1" applyFont="1" applyFill="1" applyBorder="1"/>
    <xf numFmtId="167" fontId="32" fillId="0" borderId="23" xfId="74" applyFont="1" applyFill="1" applyBorder="1"/>
    <xf numFmtId="0" fontId="33" fillId="0" borderId="23" xfId="0" applyFont="1" applyFill="1" applyBorder="1"/>
    <xf numFmtId="165" fontId="32" fillId="0" borderId="23" xfId="50" applyNumberFormat="1" applyFont="1" applyFill="1" applyBorder="1"/>
    <xf numFmtId="165" fontId="32" fillId="0" borderId="25" xfId="50" applyNumberFormat="1" applyFont="1" applyFill="1" applyBorder="1"/>
    <xf numFmtId="0" fontId="34" fillId="0" borderId="23" xfId="0" applyFont="1" applyFill="1" applyBorder="1"/>
    <xf numFmtId="167" fontId="32" fillId="0" borderId="23" xfId="74" applyFont="1" applyFill="1" applyBorder="1" applyAlignment="1">
      <alignment horizontal="left" indent="2"/>
    </xf>
    <xf numFmtId="0" fontId="32" fillId="0" borderId="39" xfId="0" applyFont="1" applyFill="1" applyBorder="1" applyAlignment="1">
      <alignment horizontal="right"/>
    </xf>
    <xf numFmtId="0" fontId="32" fillId="0" borderId="40" xfId="0" applyFont="1" applyFill="1" applyBorder="1" applyAlignment="1">
      <alignment horizontal="right"/>
    </xf>
    <xf numFmtId="0" fontId="32" fillId="0" borderId="25" xfId="0" applyFont="1" applyFill="1" applyBorder="1" applyAlignment="1">
      <alignment horizontal="right"/>
    </xf>
    <xf numFmtId="165" fontId="32" fillId="0" borderId="24" xfId="50" applyNumberFormat="1" applyFont="1" applyFill="1" applyBorder="1"/>
    <xf numFmtId="165" fontId="32" fillId="0" borderId="35" xfId="50" applyNumberFormat="1" applyFont="1" applyFill="1" applyBorder="1"/>
    <xf numFmtId="17" fontId="31" fillId="0" borderId="3" xfId="0" applyNumberFormat="1" applyFont="1" applyFill="1" applyBorder="1" applyAlignment="1">
      <alignment horizontal="center"/>
    </xf>
    <xf numFmtId="17" fontId="32" fillId="0" borderId="0" xfId="0" applyNumberFormat="1" applyFont="1" applyFill="1" applyBorder="1" applyAlignment="1">
      <alignment horizontal="center"/>
    </xf>
    <xf numFmtId="165" fontId="32" fillId="0" borderId="18" xfId="0" applyNumberFormat="1" applyFont="1" applyFill="1" applyBorder="1" applyAlignment="1">
      <alignment horizontal="center"/>
    </xf>
    <xf numFmtId="165" fontId="32" fillId="0" borderId="4" xfId="0" applyNumberFormat="1" applyFont="1" applyFill="1" applyBorder="1" applyAlignment="1">
      <alignment horizontal="center"/>
    </xf>
    <xf numFmtId="165" fontId="32" fillId="0" borderId="0" xfId="50" applyNumberFormat="1" applyFont="1" applyFill="1" applyBorder="1"/>
    <xf numFmtId="171" fontId="32" fillId="0" borderId="4" xfId="0" applyNumberFormat="1" applyFont="1" applyFill="1" applyBorder="1"/>
    <xf numFmtId="171" fontId="32" fillId="0" borderId="4" xfId="74" applyNumberFormat="1" applyFont="1" applyFill="1" applyBorder="1"/>
    <xf numFmtId="165" fontId="32" fillId="0" borderId="4" xfId="50" applyNumberFormat="1" applyFont="1" applyFill="1" applyBorder="1"/>
    <xf numFmtId="165" fontId="32" fillId="0" borderId="13" xfId="50" applyNumberFormat="1" applyFont="1" applyFill="1" applyBorder="1"/>
    <xf numFmtId="180" fontId="32" fillId="0" borderId="19" xfId="50" applyNumberFormat="1" applyFont="1" applyFill="1" applyBorder="1"/>
    <xf numFmtId="171" fontId="32" fillId="0" borderId="13" xfId="74" applyNumberFormat="1" applyFont="1" applyFill="1" applyBorder="1"/>
    <xf numFmtId="171" fontId="34" fillId="30" borderId="20" xfId="74" applyNumberFormat="1" applyFont="1" applyFill="1" applyBorder="1"/>
    <xf numFmtId="0" fontId="0" fillId="30" borderId="21" xfId="0" applyFill="1" applyBorder="1"/>
    <xf numFmtId="180" fontId="0" fillId="30" borderId="22" xfId="38" applyNumberFormat="1" applyFont="1" applyFill="1" applyBorder="1"/>
    <xf numFmtId="15" fontId="4" fillId="0" borderId="27" xfId="0" applyNumberFormat="1" applyFont="1" applyBorder="1" applyAlignment="1">
      <alignment horizontal="center"/>
    </xf>
    <xf numFmtId="0" fontId="4" fillId="0" borderId="32" xfId="0" applyFont="1" applyBorder="1" applyAlignment="1">
      <alignment horizontal="center"/>
    </xf>
    <xf numFmtId="171" fontId="0" fillId="0" borderId="28" xfId="0" applyNumberFormat="1" applyBorder="1"/>
    <xf numFmtId="180" fontId="0" fillId="0" borderId="28" xfId="0" applyNumberFormat="1" applyBorder="1"/>
    <xf numFmtId="171" fontId="0" fillId="0" borderId="32" xfId="0" applyNumberFormat="1" applyBorder="1"/>
    <xf numFmtId="0" fontId="0" fillId="0" borderId="16" xfId="0" applyFill="1" applyBorder="1"/>
    <xf numFmtId="171" fontId="0" fillId="0" borderId="11" xfId="0" applyNumberFormat="1" applyBorder="1"/>
    <xf numFmtId="171" fontId="0" fillId="0" borderId="3" xfId="0" applyNumberFormat="1" applyBorder="1"/>
    <xf numFmtId="0" fontId="32" fillId="0" borderId="0" xfId="0" applyFont="1" applyFill="1" applyBorder="1"/>
    <xf numFmtId="0" fontId="31" fillId="0" borderId="11" xfId="0" applyFont="1" applyFill="1" applyBorder="1"/>
    <xf numFmtId="0" fontId="31" fillId="0" borderId="23" xfId="0" applyFont="1" applyFill="1" applyBorder="1"/>
    <xf numFmtId="167" fontId="32" fillId="0" borderId="23" xfId="74" applyFont="1" applyBorder="1"/>
    <xf numFmtId="0" fontId="33" fillId="0" borderId="23" xfId="0" applyFont="1" applyBorder="1"/>
    <xf numFmtId="0" fontId="32" fillId="0" borderId="41" xfId="0" applyFont="1" applyBorder="1" applyAlignment="1"/>
    <xf numFmtId="0" fontId="32" fillId="0" borderId="42" xfId="0" applyFont="1" applyBorder="1" applyAlignment="1"/>
    <xf numFmtId="168" fontId="32" fillId="0" borderId="28" xfId="38" applyFont="1" applyFill="1" applyBorder="1" applyAlignment="1">
      <alignment horizontal="center"/>
    </xf>
    <xf numFmtId="168" fontId="32" fillId="0" borderId="36" xfId="38" applyFont="1" applyFill="1" applyBorder="1" applyAlignment="1">
      <alignment horizontal="center"/>
    </xf>
    <xf numFmtId="168" fontId="32" fillId="0" borderId="29" xfId="38" applyFont="1" applyFill="1" applyBorder="1" applyAlignment="1">
      <alignment horizontal="center"/>
    </xf>
    <xf numFmtId="168" fontId="32" fillId="0" borderId="28" xfId="38" applyFont="1" applyFill="1" applyBorder="1"/>
    <xf numFmtId="168" fontId="32" fillId="0" borderId="29" xfId="38" applyFont="1" applyFill="1" applyBorder="1"/>
    <xf numFmtId="168" fontId="32" fillId="0" borderId="32" xfId="38" applyFont="1" applyFill="1" applyBorder="1"/>
    <xf numFmtId="168" fontId="32" fillId="0" borderId="0" xfId="38" applyFont="1" applyFill="1" applyBorder="1"/>
    <xf numFmtId="168" fontId="32" fillId="0" borderId="19" xfId="38" applyFont="1" applyFill="1" applyBorder="1"/>
    <xf numFmtId="168" fontId="32" fillId="0" borderId="43" xfId="38" applyFont="1" applyFill="1" applyBorder="1"/>
    <xf numFmtId="168" fontId="32" fillId="0" borderId="13" xfId="38" applyFont="1" applyFill="1" applyBorder="1"/>
    <xf numFmtId="168" fontId="32" fillId="0" borderId="23" xfId="38" applyFont="1" applyFill="1" applyBorder="1"/>
    <xf numFmtId="168" fontId="32" fillId="0" borderId="40" xfId="38" applyFont="1" applyFill="1" applyBorder="1"/>
    <xf numFmtId="168" fontId="32" fillId="0" borderId="25" xfId="38" applyFont="1" applyFill="1" applyBorder="1"/>
    <xf numFmtId="170" fontId="32" fillId="0" borderId="43" xfId="0" applyNumberFormat="1" applyFont="1" applyFill="1" applyBorder="1"/>
    <xf numFmtId="0" fontId="18" fillId="0" borderId="27" xfId="0" applyFont="1" applyFill="1" applyBorder="1"/>
    <xf numFmtId="165" fontId="32" fillId="0" borderId="16" xfId="50" applyNumberFormat="1" applyFont="1" applyFill="1" applyBorder="1"/>
    <xf numFmtId="0" fontId="18" fillId="0" borderId="27" xfId="0" applyFont="1" applyBorder="1"/>
    <xf numFmtId="0" fontId="18" fillId="0" borderId="44" xfId="0" applyFont="1" applyBorder="1"/>
    <xf numFmtId="0" fontId="32" fillId="0" borderId="27" xfId="0" applyFont="1" applyFill="1" applyBorder="1"/>
    <xf numFmtId="0" fontId="32" fillId="0" borderId="32" xfId="0" applyFont="1" applyFill="1" applyBorder="1"/>
    <xf numFmtId="178" fontId="0" fillId="0" borderId="0" xfId="0" applyNumberFormat="1"/>
    <xf numFmtId="171" fontId="0" fillId="0" borderId="0" xfId="57" applyNumberFormat="1" applyFont="1"/>
    <xf numFmtId="171" fontId="0" fillId="0" borderId="19" xfId="0" applyNumberFormat="1" applyBorder="1"/>
    <xf numFmtId="0" fontId="26" fillId="28" borderId="0" xfId="0" applyFont="1" applyFill="1"/>
    <xf numFmtId="39" fontId="26" fillId="28" borderId="0" xfId="0" applyNumberFormat="1" applyFont="1" applyFill="1"/>
    <xf numFmtId="171" fontId="18" fillId="0" borderId="12" xfId="0" applyNumberFormat="1" applyFont="1" applyFill="1" applyBorder="1"/>
    <xf numFmtId="0" fontId="18" fillId="0" borderId="28" xfId="0" applyFont="1" applyFill="1" applyBorder="1" applyAlignment="1">
      <alignment horizontal="center"/>
    </xf>
    <xf numFmtId="179" fontId="18" fillId="0" borderId="28" xfId="68" applyNumberFormat="1" applyFont="1" applyFill="1" applyBorder="1"/>
    <xf numFmtId="49" fontId="9" fillId="28" borderId="28" xfId="0" applyNumberFormat="1" applyFont="1" applyFill="1" applyBorder="1" applyAlignment="1">
      <alignment horizontal="left"/>
    </xf>
    <xf numFmtId="49" fontId="9" fillId="28" borderId="6" xfId="0" applyNumberFormat="1" applyFont="1" applyFill="1" applyBorder="1" applyAlignment="1">
      <alignment horizontal="left"/>
    </xf>
    <xf numFmtId="165" fontId="32" fillId="29" borderId="28" xfId="50" applyNumberFormat="1" applyFont="1" applyFill="1" applyBorder="1"/>
    <xf numFmtId="171" fontId="26" fillId="29" borderId="29" xfId="0" applyNumberFormat="1" applyFont="1" applyFill="1" applyBorder="1"/>
    <xf numFmtId="171" fontId="26" fillId="29" borderId="28" xfId="71" applyNumberFormat="1" applyFont="1" applyFill="1" applyBorder="1"/>
    <xf numFmtId="170" fontId="25" fillId="29" borderId="45" xfId="0" applyNumberFormat="1" applyFont="1" applyFill="1" applyBorder="1"/>
    <xf numFmtId="171" fontId="26" fillId="29" borderId="46" xfId="0" applyNumberFormat="1" applyFont="1" applyFill="1" applyBorder="1"/>
    <xf numFmtId="170" fontId="26" fillId="0" borderId="0" xfId="38" applyNumberFormat="1" applyFont="1"/>
    <xf numFmtId="17" fontId="26" fillId="0" borderId="11" xfId="0" applyNumberFormat="1" applyFont="1" applyBorder="1" applyAlignment="1">
      <alignment horizontal="center"/>
    </xf>
    <xf numFmtId="17" fontId="26" fillId="0" borderId="3" xfId="0" applyNumberFormat="1" applyFont="1" applyBorder="1" applyAlignment="1">
      <alignment horizontal="center"/>
    </xf>
    <xf numFmtId="171" fontId="26" fillId="0" borderId="0" xfId="57" applyNumberFormat="1" applyFont="1" applyFill="1" applyBorder="1" applyAlignment="1">
      <alignment horizontal="right"/>
    </xf>
    <xf numFmtId="171" fontId="26" fillId="0" borderId="13" xfId="57" applyNumberFormat="1" applyFont="1" applyFill="1" applyBorder="1" applyAlignment="1">
      <alignment horizontal="right"/>
    </xf>
    <xf numFmtId="15" fontId="4" fillId="0" borderId="21" xfId="0" applyNumberFormat="1" applyFont="1" applyBorder="1" applyAlignment="1">
      <alignment horizontal="center"/>
    </xf>
    <xf numFmtId="0" fontId="4" fillId="0" borderId="13" xfId="0" applyFont="1" applyBorder="1" applyAlignment="1">
      <alignment horizontal="center"/>
    </xf>
    <xf numFmtId="17" fontId="31" fillId="0" borderId="11" xfId="0" applyNumberFormat="1" applyFont="1" applyFill="1" applyBorder="1" applyAlignment="1">
      <alignment horizontal="center"/>
    </xf>
    <xf numFmtId="17" fontId="32" fillId="0" borderId="23" xfId="0" applyNumberFormat="1" applyFont="1" applyFill="1" applyBorder="1" applyAlignment="1">
      <alignment horizontal="center"/>
    </xf>
    <xf numFmtId="165" fontId="32" fillId="0" borderId="23" xfId="0" applyNumberFormat="1" applyFont="1" applyFill="1" applyBorder="1" applyAlignment="1">
      <alignment horizontal="center"/>
    </xf>
    <xf numFmtId="165" fontId="32" fillId="0" borderId="41" xfId="0" applyNumberFormat="1" applyFont="1" applyFill="1" applyBorder="1" applyAlignment="1">
      <alignment horizontal="center"/>
    </xf>
    <xf numFmtId="165" fontId="32" fillId="0" borderId="47" xfId="0" applyNumberFormat="1" applyFont="1" applyFill="1" applyBorder="1" applyAlignment="1">
      <alignment horizontal="center"/>
    </xf>
    <xf numFmtId="171" fontId="32" fillId="0" borderId="47" xfId="0" applyNumberFormat="1" applyFont="1" applyFill="1" applyBorder="1"/>
    <xf numFmtId="171" fontId="32" fillId="0" borderId="23" xfId="74" applyNumberFormat="1" applyFont="1" applyFill="1" applyBorder="1"/>
    <xf numFmtId="171" fontId="32" fillId="0" borderId="47" xfId="74" applyNumberFormat="1" applyFont="1" applyFill="1" applyBorder="1"/>
    <xf numFmtId="165" fontId="32" fillId="0" borderId="47" xfId="50" applyNumberFormat="1" applyFont="1" applyFill="1" applyBorder="1"/>
    <xf numFmtId="165" fontId="32" fillId="29" borderId="23" xfId="50" applyNumberFormat="1" applyFont="1" applyFill="1" applyBorder="1"/>
    <xf numFmtId="17" fontId="31" fillId="0" borderId="12" xfId="0" applyNumberFormat="1" applyFont="1" applyFill="1" applyBorder="1" applyAlignment="1">
      <alignment horizontal="center"/>
    </xf>
    <xf numFmtId="17" fontId="32" fillId="0" borderId="24" xfId="0" applyNumberFormat="1" applyFont="1" applyFill="1" applyBorder="1" applyAlignment="1">
      <alignment horizontal="center"/>
    </xf>
    <xf numFmtId="165" fontId="32" fillId="0" borderId="24" xfId="0" applyNumberFormat="1" applyFont="1" applyFill="1" applyBorder="1" applyAlignment="1">
      <alignment horizontal="center"/>
    </xf>
    <xf numFmtId="165" fontId="32" fillId="0" borderId="34" xfId="0" applyNumberFormat="1" applyFont="1" applyFill="1" applyBorder="1" applyAlignment="1">
      <alignment horizontal="center"/>
    </xf>
    <xf numFmtId="165" fontId="32" fillId="0" borderId="48" xfId="0" applyNumberFormat="1" applyFont="1" applyFill="1" applyBorder="1" applyAlignment="1">
      <alignment horizontal="center"/>
    </xf>
    <xf numFmtId="171" fontId="32" fillId="0" borderId="48" xfId="0" applyNumberFormat="1" applyFont="1" applyFill="1" applyBorder="1"/>
    <xf numFmtId="171" fontId="32" fillId="0" borderId="24" xfId="74" applyNumberFormat="1" applyFont="1" applyFill="1" applyBorder="1"/>
    <xf numFmtId="171" fontId="32" fillId="0" borderId="48" xfId="74" applyNumberFormat="1" applyFont="1" applyFill="1" applyBorder="1"/>
    <xf numFmtId="165" fontId="32" fillId="0" borderId="48" xfId="50" applyNumberFormat="1" applyFont="1" applyFill="1" applyBorder="1"/>
    <xf numFmtId="0" fontId="26" fillId="30" borderId="11" xfId="0" applyFont="1" applyFill="1" applyBorder="1"/>
    <xf numFmtId="0" fontId="26" fillId="30" borderId="3" xfId="0" applyFont="1" applyFill="1" applyBorder="1" applyAlignment="1">
      <alignment horizontal="right"/>
    </xf>
    <xf numFmtId="0" fontId="26" fillId="30" borderId="16" xfId="0" applyFont="1" applyFill="1" applyBorder="1" applyAlignment="1">
      <alignment horizontal="right"/>
    </xf>
    <xf numFmtId="171" fontId="26" fillId="0" borderId="28" xfId="57" applyNumberFormat="1" applyFont="1" applyFill="1" applyBorder="1" applyAlignment="1">
      <alignment horizontal="right"/>
    </xf>
    <xf numFmtId="171" fontId="26" fillId="0" borderId="32" xfId="57" applyNumberFormat="1" applyFont="1" applyFill="1" applyBorder="1" applyAlignment="1">
      <alignment horizontal="right"/>
    </xf>
    <xf numFmtId="0" fontId="26" fillId="0" borderId="11" xfId="0" applyFont="1" applyFill="1" applyBorder="1"/>
    <xf numFmtId="171" fontId="26" fillId="0" borderId="3" xfId="0" applyNumberFormat="1" applyFont="1" applyFill="1" applyBorder="1"/>
    <xf numFmtId="171" fontId="26" fillId="0" borderId="16" xfId="0" applyNumberFormat="1" applyFont="1" applyFill="1" applyBorder="1"/>
    <xf numFmtId="171" fontId="18" fillId="0" borderId="0" xfId="0" applyNumberFormat="1" applyFont="1"/>
    <xf numFmtId="0" fontId="55" fillId="0" borderId="0" xfId="0" applyFont="1"/>
    <xf numFmtId="0" fontId="39" fillId="0" borderId="0" xfId="0" applyFont="1"/>
    <xf numFmtId="164" fontId="39" fillId="0" borderId="0" xfId="0" applyNumberFormat="1" applyFont="1" applyFill="1"/>
    <xf numFmtId="164" fontId="39" fillId="0" borderId="0" xfId="0" applyNumberFormat="1" applyFont="1"/>
    <xf numFmtId="0" fontId="55" fillId="0" borderId="0" xfId="0" quotePrefix="1" applyFont="1" applyAlignment="1">
      <alignment horizontal="left"/>
    </xf>
    <xf numFmtId="0" fontId="56" fillId="0" borderId="11" xfId="0" applyFont="1" applyBorder="1"/>
    <xf numFmtId="0" fontId="39" fillId="0" borderId="3" xfId="0" applyFont="1" applyBorder="1"/>
    <xf numFmtId="164" fontId="39" fillId="0" borderId="3" xfId="0" applyNumberFormat="1" applyFont="1" applyFill="1" applyBorder="1"/>
    <xf numFmtId="164" fontId="39" fillId="0" borderId="16" xfId="0" applyNumberFormat="1" applyFont="1" applyBorder="1" applyAlignment="1">
      <alignment horizontal="center"/>
    </xf>
    <xf numFmtId="0" fontId="39" fillId="0" borderId="16" xfId="0" quotePrefix="1" applyFont="1" applyBorder="1" applyAlignment="1">
      <alignment horizontal="center"/>
    </xf>
    <xf numFmtId="0" fontId="40" fillId="0" borderId="11" xfId="0" applyFont="1" applyBorder="1"/>
    <xf numFmtId="164" fontId="40" fillId="0" borderId="12" xfId="0" applyNumberFormat="1" applyFont="1" applyFill="1" applyBorder="1" applyAlignment="1">
      <alignment horizontal="center" wrapText="1"/>
    </xf>
    <xf numFmtId="164" fontId="40" fillId="0" borderId="32" xfId="0" applyNumberFormat="1" applyFont="1" applyFill="1" applyBorder="1" applyAlignment="1">
      <alignment horizontal="center" wrapText="1"/>
    </xf>
    <xf numFmtId="164" fontId="40" fillId="0" borderId="32" xfId="0" quotePrefix="1" applyNumberFormat="1" applyFont="1" applyFill="1" applyBorder="1" applyAlignment="1">
      <alignment horizontal="center" wrapText="1"/>
    </xf>
    <xf numFmtId="0" fontId="40" fillId="0" borderId="16" xfId="0" quotePrefix="1" applyFont="1" applyBorder="1" applyAlignment="1">
      <alignment horizontal="center" wrapText="1"/>
    </xf>
    <xf numFmtId="0" fontId="57" fillId="27" borderId="49" xfId="0" applyFont="1" applyFill="1" applyBorder="1" applyAlignment="1">
      <alignment horizontal="center" vertical="center" wrapText="1"/>
    </xf>
    <xf numFmtId="0" fontId="57" fillId="27" borderId="50" xfId="0" applyFont="1" applyFill="1" applyBorder="1" applyAlignment="1">
      <alignment horizontal="center" vertical="center" wrapText="1"/>
    </xf>
    <xf numFmtId="0" fontId="57" fillId="27" borderId="51" xfId="0" applyFont="1" applyFill="1" applyBorder="1" applyAlignment="1">
      <alignment horizontal="center" vertical="center" wrapText="1"/>
    </xf>
    <xf numFmtId="4" fontId="39" fillId="0" borderId="0" xfId="0" applyNumberFormat="1" applyFont="1"/>
    <xf numFmtId="0" fontId="39" fillId="0" borderId="23" xfId="0" applyFont="1" applyBorder="1"/>
    <xf numFmtId="0" fontId="39" fillId="0" borderId="0" xfId="0" applyFont="1" applyBorder="1"/>
    <xf numFmtId="164" fontId="39" fillId="0" borderId="24" xfId="0" applyNumberFormat="1" applyFont="1" applyBorder="1"/>
    <xf numFmtId="164" fontId="39" fillId="0" borderId="27" xfId="0" applyNumberFormat="1" applyFont="1" applyBorder="1"/>
    <xf numFmtId="164" fontId="39" fillId="0" borderId="28" xfId="0" applyNumberFormat="1" applyFont="1" applyBorder="1"/>
    <xf numFmtId="0" fontId="39" fillId="0" borderId="27" xfId="0" applyFont="1" applyBorder="1"/>
    <xf numFmtId="39" fontId="26" fillId="0" borderId="52" xfId="0" applyNumberFormat="1" applyFont="1" applyBorder="1" applyAlignment="1">
      <alignment horizontal="left" vertical="center"/>
    </xf>
    <xf numFmtId="39" fontId="26" fillId="0" borderId="0" xfId="0" applyNumberFormat="1" applyFont="1" applyBorder="1" applyAlignment="1">
      <alignment horizontal="left" vertical="center"/>
    </xf>
    <xf numFmtId="39" fontId="26" fillId="0" borderId="53" xfId="0" applyNumberFormat="1" applyFont="1" applyBorder="1" applyAlignment="1">
      <alignment horizontal="right" vertical="center"/>
    </xf>
    <xf numFmtId="4" fontId="58" fillId="0" borderId="23" xfId="0" applyNumberFormat="1" applyFont="1" applyBorder="1"/>
    <xf numFmtId="164" fontId="39" fillId="0" borderId="24" xfId="0" applyNumberFormat="1" applyFont="1" applyFill="1" applyBorder="1"/>
    <xf numFmtId="164" fontId="39" fillId="0" borderId="28" xfId="0" applyNumberFormat="1" applyFont="1" applyFill="1" applyBorder="1"/>
    <xf numFmtId="0" fontId="39" fillId="0" borderId="28" xfId="0" applyFont="1" applyBorder="1"/>
    <xf numFmtId="4" fontId="39" fillId="0" borderId="23" xfId="0" applyNumberFormat="1" applyFont="1" applyFill="1" applyBorder="1"/>
    <xf numFmtId="0" fontId="39" fillId="0" borderId="0" xfId="0" applyFont="1" applyFill="1" applyBorder="1"/>
    <xf numFmtId="195" fontId="39" fillId="0" borderId="24" xfId="51" applyNumberFormat="1" applyFont="1" applyFill="1" applyBorder="1"/>
    <xf numFmtId="39" fontId="26" fillId="0" borderId="54" xfId="0" applyNumberFormat="1" applyFont="1" applyBorder="1" applyAlignment="1">
      <alignment horizontal="right" vertical="center"/>
    </xf>
    <xf numFmtId="164" fontId="39" fillId="0" borderId="24" xfId="0" applyNumberFormat="1" applyFont="1" applyFill="1" applyBorder="1" applyAlignment="1">
      <alignment horizontal="center" wrapText="1"/>
    </xf>
    <xf numFmtId="4" fontId="40" fillId="0" borderId="39" xfId="0" applyNumberFormat="1" applyFont="1" applyBorder="1"/>
    <xf numFmtId="0" fontId="39" fillId="0" borderId="19" xfId="0" applyFont="1" applyFill="1" applyBorder="1"/>
    <xf numFmtId="164" fontId="39" fillId="0" borderId="26" xfId="0" applyNumberFormat="1" applyFont="1" applyFill="1" applyBorder="1"/>
    <xf numFmtId="164" fontId="40" fillId="0" borderId="14" xfId="0" applyNumberFormat="1" applyFont="1" applyFill="1" applyBorder="1"/>
    <xf numFmtId="164" fontId="39" fillId="0" borderId="14" xfId="0" applyNumberFormat="1" applyFont="1" applyBorder="1"/>
    <xf numFmtId="4" fontId="39" fillId="0" borderId="23" xfId="0" applyNumberFormat="1" applyFont="1" applyBorder="1"/>
    <xf numFmtId="195" fontId="39" fillId="0" borderId="24" xfId="51" applyNumberFormat="1" applyFont="1" applyFill="1" applyBorder="1" applyAlignment="1">
      <alignment horizontal="right"/>
    </xf>
    <xf numFmtId="164" fontId="39" fillId="0" borderId="23" xfId="0" applyNumberFormat="1" applyFont="1" applyBorder="1"/>
    <xf numFmtId="194" fontId="39" fillId="0" borderId="28" xfId="0" applyNumberFormat="1" applyFont="1" applyFill="1" applyBorder="1"/>
    <xf numFmtId="0" fontId="39" fillId="0" borderId="16" xfId="0" applyFont="1" applyBorder="1"/>
    <xf numFmtId="0" fontId="26" fillId="0" borderId="52" xfId="0" applyFont="1" applyBorder="1"/>
    <xf numFmtId="39" fontId="26" fillId="0" borderId="54" xfId="0" applyNumberFormat="1" applyFont="1" applyBorder="1"/>
    <xf numFmtId="0" fontId="26" fillId="0" borderId="53" xfId="0" applyFont="1" applyBorder="1"/>
    <xf numFmtId="4" fontId="39" fillId="0" borderId="23" xfId="0" quotePrefix="1" applyNumberFormat="1" applyFont="1" applyBorder="1"/>
    <xf numFmtId="0" fontId="39" fillId="0" borderId="0" xfId="0" applyFont="1" applyFill="1"/>
    <xf numFmtId="39" fontId="26" fillId="0" borderId="45" xfId="0" applyNumberFormat="1" applyFont="1" applyBorder="1" applyAlignment="1">
      <alignment horizontal="left" vertical="center"/>
    </xf>
    <xf numFmtId="39" fontId="26" fillId="0" borderId="18" xfId="0" applyNumberFormat="1" applyFont="1" applyBorder="1" applyAlignment="1">
      <alignment horizontal="left" vertical="center"/>
    </xf>
    <xf numFmtId="39" fontId="26" fillId="0" borderId="46" xfId="0" applyNumberFormat="1" applyFont="1" applyBorder="1" applyAlignment="1">
      <alignment horizontal="right" vertical="center"/>
    </xf>
    <xf numFmtId="0" fontId="39" fillId="29" borderId="42" xfId="0" applyFont="1" applyFill="1" applyBorder="1"/>
    <xf numFmtId="2" fontId="39" fillId="29" borderId="55" xfId="0" applyNumberFormat="1" applyFont="1" applyFill="1" applyBorder="1"/>
    <xf numFmtId="195" fontId="39" fillId="0" borderId="26" xfId="51" applyNumberFormat="1" applyFont="1" applyFill="1" applyBorder="1" applyAlignment="1">
      <alignment horizontal="right"/>
    </xf>
    <xf numFmtId="164" fontId="39" fillId="0" borderId="14" xfId="0" applyNumberFormat="1" applyFont="1" applyFill="1" applyBorder="1"/>
    <xf numFmtId="43" fontId="39" fillId="0" borderId="28" xfId="51" applyFont="1" applyFill="1" applyBorder="1"/>
    <xf numFmtId="0" fontId="40" fillId="0" borderId="19" xfId="0" applyFont="1" applyFill="1" applyBorder="1"/>
    <xf numFmtId="164" fontId="40" fillId="0" borderId="26" xfId="0" applyNumberFormat="1" applyFont="1" applyFill="1" applyBorder="1"/>
    <xf numFmtId="0" fontId="40" fillId="0" borderId="25" xfId="0" applyFont="1" applyBorder="1"/>
    <xf numFmtId="0" fontId="40" fillId="0" borderId="13" xfId="0" applyFont="1" applyBorder="1"/>
    <xf numFmtId="0" fontId="40" fillId="0" borderId="35" xfId="0" applyFont="1" applyBorder="1"/>
    <xf numFmtId="164" fontId="40" fillId="0" borderId="32" xfId="0" applyNumberFormat="1" applyFont="1" applyBorder="1"/>
    <xf numFmtId="4" fontId="39" fillId="0" borderId="0" xfId="0" applyNumberFormat="1" applyFont="1" applyBorder="1"/>
    <xf numFmtId="164" fontId="39" fillId="0" borderId="0" xfId="0" applyNumberFormat="1" applyFont="1" applyFill="1" applyBorder="1"/>
    <xf numFmtId="164" fontId="59" fillId="0" borderId="0" xfId="0" applyNumberFormat="1" applyFont="1" applyFill="1" applyBorder="1"/>
    <xf numFmtId="164" fontId="58" fillId="0" borderId="20" xfId="0" applyNumberFormat="1" applyFont="1" applyFill="1" applyBorder="1"/>
    <xf numFmtId="164" fontId="39" fillId="0" borderId="21" xfId="0" applyNumberFormat="1" applyFont="1" applyFill="1" applyBorder="1"/>
    <xf numFmtId="0" fontId="39" fillId="0" borderId="20" xfId="0" applyFont="1" applyFill="1" applyBorder="1"/>
    <xf numFmtId="0" fontId="39" fillId="0" borderId="21" xfId="0" applyFont="1" applyFill="1" applyBorder="1"/>
    <xf numFmtId="164" fontId="39" fillId="0" borderId="27" xfId="0" applyNumberFormat="1" applyFont="1" applyFill="1" applyBorder="1"/>
    <xf numFmtId="164" fontId="39" fillId="0" borderId="20" xfId="0" applyNumberFormat="1" applyFont="1" applyFill="1" applyBorder="1"/>
    <xf numFmtId="0" fontId="39" fillId="0" borderId="22" xfId="0" applyFont="1" applyFill="1" applyBorder="1"/>
    <xf numFmtId="0" fontId="39" fillId="0" borderId="27" xfId="0" applyFont="1" applyFill="1" applyBorder="1"/>
    <xf numFmtId="164" fontId="58" fillId="0" borderId="23" xfId="0" applyNumberFormat="1" applyFont="1" applyFill="1" applyBorder="1" applyAlignment="1">
      <alignment horizontal="right"/>
    </xf>
    <xf numFmtId="0" fontId="39" fillId="0" borderId="23" xfId="0" applyFont="1" applyFill="1" applyBorder="1"/>
    <xf numFmtId="15" fontId="58" fillId="0" borderId="0" xfId="0" applyNumberFormat="1" applyFont="1" applyFill="1" applyBorder="1" applyAlignment="1">
      <alignment horizontal="center"/>
    </xf>
    <xf numFmtId="15" fontId="58" fillId="0" borderId="28" xfId="0" applyNumberFormat="1" applyFont="1" applyFill="1" applyBorder="1" applyAlignment="1">
      <alignment horizontal="center" wrapText="1"/>
    </xf>
    <xf numFmtId="15" fontId="58" fillId="0" borderId="0" xfId="0" applyNumberFormat="1" applyFont="1" applyFill="1" applyBorder="1" applyAlignment="1">
      <alignment horizontal="center" wrapText="1"/>
    </xf>
    <xf numFmtId="15" fontId="58" fillId="0" borderId="0" xfId="0" applyNumberFormat="1" applyFont="1" applyFill="1" applyBorder="1"/>
    <xf numFmtId="15" fontId="58" fillId="0" borderId="23" xfId="0" applyNumberFormat="1" applyFont="1" applyFill="1" applyBorder="1" applyAlignment="1">
      <alignment horizontal="center"/>
    </xf>
    <xf numFmtId="0" fontId="60" fillId="31" borderId="0" xfId="0" applyFont="1" applyFill="1" applyBorder="1" applyAlignment="1">
      <alignment horizontal="center"/>
    </xf>
    <xf numFmtId="0" fontId="59" fillId="0" borderId="0" xfId="0" applyFont="1" applyFill="1" applyBorder="1"/>
    <xf numFmtId="0" fontId="60" fillId="0" borderId="28" xfId="0" applyFont="1" applyFill="1" applyBorder="1" applyAlignment="1">
      <alignment horizontal="center" wrapText="1"/>
    </xf>
    <xf numFmtId="164" fontId="39" fillId="0" borderId="23" xfId="0" applyNumberFormat="1" applyFont="1" applyFill="1" applyBorder="1"/>
    <xf numFmtId="15" fontId="39" fillId="0" borderId="0" xfId="0" applyNumberFormat="1" applyFont="1" applyFill="1" applyBorder="1"/>
    <xf numFmtId="15" fontId="59" fillId="0" borderId="28" xfId="0" applyNumberFormat="1" applyFont="1" applyFill="1" applyBorder="1"/>
    <xf numFmtId="15" fontId="39" fillId="0" borderId="23" xfId="0" applyNumberFormat="1" applyFont="1" applyFill="1" applyBorder="1"/>
    <xf numFmtId="0" fontId="59" fillId="31" borderId="0" xfId="0" applyFont="1" applyFill="1" applyBorder="1"/>
    <xf numFmtId="0" fontId="59" fillId="0" borderId="28" xfId="0" applyFont="1" applyFill="1" applyBorder="1"/>
    <xf numFmtId="1" fontId="39" fillId="0" borderId="23" xfId="51" applyNumberFormat="1" applyFont="1" applyFill="1" applyBorder="1"/>
    <xf numFmtId="164" fontId="59" fillId="31" borderId="0" xfId="0" applyNumberFormat="1" applyFont="1" applyFill="1" applyBorder="1"/>
    <xf numFmtId="179" fontId="59" fillId="0" borderId="28" xfId="69" applyNumberFormat="1" applyFont="1" applyFill="1" applyBorder="1"/>
    <xf numFmtId="180" fontId="39" fillId="0" borderId="23" xfId="51" applyNumberFormat="1" applyFont="1" applyFill="1" applyBorder="1"/>
    <xf numFmtId="164" fontId="39" fillId="29" borderId="28" xfId="0" applyNumberFormat="1" applyFont="1" applyFill="1" applyBorder="1"/>
    <xf numFmtId="164" fontId="59" fillId="0" borderId="28" xfId="0" applyNumberFormat="1" applyFont="1" applyFill="1" applyBorder="1"/>
    <xf numFmtId="164" fontId="59" fillId="29" borderId="28" xfId="0" applyNumberFormat="1" applyFont="1" applyFill="1" applyBorder="1"/>
    <xf numFmtId="164" fontId="39" fillId="29" borderId="23" xfId="0" applyNumberFormat="1" applyFont="1" applyFill="1" applyBorder="1"/>
    <xf numFmtId="164" fontId="39" fillId="0" borderId="38" xfId="0" applyNumberFormat="1" applyFont="1" applyFill="1" applyBorder="1"/>
    <xf numFmtId="164" fontId="39" fillId="0" borderId="31" xfId="0" applyNumberFormat="1" applyFont="1" applyFill="1" applyBorder="1"/>
    <xf numFmtId="164" fontId="39" fillId="0" borderId="56" xfId="0" applyNumberFormat="1" applyFont="1" applyFill="1" applyBorder="1"/>
    <xf numFmtId="164" fontId="39" fillId="0" borderId="25" xfId="0" applyNumberFormat="1" applyFont="1" applyFill="1" applyBorder="1"/>
    <xf numFmtId="164" fontId="39" fillId="0" borderId="13" xfId="0" applyNumberFormat="1" applyFont="1" applyFill="1" applyBorder="1"/>
    <xf numFmtId="0" fontId="39" fillId="0" borderId="13" xfId="0" applyFont="1" applyFill="1" applyBorder="1"/>
    <xf numFmtId="0" fontId="39" fillId="0" borderId="57" xfId="0" applyFont="1" applyFill="1" applyBorder="1"/>
    <xf numFmtId="164" fontId="39" fillId="0" borderId="32" xfId="0" applyNumberFormat="1" applyFont="1" applyFill="1" applyBorder="1"/>
    <xf numFmtId="0" fontId="39" fillId="0" borderId="25" xfId="0" applyFont="1" applyFill="1" applyBorder="1"/>
    <xf numFmtId="0" fontId="39" fillId="0" borderId="35" xfId="0" applyFont="1" applyFill="1" applyBorder="1"/>
    <xf numFmtId="179" fontId="39" fillId="0" borderId="32" xfId="69" applyNumberFormat="1" applyFont="1" applyFill="1" applyBorder="1"/>
    <xf numFmtId="164" fontId="40" fillId="0" borderId="20" xfId="0" applyNumberFormat="1" applyFont="1" applyFill="1" applyBorder="1"/>
    <xf numFmtId="0" fontId="39" fillId="0" borderId="24" xfId="0" applyFont="1" applyFill="1" applyBorder="1"/>
    <xf numFmtId="164" fontId="39" fillId="0" borderId="47" xfId="0" applyNumberFormat="1" applyFont="1" applyFill="1" applyBorder="1"/>
    <xf numFmtId="164" fontId="39" fillId="0" borderId="4" xfId="0" applyNumberFormat="1" applyFont="1" applyFill="1" applyBorder="1"/>
    <xf numFmtId="164" fontId="39" fillId="0" borderId="29" xfId="0" applyNumberFormat="1" applyFont="1" applyFill="1" applyBorder="1"/>
    <xf numFmtId="164" fontId="39" fillId="29" borderId="11" xfId="0" applyNumberFormat="1" applyFont="1" applyFill="1" applyBorder="1"/>
    <xf numFmtId="164" fontId="39" fillId="29" borderId="16" xfId="0" applyNumberFormat="1" applyFont="1" applyFill="1" applyBorder="1"/>
    <xf numFmtId="0" fontId="9" fillId="0" borderId="0" xfId="0" applyFont="1"/>
    <xf numFmtId="0" fontId="61" fillId="0" borderId="23" xfId="0" applyFont="1" applyBorder="1" applyAlignment="1">
      <alignment horizontal="center"/>
    </xf>
    <xf numFmtId="0" fontId="61" fillId="0" borderId="0" xfId="0" applyFont="1" applyBorder="1" applyAlignment="1">
      <alignment horizontal="center"/>
    </xf>
    <xf numFmtId="0" fontId="61" fillId="0" borderId="24" xfId="0" applyFont="1" applyBorder="1" applyAlignment="1">
      <alignment horizontal="center"/>
    </xf>
    <xf numFmtId="0" fontId="9" fillId="0" borderId="23" xfId="111" applyFont="1" applyBorder="1" applyAlignment="1">
      <alignment horizontal="left" indent="1"/>
    </xf>
    <xf numFmtId="171" fontId="9" fillId="0" borderId="23" xfId="57" applyNumberFormat="1" applyFont="1" applyBorder="1"/>
    <xf numFmtId="171" fontId="9" fillId="0" borderId="0" xfId="57" applyNumberFormat="1" applyFont="1" applyBorder="1"/>
    <xf numFmtId="171" fontId="9" fillId="0" borderId="24" xfId="0" applyNumberFormat="1" applyFont="1" applyBorder="1"/>
    <xf numFmtId="0" fontId="9" fillId="27" borderId="23" xfId="0" applyFont="1" applyFill="1" applyBorder="1" applyProtection="1"/>
    <xf numFmtId="171" fontId="9" fillId="0" borderId="47" xfId="57" applyNumberFormat="1" applyFont="1" applyBorder="1"/>
    <xf numFmtId="171" fontId="9" fillId="0" borderId="4" xfId="57" applyNumberFormat="1" applyFont="1" applyBorder="1"/>
    <xf numFmtId="171" fontId="9" fillId="0" borderId="48" xfId="0" applyNumberFormat="1" applyFont="1" applyBorder="1"/>
    <xf numFmtId="0" fontId="9" fillId="0" borderId="24" xfId="0" applyFont="1" applyBorder="1"/>
    <xf numFmtId="0" fontId="12" fillId="0" borderId="23" xfId="111" applyFont="1" applyBorder="1"/>
    <xf numFmtId="171" fontId="9" fillId="0" borderId="25" xfId="57" applyNumberFormat="1" applyFont="1" applyBorder="1"/>
    <xf numFmtId="171" fontId="9" fillId="0" borderId="13" xfId="57" applyNumberFormat="1" applyFont="1" applyBorder="1"/>
    <xf numFmtId="171" fontId="9" fillId="0" borderId="35" xfId="0" applyNumberFormat="1" applyFont="1" applyBorder="1"/>
    <xf numFmtId="0" fontId="15" fillId="0" borderId="0" xfId="0" applyFont="1" applyAlignment="1">
      <alignment wrapText="1"/>
    </xf>
    <xf numFmtId="0" fontId="18" fillId="0" borderId="16" xfId="0" applyFont="1" applyBorder="1" applyAlignment="1">
      <alignment horizontal="center"/>
    </xf>
    <xf numFmtId="170" fontId="18" fillId="0" borderId="28" xfId="38" applyNumberFormat="1" applyFont="1" applyBorder="1"/>
    <xf numFmtId="170" fontId="18" fillId="0" borderId="29" xfId="38" applyNumberFormat="1" applyFont="1" applyBorder="1"/>
    <xf numFmtId="0" fontId="18" fillId="0" borderId="32" xfId="0" applyFont="1" applyBorder="1"/>
    <xf numFmtId="170" fontId="18" fillId="0" borderId="29" xfId="0" applyNumberFormat="1" applyFont="1" applyBorder="1"/>
    <xf numFmtId="170" fontId="18" fillId="0" borderId="32" xfId="0" applyNumberFormat="1" applyFont="1" applyBorder="1"/>
    <xf numFmtId="170" fontId="36" fillId="0" borderId="0" xfId="38" applyNumberFormat="1" applyFont="1" applyFill="1" applyBorder="1"/>
    <xf numFmtId="171" fontId="36" fillId="0" borderId="0" xfId="57" applyNumberFormat="1" applyFont="1" applyFill="1" applyBorder="1"/>
    <xf numFmtId="170" fontId="36" fillId="0" borderId="0" xfId="0" applyNumberFormat="1" applyFont="1" applyFill="1" applyBorder="1"/>
    <xf numFmtId="171" fontId="32" fillId="0" borderId="25" xfId="74" applyNumberFormat="1" applyFont="1" applyFill="1" applyBorder="1"/>
    <xf numFmtId="0" fontId="3" fillId="30" borderId="21" xfId="0" applyFont="1" applyFill="1" applyBorder="1"/>
    <xf numFmtId="15" fontId="62" fillId="0" borderId="27" xfId="0" applyNumberFormat="1" applyFont="1" applyBorder="1" applyAlignment="1">
      <alignment horizontal="center"/>
    </xf>
    <xf numFmtId="0" fontId="62" fillId="0" borderId="32" xfId="0" applyFont="1" applyBorder="1" applyAlignment="1">
      <alignment horizontal="center"/>
    </xf>
    <xf numFmtId="170" fontId="32" fillId="0" borderId="28" xfId="38" applyNumberFormat="1" applyFont="1" applyFill="1" applyBorder="1" applyAlignment="1">
      <alignment horizontal="center"/>
    </xf>
    <xf numFmtId="170" fontId="32" fillId="0" borderId="29" xfId="38" applyNumberFormat="1" applyFont="1" applyFill="1" applyBorder="1" applyAlignment="1">
      <alignment horizontal="center"/>
    </xf>
    <xf numFmtId="170" fontId="32" fillId="0" borderId="28" xfId="38" applyNumberFormat="1" applyFont="1" applyFill="1" applyBorder="1"/>
    <xf numFmtId="170" fontId="32" fillId="0" borderId="29" xfId="38" applyNumberFormat="1" applyFont="1" applyFill="1" applyBorder="1"/>
    <xf numFmtId="170" fontId="32" fillId="0" borderId="32" xfId="38" applyNumberFormat="1" applyFont="1" applyFill="1" applyBorder="1"/>
    <xf numFmtId="170" fontId="32" fillId="0" borderId="19" xfId="38" applyNumberFormat="1" applyFont="1" applyFill="1" applyBorder="1"/>
    <xf numFmtId="170" fontId="32" fillId="0" borderId="40" xfId="38" applyNumberFormat="1" applyFont="1" applyFill="1" applyBorder="1"/>
    <xf numFmtId="170" fontId="32" fillId="0" borderId="25" xfId="38" applyNumberFormat="1" applyFont="1" applyFill="1" applyBorder="1"/>
    <xf numFmtId="170" fontId="32" fillId="0" borderId="23" xfId="38" applyNumberFormat="1" applyFont="1" applyFill="1" applyBorder="1"/>
    <xf numFmtId="170" fontId="32" fillId="0" borderId="13" xfId="38" applyNumberFormat="1" applyFont="1" applyFill="1" applyBorder="1"/>
    <xf numFmtId="9" fontId="26" fillId="0" borderId="28" xfId="116" applyNumberFormat="1" applyFont="1" applyBorder="1"/>
    <xf numFmtId="171" fontId="63" fillId="0" borderId="0" xfId="57" applyNumberFormat="1" applyFont="1" applyFill="1" applyBorder="1" applyAlignment="1">
      <alignment horizontal="right"/>
    </xf>
    <xf numFmtId="171" fontId="63" fillId="0" borderId="13" xfId="57" applyNumberFormat="1" applyFont="1" applyFill="1" applyBorder="1" applyAlignment="1">
      <alignment horizontal="right"/>
    </xf>
    <xf numFmtId="171" fontId="63" fillId="0" borderId="3" xfId="0" applyNumberFormat="1" applyFont="1" applyFill="1" applyBorder="1"/>
    <xf numFmtId="180" fontId="3" fillId="30" borderId="22" xfId="38" applyNumberFormat="1" applyFill="1" applyBorder="1"/>
    <xf numFmtId="180" fontId="18" fillId="0" borderId="0" xfId="0" applyNumberFormat="1" applyFont="1" applyFill="1"/>
    <xf numFmtId="170" fontId="0" fillId="29" borderId="0" xfId="0" applyNumberFormat="1" applyFill="1"/>
    <xf numFmtId="0" fontId="30" fillId="32" borderId="20" xfId="0" applyFont="1" applyFill="1" applyBorder="1"/>
    <xf numFmtId="0" fontId="30" fillId="32" borderId="22" xfId="0" applyFont="1" applyFill="1" applyBorder="1"/>
    <xf numFmtId="0" fontId="31" fillId="0" borderId="16" xfId="0" applyFont="1" applyFill="1" applyBorder="1"/>
    <xf numFmtId="0" fontId="31" fillId="30" borderId="16" xfId="0" applyFont="1" applyFill="1" applyBorder="1" applyAlignment="1">
      <alignment horizontal="center" wrapText="1"/>
    </xf>
    <xf numFmtId="180" fontId="31" fillId="0" borderId="16" xfId="53" applyNumberFormat="1" applyFont="1" applyFill="1" applyBorder="1" applyAlignment="1">
      <alignment horizontal="center"/>
    </xf>
    <xf numFmtId="0" fontId="30" fillId="30" borderId="16" xfId="0" applyFont="1" applyFill="1" applyBorder="1" applyAlignment="1">
      <alignment horizontal="center" wrapText="1"/>
    </xf>
    <xf numFmtId="0" fontId="31" fillId="0" borderId="28" xfId="0" applyFont="1" applyFill="1" applyBorder="1"/>
    <xf numFmtId="0" fontId="31" fillId="30" borderId="28" xfId="0" applyFont="1" applyFill="1" applyBorder="1" applyAlignment="1">
      <alignment horizontal="center" wrapText="1"/>
    </xf>
    <xf numFmtId="180" fontId="32" fillId="0" borderId="28" xfId="53" applyNumberFormat="1" applyFont="1" applyFill="1" applyBorder="1" applyAlignment="1">
      <alignment horizontal="center"/>
    </xf>
    <xf numFmtId="167" fontId="32" fillId="0" borderId="28" xfId="74" applyFont="1" applyBorder="1"/>
    <xf numFmtId="167" fontId="32" fillId="30" borderId="28" xfId="74" applyFont="1" applyFill="1" applyBorder="1" applyAlignment="1">
      <alignment horizontal="center" wrapText="1"/>
    </xf>
    <xf numFmtId="165" fontId="32" fillId="0" borderId="28" xfId="53" applyNumberFormat="1" applyFont="1" applyBorder="1"/>
    <xf numFmtId="196" fontId="32" fillId="0" borderId="28" xfId="53" applyNumberFormat="1" applyFont="1" applyFill="1" applyBorder="1" applyAlignment="1">
      <alignment horizontal="center"/>
    </xf>
    <xf numFmtId="167" fontId="32" fillId="30" borderId="28" xfId="74" applyFont="1" applyFill="1" applyBorder="1"/>
    <xf numFmtId="165" fontId="32" fillId="0" borderId="28" xfId="53" applyNumberFormat="1" applyFont="1" applyFill="1" applyBorder="1"/>
    <xf numFmtId="0" fontId="33" fillId="30" borderId="28" xfId="0" applyFont="1" applyFill="1" applyBorder="1"/>
    <xf numFmtId="43" fontId="32" fillId="0" borderId="28" xfId="53" applyFont="1" applyFill="1" applyBorder="1" applyAlignment="1">
      <alignment horizontal="center"/>
    </xf>
    <xf numFmtId="0" fontId="32" fillId="0" borderId="28" xfId="0" applyFont="1" applyBorder="1" applyAlignment="1"/>
    <xf numFmtId="167" fontId="32" fillId="30" borderId="28" xfId="0" applyNumberFormat="1" applyFont="1" applyFill="1" applyBorder="1" applyAlignment="1"/>
    <xf numFmtId="165" fontId="32" fillId="31" borderId="28" xfId="0" applyNumberFormat="1" applyFont="1" applyFill="1" applyBorder="1" applyAlignment="1">
      <alignment horizontal="center"/>
    </xf>
    <xf numFmtId="165" fontId="32" fillId="28" borderId="28" xfId="0" applyNumberFormat="1" applyFont="1" applyFill="1" applyBorder="1" applyAlignment="1">
      <alignment horizontal="center"/>
    </xf>
    <xf numFmtId="0" fontId="32" fillId="30" borderId="36" xfId="0" applyFont="1" applyFill="1" applyBorder="1" applyAlignment="1"/>
    <xf numFmtId="165" fontId="32" fillId="31" borderId="36" xfId="0" applyNumberFormat="1" applyFont="1" applyFill="1" applyBorder="1" applyAlignment="1">
      <alignment horizontal="center"/>
    </xf>
    <xf numFmtId="180" fontId="32" fillId="0" borderId="36" xfId="53" applyNumberFormat="1" applyFont="1" applyFill="1" applyBorder="1" applyAlignment="1">
      <alignment horizontal="center"/>
    </xf>
    <xf numFmtId="196" fontId="18" fillId="0" borderId="36" xfId="0" applyNumberFormat="1" applyFont="1" applyBorder="1"/>
    <xf numFmtId="165" fontId="18" fillId="0" borderId="36" xfId="0" applyNumberFormat="1" applyFont="1" applyBorder="1"/>
    <xf numFmtId="165" fontId="32" fillId="31" borderId="28" xfId="53" applyNumberFormat="1" applyFont="1" applyFill="1" applyBorder="1"/>
    <xf numFmtId="196" fontId="32" fillId="0" borderId="28" xfId="53" applyNumberFormat="1" applyFont="1" applyFill="1" applyBorder="1"/>
    <xf numFmtId="165" fontId="18" fillId="0" borderId="28" xfId="0" applyNumberFormat="1" applyFont="1" applyBorder="1"/>
    <xf numFmtId="0" fontId="32" fillId="30" borderId="28" xfId="0" applyFont="1" applyFill="1" applyBorder="1"/>
    <xf numFmtId="196" fontId="32" fillId="0" borderId="28" xfId="53" applyNumberFormat="1" applyFont="1" applyBorder="1"/>
    <xf numFmtId="171" fontId="32" fillId="31" borderId="28" xfId="0" applyNumberFormat="1" applyFont="1" applyFill="1" applyBorder="1"/>
    <xf numFmtId="171" fontId="32" fillId="31" borderId="36" xfId="74" applyNumberFormat="1" applyFont="1" applyFill="1" applyBorder="1"/>
    <xf numFmtId="171" fontId="32" fillId="0" borderId="36" xfId="74" applyNumberFormat="1" applyFont="1" applyFill="1" applyBorder="1"/>
    <xf numFmtId="171" fontId="32" fillId="0" borderId="36" xfId="73" applyNumberFormat="1" applyFont="1" applyFill="1" applyBorder="1"/>
    <xf numFmtId="171" fontId="32" fillId="0" borderId="36" xfId="0" applyNumberFormat="1" applyFont="1" applyFill="1" applyBorder="1"/>
    <xf numFmtId="167" fontId="32" fillId="0" borderId="28" xfId="74" applyFont="1" applyFill="1" applyBorder="1" applyAlignment="1">
      <alignment horizontal="left"/>
    </xf>
    <xf numFmtId="180" fontId="32" fillId="0" borderId="28" xfId="53" applyNumberFormat="1" applyFont="1" applyFill="1" applyBorder="1"/>
    <xf numFmtId="165" fontId="32" fillId="31" borderId="36" xfId="53" applyNumberFormat="1" applyFont="1" applyFill="1" applyBorder="1"/>
    <xf numFmtId="165" fontId="32" fillId="0" borderId="36" xfId="53" applyNumberFormat="1" applyFont="1" applyFill="1" applyBorder="1"/>
    <xf numFmtId="165" fontId="32" fillId="28" borderId="28" xfId="53" applyNumberFormat="1" applyFont="1" applyFill="1" applyBorder="1"/>
    <xf numFmtId="0" fontId="32" fillId="30" borderId="28" xfId="0" applyFont="1" applyFill="1" applyBorder="1" applyAlignment="1"/>
    <xf numFmtId="180" fontId="32" fillId="0" borderId="36" xfId="53" applyNumberFormat="1" applyFont="1" applyFill="1" applyBorder="1"/>
    <xf numFmtId="167" fontId="32" fillId="30" borderId="28" xfId="74" applyFont="1" applyFill="1" applyBorder="1" applyAlignment="1">
      <alignment horizontal="left"/>
    </xf>
    <xf numFmtId="0" fontId="32" fillId="28" borderId="27" xfId="0" applyFont="1" applyFill="1" applyBorder="1"/>
    <xf numFmtId="165" fontId="32" fillId="28" borderId="27" xfId="53" applyNumberFormat="1" applyFont="1" applyFill="1" applyBorder="1"/>
    <xf numFmtId="165" fontId="18" fillId="0" borderId="0" xfId="0" applyNumberFormat="1" applyFont="1"/>
    <xf numFmtId="0" fontId="32" fillId="28" borderId="32" xfId="0" applyFont="1" applyFill="1" applyBorder="1"/>
    <xf numFmtId="165" fontId="32" fillId="28" borderId="32" xfId="53" applyNumberFormat="1" applyFont="1" applyFill="1" applyBorder="1"/>
    <xf numFmtId="180" fontId="32" fillId="28" borderId="32" xfId="53" applyNumberFormat="1" applyFont="1" applyFill="1" applyBorder="1" applyAlignment="1">
      <alignment horizontal="center"/>
    </xf>
    <xf numFmtId="165" fontId="34" fillId="0" borderId="28" xfId="0" applyNumberFormat="1" applyFont="1" applyBorder="1"/>
    <xf numFmtId="0" fontId="32" fillId="0" borderId="28" xfId="0" applyFont="1" applyFill="1" applyBorder="1"/>
    <xf numFmtId="0" fontId="65" fillId="0" borderId="28" xfId="0" applyFont="1" applyFill="1" applyBorder="1"/>
    <xf numFmtId="0" fontId="18" fillId="0" borderId="0" xfId="0" applyFont="1" applyBorder="1" applyAlignment="1">
      <alignment horizontal="center"/>
    </xf>
    <xf numFmtId="165" fontId="65" fillId="0" borderId="28" xfId="0" applyNumberFormat="1" applyFont="1" applyFill="1" applyBorder="1"/>
    <xf numFmtId="9" fontId="18" fillId="0" borderId="0" xfId="0" applyNumberFormat="1" applyFont="1" applyBorder="1"/>
    <xf numFmtId="165" fontId="18" fillId="0" borderId="0" xfId="0" applyNumberFormat="1" applyFont="1" applyBorder="1"/>
    <xf numFmtId="179" fontId="18" fillId="0" borderId="0" xfId="73" applyNumberFormat="1" applyFont="1" applyBorder="1"/>
    <xf numFmtId="180" fontId="65" fillId="0" borderId="28" xfId="53" applyNumberFormat="1" applyFont="1" applyFill="1" applyBorder="1"/>
    <xf numFmtId="9" fontId="18" fillId="0" borderId="0" xfId="116" applyFont="1" applyBorder="1"/>
    <xf numFmtId="197" fontId="32" fillId="0" borderId="28" xfId="53" applyNumberFormat="1" applyFont="1" applyFill="1" applyBorder="1"/>
    <xf numFmtId="0" fontId="18" fillId="0" borderId="0" xfId="0" applyFont="1" applyBorder="1"/>
    <xf numFmtId="167" fontId="32" fillId="0" borderId="36" xfId="74" applyFont="1" applyBorder="1" applyAlignment="1">
      <alignment horizontal="left" indent="2"/>
    </xf>
    <xf numFmtId="165" fontId="32" fillId="0" borderId="36" xfId="53" applyNumberFormat="1" applyFont="1" applyBorder="1"/>
    <xf numFmtId="196" fontId="32" fillId="0" borderId="36" xfId="53" applyNumberFormat="1" applyFont="1" applyBorder="1"/>
    <xf numFmtId="180" fontId="32" fillId="0" borderId="14" xfId="53" applyNumberFormat="1" applyFont="1" applyBorder="1"/>
    <xf numFmtId="165" fontId="32" fillId="0" borderId="14" xfId="53" applyNumberFormat="1" applyFont="1" applyBorder="1"/>
    <xf numFmtId="180" fontId="32" fillId="29" borderId="37" xfId="53" applyNumberFormat="1" applyFont="1" applyFill="1" applyBorder="1"/>
    <xf numFmtId="198" fontId="32" fillId="29" borderId="37" xfId="53" applyNumberFormat="1" applyFont="1" applyFill="1" applyBorder="1"/>
    <xf numFmtId="170" fontId="32" fillId="29" borderId="37" xfId="0" applyNumberFormat="1" applyFont="1" applyFill="1" applyBorder="1"/>
    <xf numFmtId="3" fontId="32" fillId="29" borderId="37" xfId="0" applyNumberFormat="1" applyFont="1" applyFill="1" applyBorder="1"/>
    <xf numFmtId="165" fontId="32" fillId="29" borderId="14" xfId="53" applyNumberFormat="1" applyFont="1" applyFill="1" applyBorder="1"/>
    <xf numFmtId="165" fontId="32" fillId="29" borderId="16" xfId="53" applyNumberFormat="1" applyFont="1" applyFill="1" applyBorder="1"/>
    <xf numFmtId="171" fontId="32" fillId="29" borderId="32" xfId="74" applyNumberFormat="1" applyFont="1" applyFill="1" applyBorder="1"/>
    <xf numFmtId="180" fontId="18" fillId="0" borderId="0" xfId="53" applyNumberFormat="1" applyFont="1"/>
    <xf numFmtId="180" fontId="18" fillId="0" borderId="0" xfId="53" applyNumberFormat="1" applyFont="1" applyFill="1"/>
    <xf numFmtId="180" fontId="18" fillId="0" borderId="0" xfId="0" applyNumberFormat="1" applyFont="1"/>
    <xf numFmtId="180" fontId="18" fillId="0" borderId="38" xfId="0" applyNumberFormat="1" applyFont="1" applyBorder="1"/>
    <xf numFmtId="165" fontId="18" fillId="0" borderId="38" xfId="0" applyNumberFormat="1" applyFont="1" applyBorder="1"/>
    <xf numFmtId="180" fontId="18" fillId="29" borderId="38" xfId="0" applyNumberFormat="1" applyFont="1" applyFill="1" applyBorder="1"/>
    <xf numFmtId="171" fontId="32" fillId="30" borderId="20" xfId="74" applyNumberFormat="1" applyFont="1" applyFill="1" applyBorder="1"/>
    <xf numFmtId="0" fontId="32" fillId="30" borderId="21" xfId="0" applyFont="1" applyFill="1" applyBorder="1"/>
    <xf numFmtId="0" fontId="32" fillId="30" borderId="16" xfId="0" applyFont="1" applyFill="1" applyBorder="1"/>
    <xf numFmtId="0" fontId="32" fillId="30" borderId="27" xfId="0" applyFont="1" applyFill="1" applyBorder="1"/>
    <xf numFmtId="180" fontId="32" fillId="30" borderId="22" xfId="53" applyNumberFormat="1" applyFont="1" applyFill="1" applyBorder="1"/>
    <xf numFmtId="0" fontId="32" fillId="0" borderId="20" xfId="0" applyFont="1" applyBorder="1"/>
    <xf numFmtId="15" fontId="31" fillId="0" borderId="27" xfId="0" applyNumberFormat="1" applyFont="1" applyBorder="1" applyAlignment="1">
      <alignment horizontal="center"/>
    </xf>
    <xf numFmtId="15" fontId="31" fillId="0" borderId="21" xfId="0" applyNumberFormat="1" applyFont="1" applyBorder="1" applyAlignment="1">
      <alignment horizontal="center"/>
    </xf>
    <xf numFmtId="15" fontId="31" fillId="0" borderId="22" xfId="0" applyNumberFormat="1" applyFont="1" applyBorder="1" applyAlignment="1">
      <alignment horizontal="center"/>
    </xf>
    <xf numFmtId="0" fontId="18" fillId="0" borderId="20" xfId="0" applyFont="1" applyBorder="1"/>
    <xf numFmtId="17" fontId="18" fillId="0" borderId="21" xfId="0" applyNumberFormat="1" applyFont="1" applyBorder="1"/>
    <xf numFmtId="165" fontId="18" fillId="0" borderId="22" xfId="0" applyNumberFormat="1" applyFont="1" applyBorder="1"/>
    <xf numFmtId="180" fontId="32" fillId="30" borderId="21" xfId="53" applyNumberFormat="1" applyFont="1" applyFill="1" applyBorder="1"/>
    <xf numFmtId="10" fontId="18" fillId="0" borderId="21" xfId="116" applyNumberFormat="1" applyFont="1" applyBorder="1"/>
    <xf numFmtId="2" fontId="18" fillId="0" borderId="22" xfId="0" applyNumberFormat="1" applyFont="1" applyBorder="1"/>
    <xf numFmtId="165" fontId="36" fillId="0" borderId="0" xfId="0" applyNumberFormat="1" applyFont="1" applyBorder="1"/>
    <xf numFmtId="0" fontId="32" fillId="0" borderId="25" xfId="0" applyFont="1" applyBorder="1"/>
    <xf numFmtId="15" fontId="31" fillId="0" borderId="32" xfId="0" applyNumberFormat="1" applyFont="1" applyBorder="1" applyAlignment="1">
      <alignment horizontal="center"/>
    </xf>
    <xf numFmtId="0" fontId="31" fillId="0" borderId="13" xfId="0" applyFont="1" applyBorder="1" applyAlignment="1">
      <alignment horizontal="center"/>
    </xf>
    <xf numFmtId="0" fontId="31" fillId="0" borderId="32" xfId="0" applyFont="1" applyBorder="1" applyAlignment="1">
      <alignment horizontal="center"/>
    </xf>
    <xf numFmtId="0" fontId="31" fillId="0" borderId="35" xfId="0" applyFont="1" applyBorder="1" applyAlignment="1">
      <alignment horizontal="center"/>
    </xf>
    <xf numFmtId="0" fontId="18" fillId="0" borderId="23" xfId="0" applyFont="1" applyBorder="1"/>
    <xf numFmtId="0" fontId="18" fillId="0" borderId="24" xfId="0" applyFont="1" applyBorder="1"/>
    <xf numFmtId="15" fontId="31" fillId="0" borderId="0" xfId="0" applyNumberFormat="1" applyFont="1" applyBorder="1" applyAlignment="1">
      <alignment horizontal="center"/>
    </xf>
    <xf numFmtId="10" fontId="18" fillId="0" borderId="0" xfId="116" applyNumberFormat="1" applyFont="1" applyBorder="1"/>
    <xf numFmtId="2" fontId="18" fillId="0" borderId="24" xfId="0" applyNumberFormat="1" applyFont="1" applyBorder="1"/>
    <xf numFmtId="15" fontId="31" fillId="0" borderId="28" xfId="0" applyNumberFormat="1" applyFont="1" applyBorder="1" applyAlignment="1">
      <alignment horizontal="center"/>
    </xf>
    <xf numFmtId="0" fontId="31" fillId="0" borderId="0" xfId="0" applyFont="1" applyBorder="1" applyAlignment="1">
      <alignment horizontal="center"/>
    </xf>
    <xf numFmtId="0" fontId="31" fillId="0" borderId="28" xfId="0" applyFont="1" applyBorder="1" applyAlignment="1">
      <alignment horizontal="center"/>
    </xf>
    <xf numFmtId="0" fontId="31" fillId="0" borderId="24" xfId="0" applyFont="1" applyBorder="1" applyAlignment="1">
      <alignment horizontal="center"/>
    </xf>
    <xf numFmtId="171" fontId="32" fillId="0" borderId="28" xfId="0" applyNumberFormat="1" applyFont="1" applyBorder="1"/>
    <xf numFmtId="171" fontId="32" fillId="0" borderId="0" xfId="0" applyNumberFormat="1" applyFont="1" applyBorder="1"/>
    <xf numFmtId="171" fontId="32" fillId="0" borderId="22" xfId="0" applyNumberFormat="1" applyFont="1" applyBorder="1"/>
    <xf numFmtId="180" fontId="32" fillId="0" borderId="0" xfId="0" applyNumberFormat="1" applyFont="1" applyBorder="1"/>
    <xf numFmtId="180" fontId="32" fillId="0" borderId="28" xfId="0" applyNumberFormat="1" applyFont="1" applyBorder="1"/>
    <xf numFmtId="180" fontId="32" fillId="0" borderId="24" xfId="0" applyNumberFormat="1" applyFont="1" applyBorder="1"/>
    <xf numFmtId="171" fontId="32" fillId="0" borderId="24" xfId="0" applyNumberFormat="1" applyFont="1" applyBorder="1"/>
    <xf numFmtId="171" fontId="32" fillId="0" borderId="13" xfId="0" applyNumberFormat="1" applyFont="1" applyBorder="1"/>
    <xf numFmtId="171" fontId="32" fillId="0" borderId="32" xfId="0" applyNumberFormat="1" applyFont="1" applyBorder="1"/>
    <xf numFmtId="171" fontId="32" fillId="0" borderId="35" xfId="0" applyNumberFormat="1" applyFont="1" applyBorder="1"/>
    <xf numFmtId="0" fontId="18" fillId="0" borderId="25" xfId="0" applyFont="1" applyBorder="1"/>
    <xf numFmtId="0" fontId="18" fillId="0" borderId="13" xfId="0" applyFont="1" applyBorder="1"/>
    <xf numFmtId="2" fontId="18" fillId="0" borderId="26" xfId="0" applyNumberFormat="1" applyFont="1" applyBorder="1"/>
    <xf numFmtId="0" fontId="32" fillId="0" borderId="16" xfId="0" applyFont="1" applyFill="1" applyBorder="1"/>
    <xf numFmtId="171" fontId="32" fillId="0" borderId="11" xfId="0" applyNumberFormat="1" applyFont="1" applyBorder="1"/>
    <xf numFmtId="171" fontId="32" fillId="0" borderId="16" xfId="0" applyNumberFormat="1" applyFont="1" applyBorder="1"/>
    <xf numFmtId="171" fontId="32" fillId="0" borderId="12" xfId="0" applyNumberFormat="1" applyFont="1" applyBorder="1"/>
    <xf numFmtId="180" fontId="36" fillId="0" borderId="0" xfId="53" applyNumberFormat="1" applyFont="1" applyBorder="1"/>
    <xf numFmtId="171" fontId="32" fillId="0" borderId="3" xfId="0" applyNumberFormat="1" applyFont="1" applyBorder="1"/>
    <xf numFmtId="171" fontId="66" fillId="0" borderId="11" xfId="0" applyNumberFormat="1" applyFont="1" applyBorder="1"/>
    <xf numFmtId="0" fontId="30" fillId="0" borderId="20" xfId="0" applyFont="1" applyBorder="1" applyAlignment="1">
      <alignment horizontal="right"/>
    </xf>
    <xf numFmtId="0" fontId="30" fillId="0" borderId="21" xfId="0" applyFont="1" applyBorder="1" applyAlignment="1">
      <alignment horizontal="center"/>
    </xf>
    <xf numFmtId="15" fontId="30" fillId="0" borderId="22" xfId="0" applyNumberFormat="1" applyFont="1" applyFill="1" applyBorder="1" applyAlignment="1">
      <alignment horizontal="center"/>
    </xf>
    <xf numFmtId="180" fontId="18" fillId="0" borderId="0" xfId="53" applyNumberFormat="1" applyFont="1" applyBorder="1"/>
    <xf numFmtId="180" fontId="18" fillId="0" borderId="24" xfId="0" applyNumberFormat="1" applyFont="1" applyFill="1" applyBorder="1"/>
    <xf numFmtId="2" fontId="18" fillId="0" borderId="0" xfId="0" applyNumberFormat="1" applyFont="1" applyBorder="1"/>
    <xf numFmtId="10" fontId="18" fillId="0" borderId="13" xfId="116" applyNumberFormat="1" applyFont="1" applyBorder="1"/>
    <xf numFmtId="0" fontId="31" fillId="0" borderId="0" xfId="0" applyFont="1" applyFill="1" applyBorder="1" applyAlignment="1">
      <alignment horizontal="center" wrapText="1"/>
    </xf>
    <xf numFmtId="0" fontId="30" fillId="0" borderId="0" xfId="0" applyFont="1" applyFill="1" applyBorder="1" applyAlignment="1">
      <alignment horizontal="center" wrapText="1"/>
    </xf>
    <xf numFmtId="17" fontId="66" fillId="0" borderId="28" xfId="0" applyNumberFormat="1" applyFont="1" applyFill="1" applyBorder="1" applyAlignment="1">
      <alignment horizontal="center"/>
    </xf>
    <xf numFmtId="165" fontId="66" fillId="0" borderId="28" xfId="53" applyNumberFormat="1" applyFont="1" applyBorder="1"/>
    <xf numFmtId="165" fontId="66" fillId="0" borderId="28" xfId="53" applyNumberFormat="1" applyFont="1" applyFill="1" applyBorder="1"/>
    <xf numFmtId="196" fontId="18" fillId="0" borderId="0" xfId="0" applyNumberFormat="1" applyFont="1" applyFill="1" applyBorder="1"/>
    <xf numFmtId="165" fontId="18" fillId="0" borderId="0" xfId="0" applyNumberFormat="1" applyFont="1" applyFill="1" applyBorder="1"/>
    <xf numFmtId="196" fontId="32" fillId="0" borderId="0" xfId="53" applyNumberFormat="1" applyFont="1" applyFill="1" applyBorder="1"/>
    <xf numFmtId="165" fontId="32" fillId="0" borderId="0" xfId="53" applyNumberFormat="1" applyFont="1" applyFill="1" applyBorder="1"/>
    <xf numFmtId="171" fontId="67" fillId="0" borderId="0" xfId="74" applyNumberFormat="1" applyFont="1" applyFill="1" applyBorder="1"/>
    <xf numFmtId="17" fontId="18" fillId="0" borderId="0" xfId="0" applyNumberFormat="1" applyFont="1" applyBorder="1"/>
    <xf numFmtId="180" fontId="32" fillId="30" borderId="20" xfId="53" applyNumberFormat="1" applyFont="1" applyFill="1" applyBorder="1"/>
    <xf numFmtId="180" fontId="32" fillId="30" borderId="27" xfId="53" applyNumberFormat="1" applyFont="1" applyFill="1" applyBorder="1"/>
    <xf numFmtId="180" fontId="32" fillId="0" borderId="0" xfId="53" applyNumberFormat="1" applyFont="1" applyFill="1" applyBorder="1"/>
    <xf numFmtId="15" fontId="31" fillId="0" borderId="20" xfId="0" applyNumberFormat="1" applyFont="1" applyBorder="1" applyAlignment="1">
      <alignment horizontal="center"/>
    </xf>
    <xf numFmtId="0" fontId="31" fillId="0" borderId="25" xfId="0" applyFont="1" applyBorder="1" applyAlignment="1">
      <alignment horizontal="center"/>
    </xf>
    <xf numFmtId="0" fontId="31" fillId="0" borderId="23" xfId="0" applyFont="1" applyBorder="1" applyAlignment="1">
      <alignment horizontal="center"/>
    </xf>
    <xf numFmtId="171" fontId="32" fillId="0" borderId="27" xfId="0" applyNumberFormat="1" applyFont="1" applyBorder="1"/>
    <xf numFmtId="0" fontId="0" fillId="0" borderId="11" xfId="0" applyFill="1" applyBorder="1"/>
    <xf numFmtId="171" fontId="18" fillId="0" borderId="0" xfId="0" applyNumberFormat="1" applyFont="1" applyFill="1" applyBorder="1"/>
    <xf numFmtId="171" fontId="0" fillId="0" borderId="23" xfId="0" applyNumberFormat="1" applyBorder="1"/>
    <xf numFmtId="180" fontId="0" fillId="0" borderId="23" xfId="0" applyNumberFormat="1" applyBorder="1"/>
    <xf numFmtId="171" fontId="0" fillId="0" borderId="25" xfId="0" applyNumberFormat="1" applyBorder="1"/>
    <xf numFmtId="171" fontId="18" fillId="0" borderId="3" xfId="0" applyNumberFormat="1" applyFont="1" applyFill="1" applyBorder="1"/>
    <xf numFmtId="0" fontId="18" fillId="0" borderId="0" xfId="0" applyFont="1" applyFill="1" applyBorder="1" applyAlignment="1">
      <alignment horizontal="right"/>
    </xf>
    <xf numFmtId="15" fontId="4" fillId="0" borderId="0" xfId="0" applyNumberFormat="1" applyFont="1" applyBorder="1" applyAlignment="1">
      <alignment horizontal="center"/>
    </xf>
    <xf numFmtId="0" fontId="4" fillId="0" borderId="0" xfId="0" applyFont="1" applyBorder="1" applyAlignment="1">
      <alignment horizontal="center"/>
    </xf>
    <xf numFmtId="180" fontId="0" fillId="0" borderId="0" xfId="0" applyNumberFormat="1" applyBorder="1"/>
    <xf numFmtId="15" fontId="62" fillId="0" borderId="20" xfId="0" applyNumberFormat="1" applyFont="1" applyBorder="1" applyAlignment="1">
      <alignment horizontal="center"/>
    </xf>
    <xf numFmtId="0" fontId="62" fillId="0" borderId="25" xfId="0" applyFont="1" applyBorder="1" applyAlignment="1">
      <alignment horizontal="center"/>
    </xf>
    <xf numFmtId="180" fontId="3" fillId="30" borderId="27" xfId="38" applyNumberFormat="1" applyFont="1" applyFill="1" applyBorder="1"/>
    <xf numFmtId="171" fontId="0" fillId="0" borderId="16" xfId="0" applyNumberFormat="1" applyBorder="1"/>
    <xf numFmtId="171" fontId="18" fillId="0" borderId="16" xfId="0" applyNumberFormat="1" applyFont="1" applyFill="1" applyBorder="1"/>
    <xf numFmtId="0" fontId="30" fillId="0" borderId="23" xfId="0" applyFont="1" applyFill="1" applyBorder="1"/>
    <xf numFmtId="0" fontId="30" fillId="0" borderId="24" xfId="0" applyFont="1" applyFill="1" applyBorder="1"/>
    <xf numFmtId="171" fontId="0" fillId="0" borderId="24" xfId="0" applyNumberFormat="1" applyBorder="1"/>
    <xf numFmtId="180" fontId="0" fillId="0" borderId="24" xfId="0" applyNumberFormat="1" applyBorder="1"/>
    <xf numFmtId="171" fontId="0" fillId="0" borderId="35" xfId="0" applyNumberFormat="1" applyBorder="1"/>
    <xf numFmtId="171" fontId="64" fillId="27" borderId="3" xfId="0" applyNumberFormat="1" applyFont="1" applyFill="1" applyBorder="1"/>
    <xf numFmtId="170" fontId="18" fillId="0" borderId="0" xfId="38" applyNumberFormat="1" applyFont="1" applyFill="1" applyBorder="1"/>
    <xf numFmtId="171" fontId="8" fillId="0" borderId="28" xfId="0" applyNumberFormat="1" applyFont="1" applyBorder="1"/>
    <xf numFmtId="171" fontId="8" fillId="0" borderId="11" xfId="0" applyNumberFormat="1" applyFont="1" applyBorder="1"/>
    <xf numFmtId="171" fontId="8" fillId="0" borderId="3" xfId="0" applyNumberFormat="1" applyFont="1" applyBorder="1"/>
    <xf numFmtId="171" fontId="15" fillId="0" borderId="12" xfId="0" applyNumberFormat="1" applyFont="1" applyFill="1" applyBorder="1"/>
    <xf numFmtId="0" fontId="4" fillId="27" borderId="13" xfId="0" applyFont="1" applyFill="1" applyBorder="1" applyAlignment="1">
      <alignment horizontal="center"/>
    </xf>
    <xf numFmtId="171" fontId="8" fillId="27" borderId="28" xfId="0" applyNumberFormat="1" applyFont="1" applyFill="1" applyBorder="1"/>
    <xf numFmtId="180" fontId="8" fillId="27" borderId="28" xfId="0" applyNumberFormat="1" applyFont="1" applyFill="1" applyBorder="1"/>
    <xf numFmtId="171" fontId="8" fillId="27" borderId="16" xfId="0" applyNumberFormat="1" applyFont="1" applyFill="1" applyBorder="1"/>
    <xf numFmtId="171" fontId="15" fillId="27" borderId="12" xfId="0" applyNumberFormat="1" applyFont="1" applyFill="1" applyBorder="1"/>
    <xf numFmtId="0" fontId="4" fillId="27" borderId="25" xfId="0" applyFont="1" applyFill="1" applyBorder="1" applyAlignment="1">
      <alignment horizontal="center"/>
    </xf>
    <xf numFmtId="171" fontId="15" fillId="27" borderId="3" xfId="0" applyNumberFormat="1" applyFont="1" applyFill="1" applyBorder="1"/>
    <xf numFmtId="171" fontId="18" fillId="0" borderId="0" xfId="0" applyNumberFormat="1" applyFont="1" applyFill="1"/>
    <xf numFmtId="180" fontId="8" fillId="0" borderId="28" xfId="0" applyNumberFormat="1" applyFont="1" applyBorder="1"/>
    <xf numFmtId="171" fontId="8" fillId="0" borderId="32" xfId="0" applyNumberFormat="1" applyFont="1" applyBorder="1"/>
    <xf numFmtId="0" fontId="4" fillId="27" borderId="32" xfId="0" applyFont="1" applyFill="1" applyBorder="1" applyAlignment="1">
      <alignment horizontal="center"/>
    </xf>
    <xf numFmtId="171" fontId="15" fillId="27" borderId="16" xfId="0" applyNumberFormat="1" applyFont="1" applyFill="1" applyBorder="1"/>
    <xf numFmtId="170" fontId="5" fillId="0" borderId="0" xfId="38" applyNumberFormat="1" applyFont="1" applyAlignment="1" applyProtection="1">
      <alignment vertical="top" wrapText="1"/>
      <protection locked="0"/>
    </xf>
    <xf numFmtId="170" fontId="5" fillId="0" borderId="0" xfId="112" applyNumberFormat="1" applyAlignment="1">
      <alignment vertical="top" wrapText="1"/>
      <protection locked="0"/>
    </xf>
    <xf numFmtId="4" fontId="18" fillId="0" borderId="0" xfId="0" applyNumberFormat="1" applyFont="1"/>
    <xf numFmtId="15" fontId="4" fillId="0" borderId="27" xfId="0" quotePrefix="1" applyNumberFormat="1" applyFont="1" applyBorder="1" applyAlignment="1">
      <alignment horizontal="center"/>
    </xf>
    <xf numFmtId="15" fontId="4" fillId="0" borderId="21" xfId="0" quotePrefix="1" applyNumberFormat="1" applyFont="1" applyBorder="1" applyAlignment="1">
      <alignment horizontal="center"/>
    </xf>
    <xf numFmtId="0" fontId="31" fillId="0" borderId="11" xfId="0" quotePrefix="1" applyFont="1" applyFill="1" applyBorder="1" applyAlignment="1">
      <alignment horizontal="left"/>
    </xf>
    <xf numFmtId="0" fontId="26" fillId="30" borderId="3" xfId="0" quotePrefix="1" applyFont="1" applyFill="1" applyBorder="1" applyAlignment="1">
      <alignment horizontal="right"/>
    </xf>
    <xf numFmtId="0" fontId="75" fillId="0" borderId="0" xfId="106" applyFont="1"/>
    <xf numFmtId="0" fontId="74" fillId="0" borderId="0" xfId="106" applyFont="1"/>
    <xf numFmtId="0" fontId="75" fillId="0" borderId="6" xfId="106" applyFont="1" applyBorder="1" applyAlignment="1">
      <alignment horizontal="center"/>
    </xf>
    <xf numFmtId="0" fontId="75" fillId="0" borderId="6" xfId="106" applyFont="1" applyBorder="1"/>
    <xf numFmtId="0" fontId="75" fillId="0" borderId="6" xfId="106" applyFont="1" applyBorder="1" applyAlignment="1">
      <alignment horizontal="center" wrapText="1"/>
    </xf>
    <xf numFmtId="0" fontId="74" fillId="0" borderId="6" xfId="106" applyFont="1" applyBorder="1" applyAlignment="1">
      <alignment horizontal="center"/>
    </xf>
    <xf numFmtId="0" fontId="74" fillId="0" borderId="6" xfId="106" applyFont="1" applyBorder="1"/>
    <xf numFmtId="170" fontId="74" fillId="0" borderId="6" xfId="40" applyNumberFormat="1" applyFont="1" applyBorder="1"/>
    <xf numFmtId="170" fontId="75" fillId="0" borderId="6" xfId="40" applyNumberFormat="1" applyFont="1" applyBorder="1"/>
    <xf numFmtId="0" fontId="74" fillId="0" borderId="0" xfId="106" applyFont="1" applyBorder="1"/>
    <xf numFmtId="0" fontId="75" fillId="0" borderId="0" xfId="106" applyFont="1" applyBorder="1"/>
    <xf numFmtId="170" fontId="75" fillId="0" borderId="58" xfId="40" applyNumberFormat="1" applyFont="1" applyBorder="1"/>
    <xf numFmtId="0" fontId="75" fillId="0" borderId="0" xfId="106" quotePrefix="1" applyFont="1" applyBorder="1" applyAlignment="1">
      <alignment horizontal="left"/>
    </xf>
    <xf numFmtId="170" fontId="75" fillId="0" borderId="15" xfId="40" applyNumberFormat="1" applyFont="1" applyBorder="1"/>
    <xf numFmtId="0" fontId="75" fillId="0" borderId="0" xfId="106" applyFont="1" applyFill="1" applyBorder="1"/>
    <xf numFmtId="170" fontId="0" fillId="0" borderId="0" xfId="0" applyNumberFormat="1"/>
    <xf numFmtId="170" fontId="0" fillId="0" borderId="16" xfId="0" applyNumberFormat="1" applyBorder="1"/>
    <xf numFmtId="171" fontId="0" fillId="0" borderId="0" xfId="60" applyNumberFormat="1" applyFont="1"/>
    <xf numFmtId="171" fontId="0" fillId="0" borderId="20" xfId="60" applyNumberFormat="1" applyFont="1" applyBorder="1"/>
    <xf numFmtId="0" fontId="8" fillId="0" borderId="0" xfId="106"/>
    <xf numFmtId="171" fontId="0" fillId="0" borderId="23" xfId="60" applyNumberFormat="1" applyFont="1" applyBorder="1"/>
    <xf numFmtId="171" fontId="0" fillId="0" borderId="0" xfId="60" applyNumberFormat="1" applyFont="1" applyBorder="1"/>
    <xf numFmtId="171" fontId="0" fillId="0" borderId="19" xfId="60" applyNumberFormat="1" applyFont="1" applyBorder="1"/>
    <xf numFmtId="168" fontId="0" fillId="0" borderId="0" xfId="40" applyNumberFormat="1" applyFont="1"/>
    <xf numFmtId="167" fontId="0" fillId="0" borderId="0" xfId="58" applyNumberFormat="1" applyFont="1"/>
    <xf numFmtId="0" fontId="6" fillId="0" borderId="0" xfId="0" applyFont="1" applyAlignment="1">
      <alignment horizontal="center"/>
    </xf>
    <xf numFmtId="168" fontId="71" fillId="0" borderId="0" xfId="40" applyNumberFormat="1" applyFont="1" applyAlignment="1">
      <alignment horizontal="center"/>
    </xf>
    <xf numFmtId="171" fontId="0" fillId="0" borderId="0" xfId="58" applyNumberFormat="1" applyFont="1"/>
    <xf numFmtId="171" fontId="0" fillId="0" borderId="22" xfId="58" applyNumberFormat="1" applyFont="1" applyBorder="1"/>
    <xf numFmtId="168" fontId="0" fillId="0" borderId="23" xfId="40" applyNumberFormat="1" applyFont="1" applyBorder="1"/>
    <xf numFmtId="171" fontId="0" fillId="0" borderId="24" xfId="58" applyNumberFormat="1" applyFont="1" applyBorder="1"/>
    <xf numFmtId="168" fontId="0" fillId="0" borderId="25" xfId="40" applyNumberFormat="1" applyFont="1" applyBorder="1"/>
    <xf numFmtId="171" fontId="0" fillId="0" borderId="35" xfId="58" applyNumberFormat="1" applyFont="1" applyBorder="1"/>
    <xf numFmtId="0" fontId="13" fillId="0" borderId="0" xfId="0" applyFont="1" applyAlignment="1">
      <alignment horizontal="center"/>
    </xf>
    <xf numFmtId="168" fontId="13" fillId="0" borderId="0" xfId="40" applyNumberFormat="1" applyFont="1" applyAlignment="1">
      <alignment horizontal="center"/>
    </xf>
    <xf numFmtId="200" fontId="0" fillId="0" borderId="0" xfId="38" applyNumberFormat="1" applyFont="1"/>
    <xf numFmtId="201" fontId="0" fillId="0" borderId="0" xfId="40" applyNumberFormat="1" applyFont="1"/>
    <xf numFmtId="44" fontId="0" fillId="0" borderId="19" xfId="57" applyNumberFormat="1" applyFont="1" applyBorder="1"/>
    <xf numFmtId="168" fontId="0" fillId="0" borderId="19" xfId="40" applyNumberFormat="1" applyFont="1" applyBorder="1"/>
    <xf numFmtId="171" fontId="0" fillId="0" borderId="0" xfId="66" applyNumberFormat="1" applyFont="1"/>
    <xf numFmtId="171" fontId="0" fillId="0" borderId="0" xfId="66" applyNumberFormat="1" applyFont="1" applyBorder="1"/>
    <xf numFmtId="171" fontId="0" fillId="0" borderId="19" xfId="66" applyNumberFormat="1" applyFont="1" applyBorder="1"/>
    <xf numFmtId="170" fontId="0" fillId="0" borderId="0" xfId="0" applyNumberFormat="1" applyFill="1" applyBorder="1"/>
    <xf numFmtId="171" fontId="0" fillId="0" borderId="0" xfId="0" applyNumberFormat="1"/>
    <xf numFmtId="0" fontId="0" fillId="0" borderId="19" xfId="0" applyBorder="1"/>
    <xf numFmtId="0" fontId="0" fillId="0" borderId="0" xfId="0" applyAlignment="1">
      <alignment horizontal="center"/>
    </xf>
    <xf numFmtId="0" fontId="0" fillId="0" borderId="0" xfId="0"/>
    <xf numFmtId="0" fontId="0" fillId="33" borderId="0" xfId="0" applyFill="1"/>
    <xf numFmtId="0" fontId="76" fillId="0" borderId="0" xfId="0" applyFont="1" applyProtection="1"/>
    <xf numFmtId="0" fontId="75" fillId="0" borderId="18" xfId="0" applyFont="1" applyBorder="1" applyAlignment="1">
      <alignment horizontal="left"/>
    </xf>
    <xf numFmtId="0" fontId="75" fillId="0" borderId="18" xfId="0" applyFont="1" applyBorder="1" applyAlignment="1">
      <alignment horizontal="center"/>
    </xf>
    <xf numFmtId="0" fontId="0" fillId="0" borderId="0" xfId="0" applyProtection="1"/>
    <xf numFmtId="0" fontId="0" fillId="0" borderId="0" xfId="0" applyAlignment="1" applyProtection="1">
      <alignment horizontal="center"/>
    </xf>
    <xf numFmtId="202" fontId="0" fillId="0" borderId="0" xfId="0" applyNumberFormat="1"/>
    <xf numFmtId="0" fontId="75" fillId="0" borderId="38" xfId="0" applyFont="1" applyBorder="1" applyProtection="1"/>
    <xf numFmtId="202" fontId="75" fillId="0" borderId="38" xfId="0" applyNumberFormat="1" applyFont="1" applyBorder="1"/>
    <xf numFmtId="0" fontId="4" fillId="0" borderId="38" xfId="0" applyFont="1" applyBorder="1"/>
    <xf numFmtId="0" fontId="75" fillId="0" borderId="4" xfId="0" applyFont="1" applyBorder="1" applyProtection="1"/>
    <xf numFmtId="202" fontId="75" fillId="0" borderId="4" xfId="0" applyNumberFormat="1" applyFont="1" applyBorder="1"/>
    <xf numFmtId="0" fontId="77" fillId="0" borderId="0" xfId="0" applyFont="1" applyFill="1" applyBorder="1" applyAlignment="1" applyProtection="1">
      <alignment vertical="center"/>
      <protection locked="0"/>
    </xf>
    <xf numFmtId="0" fontId="75" fillId="0" borderId="6" xfId="0" applyFont="1" applyBorder="1" applyAlignment="1">
      <alignment horizontal="left"/>
    </xf>
    <xf numFmtId="0" fontId="75" fillId="0" borderId="6" xfId="0" applyFont="1" applyBorder="1" applyAlignment="1">
      <alignment horizontal="center"/>
    </xf>
    <xf numFmtId="0" fontId="75" fillId="0" borderId="6" xfId="0" applyFont="1" applyBorder="1" applyAlignment="1">
      <alignment horizontal="center" wrapText="1"/>
    </xf>
    <xf numFmtId="202" fontId="75" fillId="0" borderId="0" xfId="0" applyNumberFormat="1" applyFont="1" applyBorder="1"/>
    <xf numFmtId="0" fontId="8" fillId="0" borderId="0" xfId="0" applyFont="1" applyBorder="1"/>
    <xf numFmtId="202" fontId="74" fillId="0" borderId="0" xfId="0" applyNumberFormat="1" applyFont="1" applyBorder="1"/>
    <xf numFmtId="0" fontId="75" fillId="0" borderId="0" xfId="0" applyFont="1" applyBorder="1" applyProtection="1"/>
    <xf numFmtId="202" fontId="2" fillId="0" borderId="0" xfId="0" applyNumberFormat="1" applyFont="1" applyBorder="1"/>
    <xf numFmtId="0" fontId="4" fillId="0" borderId="4" xfId="0" applyFont="1" applyBorder="1"/>
    <xf numFmtId="168" fontId="0" fillId="0" borderId="0" xfId="38" applyFont="1"/>
    <xf numFmtId="202" fontId="1" fillId="0" borderId="0" xfId="0" applyNumberFormat="1" applyFont="1" applyBorder="1"/>
    <xf numFmtId="0" fontId="4" fillId="34" borderId="38" xfId="0" applyFont="1" applyFill="1" applyBorder="1"/>
    <xf numFmtId="0" fontId="0" fillId="34" borderId="38" xfId="0" applyFill="1" applyBorder="1"/>
    <xf numFmtId="202" fontId="75" fillId="34" borderId="38" xfId="0" applyNumberFormat="1" applyFont="1" applyFill="1" applyBorder="1"/>
    <xf numFmtId="0" fontId="0" fillId="0" borderId="0" xfId="0"/>
    <xf numFmtId="0" fontId="3" fillId="0" borderId="0" xfId="0" applyFont="1" applyBorder="1"/>
    <xf numFmtId="0" fontId="3" fillId="0" borderId="0" xfId="0" applyFont="1" applyFill="1" applyBorder="1"/>
    <xf numFmtId="0" fontId="30" fillId="29" borderId="11" xfId="0" applyFont="1" applyFill="1" applyBorder="1" applyAlignment="1">
      <alignment horizontal="center" wrapText="1"/>
    </xf>
    <xf numFmtId="0" fontId="30" fillId="29" borderId="3" xfId="0" applyFont="1" applyFill="1" applyBorder="1" applyAlignment="1">
      <alignment horizontal="center" wrapText="1"/>
    </xf>
    <xf numFmtId="0" fontId="30" fillId="29" borderId="12" xfId="0" applyFont="1" applyFill="1" applyBorder="1" applyAlignment="1">
      <alignment horizontal="center" wrapText="1"/>
    </xf>
    <xf numFmtId="0" fontId="0" fillId="0" borderId="0" xfId="0"/>
    <xf numFmtId="0" fontId="82" fillId="0" borderId="11" xfId="106" applyFont="1" applyFill="1" applyBorder="1" applyAlignment="1" applyProtection="1">
      <alignment horizontal="center" vertical="center"/>
    </xf>
    <xf numFmtId="0" fontId="82" fillId="0" borderId="3" xfId="106" applyFont="1" applyFill="1" applyBorder="1" applyAlignment="1" applyProtection="1">
      <alignment horizontal="center" vertical="center"/>
    </xf>
    <xf numFmtId="0" fontId="82" fillId="0" borderId="12" xfId="106" applyFont="1" applyFill="1" applyBorder="1" applyAlignment="1" applyProtection="1">
      <alignment horizontal="center" vertical="center"/>
    </xf>
    <xf numFmtId="0" fontId="88" fillId="0" borderId="23" xfId="106" applyFont="1" applyFill="1" applyBorder="1" applyProtection="1"/>
    <xf numFmtId="203" fontId="88" fillId="0" borderId="0" xfId="106" applyNumberFormat="1" applyFont="1" applyFill="1" applyBorder="1" applyProtection="1"/>
    <xf numFmtId="203" fontId="88" fillId="0" borderId="24" xfId="106" applyNumberFormat="1" applyFont="1" applyFill="1" applyBorder="1" applyProtection="1"/>
    <xf numFmtId="0" fontId="88" fillId="0" borderId="24" xfId="106" applyFont="1" applyFill="1" applyBorder="1" applyProtection="1"/>
    <xf numFmtId="203" fontId="88" fillId="0" borderId="23" xfId="106" applyNumberFormat="1" applyFont="1" applyFill="1" applyBorder="1" applyProtection="1"/>
    <xf numFmtId="203" fontId="88" fillId="0" borderId="28" xfId="106" applyNumberFormat="1" applyFont="1" applyFill="1" applyBorder="1" applyProtection="1"/>
    <xf numFmtId="203" fontId="88" fillId="0" borderId="25" xfId="106" applyNumberFormat="1" applyFont="1" applyFill="1" applyBorder="1" applyProtection="1"/>
    <xf numFmtId="203" fontId="88" fillId="0" borderId="13" xfId="106" applyNumberFormat="1" applyFont="1" applyFill="1" applyBorder="1" applyProtection="1"/>
    <xf numFmtId="203" fontId="88" fillId="0" borderId="35" xfId="106" applyNumberFormat="1" applyFont="1" applyFill="1" applyBorder="1" applyProtection="1"/>
    <xf numFmtId="203" fontId="88" fillId="0" borderId="32" xfId="106" applyNumberFormat="1" applyFont="1" applyFill="1" applyBorder="1" applyProtection="1"/>
    <xf numFmtId="171" fontId="88" fillId="0" borderId="0" xfId="106" applyNumberFormat="1" applyFont="1" applyFill="1" applyBorder="1" applyProtection="1"/>
    <xf numFmtId="0" fontId="3" fillId="0" borderId="0" xfId="106" applyFont="1" applyProtection="1"/>
    <xf numFmtId="0" fontId="22" fillId="0" borderId="0" xfId="106" applyFont="1" applyAlignment="1" applyProtection="1">
      <alignment vertical="top" wrapText="1"/>
    </xf>
    <xf numFmtId="0" fontId="3" fillId="0" borderId="0" xfId="106" applyFont="1" applyProtection="1">
      <protection locked="0"/>
    </xf>
    <xf numFmtId="0" fontId="22" fillId="0" borderId="0" xfId="106" applyFont="1" applyAlignment="1" applyProtection="1">
      <alignment horizontal="left" vertical="top" wrapText="1"/>
    </xf>
    <xf numFmtId="0" fontId="7" fillId="0" borderId="0" xfId="106" applyFont="1" applyAlignment="1" applyProtection="1">
      <alignment vertical="center" wrapText="1"/>
    </xf>
    <xf numFmtId="0" fontId="22" fillId="35" borderId="0" xfId="106" applyFont="1" applyFill="1" applyAlignment="1" applyProtection="1">
      <alignment horizontal="center" vertical="center" wrapText="1"/>
    </xf>
    <xf numFmtId="0" fontId="3" fillId="0" borderId="0" xfId="106" applyFont="1" applyFill="1" applyProtection="1"/>
    <xf numFmtId="0" fontId="4" fillId="0" borderId="0" xfId="106" applyFont="1" applyProtection="1"/>
    <xf numFmtId="0" fontId="22" fillId="0" borderId="0" xfId="106" applyFont="1" applyProtection="1"/>
    <xf numFmtId="0" fontId="22" fillId="0" borderId="0" xfId="106" applyFont="1" applyAlignment="1" applyProtection="1">
      <alignment wrapText="1"/>
    </xf>
    <xf numFmtId="0" fontId="83" fillId="0" borderId="11" xfId="106" applyFont="1" applyBorder="1" applyAlignment="1" applyProtection="1">
      <alignment horizontal="center"/>
    </xf>
    <xf numFmtId="0" fontId="83" fillId="0" borderId="3" xfId="106" applyFont="1" applyBorder="1" applyAlignment="1" applyProtection="1">
      <alignment horizontal="center"/>
    </xf>
    <xf numFmtId="0" fontId="83" fillId="0" borderId="12" xfId="106" applyFont="1" applyBorder="1" applyAlignment="1" applyProtection="1">
      <alignment horizontal="center"/>
    </xf>
    <xf numFmtId="0" fontId="7" fillId="0" borderId="27" xfId="106" applyFont="1" applyBorder="1" applyAlignment="1" applyProtection="1">
      <alignment horizontal="center" vertical="center" wrapText="1"/>
    </xf>
    <xf numFmtId="0" fontId="4" fillId="0" borderId="27" xfId="106" applyFont="1" applyBorder="1" applyAlignment="1" applyProtection="1">
      <alignment horizontal="center" vertical="center" wrapText="1"/>
    </xf>
    <xf numFmtId="0" fontId="85" fillId="0" borderId="20" xfId="106" applyFont="1" applyBorder="1" applyAlignment="1" applyProtection="1">
      <alignment horizontal="left" vertical="center"/>
    </xf>
    <xf numFmtId="0" fontId="4" fillId="0" borderId="22" xfId="106" applyFont="1" applyBorder="1" applyAlignment="1" applyProtection="1">
      <alignment horizontal="center" vertical="center" wrapText="1"/>
    </xf>
    <xf numFmtId="0" fontId="4" fillId="0" borderId="20" xfId="106" applyFont="1" applyBorder="1" applyAlignment="1" applyProtection="1">
      <alignment horizontal="center" vertical="center" wrapText="1"/>
    </xf>
    <xf numFmtId="0" fontId="4" fillId="0" borderId="21" xfId="106" applyFont="1" applyBorder="1" applyAlignment="1" applyProtection="1">
      <alignment horizontal="center" vertical="center" wrapText="1"/>
    </xf>
    <xf numFmtId="0" fontId="7" fillId="0" borderId="28" xfId="106" applyFont="1" applyBorder="1" applyAlignment="1" applyProtection="1">
      <alignment horizontal="center" vertical="center" wrapText="1"/>
    </xf>
    <xf numFmtId="0" fontId="4" fillId="0" borderId="28" xfId="106" applyFont="1" applyBorder="1" applyAlignment="1" applyProtection="1">
      <alignment horizontal="center" vertical="center" wrapText="1"/>
    </xf>
    <xf numFmtId="0" fontId="85" fillId="0" borderId="23" xfId="106" applyFont="1" applyBorder="1" applyAlignment="1" applyProtection="1">
      <alignment horizontal="left" vertical="center"/>
    </xf>
    <xf numFmtId="0" fontId="4" fillId="0" borderId="24" xfId="106" applyFont="1" applyBorder="1" applyAlignment="1" applyProtection="1">
      <alignment horizontal="center" vertical="center" wrapText="1"/>
    </xf>
    <xf numFmtId="0" fontId="4" fillId="0" borderId="23" xfId="106" applyFont="1" applyBorder="1" applyAlignment="1" applyProtection="1">
      <alignment horizontal="center" vertical="center" wrapText="1"/>
    </xf>
    <xf numFmtId="0" fontId="4" fillId="0" borderId="0" xfId="106" applyFont="1" applyBorder="1" applyAlignment="1" applyProtection="1">
      <alignment horizontal="center" vertical="center" wrapText="1"/>
    </xf>
    <xf numFmtId="0" fontId="3" fillId="0" borderId="0" xfId="106" applyFont="1" applyBorder="1" applyAlignment="1" applyProtection="1">
      <alignment horizontal="center" vertical="center" wrapText="1"/>
    </xf>
    <xf numFmtId="0" fontId="87" fillId="0" borderId="0" xfId="106" applyFont="1" applyAlignment="1" applyProtection="1">
      <alignment vertical="center"/>
    </xf>
    <xf numFmtId="0" fontId="4" fillId="0" borderId="59" xfId="106" applyFont="1" applyBorder="1" applyAlignment="1" applyProtection="1">
      <alignment horizontal="center" vertical="center" wrapText="1"/>
    </xf>
    <xf numFmtId="0" fontId="4" fillId="0" borderId="60" xfId="106" applyFont="1" applyBorder="1" applyAlignment="1" applyProtection="1">
      <alignment horizontal="center" vertical="center" wrapText="1"/>
    </xf>
    <xf numFmtId="0" fontId="3" fillId="0" borderId="60" xfId="106" applyFont="1" applyBorder="1" applyAlignment="1" applyProtection="1">
      <alignment horizontal="center" vertical="center" wrapText="1"/>
    </xf>
    <xf numFmtId="0" fontId="4" fillId="0" borderId="61" xfId="106" applyFont="1" applyBorder="1" applyAlignment="1" applyProtection="1">
      <alignment horizontal="center" vertical="center" wrapText="1"/>
    </xf>
    <xf numFmtId="0" fontId="7" fillId="0" borderId="62" xfId="106" applyFont="1" applyBorder="1" applyAlignment="1" applyProtection="1">
      <alignment horizontal="center" vertical="center" wrapText="1"/>
    </xf>
    <xf numFmtId="0" fontId="4" fillId="0" borderId="63" xfId="106" applyFont="1" applyBorder="1" applyAlignment="1" applyProtection="1">
      <alignment horizontal="center" vertical="center" wrapText="1"/>
    </xf>
    <xf numFmtId="0" fontId="21" fillId="0" borderId="20" xfId="106" applyFont="1" applyBorder="1" applyAlignment="1" applyProtection="1"/>
    <xf numFmtId="0" fontId="88" fillId="0" borderId="22" xfId="106" applyFont="1" applyBorder="1" applyProtection="1"/>
    <xf numFmtId="0" fontId="88" fillId="36" borderId="23" xfId="106" applyFont="1" applyFill="1" applyBorder="1" applyProtection="1"/>
    <xf numFmtId="0" fontId="88" fillId="36" borderId="0" xfId="106" applyFont="1" applyFill="1" applyBorder="1" applyProtection="1"/>
    <xf numFmtId="0" fontId="3" fillId="0" borderId="0" xfId="106" applyFont="1" applyBorder="1" applyAlignment="1" applyProtection="1">
      <alignment wrapText="1"/>
    </xf>
    <xf numFmtId="0" fontId="22" fillId="0" borderId="24" xfId="106" applyFont="1" applyBorder="1" applyAlignment="1" applyProtection="1">
      <alignment horizontal="center" vertical="center" wrapText="1"/>
    </xf>
    <xf numFmtId="0" fontId="88" fillId="0" borderId="23" xfId="106" applyFont="1" applyBorder="1" applyProtection="1"/>
    <xf numFmtId="0" fontId="88" fillId="0" borderId="0" xfId="106" applyFont="1" applyBorder="1" applyProtection="1"/>
    <xf numFmtId="0" fontId="3" fillId="0" borderId="64" xfId="106" applyFont="1" applyBorder="1" applyAlignment="1" applyProtection="1">
      <alignment wrapText="1"/>
    </xf>
    <xf numFmtId="0" fontId="3" fillId="0" borderId="65" xfId="106" applyFont="1" applyBorder="1" applyAlignment="1" applyProtection="1">
      <alignment wrapText="1"/>
    </xf>
    <xf numFmtId="0" fontId="3" fillId="0" borderId="66" xfId="106" applyFont="1" applyBorder="1" applyAlignment="1" applyProtection="1">
      <alignment wrapText="1"/>
    </xf>
    <xf numFmtId="0" fontId="3" fillId="0" borderId="0" xfId="106" applyFont="1" applyBorder="1" applyProtection="1"/>
    <xf numFmtId="0" fontId="3" fillId="0" borderId="24" xfId="106" applyFont="1" applyBorder="1" applyProtection="1"/>
    <xf numFmtId="0" fontId="3" fillId="0" borderId="67" xfId="106" applyFont="1" applyBorder="1" applyProtection="1"/>
    <xf numFmtId="0" fontId="3" fillId="0" borderId="66" xfId="106" applyFont="1" applyBorder="1" applyProtection="1"/>
    <xf numFmtId="0" fontId="88" fillId="0" borderId="24" xfId="106" applyFont="1" applyBorder="1" applyAlignment="1" applyProtection="1">
      <alignment horizontal="center"/>
    </xf>
    <xf numFmtId="203" fontId="88" fillId="37" borderId="68" xfId="106" applyNumberFormat="1" applyFont="1" applyFill="1" applyBorder="1" applyProtection="1">
      <protection locked="0"/>
    </xf>
    <xf numFmtId="203" fontId="88" fillId="37" borderId="69" xfId="106" applyNumberFormat="1" applyFont="1" applyFill="1" applyBorder="1" applyProtection="1">
      <protection locked="0"/>
    </xf>
    <xf numFmtId="203" fontId="88" fillId="36" borderId="69" xfId="106" applyNumberFormat="1" applyFont="1" applyFill="1" applyBorder="1" applyProtection="1"/>
    <xf numFmtId="203" fontId="88" fillId="36" borderId="70" xfId="106" applyNumberFormat="1" applyFont="1" applyFill="1" applyBorder="1" applyProtection="1"/>
    <xf numFmtId="203" fontId="88" fillId="27" borderId="71" xfId="106" applyNumberFormat="1" applyFont="1" applyFill="1" applyBorder="1" applyProtection="1"/>
    <xf numFmtId="203" fontId="88" fillId="27" borderId="72" xfId="106" applyNumberFormat="1" applyFont="1" applyFill="1" applyBorder="1" applyProtection="1"/>
    <xf numFmtId="203" fontId="88" fillId="27" borderId="73" xfId="106" applyNumberFormat="1" applyFont="1" applyFill="1" applyBorder="1" applyProtection="1"/>
    <xf numFmtId="203" fontId="88" fillId="37" borderId="74" xfId="106" applyNumberFormat="1" applyFont="1" applyFill="1" applyBorder="1" applyProtection="1">
      <protection locked="0"/>
    </xf>
    <xf numFmtId="203" fontId="88" fillId="27" borderId="74" xfId="106" applyNumberFormat="1" applyFont="1" applyFill="1" applyBorder="1" applyProtection="1"/>
    <xf numFmtId="203" fontId="88" fillId="27" borderId="75" xfId="106" applyNumberFormat="1" applyFont="1" applyFill="1" applyBorder="1" applyProtection="1"/>
    <xf numFmtId="203" fontId="88" fillId="37" borderId="76" xfId="106" applyNumberFormat="1" applyFont="1" applyFill="1" applyBorder="1" applyProtection="1">
      <protection locked="0"/>
    </xf>
    <xf numFmtId="203" fontId="88" fillId="27" borderId="76" xfId="106" applyNumberFormat="1" applyFont="1" applyFill="1" applyBorder="1" applyProtection="1"/>
    <xf numFmtId="203" fontId="88" fillId="27" borderId="77" xfId="106" applyNumberFormat="1" applyFont="1" applyFill="1" applyBorder="1" applyProtection="1"/>
    <xf numFmtId="203" fontId="88" fillId="0" borderId="24" xfId="106" applyNumberFormat="1" applyFont="1" applyBorder="1" applyProtection="1"/>
    <xf numFmtId="203" fontId="3" fillId="0" borderId="28" xfId="106" applyNumberFormat="1" applyFont="1" applyBorder="1" applyProtection="1"/>
    <xf numFmtId="203" fontId="88" fillId="38" borderId="78" xfId="106" applyNumberFormat="1" applyFont="1" applyFill="1" applyBorder="1" applyProtection="1">
      <protection locked="0"/>
    </xf>
    <xf numFmtId="203" fontId="88" fillId="38" borderId="78" xfId="106" applyNumberFormat="1" applyFont="1" applyFill="1" applyBorder="1" applyProtection="1"/>
    <xf numFmtId="203" fontId="88" fillId="38" borderId="79" xfId="106" applyNumberFormat="1" applyFont="1" applyFill="1" applyBorder="1" applyProtection="1"/>
    <xf numFmtId="0" fontId="88" fillId="0" borderId="23" xfId="106" applyFont="1" applyBorder="1" applyAlignment="1" applyProtection="1"/>
    <xf numFmtId="203" fontId="88" fillId="37" borderId="72" xfId="106" applyNumberFormat="1" applyFont="1" applyFill="1" applyBorder="1" applyProtection="1">
      <protection locked="0"/>
    </xf>
    <xf numFmtId="203" fontId="88" fillId="37" borderId="80" xfId="106" applyNumberFormat="1" applyFont="1" applyFill="1" applyBorder="1" applyProtection="1">
      <protection locked="0"/>
    </xf>
    <xf numFmtId="203" fontId="88" fillId="36" borderId="80" xfId="106" applyNumberFormat="1" applyFont="1" applyFill="1" applyBorder="1" applyProtection="1"/>
    <xf numFmtId="203" fontId="88" fillId="36" borderId="81" xfId="106" applyNumberFormat="1" applyFont="1" applyFill="1" applyBorder="1" applyProtection="1"/>
    <xf numFmtId="203" fontId="88" fillId="27" borderId="82" xfId="106" applyNumberFormat="1" applyFont="1" applyFill="1" applyBorder="1" applyProtection="1"/>
    <xf numFmtId="203" fontId="88" fillId="37" borderId="83" xfId="106" applyNumberFormat="1" applyFont="1" applyFill="1" applyBorder="1" applyProtection="1">
      <protection locked="0"/>
    </xf>
    <xf numFmtId="203" fontId="88" fillId="36" borderId="83" xfId="106" applyNumberFormat="1" applyFont="1" applyFill="1" applyBorder="1" applyProtection="1"/>
    <xf numFmtId="203" fontId="88" fillId="36" borderId="77" xfId="106" applyNumberFormat="1" applyFont="1" applyFill="1" applyBorder="1" applyProtection="1"/>
    <xf numFmtId="0" fontId="3" fillId="36" borderId="0" xfId="106" applyFont="1" applyFill="1" applyProtection="1"/>
    <xf numFmtId="0" fontId="88" fillId="0" borderId="23" xfId="106" applyFont="1" applyBorder="1" applyAlignment="1" applyProtection="1">
      <alignment horizontal="left"/>
    </xf>
    <xf numFmtId="0" fontId="88" fillId="0" borderId="23" xfId="106" applyFont="1" applyBorder="1" applyAlignment="1" applyProtection="1">
      <alignment horizontal="left" wrapText="1"/>
    </xf>
    <xf numFmtId="0" fontId="88" fillId="0" borderId="24" xfId="106" applyFont="1" applyBorder="1" applyProtection="1"/>
    <xf numFmtId="203" fontId="88" fillId="36" borderId="0" xfId="106" applyNumberFormat="1" applyFont="1" applyFill="1" applyBorder="1" applyProtection="1"/>
    <xf numFmtId="203" fontId="88" fillId="36" borderId="24" xfId="106" applyNumberFormat="1" applyFont="1" applyFill="1" applyBorder="1" applyProtection="1"/>
    <xf numFmtId="203" fontId="3" fillId="0" borderId="0" xfId="106" applyNumberFormat="1" applyFont="1" applyBorder="1" applyProtection="1"/>
    <xf numFmtId="0" fontId="22" fillId="0" borderId="23" xfId="106" applyFont="1" applyBorder="1" applyAlignment="1" applyProtection="1"/>
    <xf numFmtId="0" fontId="22" fillId="0" borderId="24" xfId="106" applyFont="1" applyBorder="1" applyAlignment="1" applyProtection="1">
      <alignment horizontal="center" vertical="center"/>
    </xf>
    <xf numFmtId="0" fontId="22" fillId="0" borderId="24" xfId="106" applyFont="1" applyBorder="1" applyAlignment="1" applyProtection="1"/>
    <xf numFmtId="0" fontId="22" fillId="0" borderId="23" xfId="106" applyFont="1" applyBorder="1" applyAlignment="1" applyProtection="1">
      <alignment horizontal="left"/>
    </xf>
    <xf numFmtId="0" fontId="22" fillId="0" borderId="24" xfId="106" applyFont="1" applyBorder="1" applyAlignment="1" applyProtection="1">
      <alignment horizontal="center"/>
    </xf>
    <xf numFmtId="0" fontId="92" fillId="0" borderId="23" xfId="106" applyFont="1" applyBorder="1" applyProtection="1"/>
    <xf numFmtId="0" fontId="92" fillId="0" borderId="24" xfId="106" applyFont="1" applyBorder="1" applyAlignment="1" applyProtection="1">
      <alignment horizontal="center"/>
    </xf>
    <xf numFmtId="203" fontId="88" fillId="37" borderId="73" xfId="106" applyNumberFormat="1" applyFont="1" applyFill="1" applyBorder="1" applyProtection="1">
      <protection locked="0"/>
    </xf>
    <xf numFmtId="203" fontId="88" fillId="37" borderId="84" xfId="106" applyNumberFormat="1" applyFont="1" applyFill="1" applyBorder="1" applyProtection="1">
      <protection locked="0"/>
    </xf>
    <xf numFmtId="203" fontId="88" fillId="37" borderId="85" xfId="106" applyNumberFormat="1" applyFont="1" applyFill="1" applyBorder="1" applyProtection="1">
      <protection locked="0"/>
    </xf>
    <xf numFmtId="0" fontId="22" fillId="0" borderId="25" xfId="106" applyFont="1" applyBorder="1" applyProtection="1"/>
    <xf numFmtId="0" fontId="88" fillId="0" borderId="35" xfId="106" applyFont="1" applyBorder="1" applyProtection="1"/>
    <xf numFmtId="44" fontId="3" fillId="0" borderId="0" xfId="106" applyNumberFormat="1" applyFont="1" applyProtection="1"/>
    <xf numFmtId="0" fontId="22" fillId="29" borderId="0" xfId="106" applyFont="1" applyFill="1" applyBorder="1" applyAlignment="1" applyProtection="1">
      <alignment horizontal="left" vertical="top" wrapText="1"/>
    </xf>
    <xf numFmtId="204" fontId="3" fillId="0" borderId="0" xfId="106" applyNumberFormat="1" applyFont="1" applyProtection="1"/>
    <xf numFmtId="0" fontId="89" fillId="0" borderId="0" xfId="106" applyFont="1" applyProtection="1"/>
    <xf numFmtId="0" fontId="89" fillId="0" borderId="0" xfId="106" applyFont="1" applyAlignment="1" applyProtection="1">
      <alignment horizontal="right"/>
    </xf>
    <xf numFmtId="0" fontId="91" fillId="0" borderId="0" xfId="106" applyFont="1" applyProtection="1"/>
    <xf numFmtId="0" fontId="89" fillId="0" borderId="0" xfId="106" applyFont="1" applyAlignment="1" applyProtection="1">
      <alignment vertical="top"/>
    </xf>
    <xf numFmtId="0" fontId="9" fillId="0" borderId="0" xfId="106" applyFont="1" applyAlignment="1" applyProtection="1">
      <alignment horizontal="left" vertical="top" wrapText="1"/>
    </xf>
    <xf numFmtId="0" fontId="3" fillId="0" borderId="0" xfId="106" applyFont="1" applyAlignment="1" applyProtection="1">
      <alignment vertical="top" wrapText="1"/>
    </xf>
    <xf numFmtId="0" fontId="3" fillId="0" borderId="0" xfId="106" applyFont="1" applyAlignment="1" applyProtection="1">
      <alignment horizontal="left" vertical="center" wrapText="1"/>
    </xf>
    <xf numFmtId="0" fontId="77" fillId="0" borderId="0" xfId="0" applyFont="1" applyFill="1" applyBorder="1" applyAlignment="1" applyProtection="1">
      <alignment horizontal="center" vertical="center"/>
      <protection locked="0"/>
    </xf>
    <xf numFmtId="0" fontId="77" fillId="0" borderId="0" xfId="0" applyFont="1" applyAlignment="1" applyProtection="1">
      <alignment horizontal="center"/>
    </xf>
    <xf numFmtId="0" fontId="77" fillId="0" borderId="0" xfId="0" applyFont="1" applyAlignment="1" applyProtection="1"/>
  </cellXfs>
  <cellStyles count="127">
    <cellStyle name="$" xfId="1"/>
    <cellStyle name="$ 2" xfId="2"/>
    <cellStyle name="$.00" xfId="3"/>
    <cellStyle name="$.00 2" xfId="4"/>
    <cellStyle name="$_Oct 2010 SM PILs Recognition" xfId="5"/>
    <cellStyle name="$M" xfId="6"/>
    <cellStyle name="$M 2" xfId="7"/>
    <cellStyle name="$M.00" xfId="8"/>
    <cellStyle name="$M.00 2" xfId="9"/>
    <cellStyle name="$M_Oct 2010 SM PILs Recognition" xfId="10"/>
    <cellStyle name="20% - Accent1" xfId="11" builtinId="30" customBuiltin="1"/>
    <cellStyle name="20% - Accent2" xfId="12" builtinId="34" customBuiltin="1"/>
    <cellStyle name="20% - Accent3" xfId="13" builtinId="38" customBuiltin="1"/>
    <cellStyle name="20% - Accent4" xfId="14" builtinId="42" customBuiltin="1"/>
    <cellStyle name="20% - Accent5" xfId="15" builtinId="46" customBuiltin="1"/>
    <cellStyle name="20% - Accent6" xfId="16" builtinId="50" customBuiltin="1"/>
    <cellStyle name="40% - Accent1" xfId="17" builtinId="31" customBuiltin="1"/>
    <cellStyle name="40% - Accent2" xfId="18" builtinId="35" customBuiltin="1"/>
    <cellStyle name="40% - Accent3" xfId="19" builtinId="39" customBuiltin="1"/>
    <cellStyle name="40% - Accent4" xfId="20" builtinId="43" customBuiltin="1"/>
    <cellStyle name="40% - Accent5" xfId="21" builtinId="47" customBuiltin="1"/>
    <cellStyle name="40% - Accent6" xfId="22" builtinId="51" customBuiltin="1"/>
    <cellStyle name="60% - Accent1" xfId="23" builtinId="32" customBuiltin="1"/>
    <cellStyle name="60% - Accent2" xfId="24" builtinId="36" customBuiltin="1"/>
    <cellStyle name="60% - Accent3" xfId="25" builtinId="40" customBuiltin="1"/>
    <cellStyle name="60% - Accent4" xfId="26" builtinId="44" customBuiltin="1"/>
    <cellStyle name="60% - Accent5" xfId="27" builtinId="48" customBuiltin="1"/>
    <cellStyle name="60% - Accent6" xfId="28" builtinId="52" customBuiltin="1"/>
    <cellStyle name="Accent1" xfId="29" builtinId="29" customBuiltin="1"/>
    <cellStyle name="Accent2" xfId="30" builtinId="33" customBuiltin="1"/>
    <cellStyle name="Accent3" xfId="31" builtinId="37" customBuiltin="1"/>
    <cellStyle name="Accent4" xfId="32" builtinId="41" customBuiltin="1"/>
    <cellStyle name="Accent5" xfId="33" builtinId="45" customBuiltin="1"/>
    <cellStyle name="Accent6" xfId="34" builtinId="49" customBuiltin="1"/>
    <cellStyle name="Bad" xfId="35" builtinId="27" customBuiltin="1"/>
    <cellStyle name="Calculation" xfId="36" builtinId="22" customBuiltin="1"/>
    <cellStyle name="Check Cell" xfId="37" builtinId="23" customBuiltin="1"/>
    <cellStyle name="Comma" xfId="38" builtinId="3"/>
    <cellStyle name="Comma 10" xfId="39"/>
    <cellStyle name="Comma 2" xfId="40"/>
    <cellStyle name="Comma 2 2" xfId="41"/>
    <cellStyle name="Comma 3" xfId="42"/>
    <cellStyle name="Comma 3 2" xfId="43"/>
    <cellStyle name="Comma 4" xfId="44"/>
    <cellStyle name="Comma 5" xfId="45"/>
    <cellStyle name="Comma 6" xfId="46"/>
    <cellStyle name="Comma 7" xfId="47"/>
    <cellStyle name="Comma 8" xfId="48"/>
    <cellStyle name="Comma 9" xfId="49"/>
    <cellStyle name="Comma_10-12. All Reg Assets Reconcilations 2004_2009 Feb 2010" xfId="50"/>
    <cellStyle name="Comma_2. 2010-2013  Revenue Forecast_Rebasing 2012_Effective Jan 1" xfId="51"/>
    <cellStyle name="Comma_34- 2010 EDVARR Decision Amortization" xfId="52"/>
    <cellStyle name="Comma_9. All Reg Assets Reconcilations 2004_2009 YTD April 2011" xfId="53"/>
    <cellStyle name="Comma_JE Phone transfer Jan 2005" xfId="54"/>
    <cellStyle name="Comma0" xfId="55"/>
    <cellStyle name="Comma0 2" xfId="56"/>
    <cellStyle name="Currency" xfId="57" builtinId="4"/>
    <cellStyle name="Currency 2" xfId="58"/>
    <cellStyle name="Currency 2 2" xfId="59"/>
    <cellStyle name="Currency 3" xfId="60"/>
    <cellStyle name="Currency 3 2" xfId="61"/>
    <cellStyle name="Currency 4" xfId="62"/>
    <cellStyle name="Currency 5" xfId="63"/>
    <cellStyle name="Currency 6" xfId="64"/>
    <cellStyle name="Currency 7" xfId="65"/>
    <cellStyle name="Currency 8" xfId="66"/>
    <cellStyle name="Currency 9" xfId="67"/>
    <cellStyle name="Currency_10-12. All Reg Assets Reconcilations 2004_2009 Feb 2010" xfId="68"/>
    <cellStyle name="Currency_2. 2010-2013  Revenue Forecast_Rebasing 2012_Effective Jan 1" xfId="69"/>
    <cellStyle name="Currency_2003 Regulatory Assets Interest Calc to Mar 2005" xfId="70"/>
    <cellStyle name="Currency_2008 (Per Apr 08 Decision) Reg Assets Continuity Schedule_Revised" xfId="71"/>
    <cellStyle name="Currency_34- 2010 EDVARR Decision Amortization" xfId="72"/>
    <cellStyle name="Currency_9. All Reg Assets Reconcilations 2004_2009 YTD April 2011" xfId="73"/>
    <cellStyle name="Currency_Retail Trans Rts Pres." xfId="74"/>
    <cellStyle name="Currency0" xfId="75"/>
    <cellStyle name="Currency0 2" xfId="76"/>
    <cellStyle name="custom" xfId="77"/>
    <cellStyle name="Date" xfId="78"/>
    <cellStyle name="Date 2" xfId="79"/>
    <cellStyle name="Euro" xfId="80"/>
    <cellStyle name="Explanatory Text" xfId="81" builtinId="53" customBuiltin="1"/>
    <cellStyle name="Fixed" xfId="82"/>
    <cellStyle name="Fixed 2" xfId="83"/>
    <cellStyle name="Good" xfId="84" builtinId="26" customBuiltin="1"/>
    <cellStyle name="Grey" xfId="85"/>
    <cellStyle name="header" xfId="86"/>
    <cellStyle name="Header1" xfId="87"/>
    <cellStyle name="Header2" xfId="88"/>
    <cellStyle name="Heading 1" xfId="89" builtinId="16" customBuiltin="1"/>
    <cellStyle name="Heading 2" xfId="90" builtinId="17" customBuiltin="1"/>
    <cellStyle name="Heading 3" xfId="91" builtinId="18" customBuiltin="1"/>
    <cellStyle name="Heading 4" xfId="92" builtinId="19" customBuiltin="1"/>
    <cellStyle name="Hyperlink 2" xfId="93"/>
    <cellStyle name="Input" xfId="94" builtinId="20" customBuiltin="1"/>
    <cellStyle name="Input [yellow]" xfId="95"/>
    <cellStyle name="Linked Cell" xfId="96" builtinId="24" customBuiltin="1"/>
    <cellStyle name="M" xfId="97"/>
    <cellStyle name="M 2" xfId="98"/>
    <cellStyle name="M.00" xfId="99"/>
    <cellStyle name="M.00 2" xfId="100"/>
    <cellStyle name="M_Oct 2010 SM PILs Recognition" xfId="101"/>
    <cellStyle name="Neutral" xfId="102" builtinId="28" customBuiltin="1"/>
    <cellStyle name="Normal" xfId="0" builtinId="0"/>
    <cellStyle name="Normal - Style1" xfId="103"/>
    <cellStyle name="Normal - Style1 2" xfId="104"/>
    <cellStyle name="Normal - Style1_1595 FIT Support" xfId="105"/>
    <cellStyle name="Normal 2" xfId="106"/>
    <cellStyle name="Normal 2 2" xfId="107"/>
    <cellStyle name="Normal 3 2" xfId="108"/>
    <cellStyle name="Normal 4" xfId="109"/>
    <cellStyle name="Normal 5" xfId="110"/>
    <cellStyle name="Normal_2003 Regulatory Assets Interest Calc to Mar 2005" xfId="111"/>
    <cellStyle name="Normal_JE Phone transfer Jan 2005" xfId="112"/>
    <cellStyle name="Note" xfId="113" builtinId="10" customBuiltin="1"/>
    <cellStyle name="Output" xfId="114" builtinId="21" customBuiltin="1"/>
    <cellStyle name="Output Line Items" xfId="115"/>
    <cellStyle name="Percent" xfId="116" builtinId="5"/>
    <cellStyle name="Percent [2]" xfId="117"/>
    <cellStyle name="Percent [2] 2" xfId="118"/>
    <cellStyle name="Percent 2" xfId="119"/>
    <cellStyle name="Percent 2 2" xfId="120"/>
    <cellStyle name="Percent 3" xfId="121"/>
    <cellStyle name="Percent 4" xfId="122"/>
    <cellStyle name="Percent 5" xfId="123"/>
    <cellStyle name="Title" xfId="124" builtinId="15" customBuiltin="1"/>
    <cellStyle name="Total" xfId="125" builtinId="25" customBuiltin="1"/>
    <cellStyle name="Warning Text" xfId="126"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9" Type="http://schemas.openxmlformats.org/officeDocument/2006/relationships/externalLink" Target="externalLinks/externalLink23.xml"/><Relationship Id="rId21" Type="http://schemas.openxmlformats.org/officeDocument/2006/relationships/externalLink" Target="externalLinks/externalLink5.xml"/><Relationship Id="rId34" Type="http://schemas.openxmlformats.org/officeDocument/2006/relationships/externalLink" Target="externalLinks/externalLink18.xml"/><Relationship Id="rId42" Type="http://schemas.openxmlformats.org/officeDocument/2006/relationships/externalLink" Target="externalLinks/externalLink26.xml"/><Relationship Id="rId47" Type="http://schemas.openxmlformats.org/officeDocument/2006/relationships/externalLink" Target="externalLinks/externalLink31.xml"/><Relationship Id="rId50" Type="http://schemas.openxmlformats.org/officeDocument/2006/relationships/externalLink" Target="externalLinks/externalLink34.xml"/><Relationship Id="rId55" Type="http://schemas.openxmlformats.org/officeDocument/2006/relationships/externalLink" Target="externalLinks/externalLink39.xml"/><Relationship Id="rId63" Type="http://schemas.openxmlformats.org/officeDocument/2006/relationships/externalLink" Target="externalLinks/externalLink47.xml"/><Relationship Id="rId68"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externalLink" Target="externalLinks/externalLink16.xml"/><Relationship Id="rId37" Type="http://schemas.openxmlformats.org/officeDocument/2006/relationships/externalLink" Target="externalLinks/externalLink21.xml"/><Relationship Id="rId40" Type="http://schemas.openxmlformats.org/officeDocument/2006/relationships/externalLink" Target="externalLinks/externalLink24.xml"/><Relationship Id="rId45" Type="http://schemas.openxmlformats.org/officeDocument/2006/relationships/externalLink" Target="externalLinks/externalLink29.xml"/><Relationship Id="rId53" Type="http://schemas.openxmlformats.org/officeDocument/2006/relationships/externalLink" Target="externalLinks/externalLink37.xml"/><Relationship Id="rId58" Type="http://schemas.openxmlformats.org/officeDocument/2006/relationships/externalLink" Target="externalLinks/externalLink42.xml"/><Relationship Id="rId66"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36" Type="http://schemas.openxmlformats.org/officeDocument/2006/relationships/externalLink" Target="externalLinks/externalLink20.xml"/><Relationship Id="rId49" Type="http://schemas.openxmlformats.org/officeDocument/2006/relationships/externalLink" Target="externalLinks/externalLink33.xml"/><Relationship Id="rId57" Type="http://schemas.openxmlformats.org/officeDocument/2006/relationships/externalLink" Target="externalLinks/externalLink41.xml"/><Relationship Id="rId61" Type="http://schemas.openxmlformats.org/officeDocument/2006/relationships/externalLink" Target="externalLinks/externalLink45.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externalLink" Target="externalLinks/externalLink15.xml"/><Relationship Id="rId44" Type="http://schemas.openxmlformats.org/officeDocument/2006/relationships/externalLink" Target="externalLinks/externalLink28.xml"/><Relationship Id="rId52" Type="http://schemas.openxmlformats.org/officeDocument/2006/relationships/externalLink" Target="externalLinks/externalLink36.xml"/><Relationship Id="rId60" Type="http://schemas.openxmlformats.org/officeDocument/2006/relationships/externalLink" Target="externalLinks/externalLink44.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externalLink" Target="externalLinks/externalLink14.xml"/><Relationship Id="rId35" Type="http://schemas.openxmlformats.org/officeDocument/2006/relationships/externalLink" Target="externalLinks/externalLink19.xml"/><Relationship Id="rId43" Type="http://schemas.openxmlformats.org/officeDocument/2006/relationships/externalLink" Target="externalLinks/externalLink27.xml"/><Relationship Id="rId48" Type="http://schemas.openxmlformats.org/officeDocument/2006/relationships/externalLink" Target="externalLinks/externalLink32.xml"/><Relationship Id="rId56" Type="http://schemas.openxmlformats.org/officeDocument/2006/relationships/externalLink" Target="externalLinks/externalLink40.xml"/><Relationship Id="rId64" Type="http://schemas.openxmlformats.org/officeDocument/2006/relationships/externalLink" Target="externalLinks/externalLink48.xml"/><Relationship Id="rId69"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externalLink" Target="externalLinks/externalLink3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externalLink" Target="externalLinks/externalLink17.xml"/><Relationship Id="rId38" Type="http://schemas.openxmlformats.org/officeDocument/2006/relationships/externalLink" Target="externalLinks/externalLink22.xml"/><Relationship Id="rId46" Type="http://schemas.openxmlformats.org/officeDocument/2006/relationships/externalLink" Target="externalLinks/externalLink30.xml"/><Relationship Id="rId59" Type="http://schemas.openxmlformats.org/officeDocument/2006/relationships/externalLink" Target="externalLinks/externalLink43.xml"/><Relationship Id="rId67" Type="http://schemas.openxmlformats.org/officeDocument/2006/relationships/sharedStrings" Target="sharedStrings.xml"/><Relationship Id="rId20" Type="http://schemas.openxmlformats.org/officeDocument/2006/relationships/externalLink" Target="externalLinks/externalLink4.xml"/><Relationship Id="rId41" Type="http://schemas.openxmlformats.org/officeDocument/2006/relationships/externalLink" Target="externalLinks/externalLink25.xml"/><Relationship Id="rId54" Type="http://schemas.openxmlformats.org/officeDocument/2006/relationships/externalLink" Target="externalLinks/externalLink38.xml"/><Relationship Id="rId62" Type="http://schemas.openxmlformats.org/officeDocument/2006/relationships/externalLink" Target="externalLinks/externalLink46.xml"/><Relationship Id="rId70"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CA2" lockText="1" noThreeD="1"/>
</file>

<file path=xl/ctrlProps/ctrlProp2.xml><?xml version="1.0" encoding="utf-8"?>
<formControlPr xmlns="http://schemas.microsoft.com/office/spreadsheetml/2009/9/main" objectType="CheckBox" fmlaLink="CA3" lockText="1" noThreeD="1"/>
</file>

<file path=xl/ctrlProps/ctrlProp3.xml><?xml version="1.0" encoding="utf-8"?>
<formControlPr xmlns="http://schemas.microsoft.com/office/spreadsheetml/2009/9/main" objectType="CheckBox" fmlaLink="CA4"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50</xdr:col>
          <xdr:colOff>38100</xdr:colOff>
          <xdr:row>33</xdr:row>
          <xdr:rowOff>152400</xdr:rowOff>
        </xdr:from>
        <xdr:to>
          <xdr:col>50</xdr:col>
          <xdr:colOff>38100</xdr:colOff>
          <xdr:row>34</xdr:row>
          <xdr:rowOff>200025</xdr:rowOff>
        </xdr:to>
        <xdr:sp macro="" textlink="">
          <xdr:nvSpPr>
            <xdr:cNvPr id="15364" name="Check Box 4" hidden="1">
              <a:extLst>
                <a:ext uri="{63B3BB69-23CF-44E3-9099-C40C66FF867C}">
                  <a14:compatExt spid="_x0000_s153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34</xdr:row>
          <xdr:rowOff>161925</xdr:rowOff>
        </xdr:from>
        <xdr:to>
          <xdr:col>50</xdr:col>
          <xdr:colOff>38100</xdr:colOff>
          <xdr:row>35</xdr:row>
          <xdr:rowOff>209550</xdr:rowOff>
        </xdr:to>
        <xdr:sp macro="" textlink="">
          <xdr:nvSpPr>
            <xdr:cNvPr id="15365" name="Check Box 5" hidden="1">
              <a:extLst>
                <a:ext uri="{63B3BB69-23CF-44E3-9099-C40C66FF867C}">
                  <a14:compatExt spid="_x0000_s153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35</xdr:row>
          <xdr:rowOff>171450</xdr:rowOff>
        </xdr:from>
        <xdr:to>
          <xdr:col>50</xdr:col>
          <xdr:colOff>38100</xdr:colOff>
          <xdr:row>36</xdr:row>
          <xdr:rowOff>114300</xdr:rowOff>
        </xdr:to>
        <xdr:sp macro="" textlink="">
          <xdr:nvSpPr>
            <xdr:cNvPr id="15366" name="Check Box 6" hidden="1">
              <a:extLst>
                <a:ext uri="{63B3BB69-23CF-44E3-9099-C40C66FF867C}">
                  <a14:compatExt spid="_x0000_s153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Check to Dispose of Account</a:t>
              </a:r>
            </a:p>
          </xdr:txBody>
        </xdr:sp>
        <xdr:clientData/>
      </xdr:twoCellAnchor>
    </mc:Choice>
    <mc:Fallback/>
  </mc:AlternateContent>
  <xdr:twoCellAnchor editAs="oneCell">
    <xdr:from>
      <xdr:col>0</xdr:col>
      <xdr:colOff>0</xdr:colOff>
      <xdr:row>0</xdr:row>
      <xdr:rowOff>0</xdr:rowOff>
    </xdr:from>
    <xdr:to>
      <xdr:col>5</xdr:col>
      <xdr:colOff>9525</xdr:colOff>
      <xdr:row>10</xdr:row>
      <xdr:rowOff>9525</xdr:rowOff>
    </xdr:to>
    <xdr:pic>
      <xdr:nvPicPr>
        <xdr:cNvPr id="13" name="Picture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191500" cy="1809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28</xdr:row>
      <xdr:rowOff>0</xdr:rowOff>
    </xdr:from>
    <xdr:to>
      <xdr:col>7</xdr:col>
      <xdr:colOff>0</xdr:colOff>
      <xdr:row>80</xdr:row>
      <xdr:rowOff>76201</xdr:rowOff>
    </xdr:to>
    <xdr:pic>
      <xdr:nvPicPr>
        <xdr:cNvPr id="2" name="Picture 1"/>
        <xdr:cNvPicPr>
          <a:picLocks noChangeAspect="1"/>
        </xdr:cNvPicPr>
      </xdr:nvPicPr>
      <xdr:blipFill rotWithShape="1">
        <a:blip xmlns:r="http://schemas.openxmlformats.org/officeDocument/2006/relationships" r:embed="rId1"/>
        <a:srcRect l="10557" t="10372" r="63134" b="7025"/>
        <a:stretch/>
      </xdr:blipFill>
      <xdr:spPr>
        <a:xfrm>
          <a:off x="0" y="5238750"/>
          <a:ext cx="9020175" cy="84963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19050</xdr:colOff>
      <xdr:row>11</xdr:row>
      <xdr:rowOff>9525</xdr:rowOff>
    </xdr:from>
    <xdr:to>
      <xdr:col>4</xdr:col>
      <xdr:colOff>409575</xdr:colOff>
      <xdr:row>16</xdr:row>
      <xdr:rowOff>0</xdr:rowOff>
    </xdr:to>
    <xdr:sp macro="" textlink="">
      <xdr:nvSpPr>
        <xdr:cNvPr id="21683" name="Line 3"/>
        <xdr:cNvSpPr>
          <a:spLocks noChangeShapeType="1"/>
        </xdr:cNvSpPr>
      </xdr:nvSpPr>
      <xdr:spPr bwMode="auto">
        <a:xfrm flipH="1" flipV="1">
          <a:off x="5000625" y="1876425"/>
          <a:ext cx="390525" cy="8286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333375</xdr:colOff>
      <xdr:row>12</xdr:row>
      <xdr:rowOff>104775</xdr:rowOff>
    </xdr:from>
    <xdr:to>
      <xdr:col>3</xdr:col>
      <xdr:colOff>885825</xdr:colOff>
      <xdr:row>16</xdr:row>
      <xdr:rowOff>9525</xdr:rowOff>
    </xdr:to>
    <xdr:sp macro="" textlink="">
      <xdr:nvSpPr>
        <xdr:cNvPr id="21684" name="Line 8"/>
        <xdr:cNvSpPr>
          <a:spLocks noChangeShapeType="1"/>
        </xdr:cNvSpPr>
      </xdr:nvSpPr>
      <xdr:spPr bwMode="auto">
        <a:xfrm flipV="1">
          <a:off x="1981200" y="2133600"/>
          <a:ext cx="2228850" cy="581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16</xdr:row>
      <xdr:rowOff>0</xdr:rowOff>
    </xdr:from>
    <xdr:to>
      <xdr:col>3</xdr:col>
      <xdr:colOff>419100</xdr:colOff>
      <xdr:row>18</xdr:row>
      <xdr:rowOff>0</xdr:rowOff>
    </xdr:to>
    <xdr:sp macro="" textlink="">
      <xdr:nvSpPr>
        <xdr:cNvPr id="4107" name="Text Box 11"/>
        <xdr:cNvSpPr txBox="1">
          <a:spLocks noChangeArrowheads="1"/>
        </xdr:cNvSpPr>
      </xdr:nvSpPr>
      <xdr:spPr bwMode="auto">
        <a:xfrm>
          <a:off x="971550" y="2705100"/>
          <a:ext cx="2771775" cy="323850"/>
        </a:xfrm>
        <a:prstGeom prst="rect">
          <a:avLst/>
        </a:prstGeom>
        <a:solidFill>
          <a:srgbClr val="00FF00"/>
        </a:solidFill>
        <a:ln w="9525">
          <a:solidFill>
            <a:srgbClr val="000000"/>
          </a:solidFill>
          <a:miter lim="800000"/>
          <a:headEnd/>
          <a:tailEnd/>
        </a:ln>
      </xdr:spPr>
      <xdr:txBody>
        <a:bodyPr vertOverflow="clip" wrap="square" lIns="27432" tIns="22860" rIns="0" bIns="0" anchor="t" upright="1"/>
        <a:lstStyle/>
        <a:p>
          <a:pPr algn="l" rtl="0">
            <a:defRPr sz="1000"/>
          </a:pPr>
          <a:r>
            <a:rPr lang="en-CA" sz="1000" b="0" i="0" strike="noStrike">
              <a:solidFill>
                <a:srgbClr val="000000"/>
              </a:solidFill>
              <a:latin typeface="Arial"/>
              <a:cs typeface="Arial"/>
            </a:rPr>
            <a:t>Current Global Adj</a:t>
          </a:r>
        </a:p>
        <a:p>
          <a:pPr algn="l" rtl="0">
            <a:defRPr sz="1000"/>
          </a:pPr>
          <a:endParaRPr lang="en-CA" sz="1000" b="0" i="0" strike="noStrike">
            <a:solidFill>
              <a:srgbClr val="000000"/>
            </a:solidFill>
            <a:latin typeface="Arial"/>
            <a:cs typeface="Arial"/>
          </a:endParaRPr>
        </a:p>
      </xdr:txBody>
    </xdr:sp>
    <xdr:clientData/>
  </xdr:twoCellAnchor>
  <xdr:twoCellAnchor>
    <xdr:from>
      <xdr:col>4</xdr:col>
      <xdr:colOff>66675</xdr:colOff>
      <xdr:row>16</xdr:row>
      <xdr:rowOff>114300</xdr:rowOff>
    </xdr:from>
    <xdr:to>
      <xdr:col>5</xdr:col>
      <xdr:colOff>390525</xdr:colOff>
      <xdr:row>18</xdr:row>
      <xdr:rowOff>0</xdr:rowOff>
    </xdr:to>
    <xdr:sp macro="" textlink="">
      <xdr:nvSpPr>
        <xdr:cNvPr id="4108" name="Text Box 12"/>
        <xdr:cNvSpPr txBox="1">
          <a:spLocks noChangeArrowheads="1"/>
        </xdr:cNvSpPr>
      </xdr:nvSpPr>
      <xdr:spPr bwMode="auto">
        <a:xfrm>
          <a:off x="5048250" y="2819400"/>
          <a:ext cx="1571625" cy="209550"/>
        </a:xfrm>
        <a:prstGeom prst="rect">
          <a:avLst/>
        </a:prstGeom>
        <a:solidFill>
          <a:srgbClr val="00FF00"/>
        </a:solidFill>
        <a:ln w="9525">
          <a:solidFill>
            <a:srgbClr val="000000"/>
          </a:solidFill>
          <a:miter lim="800000"/>
          <a:headEnd/>
          <a:tailEnd/>
        </a:ln>
      </xdr:spPr>
      <xdr:txBody>
        <a:bodyPr vertOverflow="clip" wrap="square" lIns="27432" tIns="22860" rIns="0" bIns="0" anchor="t" upright="1"/>
        <a:lstStyle/>
        <a:p>
          <a:pPr algn="l" rtl="0">
            <a:defRPr sz="1000"/>
          </a:pPr>
          <a:r>
            <a:rPr lang="en-CA" sz="1000" b="0" i="0" strike="noStrike">
              <a:solidFill>
                <a:srgbClr val="000000"/>
              </a:solidFill>
              <a:latin typeface="Arial"/>
              <a:cs typeface="Arial"/>
            </a:rPr>
            <a:t>Global Adjustment transfer</a:t>
          </a:r>
        </a:p>
        <a:p>
          <a:pPr algn="l" rtl="0">
            <a:defRPr sz="1000"/>
          </a:pPr>
          <a:endParaRPr lang="en-CA" sz="1000" b="0" i="0" strike="noStrike">
            <a:solidFill>
              <a:srgbClr val="000000"/>
            </a:solidFill>
            <a:latin typeface="Arial"/>
            <a:cs typeface="Arial"/>
          </a:endParaRPr>
        </a:p>
      </xdr:txBody>
    </xdr:sp>
    <xdr:clientData/>
  </xdr:twoCellAnchor>
  <xdr:twoCellAnchor>
    <xdr:from>
      <xdr:col>2</xdr:col>
      <xdr:colOff>333375</xdr:colOff>
      <xdr:row>20</xdr:row>
      <xdr:rowOff>0</xdr:rowOff>
    </xdr:from>
    <xdr:to>
      <xdr:col>3</xdr:col>
      <xdr:colOff>885825</xdr:colOff>
      <xdr:row>20</xdr:row>
      <xdr:rowOff>0</xdr:rowOff>
    </xdr:to>
    <xdr:sp macro="" textlink="">
      <xdr:nvSpPr>
        <xdr:cNvPr id="21687" name="Line 14"/>
        <xdr:cNvSpPr>
          <a:spLocks noChangeShapeType="1"/>
        </xdr:cNvSpPr>
      </xdr:nvSpPr>
      <xdr:spPr bwMode="auto">
        <a:xfrm flipV="1">
          <a:off x="1981200" y="3362325"/>
          <a:ext cx="2228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94</xdr:row>
          <xdr:rowOff>57150</xdr:rowOff>
        </xdr:from>
        <xdr:to>
          <xdr:col>7</xdr:col>
          <xdr:colOff>838200</xdr:colOff>
          <xdr:row>95</xdr:row>
          <xdr:rowOff>66675</xdr:rowOff>
        </xdr:to>
        <xdr:sp macro="" textlink="">
          <xdr:nvSpPr>
            <xdr:cNvPr id="11279" name="Object 15" hidden="1">
              <a:extLst>
                <a:ext uri="{63B3BB69-23CF-44E3-9099-C40C66FF867C}">
                  <a14:compatExt spid="_x0000_s11279"/>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247651</xdr:colOff>
      <xdr:row>2</xdr:row>
      <xdr:rowOff>28576</xdr:rowOff>
    </xdr:from>
    <xdr:to>
      <xdr:col>9</xdr:col>
      <xdr:colOff>352425</xdr:colOff>
      <xdr:row>45</xdr:row>
      <xdr:rowOff>152401</xdr:rowOff>
    </xdr:to>
    <xdr:pic>
      <xdr:nvPicPr>
        <xdr:cNvPr id="3" name="Picture 2"/>
        <xdr:cNvPicPr>
          <a:picLocks noChangeAspect="1"/>
        </xdr:cNvPicPr>
      </xdr:nvPicPr>
      <xdr:blipFill rotWithShape="1">
        <a:blip xmlns:r="http://schemas.openxmlformats.org/officeDocument/2006/relationships" r:embed="rId1"/>
        <a:srcRect l="13279" t="16852" r="70413" b="14249"/>
        <a:stretch/>
      </xdr:blipFill>
      <xdr:spPr>
        <a:xfrm>
          <a:off x="247651" y="352426"/>
          <a:ext cx="5591174" cy="7086600"/>
        </a:xfrm>
        <a:prstGeom prst="rect">
          <a:avLst/>
        </a:prstGeom>
      </xdr:spPr>
    </xdr:pic>
    <xdr:clientData/>
  </xdr:twoCellAnchor>
  <xdr:twoCellAnchor editAs="oneCell">
    <xdr:from>
      <xdr:col>9</xdr:col>
      <xdr:colOff>523875</xdr:colOff>
      <xdr:row>2</xdr:row>
      <xdr:rowOff>57150</xdr:rowOff>
    </xdr:from>
    <xdr:to>
      <xdr:col>18</xdr:col>
      <xdr:colOff>514350</xdr:colOff>
      <xdr:row>44</xdr:row>
      <xdr:rowOff>114300</xdr:rowOff>
    </xdr:to>
    <xdr:pic>
      <xdr:nvPicPr>
        <xdr:cNvPr id="4" name="Picture 3"/>
        <xdr:cNvPicPr>
          <a:picLocks noChangeAspect="1"/>
        </xdr:cNvPicPr>
      </xdr:nvPicPr>
      <xdr:blipFill rotWithShape="1">
        <a:blip xmlns:r="http://schemas.openxmlformats.org/officeDocument/2006/relationships" r:embed="rId2"/>
        <a:srcRect l="13668" t="18800" r="70357" b="14526"/>
        <a:stretch/>
      </xdr:blipFill>
      <xdr:spPr>
        <a:xfrm>
          <a:off x="6010275" y="381000"/>
          <a:ext cx="5476875" cy="6858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vpoonja$\My%20Documents\SYSTEM\System%202000\Proj20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users$\ramar\My%20Documents\BY%20APPLICATION\EXCEL\RATES\2004\2004%20Budget%20rev.%20before%204_1_04%20Adj\2004%20Det%20Bud%20Calend%20BEFORE4_1%20Adj.%20V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1.%20JohnB\2008%20Rates\Models\Rate%20Riders\scenario%20for%20Roland\EDR%202008%20Model%20recreated.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ata\vpoonja$\POONJA\EXCEL\RPCAP97.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ata\users$\ramar\My%20Documents\BY%20APPLICATION\EXCEL\Financial%20Analysis\2004\November%202004\Hydro%20Revenue%20Nov%202004%20v2%20fr%20MB.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ocuments%20and%20Settings\mbenum\My%20Documents\Rates\Rates%20Reporting\OEB%20Quarterly%20Submissions\July%202004\Carrying%20Charge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ata\vpoonja$\POONJA\EXCEL\MCOST\OPTIMUM.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O:\2005\RP-2005-0020\EB-2005-0389\Board\Applications\Decision%20Material\London%20Hydro%202006%20EDR_modified%20for%20smart%20meter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Finance\Capital%20&amp;%20Rates\1.%20Rates\C.%20%20Financial%20Analysis\2010\Feb%2010\Month%20End%20JEs\Attachment%202%20-%20EHM%20RSVA_GA%20clearing%20to%20OEB_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vpoonja$\My%20Documents\SYSTEM\System%20New\System%202001\Project200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nance/Capital%20&amp;%20Rates/1.%20Rates/C.%20%20Financial%20Analysis/2011/Mar%202011/Revenues/5.%20JDE%20RSVA%20Balances%20Mar%20201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nance/Capital%20&amp;%20Rates/1.%20Rates/C.%20%20Financial%20Analysis/2011/Apr%202011/Revenues/5.%20JDE%20RSVA%20Balances%20April%20201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nance/Capital%20&amp;%20Rates/1.%20Rates/C.%20%20Financial%20Analysis/2011/Jun%202011/Revenues/5.%20JDE%20RSVA%20Balances%20June%20201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nance/Capital%20&amp;%20Rates/1.%20Rates/C.%20%20Financial%20Analysis/2011/7.%20Jul%202011/Revenues/5.%20JDE%20RSVA%20Balances%20July%20201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nance/Capital%20&amp;%20Rates/1.%20Rates/C.%20%20Financial%20Analysis/2011/8.%20Aug%202011/Revenues/5.%20JDE%20RSVA%20Balances%20August%20201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nance/Capital%20&amp;%20Rates/1.%20Rates/C.%20%20Financial%20Analysis/2011/9.%20Sep%202011/Revenues/5.%20JDE%20RSVA%20Balances%20Sep%20201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nance/Capital%20&amp;%20Rates/1.%20Rates/C.%20%20Financial%20Analysis/2011/10.%20Oct%202011/Book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nance/Capital%20&amp;%20Rates/1.%20Rates/C.%20%20Financial%20Analysis/2011/11.%20Nov%202011/Revenues/5.%20JDE%20RSVA%20Balances%20Nov%20201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nance/JEFF'S%20JE/2008/May%20JEs%20for%20posting/14%20-%20JE%20Reg%20Assets%20Recovered%20May%2008.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RATES&amp;REG/1.%20Rates/C.%20%20Financial%20Analysis/2008/Aug08/Monthly%20Reports_RSVAs/All%20Reg%20Assets%20Reconcilations%202004_2008%20YTD%20Aug%2020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ta\vpoonja$\My%20Documents\SYSTEM\System%20New\System%202002\Project%20Summary%20200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RATES&amp;REG/1.%20Rates/C.%20%20Financial%20Analysis/2008/Aug08/Monthly%20Reports_RSVAs/5%20-%20Transfer%20of%20RSVAs%20to%201590%20per%202008%20OEB%20Decision.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nance/Capital%20&amp;%20Rates/1.%20Rates/C.%20%20Financial%20Analysis/2010/11.%20Nov%2010/Revenues/5.%20JDE%20RSVA%20Balances%20Nov%202010_Final%20(version%201).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nance/Capital%20&amp;%20Rates/1.%20Rates/C.%20%20Financial%20Analysis/2010/5.%20May%2010/Revenues/5.%20JDE%20RSVA%20Balances%20May%202010_Final.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nance/Capital%20&amp;%20Rates/1.%20Rates/C.%20%20Financial%20Analysis/2010/6.%20Jun%2010/Revenues/2010%20Revenue%20Forecast/RSVA%20Balances%20as%20at%20June%202010%20&amp;%202010%20FY_Forecast.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nance/Capital%20&amp;%20Rates/1.%20Rates/C.%20%20Financial%20Analysis/2010/7.%20Jul%2010/Revenues/5.%20JDE%20RSVA%20Balances%20July%202010_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nance/Capital%20&amp;%20Rates/1.%20Rates/C.%20%20Financial%20Analysis/2010/9.%20Sep%2010/Revenues/5.%20JDE%20RSVA%20Balances%20Sep%202010_Final%20(version%201).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nance/Capital%20&amp;%20Rates/1.%20Rates/C.%20%20Financial%20Analysis/2010/10.%20Oct%2010/Revenues/5.%20JDE%20RSVA%20Balances%20Oct%202010_Final%20(version%20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nance/Capital%20&amp;%20Rates/1.%20Rates/C.%20%20Financial%20Analysis/2010/12.%20Dec%2010/Revenues/5.%20JDE%20RSVA%20Balances%20Dec%202010_Final%20(version%20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nance/Capital%20&amp;%20Rates/1.%20Rates/C.%20%20Financial%20Analysis/2011/12.%20Dec%202011/Revenues/2.Hydro%20Revenue%20Report%20working%20file%20YTD%20Dec%202011_Final.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nance/Capital%20&amp;%20Rates/1.%20Rates/C.%20%20Financial%20Analysis/2012/2.%20Feb%202012/Revenue/2.Hydro%20Revenue%20Report%20working%20file%20YTD%20Feb%202012_Updated%20Fin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ta\vpoonja$\USERS\POONJA\FORECAST\96FRCST.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nance/Capital%20&amp;%20Rates/1.%20Rates/C.%20%20Financial%20Analysis/2012/3.%20Mar%202012/Journals/46,47.1595%20Mar%2012%202010%20EDDVAR%20GA%20Amort%20_%20Remaining%20Balance.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nance/Capital%20&amp;%20Rates/1.%20Rates/C.%20%20Financial%20Analysis/2012/3.%20Mar%202012/Journals/44,45%20-%201595%20Mar%202012%20%202011%20EDDVAR%20GA%20Amort%20_%20Remaining%20Balance.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nance/Capital%20&amp;%20Rates/1.%20Rates/C.%20%20Financial%20Analysis/2012/5.%20May%202012/journals/42,43.1595%20May%202012%20%202011%20EDDVAR%20GA%20Amort%20_%20Remaining%20Balance.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nance/Capital%20&amp;%20Rates/1.%20Rates/C.%20%20Financial%20Analysis/2012/5.%20May%202012/journals/52%20%20JE%20Reg%20Assets%20refunded%20May%2012%20.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nance/Capital%20&amp;%20Rates/1.%20Rates/C.%20%20Financial%20Analysis/2012/5.%20May%202012/journals/41.1595%20May%2012%202010%20EDDVAR%20GA%20Amort%20_%20Remaining%20Balance.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nance/Capital%20&amp;%20Rates/1.%20Rates/C.%20%20Financial%20Analysis/2012/Accounting%20for%20Deferred%20Revenue.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nance/Capital%20&amp;%20Rates/1.%20Rates/C.%20%20Financial%20Analysis/2012/7.%20Jul%202012/Revenues/2.Hydro%20Revenue%20Report%20working%20file%20YTD%20July%202012_Updated%20Final.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nance/2016%20IRM%20Application/1.%202016_IRM_RateGen_Model_Post%20OEB%20Call2.xlsm"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1.%202016_IRM_RateGen_Model_Sept%2018.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ATA\Common\Finance\Budget\Bud2010\Internal%20Budget\7.%202009%20APPENDIX%20C%20HYDRO\Appendix%20C-7%20-%20Capital%20Program\2010%20Final%20Capital%20Budget%20Propos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vpoonja$\POONJA\EXCEL\CAPACITY\RPCAP96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ebfs01\Home\BenumMa\Assignments\2007%20EDR%20Model\2007_irmmodel_ope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vpoonja$\My%20Documents\SYSTEM\PROJ9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ta\vpoonja$\POONJA\EXCEL\MCOST\GLOB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99"/>
      <sheetName val="Selected 2000"/>
      <sheetName val="Budget 2000"/>
      <sheetName val="Projects99"/>
      <sheetName val="Projects"/>
      <sheetName val="MW-min"/>
      <sheetName val="SUM2000"/>
      <sheetName val="Work Units"/>
      <sheetName val="Global"/>
    </sheetNames>
    <sheetDataSet>
      <sheetData sheetId="0">
        <row r="1">
          <cell r="B1" t="str">
            <v>POSSIBLE  SYSTEM   CAPITAL PROJECTS  -  2000</v>
          </cell>
        </row>
      </sheetData>
      <sheetData sheetId="1" refreshError="1"/>
      <sheetData sheetId="2"/>
      <sheetData sheetId="3" refreshError="1"/>
      <sheetData sheetId="4" refreshError="1"/>
      <sheetData sheetId="5"/>
      <sheetData sheetId="6">
        <row r="6">
          <cell r="C6" t="str">
            <v>TABLE 1</v>
          </cell>
        </row>
      </sheetData>
      <sheetData sheetId="7" refreshError="1">
        <row r="2">
          <cell r="G2" t="str">
            <v>TABLE 2 - COMPARATIVE COSTING</v>
          </cell>
        </row>
        <row r="3">
          <cell r="G3" t="str">
            <v>(1997 - 2000)</v>
          </cell>
        </row>
        <row r="5">
          <cell r="C5">
            <v>1997</v>
          </cell>
          <cell r="G5">
            <v>1998</v>
          </cell>
          <cell r="K5">
            <v>1999</v>
          </cell>
          <cell r="O5">
            <v>2000</v>
          </cell>
        </row>
        <row r="6">
          <cell r="B6" t="str">
            <v>CATEGORY</v>
          </cell>
          <cell r="C6" t="str">
            <v>Capacity</v>
          </cell>
          <cell r="E6" t="str">
            <v>Capital</v>
          </cell>
          <cell r="F6" t="str">
            <v xml:space="preserve">Unit </v>
          </cell>
          <cell r="G6" t="str">
            <v>Capacity</v>
          </cell>
          <cell r="I6" t="str">
            <v>Capital</v>
          </cell>
          <cell r="J6" t="str">
            <v xml:space="preserve">Unit </v>
          </cell>
          <cell r="K6" t="str">
            <v>Capacity</v>
          </cell>
          <cell r="M6" t="str">
            <v>Capital</v>
          </cell>
          <cell r="N6" t="str">
            <v xml:space="preserve">Unit </v>
          </cell>
          <cell r="O6" t="str">
            <v>Capacity</v>
          </cell>
          <cell r="Q6" t="str">
            <v>Capital</v>
          </cell>
          <cell r="R6" t="str">
            <v xml:space="preserve">Unit </v>
          </cell>
        </row>
        <row r="7">
          <cell r="C7" t="str">
            <v>(MW)</v>
          </cell>
          <cell r="D7" t="str">
            <v>Quantity</v>
          </cell>
          <cell r="E7" t="str">
            <v>Expenditure</v>
          </cell>
          <cell r="F7" t="str">
            <v>Cost</v>
          </cell>
          <cell r="G7" t="str">
            <v>(MW)</v>
          </cell>
          <cell r="H7" t="str">
            <v>Quantity</v>
          </cell>
          <cell r="I7" t="str">
            <v>Expenditure</v>
          </cell>
          <cell r="J7" t="str">
            <v>Cost</v>
          </cell>
          <cell r="K7" t="str">
            <v>(MW)</v>
          </cell>
          <cell r="L7" t="str">
            <v>Quantity</v>
          </cell>
          <cell r="M7" t="str">
            <v>Expenditure</v>
          </cell>
          <cell r="N7" t="str">
            <v>Cost</v>
          </cell>
          <cell r="O7" t="str">
            <v>(MW)</v>
          </cell>
          <cell r="P7" t="str">
            <v>Quantity</v>
          </cell>
          <cell r="Q7" t="str">
            <v>Expenditure</v>
          </cell>
          <cell r="R7" t="str">
            <v>Cost</v>
          </cell>
        </row>
        <row r="9">
          <cell r="B9" t="str">
            <v>Subtransmission</v>
          </cell>
          <cell r="C9">
            <v>21</v>
          </cell>
          <cell r="E9">
            <v>2237000</v>
          </cell>
          <cell r="F9">
            <v>106.52380952380952</v>
          </cell>
          <cell r="G9">
            <v>17</v>
          </cell>
          <cell r="I9">
            <v>1600000</v>
          </cell>
          <cell r="J9">
            <v>94.117647058823536</v>
          </cell>
          <cell r="K9">
            <v>20</v>
          </cell>
          <cell r="M9">
            <v>1630000</v>
          </cell>
          <cell r="N9">
            <v>81.5</v>
          </cell>
          <cell r="O9">
            <v>86</v>
          </cell>
          <cell r="Q9">
            <v>2865000</v>
          </cell>
          <cell r="R9">
            <v>33.313953488372093</v>
          </cell>
        </row>
        <row r="10">
          <cell r="B10" t="str">
            <v xml:space="preserve"> - kM of Conductors</v>
          </cell>
          <cell r="D10">
            <v>64.7</v>
          </cell>
          <cell r="H10">
            <v>57.5</v>
          </cell>
          <cell r="L10">
            <v>60</v>
          </cell>
          <cell r="P10">
            <v>80</v>
          </cell>
        </row>
        <row r="11">
          <cell r="B11" t="str">
            <v xml:space="preserve"> - No. of Poles</v>
          </cell>
          <cell r="D11">
            <v>114</v>
          </cell>
          <cell r="H11">
            <v>115</v>
          </cell>
          <cell r="L11">
            <v>120</v>
          </cell>
          <cell r="P11">
            <v>150</v>
          </cell>
        </row>
        <row r="14">
          <cell r="B14" t="str">
            <v>Distribution</v>
          </cell>
          <cell r="C14">
            <v>13</v>
          </cell>
          <cell r="E14">
            <v>1052000</v>
          </cell>
          <cell r="F14">
            <v>80.92307692307692</v>
          </cell>
          <cell r="G14">
            <v>15</v>
          </cell>
          <cell r="I14">
            <v>1150000</v>
          </cell>
          <cell r="J14">
            <v>76.666666666666671</v>
          </cell>
          <cell r="K14">
            <v>13</v>
          </cell>
          <cell r="M14">
            <v>950000</v>
          </cell>
          <cell r="N14">
            <v>73.07692307692308</v>
          </cell>
          <cell r="O14">
            <v>10</v>
          </cell>
          <cell r="Q14">
            <v>810000</v>
          </cell>
          <cell r="R14">
            <v>81</v>
          </cell>
        </row>
        <row r="15">
          <cell r="B15" t="str">
            <v xml:space="preserve"> - kM of Conductors</v>
          </cell>
          <cell r="D15">
            <v>53.3</v>
          </cell>
          <cell r="H15">
            <v>18.2</v>
          </cell>
          <cell r="L15">
            <v>22</v>
          </cell>
          <cell r="P15">
            <v>47.8</v>
          </cell>
        </row>
        <row r="16">
          <cell r="B16" t="str">
            <v xml:space="preserve"> - No. of Poles</v>
          </cell>
          <cell r="D16">
            <v>50</v>
          </cell>
          <cell r="H16">
            <v>65</v>
          </cell>
          <cell r="L16">
            <v>55</v>
          </cell>
          <cell r="P16">
            <v>61</v>
          </cell>
        </row>
        <row r="19">
          <cell r="B19" t="str">
            <v>Substations (Transformation)</v>
          </cell>
          <cell r="C19">
            <v>30</v>
          </cell>
          <cell r="E19">
            <v>2037000</v>
          </cell>
          <cell r="F19">
            <v>67.900000000000006</v>
          </cell>
          <cell r="G19">
            <v>40</v>
          </cell>
          <cell r="I19">
            <v>2800000</v>
          </cell>
          <cell r="J19">
            <v>70</v>
          </cell>
          <cell r="K19">
            <v>50</v>
          </cell>
          <cell r="M19">
            <v>3287000</v>
          </cell>
          <cell r="N19">
            <v>65.739999999999995</v>
          </cell>
          <cell r="O19">
            <v>60</v>
          </cell>
          <cell r="Q19">
            <v>3050000</v>
          </cell>
          <cell r="R19">
            <v>50.833333333333336</v>
          </cell>
        </row>
        <row r="22">
          <cell r="B22" t="str">
            <v>Subdivision Rebuilds</v>
          </cell>
          <cell r="C22">
            <v>7</v>
          </cell>
          <cell r="E22">
            <v>5744000</v>
          </cell>
          <cell r="F22">
            <v>820.57142857142856</v>
          </cell>
          <cell r="G22">
            <v>5</v>
          </cell>
          <cell r="I22">
            <v>5200000</v>
          </cell>
          <cell r="J22">
            <v>1040</v>
          </cell>
          <cell r="K22">
            <v>5</v>
          </cell>
          <cell r="M22">
            <v>3600000</v>
          </cell>
          <cell r="N22">
            <v>720</v>
          </cell>
          <cell r="O22">
            <v>7</v>
          </cell>
          <cell r="Q22">
            <v>2500000</v>
          </cell>
          <cell r="R22">
            <v>357.14285714285717</v>
          </cell>
        </row>
        <row r="23">
          <cell r="B23" t="str">
            <v xml:space="preserve"> - No. of Homes</v>
          </cell>
          <cell r="D23">
            <v>600</v>
          </cell>
          <cell r="F23">
            <v>9573.3333333333339</v>
          </cell>
          <cell r="H23">
            <v>700</v>
          </cell>
          <cell r="J23">
            <v>7428.5714285714284</v>
          </cell>
          <cell r="L23">
            <v>500</v>
          </cell>
          <cell r="N23">
            <v>7200</v>
          </cell>
          <cell r="P23">
            <v>500</v>
          </cell>
          <cell r="R23">
            <v>5000</v>
          </cell>
        </row>
        <row r="26">
          <cell r="B26" t="str">
            <v>Road Relocations</v>
          </cell>
        </row>
        <row r="27">
          <cell r="B27" t="str">
            <v xml:space="preserve"> - kM of Conductors</v>
          </cell>
          <cell r="C27">
            <v>0</v>
          </cell>
          <cell r="D27">
            <v>41.1</v>
          </cell>
          <cell r="E27">
            <v>1561000</v>
          </cell>
          <cell r="F27">
            <v>37980.53527980535</v>
          </cell>
          <cell r="G27">
            <v>0</v>
          </cell>
          <cell r="H27">
            <v>18.899999999999999</v>
          </cell>
          <cell r="I27">
            <v>1400000</v>
          </cell>
          <cell r="J27">
            <v>74074.074074074073</v>
          </cell>
          <cell r="K27">
            <v>0</v>
          </cell>
          <cell r="L27">
            <v>17</v>
          </cell>
          <cell r="M27">
            <v>1200000</v>
          </cell>
          <cell r="N27">
            <v>70588.23529411765</v>
          </cell>
          <cell r="O27">
            <v>0</v>
          </cell>
          <cell r="P27">
            <v>23</v>
          </cell>
          <cell r="Q27">
            <v>1600000</v>
          </cell>
          <cell r="R27">
            <v>69565.217391304352</v>
          </cell>
        </row>
        <row r="30">
          <cell r="B30" t="str">
            <v>Industrial &amp; Commercial Services</v>
          </cell>
          <cell r="C30">
            <v>0</v>
          </cell>
          <cell r="G30">
            <v>0</v>
          </cell>
          <cell r="K30">
            <v>0</v>
          </cell>
          <cell r="O30">
            <v>0</v>
          </cell>
        </row>
        <row r="31">
          <cell r="B31" t="str">
            <v xml:space="preserve"> - Number of Services</v>
          </cell>
          <cell r="D31">
            <v>135</v>
          </cell>
          <cell r="E31">
            <v>3886000</v>
          </cell>
          <cell r="F31">
            <v>28785.185185185186</v>
          </cell>
          <cell r="H31">
            <v>165</v>
          </cell>
          <cell r="I31">
            <v>4675419</v>
          </cell>
          <cell r="J31">
            <v>28335.872727272726</v>
          </cell>
          <cell r="L31">
            <v>180</v>
          </cell>
          <cell r="M31">
            <v>5000000</v>
          </cell>
          <cell r="N31">
            <v>27777.777777777777</v>
          </cell>
          <cell r="P31">
            <v>190</v>
          </cell>
          <cell r="Q31">
            <v>5000000</v>
          </cell>
          <cell r="R31">
            <v>26315.78947368421</v>
          </cell>
        </row>
        <row r="34">
          <cell r="B34" t="str">
            <v>O/H Distribution Maintenance</v>
          </cell>
          <cell r="C34">
            <v>0</v>
          </cell>
          <cell r="G34">
            <v>0</v>
          </cell>
          <cell r="K34">
            <v>0</v>
          </cell>
          <cell r="O34">
            <v>0</v>
          </cell>
        </row>
        <row r="36">
          <cell r="B36" t="str">
            <v xml:space="preserve"> - Wood &amp; Concrete Pole Replacements</v>
          </cell>
        </row>
        <row r="37">
          <cell r="B37" t="str">
            <v xml:space="preserve">     - Number of Poles</v>
          </cell>
          <cell r="D37">
            <v>42</v>
          </cell>
          <cell r="E37">
            <v>307000</v>
          </cell>
          <cell r="F37">
            <v>7309.5238095238092</v>
          </cell>
          <cell r="H37">
            <v>70</v>
          </cell>
          <cell r="I37">
            <v>460000</v>
          </cell>
          <cell r="J37">
            <v>6571.4285714285716</v>
          </cell>
          <cell r="L37">
            <v>65</v>
          </cell>
          <cell r="M37">
            <v>420000</v>
          </cell>
          <cell r="N37">
            <v>6461.5384615384619</v>
          </cell>
          <cell r="P37">
            <v>65</v>
          </cell>
          <cell r="Q37">
            <v>325000</v>
          </cell>
          <cell r="R37">
            <v>5000</v>
          </cell>
        </row>
        <row r="39">
          <cell r="B39" t="str">
            <v xml:space="preserve"> - Overhead Switch Replacement</v>
          </cell>
        </row>
        <row r="40">
          <cell r="B40" t="str">
            <v xml:space="preserve">     - Number of Switches</v>
          </cell>
          <cell r="D40">
            <v>17</v>
          </cell>
          <cell r="E40">
            <v>325000</v>
          </cell>
          <cell r="F40">
            <v>19117.647058823528</v>
          </cell>
          <cell r="H40">
            <v>24</v>
          </cell>
          <cell r="I40">
            <v>435000</v>
          </cell>
          <cell r="J40">
            <v>18125</v>
          </cell>
          <cell r="L40">
            <v>17</v>
          </cell>
          <cell r="M40">
            <v>200000</v>
          </cell>
          <cell r="N40">
            <v>11764.705882352941</v>
          </cell>
          <cell r="P40">
            <v>16</v>
          </cell>
          <cell r="Q40">
            <v>275000</v>
          </cell>
          <cell r="R40">
            <v>17187.5</v>
          </cell>
        </row>
        <row r="41">
          <cell r="B41" t="str">
            <v xml:space="preserve">     - Number of Insulators</v>
          </cell>
          <cell r="D41">
            <v>200</v>
          </cell>
          <cell r="E41">
            <v>33000</v>
          </cell>
          <cell r="F41">
            <v>165</v>
          </cell>
          <cell r="H41">
            <v>2000</v>
          </cell>
          <cell r="I41">
            <v>300000</v>
          </cell>
          <cell r="J41">
            <v>150</v>
          </cell>
          <cell r="L41">
            <v>780</v>
          </cell>
          <cell r="M41">
            <v>110000</v>
          </cell>
          <cell r="N41">
            <v>141.02564102564102</v>
          </cell>
          <cell r="P41">
            <v>1200</v>
          </cell>
          <cell r="Q41">
            <v>150000</v>
          </cell>
          <cell r="R41">
            <v>125</v>
          </cell>
        </row>
        <row r="43">
          <cell r="B43" t="str">
            <v xml:space="preserve"> - Feeder Overhauls</v>
          </cell>
        </row>
        <row r="44">
          <cell r="B44" t="str">
            <v xml:space="preserve">     - kM of Circuits</v>
          </cell>
          <cell r="D44">
            <v>13</v>
          </cell>
          <cell r="E44">
            <v>625000</v>
          </cell>
          <cell r="F44">
            <v>48076.923076923078</v>
          </cell>
          <cell r="H44">
            <v>8</v>
          </cell>
          <cell r="I44">
            <v>370000</v>
          </cell>
          <cell r="J44">
            <v>46250</v>
          </cell>
          <cell r="L44">
            <v>6.5</v>
          </cell>
          <cell r="M44">
            <v>300000</v>
          </cell>
          <cell r="N44">
            <v>46153.846153846156</v>
          </cell>
          <cell r="P44">
            <v>6</v>
          </cell>
          <cell r="Q44">
            <v>275000</v>
          </cell>
          <cell r="R44">
            <v>45833.333333333336</v>
          </cell>
        </row>
        <row r="46">
          <cell r="B46" t="str">
            <v xml:space="preserve"> - Overhead Rebuilds</v>
          </cell>
        </row>
        <row r="47">
          <cell r="B47" t="str">
            <v xml:space="preserve">     - Number of Homes</v>
          </cell>
          <cell r="D47">
            <v>512</v>
          </cell>
          <cell r="E47">
            <v>865000</v>
          </cell>
          <cell r="F47">
            <v>1689.453125</v>
          </cell>
          <cell r="H47">
            <v>435</v>
          </cell>
          <cell r="I47">
            <v>685000</v>
          </cell>
          <cell r="J47">
            <v>1574.7126436781609</v>
          </cell>
          <cell r="L47">
            <v>325</v>
          </cell>
          <cell r="M47">
            <v>470000</v>
          </cell>
          <cell r="N47">
            <v>1446.1538461538462</v>
          </cell>
          <cell r="P47">
            <v>465</v>
          </cell>
          <cell r="Q47">
            <v>675000</v>
          </cell>
          <cell r="R47">
            <v>1451.6129032258063</v>
          </cell>
        </row>
        <row r="51">
          <cell r="G51" t="str">
            <v>TABLE 2 (Cont'd)- COMPARATIVE COSTING</v>
          </cell>
        </row>
        <row r="52">
          <cell r="G52" t="str">
            <v>(1997 - 2000)</v>
          </cell>
        </row>
        <row r="54">
          <cell r="C54">
            <v>1997</v>
          </cell>
          <cell r="G54">
            <v>1998</v>
          </cell>
          <cell r="K54">
            <v>1999</v>
          </cell>
          <cell r="O54">
            <v>2000</v>
          </cell>
        </row>
        <row r="55">
          <cell r="B55" t="str">
            <v>CATEGORY</v>
          </cell>
          <cell r="C55" t="str">
            <v>Capacity</v>
          </cell>
          <cell r="E55" t="str">
            <v>Capital</v>
          </cell>
          <cell r="F55" t="str">
            <v xml:space="preserve">Unit </v>
          </cell>
          <cell r="G55" t="str">
            <v>Capacity</v>
          </cell>
          <cell r="I55" t="str">
            <v>Capital</v>
          </cell>
          <cell r="J55" t="str">
            <v xml:space="preserve">Unit </v>
          </cell>
          <cell r="K55" t="str">
            <v>Capacity</v>
          </cell>
          <cell r="M55" t="str">
            <v>Capital</v>
          </cell>
          <cell r="N55" t="str">
            <v xml:space="preserve">Unit </v>
          </cell>
          <cell r="O55" t="str">
            <v>Capacity</v>
          </cell>
          <cell r="Q55" t="str">
            <v>Capital</v>
          </cell>
          <cell r="R55" t="str">
            <v xml:space="preserve">Unit </v>
          </cell>
        </row>
        <row r="56">
          <cell r="C56" t="str">
            <v>(MW)</v>
          </cell>
          <cell r="D56" t="str">
            <v>Quantity</v>
          </cell>
          <cell r="E56" t="str">
            <v>Expenditure</v>
          </cell>
          <cell r="F56" t="str">
            <v>Cost</v>
          </cell>
          <cell r="G56" t="str">
            <v>(MW)</v>
          </cell>
          <cell r="H56" t="str">
            <v>Quantity</v>
          </cell>
          <cell r="I56" t="str">
            <v>Expenditure</v>
          </cell>
          <cell r="J56" t="str">
            <v>Cost</v>
          </cell>
          <cell r="K56" t="str">
            <v>(MW)</v>
          </cell>
          <cell r="L56" t="str">
            <v>Quantity</v>
          </cell>
          <cell r="M56" t="str">
            <v>Expenditure</v>
          </cell>
          <cell r="N56" t="str">
            <v>Cost</v>
          </cell>
          <cell r="O56" t="str">
            <v>(MW)</v>
          </cell>
          <cell r="P56" t="str">
            <v>Quantity</v>
          </cell>
          <cell r="Q56" t="str">
            <v>Expenditure</v>
          </cell>
          <cell r="R56" t="str">
            <v>Cost</v>
          </cell>
        </row>
        <row r="58">
          <cell r="B58" t="str">
            <v>U/G Distribution Maintenance</v>
          </cell>
          <cell r="C58">
            <v>0</v>
          </cell>
          <cell r="G58">
            <v>0</v>
          </cell>
          <cell r="K58">
            <v>0</v>
          </cell>
          <cell r="O58">
            <v>0</v>
          </cell>
        </row>
        <row r="60">
          <cell r="B60" t="str">
            <v xml:space="preserve"> - Primary Distribution Equipment Replacement</v>
          </cell>
        </row>
        <row r="61">
          <cell r="B61" t="str">
            <v xml:space="preserve">     - Number of Load Centres</v>
          </cell>
          <cell r="D61">
            <v>4</v>
          </cell>
          <cell r="E61">
            <v>110000</v>
          </cell>
          <cell r="F61">
            <v>27500</v>
          </cell>
          <cell r="H61">
            <v>8</v>
          </cell>
          <cell r="I61">
            <v>200000</v>
          </cell>
          <cell r="J61">
            <v>25000</v>
          </cell>
          <cell r="L61">
            <v>7</v>
          </cell>
          <cell r="M61">
            <v>170000</v>
          </cell>
          <cell r="N61">
            <v>24285.714285714286</v>
          </cell>
          <cell r="P61">
            <v>8</v>
          </cell>
          <cell r="Q61">
            <v>190000</v>
          </cell>
          <cell r="R61">
            <v>23750</v>
          </cell>
        </row>
        <row r="62">
          <cell r="B62" t="str">
            <v xml:space="preserve">     - Number of Elbows</v>
          </cell>
          <cell r="D62">
            <v>85</v>
          </cell>
          <cell r="E62">
            <v>38000</v>
          </cell>
          <cell r="F62">
            <v>447.05882352941177</v>
          </cell>
          <cell r="H62">
            <v>475</v>
          </cell>
          <cell r="I62">
            <v>200000</v>
          </cell>
          <cell r="J62">
            <v>421.05263157894734</v>
          </cell>
          <cell r="L62">
            <v>950</v>
          </cell>
          <cell r="M62">
            <v>385000</v>
          </cell>
          <cell r="N62">
            <v>405.26315789473682</v>
          </cell>
          <cell r="P62">
            <v>850</v>
          </cell>
          <cell r="Q62">
            <v>285000</v>
          </cell>
          <cell r="R62">
            <v>335.29411764705884</v>
          </cell>
        </row>
        <row r="63">
          <cell r="B63" t="str">
            <v xml:space="preserve">     - Number of Fault Indicators</v>
          </cell>
          <cell r="D63">
            <v>20</v>
          </cell>
          <cell r="E63">
            <v>25000</v>
          </cell>
          <cell r="F63">
            <v>1250</v>
          </cell>
          <cell r="H63">
            <v>100</v>
          </cell>
          <cell r="I63">
            <v>100000</v>
          </cell>
          <cell r="J63">
            <v>1000</v>
          </cell>
          <cell r="L63">
            <v>40</v>
          </cell>
          <cell r="M63">
            <v>35000</v>
          </cell>
          <cell r="N63">
            <v>875</v>
          </cell>
          <cell r="P63">
            <v>70</v>
          </cell>
          <cell r="Q63">
            <v>50000</v>
          </cell>
          <cell r="R63">
            <v>714.28571428571433</v>
          </cell>
        </row>
        <row r="64">
          <cell r="B64" t="str">
            <v xml:space="preserve">     - Number of Terminations</v>
          </cell>
          <cell r="D64">
            <v>225</v>
          </cell>
          <cell r="E64">
            <v>165000</v>
          </cell>
          <cell r="F64">
            <v>733.33333333333337</v>
          </cell>
        </row>
        <row r="66">
          <cell r="B66" t="str">
            <v xml:space="preserve"> - U/ground Cable and Splice Replacement</v>
          </cell>
        </row>
        <row r="67">
          <cell r="B67" t="str">
            <v xml:space="preserve">     - Number of Cable Sections</v>
          </cell>
          <cell r="D67">
            <v>10</v>
          </cell>
          <cell r="E67">
            <v>703000</v>
          </cell>
          <cell r="F67">
            <v>70300</v>
          </cell>
          <cell r="H67">
            <v>6</v>
          </cell>
          <cell r="I67">
            <v>425000</v>
          </cell>
          <cell r="J67">
            <v>70833.333333333328</v>
          </cell>
          <cell r="L67">
            <v>7</v>
          </cell>
          <cell r="M67">
            <v>495000</v>
          </cell>
          <cell r="N67">
            <v>70714.28571428571</v>
          </cell>
          <cell r="P67">
            <v>5</v>
          </cell>
          <cell r="Q67">
            <v>325000</v>
          </cell>
          <cell r="R67">
            <v>65000</v>
          </cell>
        </row>
        <row r="68">
          <cell r="B68" t="str">
            <v xml:space="preserve">     - Number of Splices</v>
          </cell>
          <cell r="D68">
            <v>140</v>
          </cell>
          <cell r="E68">
            <v>310000</v>
          </cell>
          <cell r="F68">
            <v>2214.2857142857142</v>
          </cell>
          <cell r="H68">
            <v>165</v>
          </cell>
          <cell r="I68">
            <v>400000</v>
          </cell>
          <cell r="J68">
            <v>2424.242424242424</v>
          </cell>
          <cell r="L68">
            <v>205</v>
          </cell>
          <cell r="M68">
            <v>480000</v>
          </cell>
          <cell r="N68">
            <v>2341.4634146341464</v>
          </cell>
          <cell r="P68">
            <v>200</v>
          </cell>
          <cell r="Q68">
            <v>450000</v>
          </cell>
          <cell r="R68">
            <v>2250</v>
          </cell>
        </row>
        <row r="70">
          <cell r="B70" t="str">
            <v xml:space="preserve"> - Meter Base Replacement</v>
          </cell>
        </row>
        <row r="71">
          <cell r="B71" t="str">
            <v xml:space="preserve">     - Number of Meterbases</v>
          </cell>
          <cell r="D71">
            <v>82</v>
          </cell>
          <cell r="E71">
            <v>66000</v>
          </cell>
          <cell r="F71">
            <v>804.8780487804878</v>
          </cell>
          <cell r="H71">
            <v>70</v>
          </cell>
          <cell r="I71">
            <v>55000</v>
          </cell>
          <cell r="J71">
            <v>785.71428571428567</v>
          </cell>
          <cell r="L71">
            <v>72</v>
          </cell>
          <cell r="M71">
            <v>55000</v>
          </cell>
          <cell r="N71">
            <v>763.88888888888891</v>
          </cell>
          <cell r="P71">
            <v>70</v>
          </cell>
          <cell r="Q71">
            <v>50000</v>
          </cell>
          <cell r="R71">
            <v>714.28571428571433</v>
          </cell>
        </row>
        <row r="73">
          <cell r="B73" t="str">
            <v xml:space="preserve"> - Secondary Cable Replacement</v>
          </cell>
        </row>
        <row r="74">
          <cell r="B74" t="str">
            <v xml:space="preserve">     - Number of Services</v>
          </cell>
          <cell r="D74">
            <v>15</v>
          </cell>
          <cell r="E74">
            <v>17000</v>
          </cell>
          <cell r="F74">
            <v>1133.3333333333333</v>
          </cell>
          <cell r="H74">
            <v>30</v>
          </cell>
          <cell r="I74">
            <v>35000</v>
          </cell>
          <cell r="J74">
            <v>1166.6666666666667</v>
          </cell>
          <cell r="L74">
            <v>28</v>
          </cell>
          <cell r="M74">
            <v>30000</v>
          </cell>
          <cell r="N74">
            <v>1071.4285714285713</v>
          </cell>
          <cell r="P74">
            <v>50</v>
          </cell>
          <cell r="Q74">
            <v>50000</v>
          </cell>
          <cell r="R74">
            <v>1000</v>
          </cell>
        </row>
        <row r="77">
          <cell r="B77" t="str">
            <v>Transformer Replacements</v>
          </cell>
          <cell r="C77">
            <v>0</v>
          </cell>
          <cell r="G77">
            <v>0</v>
          </cell>
          <cell r="K77">
            <v>0</v>
          </cell>
          <cell r="O77">
            <v>0</v>
          </cell>
        </row>
        <row r="79">
          <cell r="B79" t="str">
            <v xml:space="preserve"> - U/ground Transformer Replacement</v>
          </cell>
          <cell r="D79">
            <v>68</v>
          </cell>
          <cell r="E79">
            <v>398000</v>
          </cell>
          <cell r="F79">
            <v>5852.9411764705883</v>
          </cell>
          <cell r="H79">
            <v>75</v>
          </cell>
          <cell r="I79">
            <v>398000</v>
          </cell>
          <cell r="J79">
            <v>5306.666666666667</v>
          </cell>
          <cell r="L79">
            <v>97</v>
          </cell>
          <cell r="M79">
            <v>510000</v>
          </cell>
          <cell r="N79">
            <v>5257.7319587628863</v>
          </cell>
          <cell r="P79">
            <v>60</v>
          </cell>
          <cell r="Q79">
            <v>300000</v>
          </cell>
          <cell r="R79">
            <v>5000</v>
          </cell>
        </row>
        <row r="80">
          <cell r="B80" t="str">
            <v xml:space="preserve"> - Overhead Transformer Replacement</v>
          </cell>
          <cell r="D80">
            <v>57</v>
          </cell>
          <cell r="E80">
            <v>198000</v>
          </cell>
          <cell r="F80">
            <v>3473.6842105263158</v>
          </cell>
          <cell r="H80">
            <v>63</v>
          </cell>
          <cell r="I80">
            <v>202000</v>
          </cell>
          <cell r="J80">
            <v>3206.3492063492063</v>
          </cell>
          <cell r="L80">
            <v>60</v>
          </cell>
          <cell r="M80">
            <v>190000</v>
          </cell>
          <cell r="N80">
            <v>3166.6666666666665</v>
          </cell>
          <cell r="P80">
            <v>50</v>
          </cell>
          <cell r="Q80">
            <v>150000</v>
          </cell>
          <cell r="R80">
            <v>3000</v>
          </cell>
        </row>
        <row r="83">
          <cell r="B83" t="str">
            <v>Auto-Switches/SCADA</v>
          </cell>
          <cell r="C83">
            <v>0</v>
          </cell>
          <cell r="D83">
            <v>8</v>
          </cell>
          <cell r="E83">
            <v>306000</v>
          </cell>
          <cell r="F83">
            <v>38250</v>
          </cell>
          <cell r="G83">
            <v>0</v>
          </cell>
          <cell r="H83">
            <v>45</v>
          </cell>
          <cell r="I83">
            <v>1600000</v>
          </cell>
          <cell r="J83">
            <v>35555.555555555555</v>
          </cell>
          <cell r="K83">
            <v>0</v>
          </cell>
          <cell r="L83">
            <v>48</v>
          </cell>
          <cell r="M83">
            <v>1667000</v>
          </cell>
          <cell r="N83">
            <v>34729.166666666664</v>
          </cell>
          <cell r="O83">
            <v>0</v>
          </cell>
          <cell r="P83">
            <v>35</v>
          </cell>
          <cell r="Q83">
            <v>1200000</v>
          </cell>
          <cell r="R83">
            <v>34285.714285714283</v>
          </cell>
        </row>
        <row r="84">
          <cell r="B84" t="str">
            <v xml:space="preserve">     - Number of Switches/RTUs</v>
          </cell>
        </row>
        <row r="86">
          <cell r="B86" t="str">
            <v>TOTAL</v>
          </cell>
          <cell r="C86">
            <v>71</v>
          </cell>
          <cell r="E86">
            <v>21008000</v>
          </cell>
          <cell r="F86">
            <v>295.88732394366195</v>
          </cell>
          <cell r="G86">
            <v>77</v>
          </cell>
          <cell r="I86">
            <v>22690419</v>
          </cell>
          <cell r="J86">
            <v>294.68076623376624</v>
          </cell>
          <cell r="K86">
            <v>88</v>
          </cell>
          <cell r="M86">
            <v>21184000</v>
          </cell>
          <cell r="N86">
            <v>240.72727272727272</v>
          </cell>
          <cell r="O86">
            <v>163</v>
          </cell>
          <cell r="Q86">
            <v>20575000</v>
          </cell>
          <cell r="R86">
            <v>126.22699386503068</v>
          </cell>
        </row>
      </sheetData>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refreshError="1"/>
      <sheetData sheetId="1" refreshError="1"/>
      <sheetData sheetId="2" refreshError="1">
        <row r="1">
          <cell r="A1" t="str">
            <v>LDC Name</v>
          </cell>
        </row>
        <row r="76">
          <cell r="E76">
            <v>36161</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Monthly inputs"/>
      <sheetName val="Sheet3"/>
      <sheetName val="InputSheet"/>
      <sheetName val="Grouping"/>
      <sheetName val="Upload"/>
      <sheetName val="Hoep"/>
      <sheetName val="Customer Allocation"/>
      <sheetName val="MOD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
          <cell r="E3">
            <v>6.6349999999999992E-2</v>
          </cell>
        </row>
        <row r="4">
          <cell r="E4">
            <v>7.0993515947131894E-2</v>
          </cell>
        </row>
        <row r="5">
          <cell r="E5">
            <v>7.0999999999999994E-2</v>
          </cell>
        </row>
        <row r="6">
          <cell r="E6">
            <v>5.7654322927226255E-2</v>
          </cell>
        </row>
        <row r="7">
          <cell r="E7">
            <v>4.6186384399659976E-2</v>
          </cell>
        </row>
        <row r="8">
          <cell r="E8">
            <v>5.5249352929579949E-2</v>
          </cell>
        </row>
        <row r="9">
          <cell r="E9">
            <v>6.2162928349367326E-2</v>
          </cell>
        </row>
        <row r="10">
          <cell r="E10">
            <v>6.8674858086432061E-2</v>
          </cell>
        </row>
        <row r="11">
          <cell r="E11">
            <v>6.1087524223463772E-2</v>
          </cell>
        </row>
        <row r="12">
          <cell r="E12">
            <v>6.1087524223463772E-2</v>
          </cell>
        </row>
        <row r="13">
          <cell r="E13">
            <v>5.3984779069158426E-2</v>
          </cell>
        </row>
        <row r="14">
          <cell r="E14">
            <v>5.8228434687110149E-2</v>
          </cell>
        </row>
      </sheetData>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MODEL OVERVIEW"/>
      <sheetName val="1-1 GENERAL (Input)"/>
      <sheetName val="2-1 TRIAL BALANCE DATA (Input)"/>
      <sheetName val="2-2 UNADJUSTED ACCOUNTING DATA"/>
      <sheetName val="ADJ 1 (Rate Base -Tier 1)"/>
      <sheetName val="ADJ 1a (Rate Base -Tier 1)"/>
      <sheetName val="ADJ 2 (Rate Base -Tier 2)"/>
      <sheetName val="ADJ 3 (Distrib Exp -Tier 1)"/>
      <sheetName val="ADJ 3a (Distrib Exp -Tier 1)"/>
      <sheetName val="ADJ 3b (Tier 1 Amortization)"/>
      <sheetName val="ADJ 4 (Distrib Exp -Tier 2)"/>
      <sheetName val="ADJ 5 (Specific Distrib Exp)"/>
      <sheetName val="ADJ 6 (Revenue -Tier 1)"/>
      <sheetName val="2-4 ADJUSTED ACCOUNTING DATA"/>
      <sheetName val="2-5 Capital Expnditures Sch 4-1"/>
      <sheetName val="2-6 OTH (Employee Compensation"/>
      <sheetName val="3-1 RATE BASE"/>
      <sheetName val="3-2 COST OF CAPITAL (Input)"/>
      <sheetName val="3-3  CAPITAL STRUCTURE (Input)"/>
      <sheetName val="3-4 WEIGHTED DEBT COST (Input)"/>
      <sheetName val="4-1 DATA for PILS MODEL"/>
      <sheetName val="tbd 4-2 OUTPUT from PILS MODEL"/>
      <sheetName val="5-1 SERVICE REVENUE REQUIREMENT"/>
      <sheetName val="5-2 SPECIFIC SERV CHRGS (Input)"/>
      <sheetName val="5-3 OTHER REGULTD CHRGS (Input)"/>
      <sheetName val="5-4 CDM (Input)"/>
      <sheetName val="5-5 BASE REVENUE REQUIREMENT"/>
      <sheetName val="6-1 CUSTOMER CLASSES (Input)"/>
      <sheetName val="6-2 DEMAND, RATES (Input)"/>
      <sheetName val="6-3 Trfmr Ownership (Input)"/>
      <sheetName val="7-1 ALLOCATION - Base Rev. Req."/>
      <sheetName val="7-2 ALLOCATION - LV-Wheeling"/>
      <sheetName val="7-3 ALLOCATION - CDM (Input)"/>
      <sheetName val="8-1 RATES - BASE REV. REQ."/>
      <sheetName val="8-2 RATES - LV-Wheeling"/>
      <sheetName val="8-3 RATES - CDM"/>
      <sheetName val="8-4 RATE RIDERS -Reg. Assets"/>
      <sheetName val="8-5 DISTRIBUTION RATES"/>
      <sheetName val="8-6 RETAIL TRANSM RATES (Input)"/>
      <sheetName val="8-7 OTHER CHGS, COMMOD (Input)"/>
      <sheetName val="9-1 BILL IMPACTS"/>
      <sheetName val="9-2 BILL IMPACTS %"/>
      <sheetName val="9-1ALT BILL IMPACTS"/>
      <sheetName val="9-2ALT BILL IMPACTS %"/>
      <sheetName val="10-1 RATES SCHEDULE (Part 1)"/>
      <sheetName val="10-2 RATES SCHEDULE (Part 2)"/>
      <sheetName val="10-3 RATES SCHEDULE (Part 3)"/>
      <sheetName val="10-4 DISTR. RATES - RECONCILED"/>
      <sheetName val="HB Appendix A.1"/>
      <sheetName val="HB Appendix A.2"/>
      <sheetName val="HB Appendix A.3"/>
      <sheetName val="HB Appendix A.4"/>
      <sheetName val="Navigation Macro Values"/>
      <sheetName val="Filters"/>
      <sheetName val="Rate Riders Calc."/>
      <sheetName val="LV Charges Allocation"/>
      <sheetName val="Bill Impact Summ"/>
      <sheetName val="DISTR. Impact by CC"/>
      <sheetName val="DISTR.at Current 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row r="15">
          <cell r="B15">
            <v>1</v>
          </cell>
          <cell r="C15" t="str">
            <v/>
          </cell>
          <cell r="D15" t="str">
            <v>RESIDENTIAL</v>
          </cell>
          <cell r="F15" t="str">
            <v/>
          </cell>
          <cell r="G15" t="str">
            <v>X</v>
          </cell>
        </row>
        <row r="16">
          <cell r="B16">
            <v>2</v>
          </cell>
          <cell r="C16" t="str">
            <v>RESIDENTIAL</v>
          </cell>
          <cell r="D16" t="str">
            <v>Regular</v>
          </cell>
          <cell r="E16" t="str">
            <v>A</v>
          </cell>
          <cell r="F16" t="str">
            <v>X</v>
          </cell>
          <cell r="G16" t="str">
            <v>X</v>
          </cell>
          <cell r="H16">
            <v>1.0999999999999999E-2</v>
          </cell>
          <cell r="I16">
            <v>6.1999999999999998E-3</v>
          </cell>
          <cell r="J16">
            <v>7.0000000000000001E-3</v>
          </cell>
          <cell r="K16">
            <v>2.4199999999999999E-2</v>
          </cell>
          <cell r="L16">
            <v>2.4199999999999996E-2</v>
          </cell>
          <cell r="M16">
            <v>0</v>
          </cell>
          <cell r="Q16">
            <v>0</v>
          </cell>
          <cell r="R16">
            <v>5.2999999999999999E-2</v>
          </cell>
          <cell r="S16">
            <v>6.2E-2</v>
          </cell>
          <cell r="T16">
            <v>1.0432999999999999</v>
          </cell>
          <cell r="U16">
            <v>1.0432999999999999</v>
          </cell>
          <cell r="V16">
            <v>1.3899999999999999E-2</v>
          </cell>
          <cell r="W16">
            <v>0</v>
          </cell>
          <cell r="X16">
            <v>12.33</v>
          </cell>
          <cell r="Y16">
            <v>1.21E-2</v>
          </cell>
          <cell r="Z16">
            <v>0</v>
          </cell>
          <cell r="AA16">
            <v>11.31</v>
          </cell>
          <cell r="AB16">
            <v>2.8E-3</v>
          </cell>
          <cell r="AC16">
            <v>100</v>
          </cell>
          <cell r="AD16">
            <v>0</v>
          </cell>
          <cell r="AE16">
            <v>250</v>
          </cell>
          <cell r="AF16">
            <v>0</v>
          </cell>
          <cell r="AG16">
            <v>500</v>
          </cell>
          <cell r="AH16">
            <v>0</v>
          </cell>
          <cell r="AI16">
            <v>750</v>
          </cell>
          <cell r="AJ16">
            <v>0</v>
          </cell>
          <cell r="AK16">
            <v>1000</v>
          </cell>
          <cell r="AL16">
            <v>0</v>
          </cell>
          <cell r="AM16">
            <v>1500</v>
          </cell>
          <cell r="AN16">
            <v>0</v>
          </cell>
          <cell r="AO16">
            <v>2000</v>
          </cell>
          <cell r="AP16">
            <v>0</v>
          </cell>
          <cell r="AQ16">
            <v>7</v>
          </cell>
          <cell r="AR16" t="str">
            <v>kWh</v>
          </cell>
          <cell r="AS16" t="str">
            <v>X</v>
          </cell>
        </row>
        <row r="17">
          <cell r="B17">
            <v>3</v>
          </cell>
          <cell r="C17" t="str">
            <v>RESIDENTIAL</v>
          </cell>
          <cell r="D17" t="str">
            <v>Regular</v>
          </cell>
          <cell r="E17" t="str">
            <v>B</v>
          </cell>
          <cell r="F17" t="str">
            <v/>
          </cell>
          <cell r="G17" t="str">
            <v/>
          </cell>
          <cell r="H17">
            <v>0</v>
          </cell>
          <cell r="K17">
            <v>0</v>
          </cell>
          <cell r="L17">
            <v>0</v>
          </cell>
          <cell r="M17">
            <v>0</v>
          </cell>
          <cell r="Q17">
            <v>0</v>
          </cell>
          <cell r="T17">
            <v>1</v>
          </cell>
          <cell r="U17">
            <v>1</v>
          </cell>
          <cell r="V17">
            <v>0</v>
          </cell>
          <cell r="W17">
            <v>0</v>
          </cell>
          <cell r="X17">
            <v>0</v>
          </cell>
          <cell r="Y17">
            <v>0</v>
          </cell>
          <cell r="Z17">
            <v>0</v>
          </cell>
          <cell r="AA17">
            <v>0</v>
          </cell>
          <cell r="AB17">
            <v>0</v>
          </cell>
          <cell r="AC17">
            <v>100</v>
          </cell>
          <cell r="AD17">
            <v>0</v>
          </cell>
          <cell r="AE17">
            <v>250</v>
          </cell>
          <cell r="AF17">
            <v>0</v>
          </cell>
          <cell r="AG17">
            <v>500</v>
          </cell>
          <cell r="AH17">
            <v>0</v>
          </cell>
          <cell r="AI17">
            <v>750</v>
          </cell>
          <cell r="AJ17">
            <v>0</v>
          </cell>
          <cell r="AK17">
            <v>1000</v>
          </cell>
          <cell r="AL17">
            <v>0</v>
          </cell>
          <cell r="AM17">
            <v>1500</v>
          </cell>
          <cell r="AN17">
            <v>0</v>
          </cell>
          <cell r="AO17">
            <v>2000</v>
          </cell>
          <cell r="AP17">
            <v>0</v>
          </cell>
          <cell r="AQ17">
            <v>7</v>
          </cell>
          <cell r="AR17" t="str">
            <v>kWh</v>
          </cell>
          <cell r="AS17" t="str">
            <v/>
          </cell>
        </row>
        <row r="18">
          <cell r="B18">
            <v>4</v>
          </cell>
          <cell r="C18" t="str">
            <v>RESIDENTIAL</v>
          </cell>
          <cell r="D18" t="str">
            <v>Regular</v>
          </cell>
          <cell r="E18" t="str">
            <v>C</v>
          </cell>
          <cell r="F18" t="str">
            <v/>
          </cell>
          <cell r="G18" t="str">
            <v/>
          </cell>
          <cell r="H18">
            <v>0</v>
          </cell>
          <cell r="K18">
            <v>0</v>
          </cell>
          <cell r="L18">
            <v>0</v>
          </cell>
          <cell r="M18">
            <v>0</v>
          </cell>
          <cell r="Q18">
            <v>0</v>
          </cell>
          <cell r="T18">
            <v>1</v>
          </cell>
          <cell r="U18">
            <v>1</v>
          </cell>
          <cell r="V18">
            <v>0</v>
          </cell>
          <cell r="W18">
            <v>0</v>
          </cell>
          <cell r="X18">
            <v>0</v>
          </cell>
          <cell r="Y18">
            <v>0</v>
          </cell>
          <cell r="Z18">
            <v>0</v>
          </cell>
          <cell r="AA18">
            <v>0</v>
          </cell>
          <cell r="AB18">
            <v>0</v>
          </cell>
          <cell r="AC18">
            <v>100</v>
          </cell>
          <cell r="AD18">
            <v>0</v>
          </cell>
          <cell r="AE18">
            <v>250</v>
          </cell>
          <cell r="AF18">
            <v>0</v>
          </cell>
          <cell r="AG18">
            <v>500</v>
          </cell>
          <cell r="AH18">
            <v>0</v>
          </cell>
          <cell r="AI18">
            <v>750</v>
          </cell>
          <cell r="AJ18">
            <v>0</v>
          </cell>
          <cell r="AK18">
            <v>1000</v>
          </cell>
          <cell r="AL18">
            <v>0</v>
          </cell>
          <cell r="AM18">
            <v>1500</v>
          </cell>
          <cell r="AN18">
            <v>0</v>
          </cell>
          <cell r="AO18">
            <v>2000</v>
          </cell>
          <cell r="AP18">
            <v>0</v>
          </cell>
          <cell r="AQ18">
            <v>7</v>
          </cell>
          <cell r="AR18" t="str">
            <v>kWh</v>
          </cell>
          <cell r="AS18" t="str">
            <v/>
          </cell>
        </row>
        <row r="19">
          <cell r="B19">
            <v>5</v>
          </cell>
          <cell r="C19" t="str">
            <v>RESIDENTIAL</v>
          </cell>
          <cell r="D19" t="str">
            <v>Regular</v>
          </cell>
          <cell r="E19" t="str">
            <v>D</v>
          </cell>
          <cell r="F19" t="str">
            <v/>
          </cell>
          <cell r="G19" t="str">
            <v/>
          </cell>
          <cell r="H19">
            <v>0</v>
          </cell>
          <cell r="K19">
            <v>0</v>
          </cell>
          <cell r="L19">
            <v>0</v>
          </cell>
          <cell r="M19">
            <v>0</v>
          </cell>
          <cell r="Q19">
            <v>0</v>
          </cell>
          <cell r="T19">
            <v>1</v>
          </cell>
          <cell r="U19">
            <v>1</v>
          </cell>
          <cell r="V19">
            <v>0</v>
          </cell>
          <cell r="W19">
            <v>0</v>
          </cell>
          <cell r="X19">
            <v>0</v>
          </cell>
          <cell r="Y19">
            <v>0</v>
          </cell>
          <cell r="Z19">
            <v>0</v>
          </cell>
          <cell r="AA19">
            <v>0</v>
          </cell>
          <cell r="AB19">
            <v>0</v>
          </cell>
          <cell r="AC19">
            <v>100</v>
          </cell>
          <cell r="AD19">
            <v>0</v>
          </cell>
          <cell r="AE19">
            <v>250</v>
          </cell>
          <cell r="AF19">
            <v>0</v>
          </cell>
          <cell r="AG19">
            <v>500</v>
          </cell>
          <cell r="AH19">
            <v>0</v>
          </cell>
          <cell r="AI19">
            <v>750</v>
          </cell>
          <cell r="AJ19">
            <v>0</v>
          </cell>
          <cell r="AK19">
            <v>1000</v>
          </cell>
          <cell r="AL19">
            <v>0</v>
          </cell>
          <cell r="AM19">
            <v>1500</v>
          </cell>
          <cell r="AN19">
            <v>0</v>
          </cell>
          <cell r="AO19">
            <v>2000</v>
          </cell>
          <cell r="AP19">
            <v>0</v>
          </cell>
          <cell r="AQ19">
            <v>7</v>
          </cell>
          <cell r="AR19" t="str">
            <v>kWh</v>
          </cell>
          <cell r="AS19" t="str">
            <v/>
          </cell>
        </row>
        <row r="20">
          <cell r="B20">
            <v>6</v>
          </cell>
          <cell r="C20" t="str">
            <v>RESIDENTIAL</v>
          </cell>
          <cell r="D20" t="str">
            <v>Time of Use</v>
          </cell>
          <cell r="E20" t="str">
            <v>A</v>
          </cell>
          <cell r="F20" t="str">
            <v/>
          </cell>
          <cell r="G20" t="str">
            <v/>
          </cell>
          <cell r="H20">
            <v>0</v>
          </cell>
          <cell r="K20">
            <v>0</v>
          </cell>
          <cell r="L20">
            <v>0</v>
          </cell>
          <cell r="M20">
            <v>0</v>
          </cell>
          <cell r="Q20">
            <v>0</v>
          </cell>
          <cell r="T20">
            <v>1</v>
          </cell>
          <cell r="U20">
            <v>1</v>
          </cell>
          <cell r="V20">
            <v>0</v>
          </cell>
          <cell r="W20">
            <v>0</v>
          </cell>
          <cell r="X20">
            <v>0</v>
          </cell>
          <cell r="Y20">
            <v>0</v>
          </cell>
          <cell r="Z20">
            <v>0</v>
          </cell>
          <cell r="AA20">
            <v>0</v>
          </cell>
          <cell r="AB20">
            <v>0</v>
          </cell>
          <cell r="AC20">
            <v>100</v>
          </cell>
          <cell r="AD20">
            <v>0</v>
          </cell>
          <cell r="AE20">
            <v>250</v>
          </cell>
          <cell r="AF20">
            <v>0</v>
          </cell>
          <cell r="AG20">
            <v>500</v>
          </cell>
          <cell r="AH20">
            <v>0</v>
          </cell>
          <cell r="AI20">
            <v>750</v>
          </cell>
          <cell r="AJ20">
            <v>0</v>
          </cell>
          <cell r="AK20">
            <v>1000</v>
          </cell>
          <cell r="AL20">
            <v>0</v>
          </cell>
          <cell r="AM20">
            <v>1500</v>
          </cell>
          <cell r="AN20">
            <v>0</v>
          </cell>
          <cell r="AO20">
            <v>2000</v>
          </cell>
          <cell r="AP20">
            <v>0</v>
          </cell>
          <cell r="AQ20">
            <v>7</v>
          </cell>
          <cell r="AR20" t="str">
            <v>kWh</v>
          </cell>
          <cell r="AS20" t="str">
            <v/>
          </cell>
        </row>
        <row r="21">
          <cell r="B21">
            <v>7</v>
          </cell>
          <cell r="C21" t="str">
            <v>RESIDENTIAL</v>
          </cell>
          <cell r="D21" t="str">
            <v>Time of Use</v>
          </cell>
          <cell r="E21" t="str">
            <v>B</v>
          </cell>
          <cell r="F21" t="str">
            <v/>
          </cell>
          <cell r="G21" t="str">
            <v/>
          </cell>
          <cell r="H21">
            <v>0</v>
          </cell>
          <cell r="K21">
            <v>0</v>
          </cell>
          <cell r="L21">
            <v>0</v>
          </cell>
          <cell r="M21">
            <v>0</v>
          </cell>
          <cell r="Q21">
            <v>0</v>
          </cell>
          <cell r="T21">
            <v>1</v>
          </cell>
          <cell r="U21">
            <v>1</v>
          </cell>
          <cell r="V21">
            <v>0</v>
          </cell>
          <cell r="W21">
            <v>0</v>
          </cell>
          <cell r="X21">
            <v>0</v>
          </cell>
          <cell r="Y21">
            <v>0</v>
          </cell>
          <cell r="Z21">
            <v>0</v>
          </cell>
          <cell r="AA21">
            <v>0</v>
          </cell>
          <cell r="AB21">
            <v>0</v>
          </cell>
          <cell r="AC21">
            <v>100</v>
          </cell>
          <cell r="AD21">
            <v>0</v>
          </cell>
          <cell r="AE21">
            <v>250</v>
          </cell>
          <cell r="AF21">
            <v>0</v>
          </cell>
          <cell r="AG21">
            <v>500</v>
          </cell>
          <cell r="AH21">
            <v>0</v>
          </cell>
          <cell r="AI21">
            <v>750</v>
          </cell>
          <cell r="AJ21">
            <v>0</v>
          </cell>
          <cell r="AK21">
            <v>1000</v>
          </cell>
          <cell r="AL21">
            <v>0</v>
          </cell>
          <cell r="AM21">
            <v>1500</v>
          </cell>
          <cell r="AN21">
            <v>0</v>
          </cell>
          <cell r="AO21">
            <v>2000</v>
          </cell>
          <cell r="AP21">
            <v>0</v>
          </cell>
          <cell r="AQ21">
            <v>7</v>
          </cell>
          <cell r="AR21" t="str">
            <v>kWh</v>
          </cell>
          <cell r="AS21" t="str">
            <v/>
          </cell>
        </row>
        <row r="22">
          <cell r="B22">
            <v>8</v>
          </cell>
          <cell r="C22" t="str">
            <v>RESIDENTIAL</v>
          </cell>
          <cell r="D22" t="str">
            <v>Time of Use</v>
          </cell>
          <cell r="E22" t="str">
            <v>C</v>
          </cell>
          <cell r="F22" t="str">
            <v/>
          </cell>
          <cell r="G22" t="str">
            <v/>
          </cell>
          <cell r="H22">
            <v>0</v>
          </cell>
          <cell r="K22">
            <v>0</v>
          </cell>
          <cell r="L22">
            <v>0</v>
          </cell>
          <cell r="M22">
            <v>0</v>
          </cell>
          <cell r="Q22">
            <v>0</v>
          </cell>
          <cell r="T22">
            <v>1</v>
          </cell>
          <cell r="U22">
            <v>1</v>
          </cell>
          <cell r="V22">
            <v>0</v>
          </cell>
          <cell r="W22">
            <v>0</v>
          </cell>
          <cell r="X22">
            <v>0</v>
          </cell>
          <cell r="Y22">
            <v>0</v>
          </cell>
          <cell r="Z22">
            <v>0</v>
          </cell>
          <cell r="AA22">
            <v>0</v>
          </cell>
          <cell r="AB22">
            <v>0</v>
          </cell>
          <cell r="AC22">
            <v>100</v>
          </cell>
          <cell r="AD22">
            <v>0</v>
          </cell>
          <cell r="AE22">
            <v>250</v>
          </cell>
          <cell r="AF22">
            <v>0</v>
          </cell>
          <cell r="AG22">
            <v>500</v>
          </cell>
          <cell r="AH22">
            <v>0</v>
          </cell>
          <cell r="AI22">
            <v>750</v>
          </cell>
          <cell r="AJ22">
            <v>0</v>
          </cell>
          <cell r="AK22">
            <v>1000</v>
          </cell>
          <cell r="AL22">
            <v>0</v>
          </cell>
          <cell r="AM22">
            <v>1500</v>
          </cell>
          <cell r="AN22">
            <v>0</v>
          </cell>
          <cell r="AO22">
            <v>2000</v>
          </cell>
          <cell r="AP22">
            <v>0</v>
          </cell>
          <cell r="AQ22">
            <v>7</v>
          </cell>
          <cell r="AR22" t="str">
            <v>kWh</v>
          </cell>
          <cell r="AS22" t="str">
            <v/>
          </cell>
        </row>
        <row r="23">
          <cell r="B23">
            <v>9</v>
          </cell>
          <cell r="C23" t="str">
            <v>RESIDENTIAL</v>
          </cell>
          <cell r="D23" t="str">
            <v>Time of Use</v>
          </cell>
          <cell r="E23" t="str">
            <v>D</v>
          </cell>
          <cell r="F23" t="str">
            <v/>
          </cell>
          <cell r="G23" t="str">
            <v/>
          </cell>
          <cell r="H23">
            <v>0</v>
          </cell>
          <cell r="K23">
            <v>0</v>
          </cell>
          <cell r="L23">
            <v>0</v>
          </cell>
          <cell r="M23">
            <v>0</v>
          </cell>
          <cell r="Q23">
            <v>0</v>
          </cell>
          <cell r="T23">
            <v>1</v>
          </cell>
          <cell r="U23">
            <v>1</v>
          </cell>
          <cell r="V23">
            <v>0</v>
          </cell>
          <cell r="W23">
            <v>0</v>
          </cell>
          <cell r="X23">
            <v>0</v>
          </cell>
          <cell r="Y23">
            <v>0</v>
          </cell>
          <cell r="Z23">
            <v>0</v>
          </cell>
          <cell r="AA23">
            <v>0</v>
          </cell>
          <cell r="AB23">
            <v>0</v>
          </cell>
          <cell r="AC23">
            <v>100</v>
          </cell>
          <cell r="AD23">
            <v>0</v>
          </cell>
          <cell r="AE23">
            <v>250</v>
          </cell>
          <cell r="AF23">
            <v>0</v>
          </cell>
          <cell r="AG23">
            <v>500</v>
          </cell>
          <cell r="AH23">
            <v>0</v>
          </cell>
          <cell r="AI23">
            <v>750</v>
          </cell>
          <cell r="AJ23">
            <v>0</v>
          </cell>
          <cell r="AK23">
            <v>1000</v>
          </cell>
          <cell r="AL23">
            <v>0</v>
          </cell>
          <cell r="AM23">
            <v>1500</v>
          </cell>
          <cell r="AN23">
            <v>0</v>
          </cell>
          <cell r="AO23">
            <v>2000</v>
          </cell>
          <cell r="AP23">
            <v>0</v>
          </cell>
          <cell r="AQ23">
            <v>7</v>
          </cell>
          <cell r="AR23" t="str">
            <v>kWh</v>
          </cell>
          <cell r="AS23" t="str">
            <v/>
          </cell>
        </row>
        <row r="24">
          <cell r="B24">
            <v>10</v>
          </cell>
          <cell r="C24" t="str">
            <v>RESIDENTIAL</v>
          </cell>
          <cell r="D24" t="str">
            <v>Urban</v>
          </cell>
          <cell r="E24" t="str">
            <v>A</v>
          </cell>
          <cell r="F24" t="str">
            <v/>
          </cell>
          <cell r="G24" t="str">
            <v/>
          </cell>
          <cell r="H24">
            <v>0</v>
          </cell>
          <cell r="K24">
            <v>0</v>
          </cell>
          <cell r="L24">
            <v>0</v>
          </cell>
          <cell r="M24">
            <v>0</v>
          </cell>
          <cell r="Q24">
            <v>0</v>
          </cell>
          <cell r="T24">
            <v>1</v>
          </cell>
          <cell r="U24">
            <v>1</v>
          </cell>
          <cell r="V24">
            <v>0</v>
          </cell>
          <cell r="W24">
            <v>0</v>
          </cell>
          <cell r="X24">
            <v>0</v>
          </cell>
          <cell r="Y24">
            <v>0</v>
          </cell>
          <cell r="Z24">
            <v>0</v>
          </cell>
          <cell r="AA24">
            <v>0</v>
          </cell>
          <cell r="AB24">
            <v>0</v>
          </cell>
          <cell r="AC24">
            <v>100</v>
          </cell>
          <cell r="AD24">
            <v>0</v>
          </cell>
          <cell r="AE24">
            <v>250</v>
          </cell>
          <cell r="AF24">
            <v>0</v>
          </cell>
          <cell r="AG24">
            <v>500</v>
          </cell>
          <cell r="AH24">
            <v>0</v>
          </cell>
          <cell r="AI24">
            <v>750</v>
          </cell>
          <cell r="AJ24">
            <v>0</v>
          </cell>
          <cell r="AK24">
            <v>1000</v>
          </cell>
          <cell r="AL24">
            <v>0</v>
          </cell>
          <cell r="AM24">
            <v>1500</v>
          </cell>
          <cell r="AN24">
            <v>0</v>
          </cell>
          <cell r="AO24">
            <v>2000</v>
          </cell>
          <cell r="AP24">
            <v>0</v>
          </cell>
          <cell r="AQ24">
            <v>7</v>
          </cell>
          <cell r="AR24" t="str">
            <v>kWh</v>
          </cell>
          <cell r="AS24" t="str">
            <v/>
          </cell>
        </row>
        <row r="25">
          <cell r="B25">
            <v>11</v>
          </cell>
          <cell r="C25" t="str">
            <v>RESIDENTIAL</v>
          </cell>
          <cell r="D25" t="str">
            <v>Urban</v>
          </cell>
          <cell r="E25" t="str">
            <v>B</v>
          </cell>
          <cell r="F25" t="str">
            <v/>
          </cell>
          <cell r="G25" t="str">
            <v/>
          </cell>
          <cell r="H25">
            <v>0</v>
          </cell>
          <cell r="K25">
            <v>0</v>
          </cell>
          <cell r="L25">
            <v>0</v>
          </cell>
          <cell r="M25">
            <v>0</v>
          </cell>
          <cell r="Q25">
            <v>0</v>
          </cell>
          <cell r="T25">
            <v>1</v>
          </cell>
          <cell r="U25">
            <v>1</v>
          </cell>
          <cell r="V25">
            <v>0</v>
          </cell>
          <cell r="W25">
            <v>0</v>
          </cell>
          <cell r="X25">
            <v>0</v>
          </cell>
          <cell r="Y25">
            <v>0</v>
          </cell>
          <cell r="Z25">
            <v>0</v>
          </cell>
          <cell r="AA25">
            <v>0</v>
          </cell>
          <cell r="AB25">
            <v>0</v>
          </cell>
          <cell r="AC25">
            <v>100</v>
          </cell>
          <cell r="AD25">
            <v>0</v>
          </cell>
          <cell r="AE25">
            <v>250</v>
          </cell>
          <cell r="AF25">
            <v>0</v>
          </cell>
          <cell r="AG25">
            <v>500</v>
          </cell>
          <cell r="AH25">
            <v>0</v>
          </cell>
          <cell r="AI25">
            <v>750</v>
          </cell>
          <cell r="AJ25">
            <v>0</v>
          </cell>
          <cell r="AK25">
            <v>1000</v>
          </cell>
          <cell r="AL25">
            <v>0</v>
          </cell>
          <cell r="AM25">
            <v>1500</v>
          </cell>
          <cell r="AN25">
            <v>0</v>
          </cell>
          <cell r="AO25">
            <v>2000</v>
          </cell>
          <cell r="AP25">
            <v>0</v>
          </cell>
          <cell r="AQ25">
            <v>7</v>
          </cell>
          <cell r="AR25" t="str">
            <v>kWh</v>
          </cell>
          <cell r="AS25" t="str">
            <v/>
          </cell>
        </row>
        <row r="26">
          <cell r="B26">
            <v>12</v>
          </cell>
          <cell r="C26" t="str">
            <v>RESIDENTIAL</v>
          </cell>
          <cell r="D26" t="str">
            <v>Urban</v>
          </cell>
          <cell r="E26" t="str">
            <v>C</v>
          </cell>
          <cell r="F26" t="str">
            <v/>
          </cell>
          <cell r="G26" t="str">
            <v/>
          </cell>
          <cell r="H26">
            <v>0</v>
          </cell>
          <cell r="K26">
            <v>0</v>
          </cell>
          <cell r="L26">
            <v>0</v>
          </cell>
          <cell r="M26">
            <v>0</v>
          </cell>
          <cell r="Q26">
            <v>0</v>
          </cell>
          <cell r="T26">
            <v>1</v>
          </cell>
          <cell r="U26">
            <v>1</v>
          </cell>
          <cell r="V26">
            <v>0</v>
          </cell>
          <cell r="W26">
            <v>0</v>
          </cell>
          <cell r="X26">
            <v>0</v>
          </cell>
          <cell r="Y26">
            <v>0</v>
          </cell>
          <cell r="Z26">
            <v>0</v>
          </cell>
          <cell r="AA26">
            <v>0</v>
          </cell>
          <cell r="AB26">
            <v>0</v>
          </cell>
          <cell r="AC26">
            <v>100</v>
          </cell>
          <cell r="AD26">
            <v>0</v>
          </cell>
          <cell r="AE26">
            <v>250</v>
          </cell>
          <cell r="AF26">
            <v>0</v>
          </cell>
          <cell r="AG26">
            <v>500</v>
          </cell>
          <cell r="AH26">
            <v>0</v>
          </cell>
          <cell r="AI26">
            <v>750</v>
          </cell>
          <cell r="AJ26">
            <v>0</v>
          </cell>
          <cell r="AK26">
            <v>1000</v>
          </cell>
          <cell r="AL26">
            <v>0</v>
          </cell>
          <cell r="AM26">
            <v>1500</v>
          </cell>
          <cell r="AN26">
            <v>0</v>
          </cell>
          <cell r="AO26">
            <v>2000</v>
          </cell>
          <cell r="AP26">
            <v>0</v>
          </cell>
          <cell r="AQ26">
            <v>7</v>
          </cell>
          <cell r="AR26" t="str">
            <v>kWh</v>
          </cell>
          <cell r="AS26" t="str">
            <v/>
          </cell>
        </row>
        <row r="27">
          <cell r="B27">
            <v>13</v>
          </cell>
          <cell r="C27" t="str">
            <v>RESIDENTIAL</v>
          </cell>
          <cell r="D27" t="str">
            <v>Urban</v>
          </cell>
          <cell r="E27" t="str">
            <v>D</v>
          </cell>
          <cell r="F27" t="str">
            <v/>
          </cell>
          <cell r="G27" t="str">
            <v/>
          </cell>
          <cell r="H27">
            <v>0</v>
          </cell>
          <cell r="K27">
            <v>0</v>
          </cell>
          <cell r="L27">
            <v>0</v>
          </cell>
          <cell r="M27">
            <v>0</v>
          </cell>
          <cell r="Q27">
            <v>0</v>
          </cell>
          <cell r="T27">
            <v>1</v>
          </cell>
          <cell r="U27">
            <v>1</v>
          </cell>
          <cell r="V27">
            <v>0</v>
          </cell>
          <cell r="W27">
            <v>0</v>
          </cell>
          <cell r="X27">
            <v>0</v>
          </cell>
          <cell r="Y27">
            <v>0</v>
          </cell>
          <cell r="Z27">
            <v>0</v>
          </cell>
          <cell r="AA27">
            <v>0</v>
          </cell>
          <cell r="AB27">
            <v>0</v>
          </cell>
          <cell r="AC27">
            <v>100</v>
          </cell>
          <cell r="AD27">
            <v>0</v>
          </cell>
          <cell r="AE27">
            <v>250</v>
          </cell>
          <cell r="AF27">
            <v>0</v>
          </cell>
          <cell r="AG27">
            <v>500</v>
          </cell>
          <cell r="AH27">
            <v>0</v>
          </cell>
          <cell r="AI27">
            <v>750</v>
          </cell>
          <cell r="AJ27">
            <v>0</v>
          </cell>
          <cell r="AK27">
            <v>1000</v>
          </cell>
          <cell r="AL27">
            <v>0</v>
          </cell>
          <cell r="AM27">
            <v>1500</v>
          </cell>
          <cell r="AN27">
            <v>0</v>
          </cell>
          <cell r="AO27">
            <v>2000</v>
          </cell>
          <cell r="AP27">
            <v>0</v>
          </cell>
          <cell r="AQ27">
            <v>7</v>
          </cell>
          <cell r="AR27" t="str">
            <v>kWh</v>
          </cell>
          <cell r="AS27" t="str">
            <v/>
          </cell>
        </row>
        <row r="28">
          <cell r="B28">
            <v>14</v>
          </cell>
          <cell r="C28" t="str">
            <v>RESIDENTIAL</v>
          </cell>
          <cell r="D28" t="str">
            <v>Suburban</v>
          </cell>
          <cell r="E28" t="str">
            <v>A</v>
          </cell>
          <cell r="F28" t="str">
            <v/>
          </cell>
          <cell r="G28" t="str">
            <v/>
          </cell>
          <cell r="H28">
            <v>0</v>
          </cell>
          <cell r="K28">
            <v>0</v>
          </cell>
          <cell r="L28">
            <v>0</v>
          </cell>
          <cell r="M28">
            <v>0</v>
          </cell>
          <cell r="Q28">
            <v>0</v>
          </cell>
          <cell r="T28">
            <v>1</v>
          </cell>
          <cell r="U28">
            <v>1</v>
          </cell>
          <cell r="V28">
            <v>0</v>
          </cell>
          <cell r="W28">
            <v>0</v>
          </cell>
          <cell r="X28">
            <v>0</v>
          </cell>
          <cell r="Y28">
            <v>0</v>
          </cell>
          <cell r="Z28">
            <v>0</v>
          </cell>
          <cell r="AA28">
            <v>0</v>
          </cell>
          <cell r="AB28">
            <v>0</v>
          </cell>
          <cell r="AC28">
            <v>100</v>
          </cell>
          <cell r="AD28">
            <v>0</v>
          </cell>
          <cell r="AE28">
            <v>250</v>
          </cell>
          <cell r="AF28">
            <v>0</v>
          </cell>
          <cell r="AG28">
            <v>500</v>
          </cell>
          <cell r="AH28">
            <v>0</v>
          </cell>
          <cell r="AI28">
            <v>750</v>
          </cell>
          <cell r="AJ28">
            <v>0</v>
          </cell>
          <cell r="AK28">
            <v>1000</v>
          </cell>
          <cell r="AL28">
            <v>0</v>
          </cell>
          <cell r="AM28">
            <v>1500</v>
          </cell>
          <cell r="AN28">
            <v>0</v>
          </cell>
          <cell r="AO28">
            <v>2000</v>
          </cell>
          <cell r="AP28">
            <v>0</v>
          </cell>
          <cell r="AQ28">
            <v>7</v>
          </cell>
          <cell r="AR28" t="str">
            <v>kWh</v>
          </cell>
          <cell r="AS28" t="str">
            <v/>
          </cell>
        </row>
        <row r="29">
          <cell r="B29">
            <v>15</v>
          </cell>
          <cell r="C29" t="str">
            <v>RESIDENTIAL</v>
          </cell>
          <cell r="D29" t="str">
            <v>Suburban</v>
          </cell>
          <cell r="E29" t="str">
            <v>B</v>
          </cell>
          <cell r="F29" t="str">
            <v/>
          </cell>
          <cell r="G29" t="str">
            <v/>
          </cell>
          <cell r="H29">
            <v>0</v>
          </cell>
          <cell r="K29">
            <v>0</v>
          </cell>
          <cell r="L29">
            <v>0</v>
          </cell>
          <cell r="M29">
            <v>0</v>
          </cell>
          <cell r="Q29">
            <v>0</v>
          </cell>
          <cell r="T29">
            <v>1</v>
          </cell>
          <cell r="U29">
            <v>1</v>
          </cell>
          <cell r="V29">
            <v>0</v>
          </cell>
          <cell r="W29">
            <v>0</v>
          </cell>
          <cell r="X29">
            <v>0</v>
          </cell>
          <cell r="Y29">
            <v>0</v>
          </cell>
          <cell r="Z29">
            <v>0</v>
          </cell>
          <cell r="AA29">
            <v>0</v>
          </cell>
          <cell r="AB29">
            <v>0</v>
          </cell>
          <cell r="AC29">
            <v>100</v>
          </cell>
          <cell r="AD29">
            <v>0</v>
          </cell>
          <cell r="AE29">
            <v>250</v>
          </cell>
          <cell r="AF29">
            <v>0</v>
          </cell>
          <cell r="AG29">
            <v>500</v>
          </cell>
          <cell r="AH29">
            <v>0</v>
          </cell>
          <cell r="AI29">
            <v>750</v>
          </cell>
          <cell r="AJ29">
            <v>0</v>
          </cell>
          <cell r="AK29">
            <v>1000</v>
          </cell>
          <cell r="AL29">
            <v>0</v>
          </cell>
          <cell r="AM29">
            <v>1500</v>
          </cell>
          <cell r="AN29">
            <v>0</v>
          </cell>
          <cell r="AO29">
            <v>2000</v>
          </cell>
          <cell r="AP29">
            <v>0</v>
          </cell>
          <cell r="AQ29">
            <v>7</v>
          </cell>
          <cell r="AR29" t="str">
            <v>kWh</v>
          </cell>
          <cell r="AS29" t="str">
            <v/>
          </cell>
        </row>
        <row r="30">
          <cell r="B30">
            <v>16</v>
          </cell>
          <cell r="C30" t="str">
            <v>RESIDENTIAL</v>
          </cell>
          <cell r="D30" t="str">
            <v>Suburban</v>
          </cell>
          <cell r="E30" t="str">
            <v>C</v>
          </cell>
          <cell r="F30" t="str">
            <v/>
          </cell>
          <cell r="G30" t="str">
            <v/>
          </cell>
          <cell r="H30">
            <v>0</v>
          </cell>
          <cell r="K30">
            <v>0</v>
          </cell>
          <cell r="L30">
            <v>0</v>
          </cell>
          <cell r="M30">
            <v>0</v>
          </cell>
          <cell r="Q30">
            <v>0</v>
          </cell>
          <cell r="T30">
            <v>1</v>
          </cell>
          <cell r="U30">
            <v>1</v>
          </cell>
          <cell r="V30">
            <v>0</v>
          </cell>
          <cell r="W30">
            <v>0</v>
          </cell>
          <cell r="X30">
            <v>0</v>
          </cell>
          <cell r="Y30">
            <v>0</v>
          </cell>
          <cell r="Z30">
            <v>0</v>
          </cell>
          <cell r="AA30">
            <v>0</v>
          </cell>
          <cell r="AB30">
            <v>0</v>
          </cell>
          <cell r="AC30">
            <v>100</v>
          </cell>
          <cell r="AD30">
            <v>0</v>
          </cell>
          <cell r="AE30">
            <v>250</v>
          </cell>
          <cell r="AF30">
            <v>0</v>
          </cell>
          <cell r="AG30">
            <v>500</v>
          </cell>
          <cell r="AH30">
            <v>0</v>
          </cell>
          <cell r="AI30">
            <v>750</v>
          </cell>
          <cell r="AJ30">
            <v>0</v>
          </cell>
          <cell r="AK30">
            <v>1000</v>
          </cell>
          <cell r="AL30">
            <v>0</v>
          </cell>
          <cell r="AM30">
            <v>1500</v>
          </cell>
          <cell r="AN30">
            <v>0</v>
          </cell>
          <cell r="AO30">
            <v>2000</v>
          </cell>
          <cell r="AP30">
            <v>0</v>
          </cell>
          <cell r="AQ30">
            <v>7</v>
          </cell>
          <cell r="AR30" t="str">
            <v>kWh</v>
          </cell>
          <cell r="AS30" t="str">
            <v/>
          </cell>
        </row>
        <row r="31">
          <cell r="B31">
            <v>17</v>
          </cell>
          <cell r="C31" t="str">
            <v>RESIDENTIAL</v>
          </cell>
          <cell r="D31" t="str">
            <v>Suburban</v>
          </cell>
          <cell r="E31" t="str">
            <v>D</v>
          </cell>
          <cell r="F31" t="str">
            <v/>
          </cell>
          <cell r="G31" t="str">
            <v/>
          </cell>
          <cell r="H31">
            <v>0</v>
          </cell>
          <cell r="K31">
            <v>0</v>
          </cell>
          <cell r="L31">
            <v>0</v>
          </cell>
          <cell r="M31">
            <v>0</v>
          </cell>
          <cell r="Q31">
            <v>0</v>
          </cell>
          <cell r="T31">
            <v>1</v>
          </cell>
          <cell r="U31">
            <v>1</v>
          </cell>
          <cell r="V31">
            <v>0</v>
          </cell>
          <cell r="W31">
            <v>0</v>
          </cell>
          <cell r="X31">
            <v>0</v>
          </cell>
          <cell r="Y31">
            <v>0</v>
          </cell>
          <cell r="Z31">
            <v>0</v>
          </cell>
          <cell r="AA31">
            <v>0</v>
          </cell>
          <cell r="AB31">
            <v>0</v>
          </cell>
          <cell r="AC31">
            <v>100</v>
          </cell>
          <cell r="AD31">
            <v>0</v>
          </cell>
          <cell r="AE31">
            <v>250</v>
          </cell>
          <cell r="AF31">
            <v>0</v>
          </cell>
          <cell r="AG31">
            <v>500</v>
          </cell>
          <cell r="AH31">
            <v>0</v>
          </cell>
          <cell r="AI31">
            <v>750</v>
          </cell>
          <cell r="AJ31">
            <v>0</v>
          </cell>
          <cell r="AK31">
            <v>1000</v>
          </cell>
          <cell r="AL31">
            <v>0</v>
          </cell>
          <cell r="AM31">
            <v>1500</v>
          </cell>
          <cell r="AN31">
            <v>0</v>
          </cell>
          <cell r="AO31">
            <v>2000</v>
          </cell>
          <cell r="AP31">
            <v>0</v>
          </cell>
          <cell r="AQ31">
            <v>7</v>
          </cell>
          <cell r="AR31" t="str">
            <v>kWh</v>
          </cell>
          <cell r="AS31" t="str">
            <v/>
          </cell>
        </row>
        <row r="32">
          <cell r="B32">
            <v>18</v>
          </cell>
          <cell r="C32" t="str">
            <v>RESIDENTIAL</v>
          </cell>
          <cell r="D32" t="str">
            <v>Other (specify) . . . . . . . .</v>
          </cell>
          <cell r="E32" t="str">
            <v>A</v>
          </cell>
          <cell r="F32" t="str">
            <v/>
          </cell>
          <cell r="G32" t="str">
            <v/>
          </cell>
          <cell r="H32">
            <v>0</v>
          </cell>
          <cell r="K32">
            <v>0</v>
          </cell>
          <cell r="L32">
            <v>0</v>
          </cell>
          <cell r="M32">
            <v>0</v>
          </cell>
          <cell r="Q32">
            <v>0</v>
          </cell>
          <cell r="T32">
            <v>1</v>
          </cell>
          <cell r="U32">
            <v>1</v>
          </cell>
          <cell r="V32">
            <v>0</v>
          </cell>
          <cell r="W32">
            <v>0</v>
          </cell>
          <cell r="X32">
            <v>0</v>
          </cell>
          <cell r="Y32">
            <v>0</v>
          </cell>
          <cell r="Z32">
            <v>0</v>
          </cell>
          <cell r="AA32">
            <v>0</v>
          </cell>
          <cell r="AB32">
            <v>0</v>
          </cell>
          <cell r="AC32">
            <v>100</v>
          </cell>
          <cell r="AD32">
            <v>0</v>
          </cell>
          <cell r="AE32">
            <v>250</v>
          </cell>
          <cell r="AF32">
            <v>0</v>
          </cell>
          <cell r="AG32">
            <v>500</v>
          </cell>
          <cell r="AH32">
            <v>0</v>
          </cell>
          <cell r="AI32">
            <v>750</v>
          </cell>
          <cell r="AJ32">
            <v>0</v>
          </cell>
          <cell r="AK32">
            <v>1000</v>
          </cell>
          <cell r="AL32">
            <v>0</v>
          </cell>
          <cell r="AM32">
            <v>1500</v>
          </cell>
          <cell r="AN32">
            <v>0</v>
          </cell>
          <cell r="AO32">
            <v>2000</v>
          </cell>
          <cell r="AP32">
            <v>0</v>
          </cell>
          <cell r="AQ32">
            <v>7</v>
          </cell>
          <cell r="AR32" t="str">
            <v>kWh</v>
          </cell>
          <cell r="AS32" t="str">
            <v/>
          </cell>
        </row>
        <row r="33">
          <cell r="B33">
            <v>19</v>
          </cell>
          <cell r="C33" t="str">
            <v>RESIDENTIAL</v>
          </cell>
          <cell r="D33" t="str">
            <v>Other (specify) . . . . . . . .</v>
          </cell>
          <cell r="E33" t="str">
            <v>B</v>
          </cell>
          <cell r="F33" t="str">
            <v/>
          </cell>
          <cell r="G33" t="str">
            <v/>
          </cell>
          <cell r="H33">
            <v>0</v>
          </cell>
          <cell r="K33">
            <v>0</v>
          </cell>
          <cell r="L33">
            <v>0</v>
          </cell>
          <cell r="M33">
            <v>0</v>
          </cell>
          <cell r="Q33">
            <v>0</v>
          </cell>
          <cell r="T33">
            <v>1</v>
          </cell>
          <cell r="U33">
            <v>1</v>
          </cell>
          <cell r="V33">
            <v>0</v>
          </cell>
          <cell r="W33">
            <v>0</v>
          </cell>
          <cell r="X33">
            <v>0</v>
          </cell>
          <cell r="Y33">
            <v>0</v>
          </cell>
          <cell r="Z33">
            <v>0</v>
          </cell>
          <cell r="AA33">
            <v>0</v>
          </cell>
          <cell r="AB33">
            <v>0</v>
          </cell>
          <cell r="AC33">
            <v>100</v>
          </cell>
          <cell r="AD33">
            <v>0</v>
          </cell>
          <cell r="AE33">
            <v>250</v>
          </cell>
          <cell r="AF33">
            <v>0</v>
          </cell>
          <cell r="AG33">
            <v>500</v>
          </cell>
          <cell r="AH33">
            <v>0</v>
          </cell>
          <cell r="AI33">
            <v>750</v>
          </cell>
          <cell r="AJ33">
            <v>0</v>
          </cell>
          <cell r="AK33">
            <v>1000</v>
          </cell>
          <cell r="AL33">
            <v>0</v>
          </cell>
          <cell r="AM33">
            <v>1500</v>
          </cell>
          <cell r="AN33">
            <v>0</v>
          </cell>
          <cell r="AO33">
            <v>2000</v>
          </cell>
          <cell r="AP33">
            <v>0</v>
          </cell>
          <cell r="AQ33">
            <v>7</v>
          </cell>
          <cell r="AR33" t="str">
            <v>kWh</v>
          </cell>
          <cell r="AS33" t="str">
            <v/>
          </cell>
        </row>
        <row r="34">
          <cell r="B34">
            <v>20</v>
          </cell>
          <cell r="C34" t="str">
            <v>RESIDENTIAL</v>
          </cell>
          <cell r="D34" t="str">
            <v>Other (specify) . . . . . . . .</v>
          </cell>
          <cell r="E34" t="str">
            <v>C</v>
          </cell>
          <cell r="F34" t="str">
            <v/>
          </cell>
          <cell r="G34" t="str">
            <v/>
          </cell>
          <cell r="H34">
            <v>0</v>
          </cell>
          <cell r="K34">
            <v>0</v>
          </cell>
          <cell r="L34">
            <v>0</v>
          </cell>
          <cell r="M34">
            <v>0</v>
          </cell>
          <cell r="Q34">
            <v>0</v>
          </cell>
          <cell r="T34">
            <v>1</v>
          </cell>
          <cell r="U34">
            <v>1</v>
          </cell>
          <cell r="V34">
            <v>0</v>
          </cell>
          <cell r="W34">
            <v>0</v>
          </cell>
          <cell r="X34">
            <v>0</v>
          </cell>
          <cell r="Y34">
            <v>0</v>
          </cell>
          <cell r="Z34">
            <v>0</v>
          </cell>
          <cell r="AA34">
            <v>0</v>
          </cell>
          <cell r="AB34">
            <v>0</v>
          </cell>
          <cell r="AC34">
            <v>100</v>
          </cell>
          <cell r="AD34">
            <v>0</v>
          </cell>
          <cell r="AE34">
            <v>250</v>
          </cell>
          <cell r="AF34">
            <v>0</v>
          </cell>
          <cell r="AG34">
            <v>500</v>
          </cell>
          <cell r="AH34">
            <v>0</v>
          </cell>
          <cell r="AI34">
            <v>750</v>
          </cell>
          <cell r="AJ34">
            <v>0</v>
          </cell>
          <cell r="AK34">
            <v>1000</v>
          </cell>
          <cell r="AL34">
            <v>0</v>
          </cell>
          <cell r="AM34">
            <v>1500</v>
          </cell>
          <cell r="AN34">
            <v>0</v>
          </cell>
          <cell r="AO34">
            <v>2000</v>
          </cell>
          <cell r="AP34">
            <v>0</v>
          </cell>
          <cell r="AQ34">
            <v>7</v>
          </cell>
          <cell r="AR34" t="str">
            <v>kWh</v>
          </cell>
          <cell r="AS34" t="str">
            <v/>
          </cell>
        </row>
        <row r="35">
          <cell r="B35">
            <v>21</v>
          </cell>
          <cell r="C35" t="str">
            <v>RESIDENTIAL</v>
          </cell>
          <cell r="D35" t="str">
            <v>Other (specify) . . . . . . . .</v>
          </cell>
          <cell r="E35" t="str">
            <v>D</v>
          </cell>
          <cell r="F35" t="str">
            <v/>
          </cell>
          <cell r="G35" t="str">
            <v/>
          </cell>
          <cell r="H35">
            <v>0</v>
          </cell>
          <cell r="K35">
            <v>0</v>
          </cell>
          <cell r="L35">
            <v>0</v>
          </cell>
          <cell r="M35">
            <v>0</v>
          </cell>
          <cell r="Q35">
            <v>0</v>
          </cell>
          <cell r="T35">
            <v>1</v>
          </cell>
          <cell r="U35">
            <v>1</v>
          </cell>
          <cell r="V35">
            <v>0</v>
          </cell>
          <cell r="W35">
            <v>0</v>
          </cell>
          <cell r="X35">
            <v>0</v>
          </cell>
          <cell r="Y35">
            <v>0</v>
          </cell>
          <cell r="Z35">
            <v>0</v>
          </cell>
          <cell r="AA35">
            <v>0</v>
          </cell>
          <cell r="AB35">
            <v>0</v>
          </cell>
          <cell r="AC35">
            <v>100</v>
          </cell>
          <cell r="AD35">
            <v>0</v>
          </cell>
          <cell r="AE35">
            <v>250</v>
          </cell>
          <cell r="AF35">
            <v>0</v>
          </cell>
          <cell r="AG35">
            <v>500</v>
          </cell>
          <cell r="AH35">
            <v>0</v>
          </cell>
          <cell r="AI35">
            <v>750</v>
          </cell>
          <cell r="AJ35">
            <v>0</v>
          </cell>
          <cell r="AK35">
            <v>1000</v>
          </cell>
          <cell r="AL35">
            <v>0</v>
          </cell>
          <cell r="AM35">
            <v>1500</v>
          </cell>
          <cell r="AN35">
            <v>0</v>
          </cell>
          <cell r="AO35">
            <v>2000</v>
          </cell>
          <cell r="AP35">
            <v>0</v>
          </cell>
          <cell r="AQ35">
            <v>7</v>
          </cell>
          <cell r="AR35" t="str">
            <v>kWh</v>
          </cell>
          <cell r="AS35" t="str">
            <v/>
          </cell>
        </row>
        <row r="36">
          <cell r="B36">
            <v>22</v>
          </cell>
          <cell r="C36" t="str">
            <v>RESIDENTIAL</v>
          </cell>
          <cell r="D36" t="str">
            <v>Other (specify) . . . . . . . .</v>
          </cell>
          <cell r="E36" t="str">
            <v>A</v>
          </cell>
          <cell r="F36" t="str">
            <v/>
          </cell>
          <cell r="G36" t="str">
            <v/>
          </cell>
          <cell r="H36">
            <v>0</v>
          </cell>
          <cell r="K36">
            <v>0</v>
          </cell>
          <cell r="L36">
            <v>0</v>
          </cell>
          <cell r="M36">
            <v>0</v>
          </cell>
          <cell r="Q36">
            <v>0</v>
          </cell>
          <cell r="T36">
            <v>1</v>
          </cell>
          <cell r="U36">
            <v>1</v>
          </cell>
          <cell r="V36">
            <v>0</v>
          </cell>
          <cell r="W36">
            <v>0</v>
          </cell>
          <cell r="X36">
            <v>0</v>
          </cell>
          <cell r="Y36">
            <v>0</v>
          </cell>
          <cell r="Z36">
            <v>0</v>
          </cell>
          <cell r="AA36">
            <v>0</v>
          </cell>
          <cell r="AB36">
            <v>0</v>
          </cell>
          <cell r="AC36">
            <v>100</v>
          </cell>
          <cell r="AD36">
            <v>0</v>
          </cell>
          <cell r="AE36">
            <v>250</v>
          </cell>
          <cell r="AF36">
            <v>0</v>
          </cell>
          <cell r="AG36">
            <v>500</v>
          </cell>
          <cell r="AH36">
            <v>0</v>
          </cell>
          <cell r="AI36">
            <v>750</v>
          </cell>
          <cell r="AJ36">
            <v>0</v>
          </cell>
          <cell r="AK36">
            <v>1000</v>
          </cell>
          <cell r="AL36">
            <v>0</v>
          </cell>
          <cell r="AM36">
            <v>1500</v>
          </cell>
          <cell r="AN36">
            <v>0</v>
          </cell>
          <cell r="AO36">
            <v>2000</v>
          </cell>
          <cell r="AP36">
            <v>0</v>
          </cell>
          <cell r="AQ36">
            <v>7</v>
          </cell>
          <cell r="AR36" t="str">
            <v>kWh</v>
          </cell>
          <cell r="AS36" t="str">
            <v/>
          </cell>
        </row>
        <row r="37">
          <cell r="B37">
            <v>23</v>
          </cell>
          <cell r="C37" t="str">
            <v>RESIDENTIAL</v>
          </cell>
          <cell r="D37" t="str">
            <v>Other (specify) . . . . . . . .</v>
          </cell>
          <cell r="E37" t="str">
            <v>B</v>
          </cell>
          <cell r="F37" t="str">
            <v/>
          </cell>
          <cell r="G37" t="str">
            <v/>
          </cell>
          <cell r="H37">
            <v>0</v>
          </cell>
          <cell r="K37">
            <v>0</v>
          </cell>
          <cell r="L37">
            <v>0</v>
          </cell>
          <cell r="M37">
            <v>0</v>
          </cell>
          <cell r="Q37">
            <v>0</v>
          </cell>
          <cell r="T37">
            <v>1</v>
          </cell>
          <cell r="U37">
            <v>1</v>
          </cell>
          <cell r="V37">
            <v>0</v>
          </cell>
          <cell r="W37">
            <v>0</v>
          </cell>
          <cell r="X37">
            <v>0</v>
          </cell>
          <cell r="Y37">
            <v>0</v>
          </cell>
          <cell r="Z37">
            <v>0</v>
          </cell>
          <cell r="AA37">
            <v>0</v>
          </cell>
          <cell r="AB37">
            <v>0</v>
          </cell>
          <cell r="AC37">
            <v>100</v>
          </cell>
          <cell r="AD37">
            <v>0</v>
          </cell>
          <cell r="AE37">
            <v>250</v>
          </cell>
          <cell r="AF37">
            <v>0</v>
          </cell>
          <cell r="AG37">
            <v>500</v>
          </cell>
          <cell r="AH37">
            <v>0</v>
          </cell>
          <cell r="AI37">
            <v>750</v>
          </cell>
          <cell r="AJ37">
            <v>0</v>
          </cell>
          <cell r="AK37">
            <v>1000</v>
          </cell>
          <cell r="AL37">
            <v>0</v>
          </cell>
          <cell r="AM37">
            <v>1500</v>
          </cell>
          <cell r="AN37">
            <v>0</v>
          </cell>
          <cell r="AO37">
            <v>2000</v>
          </cell>
          <cell r="AP37">
            <v>0</v>
          </cell>
          <cell r="AQ37">
            <v>7</v>
          </cell>
          <cell r="AR37" t="str">
            <v>kWh</v>
          </cell>
          <cell r="AS37" t="str">
            <v/>
          </cell>
        </row>
        <row r="38">
          <cell r="B38">
            <v>24</v>
          </cell>
          <cell r="C38" t="str">
            <v>RESIDENTIAL</v>
          </cell>
          <cell r="D38" t="str">
            <v>Other (specify) . . . . . . . .</v>
          </cell>
          <cell r="E38" t="str">
            <v>C</v>
          </cell>
          <cell r="F38" t="str">
            <v/>
          </cell>
          <cell r="G38" t="str">
            <v/>
          </cell>
          <cell r="H38">
            <v>0</v>
          </cell>
          <cell r="K38">
            <v>0</v>
          </cell>
          <cell r="L38">
            <v>0</v>
          </cell>
          <cell r="M38">
            <v>0</v>
          </cell>
          <cell r="Q38">
            <v>0</v>
          </cell>
          <cell r="T38">
            <v>1</v>
          </cell>
          <cell r="U38">
            <v>1</v>
          </cell>
          <cell r="V38">
            <v>0</v>
          </cell>
          <cell r="W38">
            <v>0</v>
          </cell>
          <cell r="X38">
            <v>0</v>
          </cell>
          <cell r="Y38">
            <v>0</v>
          </cell>
          <cell r="Z38">
            <v>0</v>
          </cell>
          <cell r="AA38">
            <v>0</v>
          </cell>
          <cell r="AB38">
            <v>0</v>
          </cell>
          <cell r="AC38">
            <v>100</v>
          </cell>
          <cell r="AD38">
            <v>0</v>
          </cell>
          <cell r="AE38">
            <v>250</v>
          </cell>
          <cell r="AF38">
            <v>0</v>
          </cell>
          <cell r="AG38">
            <v>500</v>
          </cell>
          <cell r="AH38">
            <v>0</v>
          </cell>
          <cell r="AI38">
            <v>750</v>
          </cell>
          <cell r="AJ38">
            <v>0</v>
          </cell>
          <cell r="AK38">
            <v>1000</v>
          </cell>
          <cell r="AL38">
            <v>0</v>
          </cell>
          <cell r="AM38">
            <v>1500</v>
          </cell>
          <cell r="AN38">
            <v>0</v>
          </cell>
          <cell r="AO38">
            <v>2000</v>
          </cell>
          <cell r="AP38">
            <v>0</v>
          </cell>
          <cell r="AQ38">
            <v>7</v>
          </cell>
          <cell r="AR38" t="str">
            <v>kWh</v>
          </cell>
          <cell r="AS38" t="str">
            <v/>
          </cell>
        </row>
        <row r="39">
          <cell r="B39">
            <v>25</v>
          </cell>
          <cell r="C39" t="str">
            <v>RESIDENTIAL</v>
          </cell>
          <cell r="D39" t="str">
            <v>Other (specify) . . . . . . . .</v>
          </cell>
          <cell r="E39" t="str">
            <v>D</v>
          </cell>
          <cell r="F39" t="str">
            <v/>
          </cell>
          <cell r="G39" t="str">
            <v/>
          </cell>
          <cell r="H39">
            <v>0</v>
          </cell>
          <cell r="K39">
            <v>0</v>
          </cell>
          <cell r="L39">
            <v>0</v>
          </cell>
          <cell r="M39">
            <v>0</v>
          </cell>
          <cell r="Q39">
            <v>0</v>
          </cell>
          <cell r="T39">
            <v>1</v>
          </cell>
          <cell r="U39">
            <v>1</v>
          </cell>
          <cell r="V39">
            <v>0</v>
          </cell>
          <cell r="W39">
            <v>0</v>
          </cell>
          <cell r="X39">
            <v>0</v>
          </cell>
          <cell r="Y39">
            <v>0</v>
          </cell>
          <cell r="Z39">
            <v>0</v>
          </cell>
          <cell r="AA39">
            <v>0</v>
          </cell>
          <cell r="AB39">
            <v>0</v>
          </cell>
          <cell r="AC39">
            <v>100</v>
          </cell>
          <cell r="AD39">
            <v>0</v>
          </cell>
          <cell r="AE39">
            <v>250</v>
          </cell>
          <cell r="AF39">
            <v>0</v>
          </cell>
          <cell r="AG39">
            <v>500</v>
          </cell>
          <cell r="AH39">
            <v>0</v>
          </cell>
          <cell r="AI39">
            <v>750</v>
          </cell>
          <cell r="AJ39">
            <v>0</v>
          </cell>
          <cell r="AK39">
            <v>1000</v>
          </cell>
          <cell r="AL39">
            <v>0</v>
          </cell>
          <cell r="AM39">
            <v>1500</v>
          </cell>
          <cell r="AN39">
            <v>0</v>
          </cell>
          <cell r="AO39">
            <v>2000</v>
          </cell>
          <cell r="AP39">
            <v>0</v>
          </cell>
          <cell r="AQ39">
            <v>7</v>
          </cell>
          <cell r="AR39" t="str">
            <v>kWh</v>
          </cell>
          <cell r="AS39" t="str">
            <v/>
          </cell>
        </row>
        <row r="40">
          <cell r="B40">
            <v>26</v>
          </cell>
          <cell r="C40" t="str">
            <v>RESIDENTIAL</v>
          </cell>
          <cell r="D40" t="str">
            <v>Other (specify) . . . . . . . .</v>
          </cell>
          <cell r="E40" t="str">
            <v>A</v>
          </cell>
          <cell r="F40" t="str">
            <v/>
          </cell>
          <cell r="G40" t="str">
            <v/>
          </cell>
          <cell r="H40">
            <v>0</v>
          </cell>
          <cell r="K40">
            <v>0</v>
          </cell>
          <cell r="L40">
            <v>0</v>
          </cell>
          <cell r="M40">
            <v>0</v>
          </cell>
          <cell r="Q40">
            <v>0</v>
          </cell>
          <cell r="T40">
            <v>1</v>
          </cell>
          <cell r="U40">
            <v>1</v>
          </cell>
          <cell r="V40">
            <v>0</v>
          </cell>
          <cell r="W40">
            <v>0</v>
          </cell>
          <cell r="X40">
            <v>0</v>
          </cell>
          <cell r="Y40">
            <v>0</v>
          </cell>
          <cell r="Z40">
            <v>0</v>
          </cell>
          <cell r="AA40">
            <v>0</v>
          </cell>
          <cell r="AB40">
            <v>0</v>
          </cell>
          <cell r="AC40">
            <v>100</v>
          </cell>
          <cell r="AD40">
            <v>0</v>
          </cell>
          <cell r="AE40">
            <v>250</v>
          </cell>
          <cell r="AF40">
            <v>0</v>
          </cell>
          <cell r="AG40">
            <v>500</v>
          </cell>
          <cell r="AH40">
            <v>0</v>
          </cell>
          <cell r="AI40">
            <v>750</v>
          </cell>
          <cell r="AJ40">
            <v>0</v>
          </cell>
          <cell r="AK40">
            <v>1000</v>
          </cell>
          <cell r="AL40">
            <v>0</v>
          </cell>
          <cell r="AM40">
            <v>1500</v>
          </cell>
          <cell r="AN40">
            <v>0</v>
          </cell>
          <cell r="AO40">
            <v>2000</v>
          </cell>
          <cell r="AP40">
            <v>0</v>
          </cell>
          <cell r="AQ40">
            <v>7</v>
          </cell>
          <cell r="AR40" t="str">
            <v>kWh</v>
          </cell>
          <cell r="AS40" t="str">
            <v/>
          </cell>
        </row>
        <row r="41">
          <cell r="B41">
            <v>27</v>
          </cell>
          <cell r="C41" t="str">
            <v>RESIDENTIAL</v>
          </cell>
          <cell r="D41" t="str">
            <v>Other (specify) . . . . . . . .</v>
          </cell>
          <cell r="E41" t="str">
            <v>B</v>
          </cell>
          <cell r="F41" t="str">
            <v/>
          </cell>
          <cell r="G41" t="str">
            <v/>
          </cell>
          <cell r="H41">
            <v>0</v>
          </cell>
          <cell r="K41">
            <v>0</v>
          </cell>
          <cell r="L41">
            <v>0</v>
          </cell>
          <cell r="M41">
            <v>0</v>
          </cell>
          <cell r="Q41">
            <v>0</v>
          </cell>
          <cell r="T41">
            <v>1</v>
          </cell>
          <cell r="U41">
            <v>1</v>
          </cell>
          <cell r="V41">
            <v>0</v>
          </cell>
          <cell r="W41">
            <v>0</v>
          </cell>
          <cell r="X41">
            <v>0</v>
          </cell>
          <cell r="Y41">
            <v>0</v>
          </cell>
          <cell r="Z41">
            <v>0</v>
          </cell>
          <cell r="AA41">
            <v>0</v>
          </cell>
          <cell r="AB41">
            <v>0</v>
          </cell>
          <cell r="AC41">
            <v>100</v>
          </cell>
          <cell r="AD41">
            <v>0</v>
          </cell>
          <cell r="AE41">
            <v>250</v>
          </cell>
          <cell r="AF41">
            <v>0</v>
          </cell>
          <cell r="AG41">
            <v>500</v>
          </cell>
          <cell r="AH41">
            <v>0</v>
          </cell>
          <cell r="AI41">
            <v>750</v>
          </cell>
          <cell r="AJ41">
            <v>0</v>
          </cell>
          <cell r="AK41">
            <v>1000</v>
          </cell>
          <cell r="AL41">
            <v>0</v>
          </cell>
          <cell r="AM41">
            <v>1500</v>
          </cell>
          <cell r="AN41">
            <v>0</v>
          </cell>
          <cell r="AO41">
            <v>2000</v>
          </cell>
          <cell r="AP41">
            <v>0</v>
          </cell>
          <cell r="AQ41">
            <v>7</v>
          </cell>
          <cell r="AR41" t="str">
            <v>kWh</v>
          </cell>
          <cell r="AS41" t="str">
            <v/>
          </cell>
        </row>
        <row r="42">
          <cell r="B42">
            <v>28</v>
          </cell>
          <cell r="C42" t="str">
            <v>RESIDENTIAL</v>
          </cell>
          <cell r="D42" t="str">
            <v>Other (specify) . . . . . . . .</v>
          </cell>
          <cell r="E42" t="str">
            <v>C</v>
          </cell>
          <cell r="F42" t="str">
            <v/>
          </cell>
          <cell r="G42" t="str">
            <v/>
          </cell>
          <cell r="H42">
            <v>0</v>
          </cell>
          <cell r="K42">
            <v>0</v>
          </cell>
          <cell r="L42">
            <v>0</v>
          </cell>
          <cell r="M42">
            <v>0</v>
          </cell>
          <cell r="Q42">
            <v>0</v>
          </cell>
          <cell r="T42">
            <v>1</v>
          </cell>
          <cell r="U42">
            <v>1</v>
          </cell>
          <cell r="V42">
            <v>0</v>
          </cell>
          <cell r="W42">
            <v>0</v>
          </cell>
          <cell r="X42">
            <v>0</v>
          </cell>
          <cell r="Y42">
            <v>0</v>
          </cell>
          <cell r="Z42">
            <v>0</v>
          </cell>
          <cell r="AA42">
            <v>0</v>
          </cell>
          <cell r="AB42">
            <v>0</v>
          </cell>
          <cell r="AC42">
            <v>100</v>
          </cell>
          <cell r="AD42">
            <v>0</v>
          </cell>
          <cell r="AE42">
            <v>250</v>
          </cell>
          <cell r="AF42">
            <v>0</v>
          </cell>
          <cell r="AG42">
            <v>500</v>
          </cell>
          <cell r="AH42">
            <v>0</v>
          </cell>
          <cell r="AI42">
            <v>750</v>
          </cell>
          <cell r="AJ42">
            <v>0</v>
          </cell>
          <cell r="AK42">
            <v>1000</v>
          </cell>
          <cell r="AL42">
            <v>0</v>
          </cell>
          <cell r="AM42">
            <v>1500</v>
          </cell>
          <cell r="AN42">
            <v>0</v>
          </cell>
          <cell r="AO42">
            <v>2000</v>
          </cell>
          <cell r="AP42">
            <v>0</v>
          </cell>
          <cell r="AQ42">
            <v>7</v>
          </cell>
          <cell r="AR42" t="str">
            <v>kWh</v>
          </cell>
          <cell r="AS42" t="str">
            <v/>
          </cell>
        </row>
        <row r="43">
          <cell r="B43">
            <v>29</v>
          </cell>
          <cell r="C43" t="str">
            <v>RESIDENTIAL</v>
          </cell>
          <cell r="D43" t="str">
            <v>Other (specify) . . . . . . . .</v>
          </cell>
          <cell r="E43" t="str">
            <v>D</v>
          </cell>
          <cell r="F43" t="str">
            <v/>
          </cell>
          <cell r="G43" t="str">
            <v/>
          </cell>
          <cell r="H43">
            <v>0</v>
          </cell>
          <cell r="K43">
            <v>0</v>
          </cell>
          <cell r="L43">
            <v>0</v>
          </cell>
          <cell r="M43">
            <v>0</v>
          </cell>
          <cell r="Q43">
            <v>0</v>
          </cell>
          <cell r="T43">
            <v>1</v>
          </cell>
          <cell r="U43">
            <v>1</v>
          </cell>
          <cell r="V43">
            <v>0</v>
          </cell>
          <cell r="W43">
            <v>0</v>
          </cell>
          <cell r="X43">
            <v>0</v>
          </cell>
          <cell r="Y43">
            <v>0</v>
          </cell>
          <cell r="Z43">
            <v>0</v>
          </cell>
          <cell r="AA43">
            <v>0</v>
          </cell>
          <cell r="AB43">
            <v>0</v>
          </cell>
          <cell r="AC43">
            <v>100</v>
          </cell>
          <cell r="AD43">
            <v>0</v>
          </cell>
          <cell r="AE43">
            <v>250</v>
          </cell>
          <cell r="AF43">
            <v>0</v>
          </cell>
          <cell r="AG43">
            <v>500</v>
          </cell>
          <cell r="AH43">
            <v>0</v>
          </cell>
          <cell r="AI43">
            <v>750</v>
          </cell>
          <cell r="AJ43">
            <v>0</v>
          </cell>
          <cell r="AK43">
            <v>1000</v>
          </cell>
          <cell r="AL43">
            <v>0</v>
          </cell>
          <cell r="AM43">
            <v>1500</v>
          </cell>
          <cell r="AN43">
            <v>0</v>
          </cell>
          <cell r="AO43">
            <v>2000</v>
          </cell>
          <cell r="AP43">
            <v>0</v>
          </cell>
          <cell r="AQ43">
            <v>7</v>
          </cell>
          <cell r="AR43" t="str">
            <v>kWh</v>
          </cell>
          <cell r="AS43" t="str">
            <v/>
          </cell>
        </row>
        <row r="44">
          <cell r="B44">
            <v>30</v>
          </cell>
          <cell r="C44" t="str">
            <v>RESIDENTIAL</v>
          </cell>
          <cell r="D44" t="str">
            <v>Other (specify) . . . . . . . .</v>
          </cell>
          <cell r="E44" t="str">
            <v>A</v>
          </cell>
          <cell r="F44" t="str">
            <v/>
          </cell>
          <cell r="G44" t="str">
            <v/>
          </cell>
          <cell r="H44">
            <v>0</v>
          </cell>
          <cell r="K44">
            <v>0</v>
          </cell>
          <cell r="L44">
            <v>0</v>
          </cell>
          <cell r="M44">
            <v>0</v>
          </cell>
          <cell r="Q44">
            <v>0</v>
          </cell>
          <cell r="T44">
            <v>1</v>
          </cell>
          <cell r="U44">
            <v>1</v>
          </cell>
          <cell r="V44">
            <v>0</v>
          </cell>
          <cell r="W44">
            <v>0</v>
          </cell>
          <cell r="X44">
            <v>0</v>
          </cell>
          <cell r="Y44">
            <v>0</v>
          </cell>
          <cell r="Z44">
            <v>0</v>
          </cell>
          <cell r="AA44">
            <v>0</v>
          </cell>
          <cell r="AB44">
            <v>0</v>
          </cell>
          <cell r="AC44">
            <v>100</v>
          </cell>
          <cell r="AD44">
            <v>0</v>
          </cell>
          <cell r="AE44">
            <v>250</v>
          </cell>
          <cell r="AF44">
            <v>0</v>
          </cell>
          <cell r="AG44">
            <v>500</v>
          </cell>
          <cell r="AH44">
            <v>0</v>
          </cell>
          <cell r="AI44">
            <v>750</v>
          </cell>
          <cell r="AJ44">
            <v>0</v>
          </cell>
          <cell r="AK44">
            <v>1000</v>
          </cell>
          <cell r="AL44">
            <v>0</v>
          </cell>
          <cell r="AM44">
            <v>1500</v>
          </cell>
          <cell r="AN44">
            <v>0</v>
          </cell>
          <cell r="AO44">
            <v>2000</v>
          </cell>
          <cell r="AP44">
            <v>0</v>
          </cell>
          <cell r="AQ44">
            <v>7</v>
          </cell>
          <cell r="AR44" t="str">
            <v>kWh</v>
          </cell>
          <cell r="AS44" t="str">
            <v/>
          </cell>
        </row>
        <row r="45">
          <cell r="B45">
            <v>31</v>
          </cell>
          <cell r="C45" t="str">
            <v>RESIDENTIAL</v>
          </cell>
          <cell r="D45" t="str">
            <v>Other (specify) . . . . . . . .</v>
          </cell>
          <cell r="E45" t="str">
            <v>B</v>
          </cell>
          <cell r="F45" t="str">
            <v/>
          </cell>
          <cell r="G45" t="str">
            <v/>
          </cell>
          <cell r="H45">
            <v>0</v>
          </cell>
          <cell r="K45">
            <v>0</v>
          </cell>
          <cell r="L45">
            <v>0</v>
          </cell>
          <cell r="M45">
            <v>0</v>
          </cell>
          <cell r="Q45">
            <v>0</v>
          </cell>
          <cell r="T45">
            <v>1</v>
          </cell>
          <cell r="U45">
            <v>1</v>
          </cell>
          <cell r="V45">
            <v>0</v>
          </cell>
          <cell r="W45">
            <v>0</v>
          </cell>
          <cell r="X45">
            <v>0</v>
          </cell>
          <cell r="Y45">
            <v>0</v>
          </cell>
          <cell r="Z45">
            <v>0</v>
          </cell>
          <cell r="AA45">
            <v>0</v>
          </cell>
          <cell r="AB45">
            <v>0</v>
          </cell>
          <cell r="AC45">
            <v>100</v>
          </cell>
          <cell r="AD45">
            <v>0</v>
          </cell>
          <cell r="AE45">
            <v>250</v>
          </cell>
          <cell r="AF45">
            <v>0</v>
          </cell>
          <cell r="AG45">
            <v>500</v>
          </cell>
          <cell r="AH45">
            <v>0</v>
          </cell>
          <cell r="AI45">
            <v>750</v>
          </cell>
          <cell r="AJ45">
            <v>0</v>
          </cell>
          <cell r="AK45">
            <v>1000</v>
          </cell>
          <cell r="AL45">
            <v>0</v>
          </cell>
          <cell r="AM45">
            <v>1500</v>
          </cell>
          <cell r="AN45">
            <v>0</v>
          </cell>
          <cell r="AO45">
            <v>2000</v>
          </cell>
          <cell r="AP45">
            <v>0</v>
          </cell>
          <cell r="AQ45">
            <v>7</v>
          </cell>
          <cell r="AR45" t="str">
            <v>kWh</v>
          </cell>
          <cell r="AS45" t="str">
            <v/>
          </cell>
        </row>
        <row r="46">
          <cell r="B46">
            <v>32</v>
          </cell>
          <cell r="C46" t="str">
            <v>RESIDENTIAL</v>
          </cell>
          <cell r="D46" t="str">
            <v>Other (specify) . . . . . . . .</v>
          </cell>
          <cell r="E46" t="str">
            <v>C</v>
          </cell>
          <cell r="F46" t="str">
            <v/>
          </cell>
          <cell r="G46" t="str">
            <v/>
          </cell>
          <cell r="H46">
            <v>0</v>
          </cell>
          <cell r="K46">
            <v>0</v>
          </cell>
          <cell r="L46">
            <v>0</v>
          </cell>
          <cell r="M46">
            <v>0</v>
          </cell>
          <cell r="Q46">
            <v>0</v>
          </cell>
          <cell r="T46">
            <v>1</v>
          </cell>
          <cell r="U46">
            <v>1</v>
          </cell>
          <cell r="V46">
            <v>0</v>
          </cell>
          <cell r="W46">
            <v>0</v>
          </cell>
          <cell r="X46">
            <v>0</v>
          </cell>
          <cell r="Y46">
            <v>0</v>
          </cell>
          <cell r="Z46">
            <v>0</v>
          </cell>
          <cell r="AA46">
            <v>0</v>
          </cell>
          <cell r="AB46">
            <v>0</v>
          </cell>
          <cell r="AC46">
            <v>100</v>
          </cell>
          <cell r="AD46">
            <v>0</v>
          </cell>
          <cell r="AE46">
            <v>250</v>
          </cell>
          <cell r="AF46">
            <v>0</v>
          </cell>
          <cell r="AG46">
            <v>500</v>
          </cell>
          <cell r="AH46">
            <v>0</v>
          </cell>
          <cell r="AI46">
            <v>750</v>
          </cell>
          <cell r="AJ46">
            <v>0</v>
          </cell>
          <cell r="AK46">
            <v>1000</v>
          </cell>
          <cell r="AL46">
            <v>0</v>
          </cell>
          <cell r="AM46">
            <v>1500</v>
          </cell>
          <cell r="AN46">
            <v>0</v>
          </cell>
          <cell r="AO46">
            <v>2000</v>
          </cell>
          <cell r="AP46">
            <v>0</v>
          </cell>
          <cell r="AQ46">
            <v>7</v>
          </cell>
          <cell r="AR46" t="str">
            <v>kWh</v>
          </cell>
          <cell r="AS46" t="str">
            <v/>
          </cell>
        </row>
        <row r="47">
          <cell r="B47">
            <v>33</v>
          </cell>
          <cell r="C47" t="str">
            <v>RESIDENTIAL</v>
          </cell>
          <cell r="D47" t="str">
            <v>Other (specify) . . . . . . . .</v>
          </cell>
          <cell r="E47" t="str">
            <v>D</v>
          </cell>
          <cell r="F47" t="str">
            <v/>
          </cell>
          <cell r="G47" t="str">
            <v/>
          </cell>
          <cell r="H47">
            <v>0</v>
          </cell>
          <cell r="K47">
            <v>0</v>
          </cell>
          <cell r="L47">
            <v>0</v>
          </cell>
          <cell r="M47">
            <v>0</v>
          </cell>
          <cell r="Q47">
            <v>0</v>
          </cell>
          <cell r="T47">
            <v>1</v>
          </cell>
          <cell r="U47">
            <v>1</v>
          </cell>
          <cell r="V47">
            <v>0</v>
          </cell>
          <cell r="W47">
            <v>0</v>
          </cell>
          <cell r="X47">
            <v>0</v>
          </cell>
          <cell r="Y47">
            <v>0</v>
          </cell>
          <cell r="Z47">
            <v>0</v>
          </cell>
          <cell r="AA47">
            <v>0</v>
          </cell>
          <cell r="AB47">
            <v>0</v>
          </cell>
          <cell r="AC47">
            <v>100</v>
          </cell>
          <cell r="AD47">
            <v>0</v>
          </cell>
          <cell r="AE47">
            <v>250</v>
          </cell>
          <cell r="AF47">
            <v>0</v>
          </cell>
          <cell r="AG47">
            <v>500</v>
          </cell>
          <cell r="AH47">
            <v>0</v>
          </cell>
          <cell r="AI47">
            <v>750</v>
          </cell>
          <cell r="AJ47">
            <v>0</v>
          </cell>
          <cell r="AK47">
            <v>1000</v>
          </cell>
          <cell r="AL47">
            <v>0</v>
          </cell>
          <cell r="AM47">
            <v>1500</v>
          </cell>
          <cell r="AN47">
            <v>0</v>
          </cell>
          <cell r="AO47">
            <v>2000</v>
          </cell>
          <cell r="AP47">
            <v>0</v>
          </cell>
          <cell r="AQ47">
            <v>7</v>
          </cell>
          <cell r="AR47" t="str">
            <v>kWh</v>
          </cell>
          <cell r="AS47" t="str">
            <v/>
          </cell>
        </row>
        <row r="48">
          <cell r="B48">
            <v>34</v>
          </cell>
          <cell r="C48" t="str">
            <v>RESIDENTIAL</v>
          </cell>
          <cell r="D48" t="str">
            <v>Other (specify) . . . . . . . .</v>
          </cell>
          <cell r="E48" t="str">
            <v>A</v>
          </cell>
          <cell r="F48" t="str">
            <v/>
          </cell>
          <cell r="G48" t="str">
            <v/>
          </cell>
          <cell r="H48">
            <v>0</v>
          </cell>
          <cell r="K48">
            <v>0</v>
          </cell>
          <cell r="L48">
            <v>0</v>
          </cell>
          <cell r="M48">
            <v>0</v>
          </cell>
          <cell r="Q48">
            <v>0</v>
          </cell>
          <cell r="T48">
            <v>1</v>
          </cell>
          <cell r="U48">
            <v>1</v>
          </cell>
          <cell r="V48">
            <v>0</v>
          </cell>
          <cell r="W48">
            <v>0</v>
          </cell>
          <cell r="X48">
            <v>0</v>
          </cell>
          <cell r="Y48">
            <v>0</v>
          </cell>
          <cell r="Z48">
            <v>0</v>
          </cell>
          <cell r="AA48">
            <v>0</v>
          </cell>
          <cell r="AB48">
            <v>0</v>
          </cell>
          <cell r="AC48">
            <v>100</v>
          </cell>
          <cell r="AD48">
            <v>0</v>
          </cell>
          <cell r="AE48">
            <v>250</v>
          </cell>
          <cell r="AF48">
            <v>0</v>
          </cell>
          <cell r="AG48">
            <v>500</v>
          </cell>
          <cell r="AH48">
            <v>0</v>
          </cell>
          <cell r="AI48">
            <v>750</v>
          </cell>
          <cell r="AJ48">
            <v>0</v>
          </cell>
          <cell r="AK48">
            <v>1000</v>
          </cell>
          <cell r="AL48">
            <v>0</v>
          </cell>
          <cell r="AM48">
            <v>1500</v>
          </cell>
          <cell r="AN48">
            <v>0</v>
          </cell>
          <cell r="AO48">
            <v>2000</v>
          </cell>
          <cell r="AP48">
            <v>0</v>
          </cell>
          <cell r="AQ48">
            <v>7</v>
          </cell>
          <cell r="AR48" t="str">
            <v>kWh</v>
          </cell>
          <cell r="AS48" t="str">
            <v/>
          </cell>
        </row>
        <row r="49">
          <cell r="B49">
            <v>35</v>
          </cell>
          <cell r="C49" t="str">
            <v>RESIDENTIAL</v>
          </cell>
          <cell r="D49" t="str">
            <v>Other (specify) . . . . . . . .</v>
          </cell>
          <cell r="E49" t="str">
            <v>B</v>
          </cell>
          <cell r="F49" t="str">
            <v/>
          </cell>
          <cell r="G49" t="str">
            <v/>
          </cell>
          <cell r="H49">
            <v>0</v>
          </cell>
          <cell r="K49">
            <v>0</v>
          </cell>
          <cell r="L49">
            <v>0</v>
          </cell>
          <cell r="M49">
            <v>0</v>
          </cell>
          <cell r="Q49">
            <v>0</v>
          </cell>
          <cell r="T49">
            <v>1</v>
          </cell>
          <cell r="U49">
            <v>1</v>
          </cell>
          <cell r="V49">
            <v>0</v>
          </cell>
          <cell r="W49">
            <v>0</v>
          </cell>
          <cell r="X49">
            <v>0</v>
          </cell>
          <cell r="Y49">
            <v>0</v>
          </cell>
          <cell r="Z49">
            <v>0</v>
          </cell>
          <cell r="AA49">
            <v>0</v>
          </cell>
          <cell r="AB49">
            <v>0</v>
          </cell>
          <cell r="AC49">
            <v>100</v>
          </cell>
          <cell r="AD49">
            <v>0</v>
          </cell>
          <cell r="AE49">
            <v>250</v>
          </cell>
          <cell r="AF49">
            <v>0</v>
          </cell>
          <cell r="AG49">
            <v>500</v>
          </cell>
          <cell r="AH49">
            <v>0</v>
          </cell>
          <cell r="AI49">
            <v>750</v>
          </cell>
          <cell r="AJ49">
            <v>0</v>
          </cell>
          <cell r="AK49">
            <v>1000</v>
          </cell>
          <cell r="AL49">
            <v>0</v>
          </cell>
          <cell r="AM49">
            <v>1500</v>
          </cell>
          <cell r="AN49">
            <v>0</v>
          </cell>
          <cell r="AO49">
            <v>2000</v>
          </cell>
          <cell r="AP49">
            <v>0</v>
          </cell>
          <cell r="AQ49">
            <v>7</v>
          </cell>
          <cell r="AR49" t="str">
            <v>kWh</v>
          </cell>
          <cell r="AS49" t="str">
            <v/>
          </cell>
        </row>
        <row r="50">
          <cell r="B50">
            <v>36</v>
          </cell>
          <cell r="C50" t="str">
            <v>RESIDENTIAL</v>
          </cell>
          <cell r="D50" t="str">
            <v>Other (specify) . . . . . . . .</v>
          </cell>
          <cell r="E50" t="str">
            <v>C</v>
          </cell>
          <cell r="F50" t="str">
            <v/>
          </cell>
          <cell r="G50" t="str">
            <v/>
          </cell>
          <cell r="H50">
            <v>0</v>
          </cell>
          <cell r="K50">
            <v>0</v>
          </cell>
          <cell r="L50">
            <v>0</v>
          </cell>
          <cell r="M50">
            <v>0</v>
          </cell>
          <cell r="Q50">
            <v>0</v>
          </cell>
          <cell r="T50">
            <v>1</v>
          </cell>
          <cell r="U50">
            <v>1</v>
          </cell>
          <cell r="V50">
            <v>0</v>
          </cell>
          <cell r="W50">
            <v>0</v>
          </cell>
          <cell r="X50">
            <v>0</v>
          </cell>
          <cell r="Y50">
            <v>0</v>
          </cell>
          <cell r="Z50">
            <v>0</v>
          </cell>
          <cell r="AA50">
            <v>0</v>
          </cell>
          <cell r="AB50">
            <v>0</v>
          </cell>
          <cell r="AC50">
            <v>100</v>
          </cell>
          <cell r="AD50">
            <v>0</v>
          </cell>
          <cell r="AE50">
            <v>250</v>
          </cell>
          <cell r="AF50">
            <v>0</v>
          </cell>
          <cell r="AG50">
            <v>500</v>
          </cell>
          <cell r="AH50">
            <v>0</v>
          </cell>
          <cell r="AI50">
            <v>750</v>
          </cell>
          <cell r="AJ50">
            <v>0</v>
          </cell>
          <cell r="AK50">
            <v>1000</v>
          </cell>
          <cell r="AL50">
            <v>0</v>
          </cell>
          <cell r="AM50">
            <v>1500</v>
          </cell>
          <cell r="AN50">
            <v>0</v>
          </cell>
          <cell r="AO50">
            <v>2000</v>
          </cell>
          <cell r="AP50">
            <v>0</v>
          </cell>
          <cell r="AQ50">
            <v>7</v>
          </cell>
          <cell r="AR50" t="str">
            <v>kWh</v>
          </cell>
          <cell r="AS50" t="str">
            <v/>
          </cell>
        </row>
        <row r="51">
          <cell r="B51">
            <v>37</v>
          </cell>
          <cell r="C51" t="str">
            <v>RESIDENTIAL</v>
          </cell>
          <cell r="D51" t="str">
            <v>Other (specify) . . . . . . . .</v>
          </cell>
          <cell r="E51" t="str">
            <v>D</v>
          </cell>
          <cell r="F51" t="str">
            <v/>
          </cell>
          <cell r="G51" t="str">
            <v/>
          </cell>
          <cell r="H51">
            <v>0</v>
          </cell>
          <cell r="K51">
            <v>0</v>
          </cell>
          <cell r="L51">
            <v>0</v>
          </cell>
          <cell r="M51">
            <v>0</v>
          </cell>
          <cell r="Q51">
            <v>0</v>
          </cell>
          <cell r="T51">
            <v>1</v>
          </cell>
          <cell r="U51">
            <v>1</v>
          </cell>
          <cell r="V51">
            <v>0</v>
          </cell>
          <cell r="W51">
            <v>0</v>
          </cell>
          <cell r="X51">
            <v>0</v>
          </cell>
          <cell r="Y51">
            <v>0</v>
          </cell>
          <cell r="Z51">
            <v>0</v>
          </cell>
          <cell r="AA51">
            <v>0</v>
          </cell>
          <cell r="AB51">
            <v>0</v>
          </cell>
          <cell r="AC51">
            <v>100</v>
          </cell>
          <cell r="AD51">
            <v>0</v>
          </cell>
          <cell r="AE51">
            <v>250</v>
          </cell>
          <cell r="AF51">
            <v>0</v>
          </cell>
          <cell r="AG51">
            <v>500</v>
          </cell>
          <cell r="AH51">
            <v>0</v>
          </cell>
          <cell r="AI51">
            <v>750</v>
          </cell>
          <cell r="AJ51">
            <v>0</v>
          </cell>
          <cell r="AK51">
            <v>1000</v>
          </cell>
          <cell r="AL51">
            <v>0</v>
          </cell>
          <cell r="AM51">
            <v>1500</v>
          </cell>
          <cell r="AN51">
            <v>0</v>
          </cell>
          <cell r="AO51">
            <v>2000</v>
          </cell>
          <cell r="AP51">
            <v>0</v>
          </cell>
          <cell r="AQ51">
            <v>7</v>
          </cell>
          <cell r="AR51" t="str">
            <v>kWh</v>
          </cell>
          <cell r="AS51" t="str">
            <v/>
          </cell>
        </row>
        <row r="52">
          <cell r="B52">
            <v>38</v>
          </cell>
          <cell r="C52" t="str">
            <v/>
          </cell>
          <cell r="D52" t="str">
            <v/>
          </cell>
          <cell r="F52" t="str">
            <v/>
          </cell>
          <cell r="G52" t="str">
            <v/>
          </cell>
          <cell r="AQ52">
            <v>0</v>
          </cell>
          <cell r="AR52">
            <v>0</v>
          </cell>
          <cell r="AS52" t="str">
            <v/>
          </cell>
        </row>
        <row r="53">
          <cell r="B53">
            <v>39</v>
          </cell>
          <cell r="C53" t="str">
            <v/>
          </cell>
          <cell r="D53" t="str">
            <v>GENERAL SERVICE</v>
          </cell>
          <cell r="F53" t="str">
            <v/>
          </cell>
          <cell r="G53" t="str">
            <v>X</v>
          </cell>
          <cell r="AQ53">
            <v>0</v>
          </cell>
          <cell r="AR53">
            <v>0</v>
          </cell>
          <cell r="AS53" t="str">
            <v>XXX</v>
          </cell>
        </row>
        <row r="54">
          <cell r="B54">
            <v>40</v>
          </cell>
          <cell r="C54" t="str">
            <v>GENERAL SERVICE</v>
          </cell>
          <cell r="D54" t="str">
            <v>Less than 50 kW</v>
          </cell>
          <cell r="E54" t="str">
            <v>A</v>
          </cell>
          <cell r="F54" t="str">
            <v>X</v>
          </cell>
          <cell r="G54" t="str">
            <v>X</v>
          </cell>
          <cell r="H54">
            <v>9.8999999999999991E-3</v>
          </cell>
          <cell r="I54">
            <v>6.1999999999999998E-3</v>
          </cell>
          <cell r="J54">
            <v>7.0000000000000001E-3</v>
          </cell>
          <cell r="K54">
            <v>2.3099999999999999E-2</v>
          </cell>
          <cell r="L54">
            <v>2.3100000000000002E-2</v>
          </cell>
          <cell r="M54">
            <v>0</v>
          </cell>
          <cell r="Q54">
            <v>0</v>
          </cell>
          <cell r="R54">
            <v>5.2999999999999999E-2</v>
          </cell>
          <cell r="S54">
            <v>6.2E-2</v>
          </cell>
          <cell r="T54">
            <v>1.0432999999999999</v>
          </cell>
          <cell r="U54">
            <v>1.0432999999999999</v>
          </cell>
          <cell r="V54">
            <v>1.6E-2</v>
          </cell>
          <cell r="W54">
            <v>0</v>
          </cell>
          <cell r="X54">
            <v>29.93</v>
          </cell>
          <cell r="Y54">
            <v>1.4800000000000001E-2</v>
          </cell>
          <cell r="Z54">
            <v>0</v>
          </cell>
          <cell r="AA54">
            <v>28.84</v>
          </cell>
          <cell r="AB54">
            <v>1.1000000000000001E-3</v>
          </cell>
          <cell r="AC54">
            <v>1000</v>
          </cell>
          <cell r="AD54">
            <v>0</v>
          </cell>
          <cell r="AE54">
            <v>2000</v>
          </cell>
          <cell r="AF54">
            <v>0</v>
          </cell>
          <cell r="AG54">
            <v>5000</v>
          </cell>
          <cell r="AH54">
            <v>0</v>
          </cell>
          <cell r="AI54">
            <v>10000</v>
          </cell>
          <cell r="AJ54">
            <v>0</v>
          </cell>
          <cell r="AK54">
            <v>15000</v>
          </cell>
          <cell r="AQ54">
            <v>5</v>
          </cell>
          <cell r="AR54" t="str">
            <v>kWh</v>
          </cell>
          <cell r="AS54" t="str">
            <v>X</v>
          </cell>
        </row>
        <row r="55">
          <cell r="B55">
            <v>41</v>
          </cell>
          <cell r="C55" t="str">
            <v>GENERAL SERVICE</v>
          </cell>
          <cell r="D55" t="str">
            <v>Less than 50 kW</v>
          </cell>
          <cell r="E55" t="str">
            <v>B</v>
          </cell>
          <cell r="F55" t="str">
            <v/>
          </cell>
          <cell r="G55" t="str">
            <v/>
          </cell>
          <cell r="H55">
            <v>0</v>
          </cell>
          <cell r="K55">
            <v>0</v>
          </cell>
          <cell r="L55">
            <v>0</v>
          </cell>
          <cell r="M55">
            <v>0</v>
          </cell>
          <cell r="Q55">
            <v>0</v>
          </cell>
          <cell r="T55">
            <v>1</v>
          </cell>
          <cell r="U55">
            <v>1</v>
          </cell>
          <cell r="V55">
            <v>0</v>
          </cell>
          <cell r="W55">
            <v>0</v>
          </cell>
          <cell r="X55">
            <v>0</v>
          </cell>
          <cell r="Y55">
            <v>0</v>
          </cell>
          <cell r="Z55">
            <v>0</v>
          </cell>
          <cell r="AA55">
            <v>0</v>
          </cell>
          <cell r="AB55">
            <v>0</v>
          </cell>
          <cell r="AC55">
            <v>1000</v>
          </cell>
          <cell r="AD55">
            <v>0</v>
          </cell>
          <cell r="AE55">
            <v>2000</v>
          </cell>
          <cell r="AF55">
            <v>0</v>
          </cell>
          <cell r="AG55">
            <v>5000</v>
          </cell>
          <cell r="AH55">
            <v>0</v>
          </cell>
          <cell r="AI55">
            <v>10000</v>
          </cell>
          <cell r="AJ55">
            <v>0</v>
          </cell>
          <cell r="AK55">
            <v>15000</v>
          </cell>
          <cell r="AL55">
            <v>0</v>
          </cell>
          <cell r="AM55">
            <v>0</v>
          </cell>
          <cell r="AN55">
            <v>0</v>
          </cell>
          <cell r="AO55">
            <v>0</v>
          </cell>
          <cell r="AP55">
            <v>0</v>
          </cell>
          <cell r="AQ55">
            <v>5</v>
          </cell>
          <cell r="AR55" t="str">
            <v>kWh</v>
          </cell>
          <cell r="AS55" t="str">
            <v/>
          </cell>
        </row>
        <row r="56">
          <cell r="B56">
            <v>42</v>
          </cell>
          <cell r="C56" t="str">
            <v>GENERAL SERVICE</v>
          </cell>
          <cell r="D56" t="str">
            <v>Less than 50 kW</v>
          </cell>
          <cell r="E56" t="str">
            <v>C</v>
          </cell>
          <cell r="F56" t="str">
            <v/>
          </cell>
          <cell r="G56" t="str">
            <v/>
          </cell>
          <cell r="H56">
            <v>0</v>
          </cell>
          <cell r="K56">
            <v>0</v>
          </cell>
          <cell r="L56">
            <v>0</v>
          </cell>
          <cell r="M56">
            <v>0</v>
          </cell>
          <cell r="Q56">
            <v>0</v>
          </cell>
          <cell r="T56">
            <v>1</v>
          </cell>
          <cell r="U56">
            <v>1</v>
          </cell>
          <cell r="V56">
            <v>0</v>
          </cell>
          <cell r="W56">
            <v>0</v>
          </cell>
          <cell r="X56">
            <v>0</v>
          </cell>
          <cell r="Y56">
            <v>0</v>
          </cell>
          <cell r="Z56">
            <v>0</v>
          </cell>
          <cell r="AA56">
            <v>0</v>
          </cell>
          <cell r="AB56">
            <v>0</v>
          </cell>
          <cell r="AC56">
            <v>1000</v>
          </cell>
          <cell r="AD56">
            <v>0</v>
          </cell>
          <cell r="AE56">
            <v>2000</v>
          </cell>
          <cell r="AF56">
            <v>0</v>
          </cell>
          <cell r="AG56">
            <v>5000</v>
          </cell>
          <cell r="AH56">
            <v>0</v>
          </cell>
          <cell r="AI56">
            <v>10000</v>
          </cell>
          <cell r="AJ56">
            <v>0</v>
          </cell>
          <cell r="AK56">
            <v>15000</v>
          </cell>
          <cell r="AL56">
            <v>0</v>
          </cell>
          <cell r="AM56">
            <v>0</v>
          </cell>
          <cell r="AN56">
            <v>0</v>
          </cell>
          <cell r="AO56">
            <v>0</v>
          </cell>
          <cell r="AP56">
            <v>0</v>
          </cell>
          <cell r="AQ56">
            <v>5</v>
          </cell>
          <cell r="AR56" t="str">
            <v>kWh</v>
          </cell>
          <cell r="AS56" t="str">
            <v/>
          </cell>
        </row>
        <row r="57">
          <cell r="B57">
            <v>43</v>
          </cell>
          <cell r="C57" t="str">
            <v>GENERAL SERVICE</v>
          </cell>
          <cell r="D57" t="str">
            <v>Less than 50 kW</v>
          </cell>
          <cell r="E57" t="str">
            <v>D</v>
          </cell>
          <cell r="F57" t="str">
            <v/>
          </cell>
          <cell r="G57" t="str">
            <v/>
          </cell>
          <cell r="H57">
            <v>0</v>
          </cell>
          <cell r="K57">
            <v>0</v>
          </cell>
          <cell r="L57">
            <v>0</v>
          </cell>
          <cell r="M57">
            <v>0</v>
          </cell>
          <cell r="Q57">
            <v>0</v>
          </cell>
          <cell r="T57">
            <v>1</v>
          </cell>
          <cell r="U57">
            <v>1</v>
          </cell>
          <cell r="V57">
            <v>0</v>
          </cell>
          <cell r="W57">
            <v>0</v>
          </cell>
          <cell r="X57">
            <v>0</v>
          </cell>
          <cell r="Y57">
            <v>0</v>
          </cell>
          <cell r="Z57">
            <v>0</v>
          </cell>
          <cell r="AA57">
            <v>0</v>
          </cell>
          <cell r="AB57">
            <v>0</v>
          </cell>
          <cell r="AC57">
            <v>1000</v>
          </cell>
          <cell r="AD57">
            <v>0</v>
          </cell>
          <cell r="AE57">
            <v>2000</v>
          </cell>
          <cell r="AF57">
            <v>0</v>
          </cell>
          <cell r="AG57">
            <v>5000</v>
          </cell>
          <cell r="AH57">
            <v>0</v>
          </cell>
          <cell r="AI57">
            <v>10000</v>
          </cell>
          <cell r="AJ57">
            <v>0</v>
          </cell>
          <cell r="AK57">
            <v>15000</v>
          </cell>
          <cell r="AL57">
            <v>0</v>
          </cell>
          <cell r="AM57">
            <v>0</v>
          </cell>
          <cell r="AN57">
            <v>0</v>
          </cell>
          <cell r="AO57">
            <v>0</v>
          </cell>
          <cell r="AP57">
            <v>0</v>
          </cell>
          <cell r="AQ57">
            <v>5</v>
          </cell>
          <cell r="AR57" t="str">
            <v>kWh</v>
          </cell>
          <cell r="AS57" t="str">
            <v/>
          </cell>
        </row>
        <row r="58">
          <cell r="B58">
            <v>44</v>
          </cell>
          <cell r="C58" t="str">
            <v>GENERAL SERVICE</v>
          </cell>
          <cell r="D58" t="str">
            <v>Less than 50 kW Time of Use</v>
          </cell>
          <cell r="E58" t="str">
            <v>A</v>
          </cell>
          <cell r="F58" t="str">
            <v/>
          </cell>
          <cell r="G58" t="str">
            <v/>
          </cell>
          <cell r="H58">
            <v>0</v>
          </cell>
          <cell r="K58">
            <v>0</v>
          </cell>
          <cell r="L58">
            <v>0</v>
          </cell>
          <cell r="M58">
            <v>0</v>
          </cell>
          <cell r="Q58">
            <v>0</v>
          </cell>
          <cell r="T58">
            <v>1</v>
          </cell>
          <cell r="U58">
            <v>1</v>
          </cell>
          <cell r="V58">
            <v>0</v>
          </cell>
          <cell r="W58">
            <v>0</v>
          </cell>
          <cell r="X58">
            <v>0</v>
          </cell>
          <cell r="Y58">
            <v>0</v>
          </cell>
          <cell r="Z58">
            <v>0</v>
          </cell>
          <cell r="AA58">
            <v>0</v>
          </cell>
          <cell r="AB58">
            <v>0</v>
          </cell>
          <cell r="AC58">
            <v>1000</v>
          </cell>
          <cell r="AD58">
            <v>0</v>
          </cell>
          <cell r="AE58">
            <v>2000</v>
          </cell>
          <cell r="AF58">
            <v>0</v>
          </cell>
          <cell r="AG58">
            <v>5000</v>
          </cell>
          <cell r="AH58">
            <v>0</v>
          </cell>
          <cell r="AI58">
            <v>10000</v>
          </cell>
          <cell r="AJ58">
            <v>0</v>
          </cell>
          <cell r="AK58">
            <v>15000</v>
          </cell>
          <cell r="AQ58">
            <v>5</v>
          </cell>
          <cell r="AR58" t="str">
            <v>kWh</v>
          </cell>
          <cell r="AS58" t="str">
            <v/>
          </cell>
        </row>
        <row r="59">
          <cell r="B59">
            <v>45</v>
          </cell>
          <cell r="C59" t="str">
            <v>GENERAL SERVICE</v>
          </cell>
          <cell r="D59" t="str">
            <v>Less than 50 kW Time of Use</v>
          </cell>
          <cell r="E59" t="str">
            <v>B</v>
          </cell>
          <cell r="F59" t="str">
            <v/>
          </cell>
          <cell r="G59" t="str">
            <v/>
          </cell>
          <cell r="H59">
            <v>0</v>
          </cell>
          <cell r="K59">
            <v>0</v>
          </cell>
          <cell r="L59">
            <v>0</v>
          </cell>
          <cell r="M59">
            <v>0</v>
          </cell>
          <cell r="Q59">
            <v>0</v>
          </cell>
          <cell r="T59">
            <v>1</v>
          </cell>
          <cell r="U59">
            <v>1</v>
          </cell>
          <cell r="V59">
            <v>0</v>
          </cell>
          <cell r="W59">
            <v>0</v>
          </cell>
          <cell r="X59">
            <v>0</v>
          </cell>
          <cell r="Y59">
            <v>0</v>
          </cell>
          <cell r="Z59">
            <v>0</v>
          </cell>
          <cell r="AA59">
            <v>0</v>
          </cell>
          <cell r="AB59">
            <v>0</v>
          </cell>
          <cell r="AC59">
            <v>1000</v>
          </cell>
          <cell r="AD59">
            <v>0</v>
          </cell>
          <cell r="AE59">
            <v>2000</v>
          </cell>
          <cell r="AF59">
            <v>0</v>
          </cell>
          <cell r="AG59">
            <v>5000</v>
          </cell>
          <cell r="AH59">
            <v>0</v>
          </cell>
          <cell r="AI59">
            <v>10000</v>
          </cell>
          <cell r="AJ59">
            <v>0</v>
          </cell>
          <cell r="AK59">
            <v>15000</v>
          </cell>
          <cell r="AL59">
            <v>0</v>
          </cell>
          <cell r="AM59">
            <v>0</v>
          </cell>
          <cell r="AN59">
            <v>0</v>
          </cell>
          <cell r="AO59">
            <v>0</v>
          </cell>
          <cell r="AP59">
            <v>0</v>
          </cell>
          <cell r="AQ59">
            <v>5</v>
          </cell>
          <cell r="AR59" t="str">
            <v>kWh</v>
          </cell>
          <cell r="AS59" t="str">
            <v/>
          </cell>
        </row>
        <row r="60">
          <cell r="B60">
            <v>46</v>
          </cell>
          <cell r="C60" t="str">
            <v>GENERAL SERVICE</v>
          </cell>
          <cell r="D60" t="str">
            <v>Less than 50 kW Time of Use</v>
          </cell>
          <cell r="E60" t="str">
            <v>C</v>
          </cell>
          <cell r="F60" t="str">
            <v/>
          </cell>
          <cell r="G60" t="str">
            <v/>
          </cell>
          <cell r="H60">
            <v>0</v>
          </cell>
          <cell r="K60">
            <v>0</v>
          </cell>
          <cell r="L60">
            <v>0</v>
          </cell>
          <cell r="M60">
            <v>0</v>
          </cell>
          <cell r="Q60">
            <v>0</v>
          </cell>
          <cell r="T60">
            <v>1</v>
          </cell>
          <cell r="U60">
            <v>1</v>
          </cell>
          <cell r="V60">
            <v>0</v>
          </cell>
          <cell r="W60">
            <v>0</v>
          </cell>
          <cell r="X60">
            <v>0</v>
          </cell>
          <cell r="Y60">
            <v>0</v>
          </cell>
          <cell r="Z60">
            <v>0</v>
          </cell>
          <cell r="AA60">
            <v>0</v>
          </cell>
          <cell r="AB60">
            <v>0</v>
          </cell>
          <cell r="AC60">
            <v>1000</v>
          </cell>
          <cell r="AD60">
            <v>0</v>
          </cell>
          <cell r="AE60">
            <v>2000</v>
          </cell>
          <cell r="AF60">
            <v>0</v>
          </cell>
          <cell r="AG60">
            <v>5000</v>
          </cell>
          <cell r="AH60">
            <v>0</v>
          </cell>
          <cell r="AI60">
            <v>10000</v>
          </cell>
          <cell r="AJ60">
            <v>0</v>
          </cell>
          <cell r="AK60">
            <v>15000</v>
          </cell>
          <cell r="AL60">
            <v>0</v>
          </cell>
          <cell r="AM60">
            <v>0</v>
          </cell>
          <cell r="AN60">
            <v>0</v>
          </cell>
          <cell r="AO60">
            <v>0</v>
          </cell>
          <cell r="AP60">
            <v>0</v>
          </cell>
          <cell r="AQ60">
            <v>5</v>
          </cell>
          <cell r="AR60" t="str">
            <v>kWh</v>
          </cell>
          <cell r="AS60" t="str">
            <v/>
          </cell>
        </row>
        <row r="61">
          <cell r="B61">
            <v>47</v>
          </cell>
          <cell r="C61" t="str">
            <v>GENERAL SERVICE</v>
          </cell>
          <cell r="D61" t="str">
            <v>Less than 50 kW Time of Use</v>
          </cell>
          <cell r="E61" t="str">
            <v>D</v>
          </cell>
          <cell r="F61" t="str">
            <v/>
          </cell>
          <cell r="G61" t="str">
            <v/>
          </cell>
          <cell r="H61">
            <v>0</v>
          </cell>
          <cell r="K61">
            <v>0</v>
          </cell>
          <cell r="L61">
            <v>0</v>
          </cell>
          <cell r="M61">
            <v>0</v>
          </cell>
          <cell r="Q61">
            <v>0</v>
          </cell>
          <cell r="T61">
            <v>1</v>
          </cell>
          <cell r="U61">
            <v>1</v>
          </cell>
          <cell r="V61">
            <v>0</v>
          </cell>
          <cell r="W61">
            <v>0</v>
          </cell>
          <cell r="X61">
            <v>0</v>
          </cell>
          <cell r="Y61">
            <v>0</v>
          </cell>
          <cell r="Z61">
            <v>0</v>
          </cell>
          <cell r="AA61">
            <v>0</v>
          </cell>
          <cell r="AB61">
            <v>0</v>
          </cell>
          <cell r="AC61">
            <v>1000</v>
          </cell>
          <cell r="AD61">
            <v>0</v>
          </cell>
          <cell r="AE61">
            <v>2000</v>
          </cell>
          <cell r="AF61">
            <v>0</v>
          </cell>
          <cell r="AG61">
            <v>5000</v>
          </cell>
          <cell r="AH61">
            <v>0</v>
          </cell>
          <cell r="AI61">
            <v>10000</v>
          </cell>
          <cell r="AJ61">
            <v>0</v>
          </cell>
          <cell r="AK61">
            <v>15000</v>
          </cell>
          <cell r="AL61">
            <v>0</v>
          </cell>
          <cell r="AM61">
            <v>0</v>
          </cell>
          <cell r="AN61">
            <v>0</v>
          </cell>
          <cell r="AO61">
            <v>0</v>
          </cell>
          <cell r="AP61">
            <v>0</v>
          </cell>
          <cell r="AQ61">
            <v>5</v>
          </cell>
          <cell r="AR61" t="str">
            <v>kWh</v>
          </cell>
          <cell r="AS61" t="str">
            <v/>
          </cell>
        </row>
        <row r="62">
          <cell r="B62">
            <v>48</v>
          </cell>
          <cell r="C62" t="str">
            <v>GENERAL SERVICE</v>
          </cell>
          <cell r="D62" t="str">
            <v>Other &lt; 50 kW (specify) .Small Commercial</v>
          </cell>
          <cell r="E62" t="str">
            <v>A</v>
          </cell>
          <cell r="F62" t="str">
            <v>X</v>
          </cell>
          <cell r="G62" t="str">
            <v>X</v>
          </cell>
          <cell r="H62">
            <v>9.8999999999999991E-3</v>
          </cell>
          <cell r="I62">
            <v>6.1999999999999998E-3</v>
          </cell>
          <cell r="J62">
            <v>7.0000000000000001E-3</v>
          </cell>
          <cell r="K62">
            <v>2.3099999999999999E-2</v>
          </cell>
          <cell r="L62">
            <v>2.3100000000000002E-2</v>
          </cell>
          <cell r="M62">
            <v>0</v>
          </cell>
          <cell r="Q62">
            <v>0</v>
          </cell>
          <cell r="R62">
            <v>5.2999999999999999E-2</v>
          </cell>
          <cell r="S62">
            <v>6.2E-2</v>
          </cell>
          <cell r="T62">
            <v>1.0432999999999999</v>
          </cell>
          <cell r="U62">
            <v>1.0432999999999999</v>
          </cell>
          <cell r="V62">
            <v>2.6499999999999999E-2</v>
          </cell>
          <cell r="W62">
            <v>0</v>
          </cell>
          <cell r="X62">
            <v>14.04</v>
          </cell>
          <cell r="Y62">
            <v>2.5600000000000001E-2</v>
          </cell>
          <cell r="Z62">
            <v>0</v>
          </cell>
          <cell r="AA62">
            <v>14.29</v>
          </cell>
          <cell r="AB62">
            <v>8.0000000000000004E-4</v>
          </cell>
          <cell r="AC62">
            <v>1000</v>
          </cell>
          <cell r="AD62">
            <v>0</v>
          </cell>
          <cell r="AE62">
            <v>2000</v>
          </cell>
          <cell r="AF62">
            <v>0</v>
          </cell>
          <cell r="AG62">
            <v>5000</v>
          </cell>
          <cell r="AH62">
            <v>0</v>
          </cell>
          <cell r="AI62">
            <v>10000</v>
          </cell>
          <cell r="AJ62">
            <v>0</v>
          </cell>
          <cell r="AK62">
            <v>15000</v>
          </cell>
          <cell r="AQ62">
            <v>5</v>
          </cell>
          <cell r="AR62" t="str">
            <v>kWh</v>
          </cell>
          <cell r="AS62" t="str">
            <v>X</v>
          </cell>
        </row>
        <row r="63">
          <cell r="B63">
            <v>49</v>
          </cell>
          <cell r="C63" t="str">
            <v>GENERAL SERVICE</v>
          </cell>
          <cell r="D63" t="str">
            <v>Other &lt; 50 kW (specify) .Small Commercial</v>
          </cell>
          <cell r="E63" t="str">
            <v>B</v>
          </cell>
          <cell r="F63" t="str">
            <v/>
          </cell>
          <cell r="G63" t="str">
            <v/>
          </cell>
          <cell r="H63">
            <v>0</v>
          </cell>
          <cell r="K63">
            <v>0</v>
          </cell>
          <cell r="L63">
            <v>0</v>
          </cell>
          <cell r="M63">
            <v>0</v>
          </cell>
          <cell r="Q63">
            <v>0</v>
          </cell>
          <cell r="T63">
            <v>1</v>
          </cell>
          <cell r="U63">
            <v>1</v>
          </cell>
          <cell r="V63">
            <v>0</v>
          </cell>
          <cell r="W63">
            <v>0</v>
          </cell>
          <cell r="X63">
            <v>0</v>
          </cell>
          <cell r="Y63">
            <v>0</v>
          </cell>
          <cell r="Z63">
            <v>0</v>
          </cell>
          <cell r="AA63">
            <v>0</v>
          </cell>
          <cell r="AB63">
            <v>0</v>
          </cell>
          <cell r="AC63">
            <v>1000</v>
          </cell>
          <cell r="AD63">
            <v>0</v>
          </cell>
          <cell r="AE63">
            <v>2000</v>
          </cell>
          <cell r="AF63">
            <v>0</v>
          </cell>
          <cell r="AG63">
            <v>5000</v>
          </cell>
          <cell r="AH63">
            <v>0</v>
          </cell>
          <cell r="AI63">
            <v>10000</v>
          </cell>
          <cell r="AJ63">
            <v>0</v>
          </cell>
          <cell r="AK63">
            <v>15000</v>
          </cell>
          <cell r="AL63">
            <v>0</v>
          </cell>
          <cell r="AM63">
            <v>0</v>
          </cell>
          <cell r="AN63">
            <v>0</v>
          </cell>
          <cell r="AO63">
            <v>0</v>
          </cell>
          <cell r="AP63">
            <v>0</v>
          </cell>
          <cell r="AQ63">
            <v>5</v>
          </cell>
          <cell r="AR63" t="str">
            <v>kWh</v>
          </cell>
          <cell r="AS63" t="str">
            <v/>
          </cell>
        </row>
        <row r="64">
          <cell r="B64">
            <v>50</v>
          </cell>
          <cell r="C64" t="str">
            <v>GENERAL SERVICE</v>
          </cell>
          <cell r="D64" t="str">
            <v>Other &lt; 50 kW (specify) .Small Commercial</v>
          </cell>
          <cell r="E64" t="str">
            <v>C</v>
          </cell>
          <cell r="F64" t="str">
            <v/>
          </cell>
          <cell r="G64" t="str">
            <v/>
          </cell>
          <cell r="H64">
            <v>0</v>
          </cell>
          <cell r="K64">
            <v>0</v>
          </cell>
          <cell r="L64">
            <v>0</v>
          </cell>
          <cell r="M64">
            <v>0</v>
          </cell>
          <cell r="Q64">
            <v>0</v>
          </cell>
          <cell r="T64">
            <v>1</v>
          </cell>
          <cell r="U64">
            <v>1</v>
          </cell>
          <cell r="V64">
            <v>0</v>
          </cell>
          <cell r="W64">
            <v>0</v>
          </cell>
          <cell r="X64">
            <v>0</v>
          </cell>
          <cell r="Y64">
            <v>0</v>
          </cell>
          <cell r="Z64">
            <v>0</v>
          </cell>
          <cell r="AA64">
            <v>0</v>
          </cell>
          <cell r="AB64">
            <v>0</v>
          </cell>
          <cell r="AC64">
            <v>1000</v>
          </cell>
          <cell r="AD64">
            <v>0</v>
          </cell>
          <cell r="AE64">
            <v>2000</v>
          </cell>
          <cell r="AF64">
            <v>0</v>
          </cell>
          <cell r="AG64">
            <v>5000</v>
          </cell>
          <cell r="AH64">
            <v>0</v>
          </cell>
          <cell r="AI64">
            <v>10000</v>
          </cell>
          <cell r="AJ64">
            <v>0</v>
          </cell>
          <cell r="AK64">
            <v>15000</v>
          </cell>
          <cell r="AL64">
            <v>0</v>
          </cell>
          <cell r="AM64">
            <v>0</v>
          </cell>
          <cell r="AN64">
            <v>0</v>
          </cell>
          <cell r="AO64">
            <v>0</v>
          </cell>
          <cell r="AP64">
            <v>0</v>
          </cell>
          <cell r="AQ64">
            <v>5</v>
          </cell>
          <cell r="AR64" t="str">
            <v>kWh</v>
          </cell>
          <cell r="AS64" t="str">
            <v/>
          </cell>
        </row>
        <row r="65">
          <cell r="B65">
            <v>51</v>
          </cell>
          <cell r="C65" t="str">
            <v>GENERAL SERVICE</v>
          </cell>
          <cell r="D65" t="str">
            <v>Other &lt; 50 kW (specify) .Small Commercial</v>
          </cell>
          <cell r="E65" t="str">
            <v>D</v>
          </cell>
          <cell r="F65" t="str">
            <v/>
          </cell>
          <cell r="G65" t="str">
            <v/>
          </cell>
          <cell r="H65">
            <v>0</v>
          </cell>
          <cell r="K65">
            <v>0</v>
          </cell>
          <cell r="L65">
            <v>0</v>
          </cell>
          <cell r="M65">
            <v>0</v>
          </cell>
          <cell r="Q65">
            <v>0</v>
          </cell>
          <cell r="T65">
            <v>1</v>
          </cell>
          <cell r="U65">
            <v>1</v>
          </cell>
          <cell r="V65">
            <v>0</v>
          </cell>
          <cell r="W65">
            <v>0</v>
          </cell>
          <cell r="X65">
            <v>0</v>
          </cell>
          <cell r="Y65">
            <v>0</v>
          </cell>
          <cell r="Z65">
            <v>0</v>
          </cell>
          <cell r="AA65">
            <v>0</v>
          </cell>
          <cell r="AB65">
            <v>0</v>
          </cell>
          <cell r="AC65">
            <v>1000</v>
          </cell>
          <cell r="AD65">
            <v>0</v>
          </cell>
          <cell r="AE65">
            <v>2000</v>
          </cell>
          <cell r="AF65">
            <v>0</v>
          </cell>
          <cell r="AG65">
            <v>5000</v>
          </cell>
          <cell r="AH65">
            <v>0</v>
          </cell>
          <cell r="AI65">
            <v>10000</v>
          </cell>
          <cell r="AJ65">
            <v>0</v>
          </cell>
          <cell r="AK65">
            <v>15000</v>
          </cell>
          <cell r="AL65">
            <v>0</v>
          </cell>
          <cell r="AM65">
            <v>0</v>
          </cell>
          <cell r="AN65">
            <v>0</v>
          </cell>
          <cell r="AO65">
            <v>0</v>
          </cell>
          <cell r="AP65">
            <v>0</v>
          </cell>
          <cell r="AQ65">
            <v>5</v>
          </cell>
          <cell r="AR65" t="str">
            <v>kWh</v>
          </cell>
          <cell r="AS65" t="str">
            <v/>
          </cell>
        </row>
        <row r="66">
          <cell r="B66">
            <v>52</v>
          </cell>
          <cell r="C66" t="str">
            <v>GENERAL SERVICE</v>
          </cell>
          <cell r="D66" t="str">
            <v>Greater than 50 kW (to 3000 kW)</v>
          </cell>
          <cell r="E66" t="str">
            <v>A</v>
          </cell>
          <cell r="F66" t="str">
            <v/>
          </cell>
          <cell r="G66" t="str">
            <v/>
          </cell>
          <cell r="H66">
            <v>0</v>
          </cell>
          <cell r="K66">
            <v>0</v>
          </cell>
          <cell r="L66">
            <v>0</v>
          </cell>
          <cell r="M66">
            <v>0</v>
          </cell>
          <cell r="P66">
            <v>0</v>
          </cell>
          <cell r="Q66">
            <v>0</v>
          </cell>
          <cell r="T66">
            <v>1</v>
          </cell>
          <cell r="U66">
            <v>1</v>
          </cell>
          <cell r="V66">
            <v>0</v>
          </cell>
          <cell r="W66">
            <v>0</v>
          </cell>
          <cell r="X66">
            <v>0</v>
          </cell>
          <cell r="Y66">
            <v>0</v>
          </cell>
          <cell r="Z66">
            <v>0</v>
          </cell>
          <cell r="AA66">
            <v>0</v>
          </cell>
          <cell r="AB66">
            <v>0</v>
          </cell>
          <cell r="AC66">
            <v>15000</v>
          </cell>
          <cell r="AD66">
            <v>60</v>
          </cell>
          <cell r="AE66">
            <v>40000</v>
          </cell>
          <cell r="AF66">
            <v>100</v>
          </cell>
          <cell r="AG66">
            <v>100000</v>
          </cell>
          <cell r="AH66">
            <v>500</v>
          </cell>
          <cell r="AI66">
            <v>400000</v>
          </cell>
          <cell r="AJ66">
            <v>1000</v>
          </cell>
          <cell r="AK66">
            <v>1000000</v>
          </cell>
          <cell r="AL66">
            <v>3000</v>
          </cell>
          <cell r="AQ66">
            <v>5</v>
          </cell>
          <cell r="AR66" t="str">
            <v>kW</v>
          </cell>
          <cell r="AS66" t="str">
            <v/>
          </cell>
        </row>
        <row r="67">
          <cell r="B67">
            <v>53</v>
          </cell>
          <cell r="C67" t="str">
            <v>GENERAL SERVICE</v>
          </cell>
          <cell r="D67" t="str">
            <v>Greater than 50 kW (to 3000 kW)</v>
          </cell>
          <cell r="E67" t="str">
            <v>B</v>
          </cell>
          <cell r="F67" t="str">
            <v/>
          </cell>
          <cell r="G67" t="str">
            <v/>
          </cell>
          <cell r="H67">
            <v>0</v>
          </cell>
          <cell r="K67">
            <v>0</v>
          </cell>
          <cell r="L67">
            <v>0</v>
          </cell>
          <cell r="M67">
            <v>0</v>
          </cell>
          <cell r="P67">
            <v>0</v>
          </cell>
          <cell r="Q67">
            <v>0</v>
          </cell>
          <cell r="T67">
            <v>1</v>
          </cell>
          <cell r="U67">
            <v>1</v>
          </cell>
          <cell r="V67">
            <v>0</v>
          </cell>
          <cell r="W67">
            <v>0</v>
          </cell>
          <cell r="X67">
            <v>0</v>
          </cell>
          <cell r="Y67">
            <v>0</v>
          </cell>
          <cell r="Z67">
            <v>0</v>
          </cell>
          <cell r="AA67">
            <v>0</v>
          </cell>
          <cell r="AB67">
            <v>0</v>
          </cell>
          <cell r="AC67">
            <v>15000</v>
          </cell>
          <cell r="AD67">
            <v>60</v>
          </cell>
          <cell r="AE67">
            <v>40000</v>
          </cell>
          <cell r="AF67">
            <v>100</v>
          </cell>
          <cell r="AG67">
            <v>100000</v>
          </cell>
          <cell r="AH67">
            <v>500</v>
          </cell>
          <cell r="AI67">
            <v>400000</v>
          </cell>
          <cell r="AJ67">
            <v>1000</v>
          </cell>
          <cell r="AK67">
            <v>1000000</v>
          </cell>
          <cell r="AL67">
            <v>3000</v>
          </cell>
          <cell r="AM67">
            <v>0</v>
          </cell>
          <cell r="AN67">
            <v>0</v>
          </cell>
          <cell r="AO67">
            <v>0</v>
          </cell>
          <cell r="AP67">
            <v>0</v>
          </cell>
          <cell r="AQ67">
            <v>5</v>
          </cell>
          <cell r="AR67" t="str">
            <v>kW</v>
          </cell>
          <cell r="AS67" t="str">
            <v/>
          </cell>
        </row>
        <row r="68">
          <cell r="B68">
            <v>54</v>
          </cell>
          <cell r="C68" t="str">
            <v>GENERAL SERVICE</v>
          </cell>
          <cell r="D68" t="str">
            <v>Greater than 50 kW (to 3000 kW)</v>
          </cell>
          <cell r="E68" t="str">
            <v>C</v>
          </cell>
          <cell r="F68" t="str">
            <v/>
          </cell>
          <cell r="G68" t="str">
            <v/>
          </cell>
          <cell r="H68">
            <v>0</v>
          </cell>
          <cell r="K68">
            <v>0</v>
          </cell>
          <cell r="L68">
            <v>0</v>
          </cell>
          <cell r="M68">
            <v>0</v>
          </cell>
          <cell r="P68">
            <v>0</v>
          </cell>
          <cell r="Q68">
            <v>0</v>
          </cell>
          <cell r="T68">
            <v>1</v>
          </cell>
          <cell r="U68">
            <v>1</v>
          </cell>
          <cell r="V68">
            <v>0</v>
          </cell>
          <cell r="W68">
            <v>0</v>
          </cell>
          <cell r="X68">
            <v>0</v>
          </cell>
          <cell r="Y68">
            <v>0</v>
          </cell>
          <cell r="Z68">
            <v>0</v>
          </cell>
          <cell r="AA68">
            <v>0</v>
          </cell>
          <cell r="AB68">
            <v>0</v>
          </cell>
          <cell r="AC68">
            <v>15000</v>
          </cell>
          <cell r="AD68">
            <v>60</v>
          </cell>
          <cell r="AE68">
            <v>40000</v>
          </cell>
          <cell r="AF68">
            <v>100</v>
          </cell>
          <cell r="AG68">
            <v>100000</v>
          </cell>
          <cell r="AH68">
            <v>500</v>
          </cell>
          <cell r="AI68">
            <v>400000</v>
          </cell>
          <cell r="AJ68">
            <v>1000</v>
          </cell>
          <cell r="AK68">
            <v>1000000</v>
          </cell>
          <cell r="AL68">
            <v>3000</v>
          </cell>
          <cell r="AM68">
            <v>0</v>
          </cell>
          <cell r="AN68">
            <v>0</v>
          </cell>
          <cell r="AO68">
            <v>0</v>
          </cell>
          <cell r="AP68">
            <v>0</v>
          </cell>
          <cell r="AQ68">
            <v>5</v>
          </cell>
          <cell r="AR68" t="str">
            <v>kW</v>
          </cell>
          <cell r="AS68" t="str">
            <v/>
          </cell>
        </row>
        <row r="69">
          <cell r="B69">
            <v>55</v>
          </cell>
          <cell r="C69" t="str">
            <v>GENERAL SERVICE</v>
          </cell>
          <cell r="D69" t="str">
            <v>Greater than 50 kW (to 3000 kW)</v>
          </cell>
          <cell r="E69" t="str">
            <v>D</v>
          </cell>
          <cell r="F69" t="str">
            <v/>
          </cell>
          <cell r="G69" t="str">
            <v/>
          </cell>
          <cell r="H69">
            <v>0</v>
          </cell>
          <cell r="K69">
            <v>0</v>
          </cell>
          <cell r="L69">
            <v>0</v>
          </cell>
          <cell r="M69">
            <v>0</v>
          </cell>
          <cell r="P69">
            <v>0</v>
          </cell>
          <cell r="Q69">
            <v>0</v>
          </cell>
          <cell r="T69">
            <v>1</v>
          </cell>
          <cell r="U69">
            <v>1</v>
          </cell>
          <cell r="V69">
            <v>0</v>
          </cell>
          <cell r="W69">
            <v>0</v>
          </cell>
          <cell r="X69">
            <v>0</v>
          </cell>
          <cell r="Y69">
            <v>0</v>
          </cell>
          <cell r="Z69">
            <v>0</v>
          </cell>
          <cell r="AA69">
            <v>0</v>
          </cell>
          <cell r="AB69">
            <v>0</v>
          </cell>
          <cell r="AC69">
            <v>15000</v>
          </cell>
          <cell r="AD69">
            <v>60</v>
          </cell>
          <cell r="AE69">
            <v>40000</v>
          </cell>
          <cell r="AF69">
            <v>100</v>
          </cell>
          <cell r="AG69">
            <v>100000</v>
          </cell>
          <cell r="AH69">
            <v>500</v>
          </cell>
          <cell r="AI69">
            <v>400000</v>
          </cell>
          <cell r="AJ69">
            <v>1000</v>
          </cell>
          <cell r="AK69">
            <v>1000000</v>
          </cell>
          <cell r="AL69">
            <v>3000</v>
          </cell>
          <cell r="AM69">
            <v>0</v>
          </cell>
          <cell r="AN69">
            <v>0</v>
          </cell>
          <cell r="AO69">
            <v>0</v>
          </cell>
          <cell r="AP69">
            <v>0</v>
          </cell>
          <cell r="AQ69">
            <v>5</v>
          </cell>
          <cell r="AR69" t="str">
            <v>kW</v>
          </cell>
          <cell r="AS69" t="str">
            <v/>
          </cell>
        </row>
        <row r="70">
          <cell r="B70">
            <v>56</v>
          </cell>
          <cell r="C70" t="str">
            <v>GENERAL SERVICE</v>
          </cell>
          <cell r="D70" t="str">
            <v>Greater than 50 kW Time of Use</v>
          </cell>
          <cell r="E70" t="str">
            <v>A</v>
          </cell>
          <cell r="F70" t="str">
            <v/>
          </cell>
          <cell r="G70" t="str">
            <v/>
          </cell>
          <cell r="H70">
            <v>0</v>
          </cell>
          <cell r="K70">
            <v>0</v>
          </cell>
          <cell r="L70">
            <v>0</v>
          </cell>
          <cell r="M70">
            <v>0</v>
          </cell>
          <cell r="P70">
            <v>0</v>
          </cell>
          <cell r="Q70">
            <v>0</v>
          </cell>
          <cell r="T70">
            <v>1</v>
          </cell>
          <cell r="U70">
            <v>1</v>
          </cell>
          <cell r="V70">
            <v>0</v>
          </cell>
          <cell r="W70">
            <v>0</v>
          </cell>
          <cell r="X70">
            <v>0</v>
          </cell>
          <cell r="Y70">
            <v>0</v>
          </cell>
          <cell r="Z70">
            <v>0</v>
          </cell>
          <cell r="AA70">
            <v>0</v>
          </cell>
          <cell r="AB70">
            <v>0</v>
          </cell>
          <cell r="AC70">
            <v>15000</v>
          </cell>
          <cell r="AD70">
            <v>60</v>
          </cell>
          <cell r="AE70">
            <v>40000</v>
          </cell>
          <cell r="AF70">
            <v>100</v>
          </cell>
          <cell r="AG70">
            <v>100000</v>
          </cell>
          <cell r="AH70">
            <v>500</v>
          </cell>
          <cell r="AI70">
            <v>400000</v>
          </cell>
          <cell r="AJ70">
            <v>1000</v>
          </cell>
          <cell r="AK70">
            <v>1000000</v>
          </cell>
          <cell r="AL70">
            <v>3000</v>
          </cell>
          <cell r="AQ70">
            <v>5</v>
          </cell>
          <cell r="AR70" t="str">
            <v>kW</v>
          </cell>
          <cell r="AS70" t="str">
            <v/>
          </cell>
        </row>
        <row r="71">
          <cell r="B71">
            <v>57</v>
          </cell>
          <cell r="C71" t="str">
            <v>GENERAL SERVICE</v>
          </cell>
          <cell r="D71" t="str">
            <v>Greater than 50 kW Time of Use</v>
          </cell>
          <cell r="E71" t="str">
            <v>B</v>
          </cell>
          <cell r="F71" t="str">
            <v/>
          </cell>
          <cell r="G71" t="str">
            <v/>
          </cell>
          <cell r="H71">
            <v>0</v>
          </cell>
          <cell r="K71">
            <v>0</v>
          </cell>
          <cell r="L71">
            <v>0</v>
          </cell>
          <cell r="M71">
            <v>0</v>
          </cell>
          <cell r="P71">
            <v>0</v>
          </cell>
          <cell r="Q71">
            <v>0</v>
          </cell>
          <cell r="T71">
            <v>1</v>
          </cell>
          <cell r="U71">
            <v>1</v>
          </cell>
          <cell r="V71">
            <v>0</v>
          </cell>
          <cell r="W71">
            <v>0</v>
          </cell>
          <cell r="X71">
            <v>0</v>
          </cell>
          <cell r="Y71">
            <v>0</v>
          </cell>
          <cell r="Z71">
            <v>0</v>
          </cell>
          <cell r="AA71">
            <v>0</v>
          </cell>
          <cell r="AB71">
            <v>0</v>
          </cell>
          <cell r="AC71">
            <v>15000</v>
          </cell>
          <cell r="AD71">
            <v>60</v>
          </cell>
          <cell r="AE71">
            <v>40000</v>
          </cell>
          <cell r="AF71">
            <v>100</v>
          </cell>
          <cell r="AG71">
            <v>100000</v>
          </cell>
          <cell r="AH71">
            <v>500</v>
          </cell>
          <cell r="AI71">
            <v>400000</v>
          </cell>
          <cell r="AJ71">
            <v>1000</v>
          </cell>
          <cell r="AK71">
            <v>1000000</v>
          </cell>
          <cell r="AL71">
            <v>3000</v>
          </cell>
          <cell r="AM71">
            <v>0</v>
          </cell>
          <cell r="AN71">
            <v>0</v>
          </cell>
          <cell r="AO71">
            <v>0</v>
          </cell>
          <cell r="AP71">
            <v>0</v>
          </cell>
          <cell r="AQ71">
            <v>5</v>
          </cell>
          <cell r="AR71" t="str">
            <v>kW</v>
          </cell>
          <cell r="AS71" t="str">
            <v/>
          </cell>
        </row>
        <row r="72">
          <cell r="B72">
            <v>58</v>
          </cell>
          <cell r="C72" t="str">
            <v>GENERAL SERVICE</v>
          </cell>
          <cell r="D72" t="str">
            <v>Greater than 50 kW Time of Use</v>
          </cell>
          <cell r="E72" t="str">
            <v>C</v>
          </cell>
          <cell r="F72" t="str">
            <v/>
          </cell>
          <cell r="G72" t="str">
            <v/>
          </cell>
          <cell r="H72">
            <v>0</v>
          </cell>
          <cell r="K72">
            <v>0</v>
          </cell>
          <cell r="L72">
            <v>0</v>
          </cell>
          <cell r="M72">
            <v>0</v>
          </cell>
          <cell r="P72">
            <v>0</v>
          </cell>
          <cell r="Q72">
            <v>0</v>
          </cell>
          <cell r="T72">
            <v>1</v>
          </cell>
          <cell r="U72">
            <v>1</v>
          </cell>
          <cell r="V72">
            <v>0</v>
          </cell>
          <cell r="W72">
            <v>0</v>
          </cell>
          <cell r="X72">
            <v>0</v>
          </cell>
          <cell r="Y72">
            <v>0</v>
          </cell>
          <cell r="Z72">
            <v>0</v>
          </cell>
          <cell r="AA72">
            <v>0</v>
          </cell>
          <cell r="AB72">
            <v>0</v>
          </cell>
          <cell r="AC72">
            <v>15000</v>
          </cell>
          <cell r="AD72">
            <v>60</v>
          </cell>
          <cell r="AE72">
            <v>40000</v>
          </cell>
          <cell r="AF72">
            <v>100</v>
          </cell>
          <cell r="AG72">
            <v>100000</v>
          </cell>
          <cell r="AH72">
            <v>500</v>
          </cell>
          <cell r="AI72">
            <v>400000</v>
          </cell>
          <cell r="AJ72">
            <v>1000</v>
          </cell>
          <cell r="AK72">
            <v>1000000</v>
          </cell>
          <cell r="AL72">
            <v>3000</v>
          </cell>
          <cell r="AM72">
            <v>0</v>
          </cell>
          <cell r="AN72">
            <v>0</v>
          </cell>
          <cell r="AO72">
            <v>0</v>
          </cell>
          <cell r="AP72">
            <v>0</v>
          </cell>
          <cell r="AQ72">
            <v>5</v>
          </cell>
          <cell r="AR72" t="str">
            <v>kW</v>
          </cell>
          <cell r="AS72" t="str">
            <v/>
          </cell>
        </row>
        <row r="73">
          <cell r="B73">
            <v>59</v>
          </cell>
          <cell r="C73" t="str">
            <v>GENERAL SERVICE</v>
          </cell>
          <cell r="D73" t="str">
            <v>Greater than 50 kW Time of Use</v>
          </cell>
          <cell r="E73" t="str">
            <v>D</v>
          </cell>
          <cell r="F73" t="str">
            <v/>
          </cell>
          <cell r="G73" t="str">
            <v/>
          </cell>
          <cell r="H73">
            <v>0</v>
          </cell>
          <cell r="K73">
            <v>0</v>
          </cell>
          <cell r="L73">
            <v>0</v>
          </cell>
          <cell r="M73">
            <v>0</v>
          </cell>
          <cell r="P73">
            <v>0</v>
          </cell>
          <cell r="Q73">
            <v>0</v>
          </cell>
          <cell r="T73">
            <v>1</v>
          </cell>
          <cell r="U73">
            <v>1</v>
          </cell>
          <cell r="V73">
            <v>0</v>
          </cell>
          <cell r="W73">
            <v>0</v>
          </cell>
          <cell r="X73">
            <v>0</v>
          </cell>
          <cell r="Y73">
            <v>0</v>
          </cell>
          <cell r="Z73">
            <v>0</v>
          </cell>
          <cell r="AA73">
            <v>0</v>
          </cell>
          <cell r="AB73">
            <v>0</v>
          </cell>
          <cell r="AC73">
            <v>15000</v>
          </cell>
          <cell r="AD73">
            <v>60</v>
          </cell>
          <cell r="AE73">
            <v>40000</v>
          </cell>
          <cell r="AF73">
            <v>100</v>
          </cell>
          <cell r="AG73">
            <v>100000</v>
          </cell>
          <cell r="AH73">
            <v>500</v>
          </cell>
          <cell r="AI73">
            <v>400000</v>
          </cell>
          <cell r="AJ73">
            <v>1000</v>
          </cell>
          <cell r="AK73">
            <v>1000000</v>
          </cell>
          <cell r="AL73">
            <v>3000</v>
          </cell>
          <cell r="AM73">
            <v>0</v>
          </cell>
          <cell r="AN73">
            <v>0</v>
          </cell>
          <cell r="AO73">
            <v>0</v>
          </cell>
          <cell r="AP73">
            <v>0</v>
          </cell>
          <cell r="AQ73">
            <v>5</v>
          </cell>
          <cell r="AR73" t="str">
            <v>kW</v>
          </cell>
          <cell r="AS73" t="str">
            <v/>
          </cell>
        </row>
        <row r="74">
          <cell r="B74">
            <v>60</v>
          </cell>
          <cell r="C74" t="str">
            <v>GENERAL SERVICE</v>
          </cell>
          <cell r="D74" t="str">
            <v>Other &gt; 50 kW (specify) .50 kW - 499 kW</v>
          </cell>
          <cell r="E74" t="str">
            <v>A</v>
          </cell>
          <cell r="F74" t="str">
            <v>X</v>
          </cell>
          <cell r="G74" t="str">
            <v>X</v>
          </cell>
          <cell r="H74">
            <v>0</v>
          </cell>
          <cell r="I74">
            <v>6.1999999999999998E-3</v>
          </cell>
          <cell r="J74">
            <v>7.0000000000000001E-3</v>
          </cell>
          <cell r="K74">
            <v>1.32E-2</v>
          </cell>
          <cell r="L74">
            <v>1.32E-2</v>
          </cell>
          <cell r="M74">
            <v>3.9245000000000001</v>
          </cell>
          <cell r="P74">
            <v>3.9245000000000001</v>
          </cell>
          <cell r="Q74">
            <v>3.9245000000000001</v>
          </cell>
          <cell r="R74">
            <v>5.2999999999999999E-2</v>
          </cell>
          <cell r="S74">
            <v>6.2E-2</v>
          </cell>
          <cell r="T74">
            <v>1.0432999999999999</v>
          </cell>
          <cell r="U74">
            <v>1.0432999999999999</v>
          </cell>
          <cell r="V74">
            <v>0</v>
          </cell>
          <cell r="W74">
            <v>4.7192999999999996</v>
          </cell>
          <cell r="X74">
            <v>74.239999999999995</v>
          </cell>
          <cell r="Y74">
            <v>0</v>
          </cell>
          <cell r="Z74">
            <v>4.3715000000000002</v>
          </cell>
          <cell r="AA74">
            <v>72.959999999999994</v>
          </cell>
          <cell r="AB74">
            <v>0.32929999999999998</v>
          </cell>
          <cell r="AC74">
            <v>15000</v>
          </cell>
          <cell r="AD74">
            <v>60</v>
          </cell>
          <cell r="AE74">
            <v>40000</v>
          </cell>
          <cell r="AF74">
            <v>100</v>
          </cell>
          <cell r="AQ74">
            <v>2</v>
          </cell>
          <cell r="AR74" t="str">
            <v>kW</v>
          </cell>
          <cell r="AS74" t="str">
            <v>X</v>
          </cell>
        </row>
        <row r="75">
          <cell r="B75">
            <v>61</v>
          </cell>
          <cell r="C75" t="str">
            <v>GENERAL SERVICE</v>
          </cell>
          <cell r="D75" t="str">
            <v>Other &gt; 50 kW (specify) .50 kW - 499 kW</v>
          </cell>
          <cell r="E75" t="str">
            <v>B</v>
          </cell>
          <cell r="F75" t="str">
            <v/>
          </cell>
          <cell r="G75" t="str">
            <v/>
          </cell>
          <cell r="H75">
            <v>0</v>
          </cell>
          <cell r="K75">
            <v>0</v>
          </cell>
          <cell r="L75">
            <v>0</v>
          </cell>
          <cell r="M75">
            <v>0</v>
          </cell>
          <cell r="P75">
            <v>0</v>
          </cell>
          <cell r="Q75">
            <v>0</v>
          </cell>
          <cell r="T75">
            <v>1</v>
          </cell>
          <cell r="U75">
            <v>1</v>
          </cell>
          <cell r="V75">
            <v>0</v>
          </cell>
          <cell r="W75">
            <v>0</v>
          </cell>
          <cell r="X75">
            <v>0</v>
          </cell>
          <cell r="Y75">
            <v>0</v>
          </cell>
          <cell r="Z75">
            <v>0</v>
          </cell>
          <cell r="AA75">
            <v>0</v>
          </cell>
          <cell r="AB75">
            <v>0</v>
          </cell>
          <cell r="AC75">
            <v>15000</v>
          </cell>
          <cell r="AD75">
            <v>60</v>
          </cell>
          <cell r="AE75">
            <v>40000</v>
          </cell>
          <cell r="AF75">
            <v>100</v>
          </cell>
          <cell r="AG75">
            <v>0</v>
          </cell>
          <cell r="AH75">
            <v>0</v>
          </cell>
          <cell r="AI75">
            <v>0</v>
          </cell>
          <cell r="AJ75">
            <v>0</v>
          </cell>
          <cell r="AK75">
            <v>0</v>
          </cell>
          <cell r="AL75">
            <v>0</v>
          </cell>
          <cell r="AM75">
            <v>0</v>
          </cell>
          <cell r="AN75">
            <v>0</v>
          </cell>
          <cell r="AO75">
            <v>0</v>
          </cell>
          <cell r="AP75">
            <v>0</v>
          </cell>
          <cell r="AQ75">
            <v>2</v>
          </cell>
          <cell r="AR75" t="str">
            <v>kW</v>
          </cell>
          <cell r="AS75" t="str">
            <v/>
          </cell>
        </row>
        <row r="76">
          <cell r="B76">
            <v>62</v>
          </cell>
          <cell r="C76" t="str">
            <v>GENERAL SERVICE</v>
          </cell>
          <cell r="D76" t="str">
            <v>Other &gt; 50 kW (specify) .50 kW - 499 kW</v>
          </cell>
          <cell r="E76" t="str">
            <v>C</v>
          </cell>
          <cell r="F76" t="str">
            <v/>
          </cell>
          <cell r="G76" t="str">
            <v/>
          </cell>
          <cell r="H76">
            <v>0</v>
          </cell>
          <cell r="K76">
            <v>0</v>
          </cell>
          <cell r="L76">
            <v>0</v>
          </cell>
          <cell r="M76">
            <v>0</v>
          </cell>
          <cell r="P76">
            <v>0</v>
          </cell>
          <cell r="Q76">
            <v>0</v>
          </cell>
          <cell r="T76">
            <v>1</v>
          </cell>
          <cell r="U76">
            <v>1</v>
          </cell>
          <cell r="V76">
            <v>0</v>
          </cell>
          <cell r="W76">
            <v>0</v>
          </cell>
          <cell r="X76">
            <v>0</v>
          </cell>
          <cell r="Y76">
            <v>0</v>
          </cell>
          <cell r="Z76">
            <v>0</v>
          </cell>
          <cell r="AA76">
            <v>0</v>
          </cell>
          <cell r="AB76">
            <v>0</v>
          </cell>
          <cell r="AC76">
            <v>15000</v>
          </cell>
          <cell r="AD76">
            <v>60</v>
          </cell>
          <cell r="AE76">
            <v>40000</v>
          </cell>
          <cell r="AF76">
            <v>100</v>
          </cell>
          <cell r="AG76">
            <v>0</v>
          </cell>
          <cell r="AH76">
            <v>0</v>
          </cell>
          <cell r="AI76">
            <v>0</v>
          </cell>
          <cell r="AJ76">
            <v>0</v>
          </cell>
          <cell r="AK76">
            <v>0</v>
          </cell>
          <cell r="AL76">
            <v>0</v>
          </cell>
          <cell r="AM76">
            <v>0</v>
          </cell>
          <cell r="AN76">
            <v>0</v>
          </cell>
          <cell r="AO76">
            <v>0</v>
          </cell>
          <cell r="AP76">
            <v>0</v>
          </cell>
          <cell r="AQ76">
            <v>2</v>
          </cell>
          <cell r="AR76" t="str">
            <v>kW</v>
          </cell>
          <cell r="AS76" t="str">
            <v/>
          </cell>
        </row>
        <row r="77">
          <cell r="B77">
            <v>63</v>
          </cell>
          <cell r="C77" t="str">
            <v>GENERAL SERVICE</v>
          </cell>
          <cell r="D77" t="str">
            <v>Other &gt; 50 kW (specify) .50 kW - 499 kW</v>
          </cell>
          <cell r="E77" t="str">
            <v>D</v>
          </cell>
          <cell r="F77" t="str">
            <v/>
          </cell>
          <cell r="G77" t="str">
            <v/>
          </cell>
          <cell r="H77">
            <v>0</v>
          </cell>
          <cell r="K77">
            <v>0</v>
          </cell>
          <cell r="L77">
            <v>0</v>
          </cell>
          <cell r="M77">
            <v>0</v>
          </cell>
          <cell r="P77">
            <v>0</v>
          </cell>
          <cell r="Q77">
            <v>0</v>
          </cell>
          <cell r="T77">
            <v>1</v>
          </cell>
          <cell r="U77">
            <v>1</v>
          </cell>
          <cell r="V77">
            <v>0</v>
          </cell>
          <cell r="W77">
            <v>0</v>
          </cell>
          <cell r="X77">
            <v>0</v>
          </cell>
          <cell r="Y77">
            <v>0</v>
          </cell>
          <cell r="Z77">
            <v>0</v>
          </cell>
          <cell r="AA77">
            <v>0</v>
          </cell>
          <cell r="AB77">
            <v>0</v>
          </cell>
          <cell r="AC77">
            <v>15000</v>
          </cell>
          <cell r="AD77">
            <v>60</v>
          </cell>
          <cell r="AE77">
            <v>40000</v>
          </cell>
          <cell r="AF77">
            <v>100</v>
          </cell>
          <cell r="AG77">
            <v>0</v>
          </cell>
          <cell r="AH77">
            <v>0</v>
          </cell>
          <cell r="AI77">
            <v>0</v>
          </cell>
          <cell r="AJ77">
            <v>0</v>
          </cell>
          <cell r="AK77">
            <v>0</v>
          </cell>
          <cell r="AL77">
            <v>0</v>
          </cell>
          <cell r="AM77">
            <v>0</v>
          </cell>
          <cell r="AN77">
            <v>0</v>
          </cell>
          <cell r="AO77">
            <v>0</v>
          </cell>
          <cell r="AP77">
            <v>0</v>
          </cell>
          <cell r="AQ77">
            <v>2</v>
          </cell>
          <cell r="AR77" t="str">
            <v>kW</v>
          </cell>
          <cell r="AS77" t="str">
            <v/>
          </cell>
        </row>
        <row r="78">
          <cell r="B78">
            <v>64</v>
          </cell>
          <cell r="C78" t="str">
            <v>GENERAL SERVICE</v>
          </cell>
          <cell r="D78" t="str">
            <v>Other &gt; 50 kW (specify) .500 kW - 4999 kW</v>
          </cell>
          <cell r="E78" t="str">
            <v>A</v>
          </cell>
          <cell r="F78" t="str">
            <v>X</v>
          </cell>
          <cell r="G78" t="str">
            <v>X</v>
          </cell>
          <cell r="H78">
            <v>0</v>
          </cell>
          <cell r="I78">
            <v>6.1999999999999998E-3</v>
          </cell>
          <cell r="J78">
            <v>7.0000000000000001E-3</v>
          </cell>
          <cell r="K78">
            <v>1.32E-2</v>
          </cell>
          <cell r="L78">
            <v>1.32E-2</v>
          </cell>
          <cell r="M78">
            <v>3.8168000000000002</v>
          </cell>
          <cell r="P78">
            <v>3.8168000000000002</v>
          </cell>
          <cell r="Q78">
            <v>3.8168000000000002</v>
          </cell>
          <cell r="R78">
            <v>5.2999999999999999E-2</v>
          </cell>
          <cell r="S78">
            <v>6.2E-2</v>
          </cell>
          <cell r="T78">
            <v>1.0432999999999999</v>
          </cell>
          <cell r="U78">
            <v>1.0432999999999999</v>
          </cell>
          <cell r="V78">
            <v>0</v>
          </cell>
          <cell r="W78">
            <v>1.6684000000000001</v>
          </cell>
          <cell r="X78">
            <v>1240.76</v>
          </cell>
          <cell r="Y78">
            <v>0</v>
          </cell>
          <cell r="Z78">
            <v>1.6835</v>
          </cell>
          <cell r="AA78">
            <v>1234.56</v>
          </cell>
          <cell r="AB78">
            <v>-2.2200000000000001E-2</v>
          </cell>
          <cell r="AC78">
            <v>100000</v>
          </cell>
          <cell r="AD78">
            <v>500</v>
          </cell>
          <cell r="AE78">
            <v>400000</v>
          </cell>
          <cell r="AF78">
            <v>1000</v>
          </cell>
          <cell r="AG78">
            <v>1000000</v>
          </cell>
          <cell r="AH78">
            <v>3000</v>
          </cell>
          <cell r="AQ78">
            <v>3</v>
          </cell>
          <cell r="AR78" t="str">
            <v>kW</v>
          </cell>
          <cell r="AS78" t="str">
            <v>X</v>
          </cell>
        </row>
        <row r="79">
          <cell r="B79">
            <v>65</v>
          </cell>
          <cell r="C79" t="str">
            <v>GENERAL SERVICE</v>
          </cell>
          <cell r="D79" t="str">
            <v>Other &gt; 50 kW (specify) .500 kW - 4999 kW</v>
          </cell>
          <cell r="E79" t="str">
            <v>B</v>
          </cell>
          <cell r="F79" t="str">
            <v/>
          </cell>
          <cell r="G79" t="str">
            <v/>
          </cell>
          <cell r="H79">
            <v>0</v>
          </cell>
          <cell r="K79">
            <v>0</v>
          </cell>
          <cell r="L79">
            <v>0</v>
          </cell>
          <cell r="M79">
            <v>0</v>
          </cell>
          <cell r="P79">
            <v>0</v>
          </cell>
          <cell r="Q79">
            <v>0</v>
          </cell>
          <cell r="T79">
            <v>1</v>
          </cell>
          <cell r="U79">
            <v>1</v>
          </cell>
          <cell r="V79">
            <v>0</v>
          </cell>
          <cell r="W79">
            <v>0</v>
          </cell>
          <cell r="X79">
            <v>0</v>
          </cell>
          <cell r="Y79">
            <v>0</v>
          </cell>
          <cell r="Z79">
            <v>0</v>
          </cell>
          <cell r="AA79">
            <v>0</v>
          </cell>
          <cell r="AB79">
            <v>0</v>
          </cell>
          <cell r="AC79">
            <v>100000</v>
          </cell>
          <cell r="AD79">
            <v>500</v>
          </cell>
          <cell r="AE79">
            <v>400000</v>
          </cell>
          <cell r="AF79">
            <v>1000</v>
          </cell>
          <cell r="AG79">
            <v>1000000</v>
          </cell>
          <cell r="AH79">
            <v>3000</v>
          </cell>
          <cell r="AI79">
            <v>0</v>
          </cell>
          <cell r="AJ79">
            <v>0</v>
          </cell>
          <cell r="AK79">
            <v>0</v>
          </cell>
          <cell r="AL79">
            <v>0</v>
          </cell>
          <cell r="AM79">
            <v>0</v>
          </cell>
          <cell r="AN79">
            <v>0</v>
          </cell>
          <cell r="AO79">
            <v>0</v>
          </cell>
          <cell r="AP79">
            <v>0</v>
          </cell>
          <cell r="AQ79">
            <v>3</v>
          </cell>
          <cell r="AR79" t="str">
            <v>kW</v>
          </cell>
          <cell r="AS79" t="str">
            <v/>
          </cell>
        </row>
        <row r="80">
          <cell r="B80">
            <v>66</v>
          </cell>
          <cell r="C80" t="str">
            <v>GENERAL SERVICE</v>
          </cell>
          <cell r="D80" t="str">
            <v>Other &gt; 50 kW (specify) .500 kW - 4999 kW</v>
          </cell>
          <cell r="E80" t="str">
            <v>C</v>
          </cell>
          <cell r="F80" t="str">
            <v/>
          </cell>
          <cell r="G80" t="str">
            <v/>
          </cell>
          <cell r="H80">
            <v>0</v>
          </cell>
          <cell r="K80">
            <v>0</v>
          </cell>
          <cell r="L80">
            <v>0</v>
          </cell>
          <cell r="M80">
            <v>0</v>
          </cell>
          <cell r="P80">
            <v>0</v>
          </cell>
          <cell r="Q80">
            <v>0</v>
          </cell>
          <cell r="T80">
            <v>1</v>
          </cell>
          <cell r="U80">
            <v>1</v>
          </cell>
          <cell r="V80">
            <v>0</v>
          </cell>
          <cell r="W80">
            <v>0</v>
          </cell>
          <cell r="X80">
            <v>0</v>
          </cell>
          <cell r="Y80">
            <v>0</v>
          </cell>
          <cell r="Z80">
            <v>0</v>
          </cell>
          <cell r="AA80">
            <v>0</v>
          </cell>
          <cell r="AB80">
            <v>0</v>
          </cell>
          <cell r="AC80">
            <v>100000</v>
          </cell>
          <cell r="AD80">
            <v>500</v>
          </cell>
          <cell r="AE80">
            <v>400000</v>
          </cell>
          <cell r="AF80">
            <v>1000</v>
          </cell>
          <cell r="AG80">
            <v>1000000</v>
          </cell>
          <cell r="AH80">
            <v>3000</v>
          </cell>
          <cell r="AI80">
            <v>0</v>
          </cell>
          <cell r="AJ80">
            <v>0</v>
          </cell>
          <cell r="AK80">
            <v>0</v>
          </cell>
          <cell r="AL80">
            <v>0</v>
          </cell>
          <cell r="AM80">
            <v>0</v>
          </cell>
          <cell r="AN80">
            <v>0</v>
          </cell>
          <cell r="AO80">
            <v>0</v>
          </cell>
          <cell r="AP80">
            <v>0</v>
          </cell>
          <cell r="AQ80">
            <v>3</v>
          </cell>
          <cell r="AR80" t="str">
            <v>kW</v>
          </cell>
          <cell r="AS80" t="str">
            <v/>
          </cell>
        </row>
        <row r="81">
          <cell r="B81">
            <v>67</v>
          </cell>
          <cell r="C81" t="str">
            <v>GENERAL SERVICE</v>
          </cell>
          <cell r="D81" t="str">
            <v>Other &gt; 50 kW (specify) .500 kW - 4999 kW</v>
          </cell>
          <cell r="E81" t="str">
            <v>D</v>
          </cell>
          <cell r="F81" t="str">
            <v/>
          </cell>
          <cell r="G81" t="str">
            <v/>
          </cell>
          <cell r="H81">
            <v>0</v>
          </cell>
          <cell r="K81">
            <v>0</v>
          </cell>
          <cell r="L81">
            <v>0</v>
          </cell>
          <cell r="M81">
            <v>0</v>
          </cell>
          <cell r="P81">
            <v>0</v>
          </cell>
          <cell r="Q81">
            <v>0</v>
          </cell>
          <cell r="T81">
            <v>1</v>
          </cell>
          <cell r="U81">
            <v>1</v>
          </cell>
          <cell r="V81">
            <v>0</v>
          </cell>
          <cell r="W81">
            <v>0</v>
          </cell>
          <cell r="X81">
            <v>0</v>
          </cell>
          <cell r="Y81">
            <v>0</v>
          </cell>
          <cell r="Z81">
            <v>0</v>
          </cell>
          <cell r="AA81">
            <v>0</v>
          </cell>
          <cell r="AB81">
            <v>0</v>
          </cell>
          <cell r="AC81">
            <v>100000</v>
          </cell>
          <cell r="AD81">
            <v>500</v>
          </cell>
          <cell r="AE81">
            <v>400000</v>
          </cell>
          <cell r="AF81">
            <v>1000</v>
          </cell>
          <cell r="AG81">
            <v>1000000</v>
          </cell>
          <cell r="AH81">
            <v>3000</v>
          </cell>
          <cell r="AI81">
            <v>0</v>
          </cell>
          <cell r="AJ81">
            <v>0</v>
          </cell>
          <cell r="AK81">
            <v>0</v>
          </cell>
          <cell r="AL81">
            <v>0</v>
          </cell>
          <cell r="AM81">
            <v>0</v>
          </cell>
          <cell r="AN81">
            <v>0</v>
          </cell>
          <cell r="AO81">
            <v>0</v>
          </cell>
          <cell r="AP81">
            <v>0</v>
          </cell>
          <cell r="AQ81">
            <v>3</v>
          </cell>
          <cell r="AR81" t="str">
            <v>kW</v>
          </cell>
          <cell r="AS81" t="str">
            <v/>
          </cell>
        </row>
        <row r="82">
          <cell r="B82">
            <v>68</v>
          </cell>
          <cell r="C82" t="str">
            <v>GENERAL SERVICE</v>
          </cell>
          <cell r="D82" t="str">
            <v>Other &gt; 50 kW (specify) .</v>
          </cell>
          <cell r="E82" t="str">
            <v>A</v>
          </cell>
          <cell r="F82" t="str">
            <v/>
          </cell>
          <cell r="G82" t="str">
            <v/>
          </cell>
          <cell r="H82">
            <v>0</v>
          </cell>
          <cell r="K82">
            <v>0</v>
          </cell>
          <cell r="L82">
            <v>0</v>
          </cell>
          <cell r="M82">
            <v>0</v>
          </cell>
          <cell r="P82">
            <v>0</v>
          </cell>
          <cell r="Q82">
            <v>0</v>
          </cell>
          <cell r="T82">
            <v>1</v>
          </cell>
          <cell r="U82">
            <v>1</v>
          </cell>
          <cell r="V82">
            <v>0</v>
          </cell>
          <cell r="W82">
            <v>0</v>
          </cell>
          <cell r="X82">
            <v>0</v>
          </cell>
          <cell r="Y82">
            <v>0</v>
          </cell>
          <cell r="Z82">
            <v>0</v>
          </cell>
          <cell r="AA82">
            <v>0</v>
          </cell>
          <cell r="AB82">
            <v>0</v>
          </cell>
          <cell r="AQ82">
            <v>0</v>
          </cell>
          <cell r="AR82" t="str">
            <v>kW</v>
          </cell>
          <cell r="AS82" t="str">
            <v/>
          </cell>
        </row>
        <row r="83">
          <cell r="B83">
            <v>69</v>
          </cell>
          <cell r="C83" t="str">
            <v>GENERAL SERVICE</v>
          </cell>
          <cell r="D83" t="str">
            <v>Other &gt; 50 kW (specify) .</v>
          </cell>
          <cell r="E83" t="str">
            <v>B</v>
          </cell>
          <cell r="F83" t="str">
            <v/>
          </cell>
          <cell r="G83" t="str">
            <v/>
          </cell>
          <cell r="H83">
            <v>0</v>
          </cell>
          <cell r="K83">
            <v>0</v>
          </cell>
          <cell r="L83">
            <v>0</v>
          </cell>
          <cell r="M83">
            <v>0</v>
          </cell>
          <cell r="P83">
            <v>0</v>
          </cell>
          <cell r="Q83">
            <v>0</v>
          </cell>
          <cell r="T83">
            <v>1</v>
          </cell>
          <cell r="U83">
            <v>1</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t="str">
            <v>kW</v>
          </cell>
          <cell r="AS83" t="str">
            <v/>
          </cell>
        </row>
        <row r="84">
          <cell r="B84">
            <v>70</v>
          </cell>
          <cell r="C84" t="str">
            <v>GENERAL SERVICE</v>
          </cell>
          <cell r="D84" t="str">
            <v>Other &gt; 50 kW (specify) .</v>
          </cell>
          <cell r="E84" t="str">
            <v>C</v>
          </cell>
          <cell r="F84" t="str">
            <v/>
          </cell>
          <cell r="G84" t="str">
            <v/>
          </cell>
          <cell r="H84">
            <v>0</v>
          </cell>
          <cell r="K84">
            <v>0</v>
          </cell>
          <cell r="L84">
            <v>0</v>
          </cell>
          <cell r="M84">
            <v>0</v>
          </cell>
          <cell r="P84">
            <v>0</v>
          </cell>
          <cell r="Q84">
            <v>0</v>
          </cell>
          <cell r="T84">
            <v>1</v>
          </cell>
          <cell r="U84">
            <v>1</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t="str">
            <v>kW</v>
          </cell>
          <cell r="AS84" t="str">
            <v/>
          </cell>
        </row>
        <row r="85">
          <cell r="B85">
            <v>71</v>
          </cell>
          <cell r="C85" t="str">
            <v>GENERAL SERVICE</v>
          </cell>
          <cell r="D85" t="str">
            <v>Other &gt; 50 kW (specify) .</v>
          </cell>
          <cell r="E85" t="str">
            <v>D</v>
          </cell>
          <cell r="F85" t="str">
            <v/>
          </cell>
          <cell r="G85" t="str">
            <v/>
          </cell>
          <cell r="H85">
            <v>0</v>
          </cell>
          <cell r="K85">
            <v>0</v>
          </cell>
          <cell r="L85">
            <v>0</v>
          </cell>
          <cell r="M85">
            <v>0</v>
          </cell>
          <cell r="P85">
            <v>0</v>
          </cell>
          <cell r="Q85">
            <v>0</v>
          </cell>
          <cell r="T85">
            <v>1</v>
          </cell>
          <cell r="U85">
            <v>1</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t="str">
            <v>kW</v>
          </cell>
          <cell r="AS85" t="str">
            <v/>
          </cell>
        </row>
        <row r="86">
          <cell r="B86">
            <v>72</v>
          </cell>
          <cell r="C86" t="str">
            <v>GENERAL SERVICE</v>
          </cell>
          <cell r="D86" t="str">
            <v>Intermediate Use  (3000 - 5000 kW)</v>
          </cell>
          <cell r="E86" t="str">
            <v>A</v>
          </cell>
          <cell r="F86" t="str">
            <v/>
          </cell>
          <cell r="G86" t="str">
            <v/>
          </cell>
          <cell r="H86">
            <v>0</v>
          </cell>
          <cell r="K86">
            <v>0</v>
          </cell>
          <cell r="L86">
            <v>0</v>
          </cell>
          <cell r="M86">
            <v>0</v>
          </cell>
          <cell r="P86">
            <v>0</v>
          </cell>
          <cell r="Q86">
            <v>0</v>
          </cell>
          <cell r="T86">
            <v>1</v>
          </cell>
          <cell r="U86">
            <v>1</v>
          </cell>
          <cell r="V86">
            <v>0</v>
          </cell>
          <cell r="W86">
            <v>0</v>
          </cell>
          <cell r="X86">
            <v>0</v>
          </cell>
          <cell r="Y86">
            <v>0</v>
          </cell>
          <cell r="Z86">
            <v>0</v>
          </cell>
          <cell r="AA86">
            <v>0</v>
          </cell>
          <cell r="AB86">
            <v>0</v>
          </cell>
          <cell r="AC86">
            <v>800000</v>
          </cell>
          <cell r="AD86">
            <v>3000</v>
          </cell>
          <cell r="AE86">
            <v>1000000</v>
          </cell>
          <cell r="AF86">
            <v>3000</v>
          </cell>
          <cell r="AG86">
            <v>1200000</v>
          </cell>
          <cell r="AH86">
            <v>4000</v>
          </cell>
          <cell r="AI86">
            <v>1800000</v>
          </cell>
          <cell r="AJ86">
            <v>4000</v>
          </cell>
          <cell r="AQ86">
            <v>4</v>
          </cell>
          <cell r="AR86" t="str">
            <v>kW</v>
          </cell>
          <cell r="AS86" t="str">
            <v/>
          </cell>
        </row>
        <row r="87">
          <cell r="B87">
            <v>73</v>
          </cell>
          <cell r="C87" t="str">
            <v>GENERAL SERVICE</v>
          </cell>
          <cell r="D87" t="str">
            <v xml:space="preserve">Intermediate Use </v>
          </cell>
          <cell r="E87" t="str">
            <v>B</v>
          </cell>
          <cell r="F87" t="str">
            <v/>
          </cell>
          <cell r="G87" t="str">
            <v/>
          </cell>
          <cell r="H87">
            <v>0</v>
          </cell>
          <cell r="K87">
            <v>0</v>
          </cell>
          <cell r="L87">
            <v>0</v>
          </cell>
          <cell r="M87">
            <v>0</v>
          </cell>
          <cell r="P87">
            <v>0</v>
          </cell>
          <cell r="Q87">
            <v>0</v>
          </cell>
          <cell r="T87">
            <v>1</v>
          </cell>
          <cell r="U87">
            <v>1</v>
          </cell>
          <cell r="V87">
            <v>0</v>
          </cell>
          <cell r="W87">
            <v>0</v>
          </cell>
          <cell r="X87">
            <v>0</v>
          </cell>
          <cell r="Y87">
            <v>0</v>
          </cell>
          <cell r="Z87">
            <v>0</v>
          </cell>
          <cell r="AA87">
            <v>0</v>
          </cell>
          <cell r="AB87">
            <v>0</v>
          </cell>
          <cell r="AC87">
            <v>800000</v>
          </cell>
          <cell r="AD87">
            <v>3000</v>
          </cell>
          <cell r="AE87">
            <v>1000000</v>
          </cell>
          <cell r="AF87">
            <v>3000</v>
          </cell>
          <cell r="AG87">
            <v>1200000</v>
          </cell>
          <cell r="AH87">
            <v>4000</v>
          </cell>
          <cell r="AI87">
            <v>1800000</v>
          </cell>
          <cell r="AJ87">
            <v>4000</v>
          </cell>
          <cell r="AK87">
            <v>0</v>
          </cell>
          <cell r="AL87">
            <v>0</v>
          </cell>
          <cell r="AM87">
            <v>0</v>
          </cell>
          <cell r="AN87">
            <v>0</v>
          </cell>
          <cell r="AO87">
            <v>0</v>
          </cell>
          <cell r="AP87">
            <v>0</v>
          </cell>
          <cell r="AQ87">
            <v>4</v>
          </cell>
          <cell r="AR87" t="str">
            <v>kW</v>
          </cell>
          <cell r="AS87" t="str">
            <v/>
          </cell>
        </row>
        <row r="88">
          <cell r="B88">
            <v>74</v>
          </cell>
          <cell r="C88" t="str">
            <v>GENERAL SERVICE</v>
          </cell>
          <cell r="D88" t="str">
            <v xml:space="preserve">Intermediate Use </v>
          </cell>
          <cell r="E88" t="str">
            <v>C</v>
          </cell>
          <cell r="F88" t="str">
            <v/>
          </cell>
          <cell r="G88" t="str">
            <v/>
          </cell>
          <cell r="H88">
            <v>0</v>
          </cell>
          <cell r="K88">
            <v>0</v>
          </cell>
          <cell r="L88">
            <v>0</v>
          </cell>
          <cell r="M88">
            <v>0</v>
          </cell>
          <cell r="P88">
            <v>0</v>
          </cell>
          <cell r="Q88">
            <v>0</v>
          </cell>
          <cell r="T88">
            <v>1</v>
          </cell>
          <cell r="U88">
            <v>1</v>
          </cell>
          <cell r="V88">
            <v>0</v>
          </cell>
          <cell r="W88">
            <v>0</v>
          </cell>
          <cell r="X88">
            <v>0</v>
          </cell>
          <cell r="Y88">
            <v>0</v>
          </cell>
          <cell r="Z88">
            <v>0</v>
          </cell>
          <cell r="AA88">
            <v>0</v>
          </cell>
          <cell r="AB88">
            <v>0</v>
          </cell>
          <cell r="AC88">
            <v>800000</v>
          </cell>
          <cell r="AD88">
            <v>3000</v>
          </cell>
          <cell r="AE88">
            <v>1000000</v>
          </cell>
          <cell r="AF88">
            <v>3000</v>
          </cell>
          <cell r="AG88">
            <v>1200000</v>
          </cell>
          <cell r="AH88">
            <v>4000</v>
          </cell>
          <cell r="AI88">
            <v>1800000</v>
          </cell>
          <cell r="AJ88">
            <v>4000</v>
          </cell>
          <cell r="AK88">
            <v>0</v>
          </cell>
          <cell r="AL88">
            <v>0</v>
          </cell>
          <cell r="AM88">
            <v>0</v>
          </cell>
          <cell r="AN88">
            <v>0</v>
          </cell>
          <cell r="AO88">
            <v>0</v>
          </cell>
          <cell r="AP88">
            <v>0</v>
          </cell>
          <cell r="AQ88">
            <v>4</v>
          </cell>
          <cell r="AR88" t="str">
            <v>kW</v>
          </cell>
          <cell r="AS88" t="str">
            <v/>
          </cell>
        </row>
        <row r="89">
          <cell r="B89">
            <v>75</v>
          </cell>
          <cell r="C89" t="str">
            <v>GENERAL SERVICE</v>
          </cell>
          <cell r="D89" t="str">
            <v xml:space="preserve">Intermediate Use </v>
          </cell>
          <cell r="E89" t="str">
            <v>D</v>
          </cell>
          <cell r="F89" t="str">
            <v/>
          </cell>
          <cell r="G89" t="str">
            <v/>
          </cell>
          <cell r="H89">
            <v>0</v>
          </cell>
          <cell r="K89">
            <v>0</v>
          </cell>
          <cell r="L89">
            <v>0</v>
          </cell>
          <cell r="M89">
            <v>0</v>
          </cell>
          <cell r="P89">
            <v>0</v>
          </cell>
          <cell r="Q89">
            <v>0</v>
          </cell>
          <cell r="T89">
            <v>1</v>
          </cell>
          <cell r="U89">
            <v>1</v>
          </cell>
          <cell r="V89">
            <v>0</v>
          </cell>
          <cell r="W89">
            <v>0</v>
          </cell>
          <cell r="X89">
            <v>0</v>
          </cell>
          <cell r="Y89">
            <v>0</v>
          </cell>
          <cell r="Z89">
            <v>0</v>
          </cell>
          <cell r="AA89">
            <v>0</v>
          </cell>
          <cell r="AB89">
            <v>0</v>
          </cell>
          <cell r="AC89">
            <v>800000</v>
          </cell>
          <cell r="AD89">
            <v>3000</v>
          </cell>
          <cell r="AE89">
            <v>1000000</v>
          </cell>
          <cell r="AF89">
            <v>3000</v>
          </cell>
          <cell r="AG89">
            <v>1200000</v>
          </cell>
          <cell r="AH89">
            <v>4000</v>
          </cell>
          <cell r="AI89">
            <v>1800000</v>
          </cell>
          <cell r="AJ89">
            <v>4000</v>
          </cell>
          <cell r="AK89">
            <v>0</v>
          </cell>
          <cell r="AL89">
            <v>0</v>
          </cell>
          <cell r="AM89">
            <v>0</v>
          </cell>
          <cell r="AN89">
            <v>0</v>
          </cell>
          <cell r="AO89">
            <v>0</v>
          </cell>
          <cell r="AP89">
            <v>0</v>
          </cell>
          <cell r="AQ89">
            <v>4</v>
          </cell>
          <cell r="AR89" t="str">
            <v>kW</v>
          </cell>
          <cell r="AS89" t="str">
            <v/>
          </cell>
        </row>
        <row r="90">
          <cell r="B90">
            <v>76</v>
          </cell>
          <cell r="C90" t="str">
            <v>GENERAL SERVICE</v>
          </cell>
          <cell r="D90" t="str">
            <v>Large Use (&gt; 5000 kW)</v>
          </cell>
          <cell r="E90" t="str">
            <v>A</v>
          </cell>
          <cell r="F90" t="str">
            <v>X</v>
          </cell>
          <cell r="G90" t="str">
            <v>X</v>
          </cell>
          <cell r="H90">
            <v>0</v>
          </cell>
          <cell r="I90">
            <v>6.1999999999999998E-3</v>
          </cell>
          <cell r="J90">
            <v>7.0000000000000001E-3</v>
          </cell>
          <cell r="K90">
            <v>1.32E-2</v>
          </cell>
          <cell r="L90">
            <v>1.32E-2</v>
          </cell>
          <cell r="M90">
            <v>4.0743999999999998</v>
          </cell>
          <cell r="P90">
            <v>4.0743999999999998</v>
          </cell>
          <cell r="Q90">
            <v>4.0743999999999998</v>
          </cell>
          <cell r="R90">
            <v>5.2999999999999999E-2</v>
          </cell>
          <cell r="S90">
            <v>6.2E-2</v>
          </cell>
          <cell r="T90">
            <v>1.01</v>
          </cell>
          <cell r="U90">
            <v>1.01</v>
          </cell>
          <cell r="V90">
            <v>0</v>
          </cell>
          <cell r="W90">
            <v>2.8079999999999998</v>
          </cell>
          <cell r="X90">
            <v>13247.54</v>
          </cell>
          <cell r="Y90">
            <v>0</v>
          </cell>
          <cell r="Z90">
            <v>2.7818999999999998</v>
          </cell>
          <cell r="AA90">
            <v>13190.7</v>
          </cell>
          <cell r="AB90">
            <v>1.43E-2</v>
          </cell>
          <cell r="AC90">
            <v>2800000</v>
          </cell>
          <cell r="AD90">
            <v>6000</v>
          </cell>
          <cell r="AE90">
            <v>10000000</v>
          </cell>
          <cell r="AF90">
            <v>15000</v>
          </cell>
          <cell r="AG90">
            <v>1200000</v>
          </cell>
          <cell r="AQ90">
            <v>3</v>
          </cell>
          <cell r="AR90" t="str">
            <v>kW</v>
          </cell>
          <cell r="AS90" t="str">
            <v>X</v>
          </cell>
        </row>
        <row r="91">
          <cell r="B91">
            <v>77</v>
          </cell>
          <cell r="C91" t="str">
            <v>GENERAL SERVICE</v>
          </cell>
          <cell r="D91" t="str">
            <v>Large Use (&gt; 5000 kW)</v>
          </cell>
          <cell r="E91" t="str">
            <v>B</v>
          </cell>
          <cell r="F91" t="str">
            <v/>
          </cell>
          <cell r="G91" t="str">
            <v/>
          </cell>
          <cell r="H91">
            <v>0</v>
          </cell>
          <cell r="K91">
            <v>0</v>
          </cell>
          <cell r="L91">
            <v>0</v>
          </cell>
          <cell r="M91">
            <v>0</v>
          </cell>
          <cell r="P91">
            <v>0</v>
          </cell>
          <cell r="Q91">
            <v>0</v>
          </cell>
          <cell r="T91">
            <v>1</v>
          </cell>
          <cell r="U91">
            <v>1</v>
          </cell>
          <cell r="V91">
            <v>0</v>
          </cell>
          <cell r="W91">
            <v>0</v>
          </cell>
          <cell r="X91">
            <v>0</v>
          </cell>
          <cell r="Y91">
            <v>0</v>
          </cell>
          <cell r="Z91">
            <v>0</v>
          </cell>
          <cell r="AA91">
            <v>0</v>
          </cell>
          <cell r="AB91">
            <v>0</v>
          </cell>
          <cell r="AC91">
            <v>2800000</v>
          </cell>
          <cell r="AD91">
            <v>6000</v>
          </cell>
          <cell r="AE91">
            <v>10000000</v>
          </cell>
          <cell r="AF91">
            <v>15000</v>
          </cell>
          <cell r="AG91">
            <v>1200000</v>
          </cell>
          <cell r="AH91">
            <v>0</v>
          </cell>
          <cell r="AI91">
            <v>0</v>
          </cell>
          <cell r="AJ91">
            <v>0</v>
          </cell>
          <cell r="AK91">
            <v>0</v>
          </cell>
          <cell r="AL91">
            <v>0</v>
          </cell>
          <cell r="AM91">
            <v>0</v>
          </cell>
          <cell r="AN91">
            <v>0</v>
          </cell>
          <cell r="AO91">
            <v>0</v>
          </cell>
          <cell r="AP91">
            <v>0</v>
          </cell>
          <cell r="AQ91">
            <v>3</v>
          </cell>
          <cell r="AR91" t="str">
            <v>kW</v>
          </cell>
          <cell r="AS91" t="str">
            <v/>
          </cell>
        </row>
        <row r="92">
          <cell r="B92">
            <v>78</v>
          </cell>
          <cell r="C92" t="str">
            <v>GENERAL SERVICE</v>
          </cell>
          <cell r="D92" t="str">
            <v>Large Use (&gt; 5000 kW)</v>
          </cell>
          <cell r="E92" t="str">
            <v>C</v>
          </cell>
          <cell r="F92" t="str">
            <v/>
          </cell>
          <cell r="G92" t="str">
            <v/>
          </cell>
          <cell r="H92">
            <v>0</v>
          </cell>
          <cell r="K92">
            <v>0</v>
          </cell>
          <cell r="L92">
            <v>0</v>
          </cell>
          <cell r="M92">
            <v>0</v>
          </cell>
          <cell r="P92">
            <v>0</v>
          </cell>
          <cell r="Q92">
            <v>0</v>
          </cell>
          <cell r="T92">
            <v>1</v>
          </cell>
          <cell r="U92">
            <v>1</v>
          </cell>
          <cell r="V92">
            <v>0</v>
          </cell>
          <cell r="W92">
            <v>0</v>
          </cell>
          <cell r="X92">
            <v>0</v>
          </cell>
          <cell r="Y92">
            <v>0</v>
          </cell>
          <cell r="Z92">
            <v>0</v>
          </cell>
          <cell r="AA92">
            <v>0</v>
          </cell>
          <cell r="AB92">
            <v>0</v>
          </cell>
          <cell r="AC92">
            <v>2800000</v>
          </cell>
          <cell r="AD92">
            <v>6000</v>
          </cell>
          <cell r="AE92">
            <v>10000000</v>
          </cell>
          <cell r="AF92">
            <v>15000</v>
          </cell>
          <cell r="AG92">
            <v>1200000</v>
          </cell>
          <cell r="AH92">
            <v>0</v>
          </cell>
          <cell r="AI92">
            <v>0</v>
          </cell>
          <cell r="AJ92">
            <v>0</v>
          </cell>
          <cell r="AK92">
            <v>0</v>
          </cell>
          <cell r="AL92">
            <v>0</v>
          </cell>
          <cell r="AM92">
            <v>0</v>
          </cell>
          <cell r="AN92">
            <v>0</v>
          </cell>
          <cell r="AO92">
            <v>0</v>
          </cell>
          <cell r="AP92">
            <v>0</v>
          </cell>
          <cell r="AQ92">
            <v>3</v>
          </cell>
          <cell r="AR92" t="str">
            <v>kW</v>
          </cell>
          <cell r="AS92" t="str">
            <v/>
          </cell>
        </row>
        <row r="93">
          <cell r="B93">
            <v>79</v>
          </cell>
          <cell r="C93" t="str">
            <v>GENERAL SERVICE</v>
          </cell>
          <cell r="D93" t="str">
            <v>Large Use (&gt; 5000 kW)</v>
          </cell>
          <cell r="E93" t="str">
            <v>D</v>
          </cell>
          <cell r="F93" t="str">
            <v/>
          </cell>
          <cell r="G93" t="str">
            <v/>
          </cell>
          <cell r="H93">
            <v>0</v>
          </cell>
          <cell r="K93">
            <v>0</v>
          </cell>
          <cell r="L93">
            <v>0</v>
          </cell>
          <cell r="M93">
            <v>0</v>
          </cell>
          <cell r="P93">
            <v>0</v>
          </cell>
          <cell r="Q93">
            <v>0</v>
          </cell>
          <cell r="T93">
            <v>1</v>
          </cell>
          <cell r="U93">
            <v>1</v>
          </cell>
          <cell r="V93">
            <v>0</v>
          </cell>
          <cell r="W93">
            <v>0</v>
          </cell>
          <cell r="X93">
            <v>0</v>
          </cell>
          <cell r="Y93">
            <v>0</v>
          </cell>
          <cell r="Z93">
            <v>0</v>
          </cell>
          <cell r="AA93">
            <v>0</v>
          </cell>
          <cell r="AB93">
            <v>0</v>
          </cell>
          <cell r="AC93">
            <v>2800000</v>
          </cell>
          <cell r="AD93">
            <v>6000</v>
          </cell>
          <cell r="AE93">
            <v>10000000</v>
          </cell>
          <cell r="AF93">
            <v>15000</v>
          </cell>
          <cell r="AG93">
            <v>1200000</v>
          </cell>
          <cell r="AH93">
            <v>0</v>
          </cell>
          <cell r="AI93">
            <v>0</v>
          </cell>
          <cell r="AJ93">
            <v>0</v>
          </cell>
          <cell r="AK93">
            <v>0</v>
          </cell>
          <cell r="AL93">
            <v>0</v>
          </cell>
          <cell r="AM93">
            <v>0</v>
          </cell>
          <cell r="AN93">
            <v>0</v>
          </cell>
          <cell r="AO93">
            <v>0</v>
          </cell>
          <cell r="AP93">
            <v>0</v>
          </cell>
          <cell r="AQ93">
            <v>3</v>
          </cell>
          <cell r="AR93" t="str">
            <v>kW</v>
          </cell>
          <cell r="AS93" t="str">
            <v/>
          </cell>
        </row>
        <row r="94">
          <cell r="B94">
            <v>80</v>
          </cell>
          <cell r="C94" t="str">
            <v>GENERAL SERVICE</v>
          </cell>
          <cell r="D94" t="str">
            <v>Unmetered Scattered Load</v>
          </cell>
          <cell r="E94" t="str">
            <v>A</v>
          </cell>
          <cell r="F94" t="str">
            <v/>
          </cell>
          <cell r="G94" t="str">
            <v/>
          </cell>
          <cell r="H94">
            <v>0</v>
          </cell>
          <cell r="K94">
            <v>0</v>
          </cell>
          <cell r="L94">
            <v>0</v>
          </cell>
          <cell r="M94">
            <v>0</v>
          </cell>
          <cell r="Q94">
            <v>0</v>
          </cell>
          <cell r="T94">
            <v>1</v>
          </cell>
          <cell r="U94">
            <v>1</v>
          </cell>
          <cell r="V94">
            <v>0</v>
          </cell>
          <cell r="W94">
            <v>0</v>
          </cell>
          <cell r="X94">
            <v>0</v>
          </cell>
          <cell r="Y94">
            <v>0</v>
          </cell>
          <cell r="Z94">
            <v>0</v>
          </cell>
          <cell r="AA94">
            <v>0</v>
          </cell>
          <cell r="AB94">
            <v>0</v>
          </cell>
          <cell r="AQ94">
            <v>0</v>
          </cell>
          <cell r="AR94" t="str">
            <v>kWh</v>
          </cell>
          <cell r="AS94" t="str">
            <v/>
          </cell>
        </row>
        <row r="95">
          <cell r="B95">
            <v>81</v>
          </cell>
          <cell r="C95" t="str">
            <v>GENERAL SERVICE</v>
          </cell>
          <cell r="D95" t="str">
            <v>Unmetered Scattered Load</v>
          </cell>
          <cell r="E95" t="str">
            <v>B</v>
          </cell>
          <cell r="F95" t="str">
            <v/>
          </cell>
          <cell r="G95" t="str">
            <v/>
          </cell>
          <cell r="H95">
            <v>0</v>
          </cell>
          <cell r="K95">
            <v>0</v>
          </cell>
          <cell r="L95">
            <v>0</v>
          </cell>
          <cell r="M95">
            <v>0</v>
          </cell>
          <cell r="Q95">
            <v>0</v>
          </cell>
          <cell r="T95">
            <v>1</v>
          </cell>
          <cell r="U95">
            <v>1</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t="str">
            <v>kWh</v>
          </cell>
          <cell r="AS95" t="str">
            <v/>
          </cell>
        </row>
        <row r="96">
          <cell r="B96">
            <v>82</v>
          </cell>
          <cell r="C96" t="str">
            <v>GENERAL SERVICE</v>
          </cell>
          <cell r="D96" t="str">
            <v>Unmetered Scattered Load</v>
          </cell>
          <cell r="E96" t="str">
            <v>C</v>
          </cell>
          <cell r="F96" t="str">
            <v/>
          </cell>
          <cell r="G96" t="str">
            <v/>
          </cell>
          <cell r="H96">
            <v>0</v>
          </cell>
          <cell r="K96">
            <v>0</v>
          </cell>
          <cell r="L96">
            <v>0</v>
          </cell>
          <cell r="M96">
            <v>0</v>
          </cell>
          <cell r="Q96">
            <v>0</v>
          </cell>
          <cell r="T96">
            <v>1</v>
          </cell>
          <cell r="U96">
            <v>1</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t="str">
            <v>kWh</v>
          </cell>
          <cell r="AS96" t="str">
            <v/>
          </cell>
        </row>
        <row r="97">
          <cell r="B97">
            <v>83</v>
          </cell>
          <cell r="C97" t="str">
            <v>GENERAL SERVICE</v>
          </cell>
          <cell r="D97" t="str">
            <v>Unmetered Scattered Load</v>
          </cell>
          <cell r="E97" t="str">
            <v>D</v>
          </cell>
          <cell r="F97" t="str">
            <v/>
          </cell>
          <cell r="G97" t="str">
            <v/>
          </cell>
          <cell r="H97">
            <v>0</v>
          </cell>
          <cell r="K97">
            <v>0</v>
          </cell>
          <cell r="L97">
            <v>0</v>
          </cell>
          <cell r="M97">
            <v>0</v>
          </cell>
          <cell r="Q97">
            <v>0</v>
          </cell>
          <cell r="T97">
            <v>1</v>
          </cell>
          <cell r="U97">
            <v>1</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t="str">
            <v>kWh</v>
          </cell>
          <cell r="AS97" t="str">
            <v/>
          </cell>
        </row>
        <row r="98">
          <cell r="B98">
            <v>84</v>
          </cell>
          <cell r="C98" t="str">
            <v/>
          </cell>
          <cell r="D98" t="str">
            <v/>
          </cell>
          <cell r="F98" t="str">
            <v/>
          </cell>
          <cell r="G98" t="str">
            <v/>
          </cell>
          <cell r="AQ98">
            <v>0</v>
          </cell>
          <cell r="AR98">
            <v>0</v>
          </cell>
          <cell r="AS98" t="str">
            <v/>
          </cell>
        </row>
        <row r="99">
          <cell r="B99">
            <v>85</v>
          </cell>
          <cell r="C99" t="str">
            <v/>
          </cell>
          <cell r="D99" t="str">
            <v>Sentinel Lighting</v>
          </cell>
          <cell r="E99" t="str">
            <v>A</v>
          </cell>
          <cell r="F99" t="str">
            <v/>
          </cell>
          <cell r="G99" t="str">
            <v/>
          </cell>
          <cell r="H99">
            <v>0</v>
          </cell>
          <cell r="K99">
            <v>0</v>
          </cell>
          <cell r="L99">
            <v>0</v>
          </cell>
          <cell r="M99">
            <v>0</v>
          </cell>
          <cell r="P99">
            <v>0</v>
          </cell>
          <cell r="Q99">
            <v>0</v>
          </cell>
          <cell r="T99">
            <v>1</v>
          </cell>
          <cell r="U99">
            <v>1</v>
          </cell>
          <cell r="V99">
            <v>0</v>
          </cell>
          <cell r="W99">
            <v>0</v>
          </cell>
          <cell r="X99">
            <v>0</v>
          </cell>
          <cell r="Y99">
            <v>0</v>
          </cell>
          <cell r="Z99">
            <v>0</v>
          </cell>
          <cell r="AA99">
            <v>0</v>
          </cell>
          <cell r="AB99">
            <v>0</v>
          </cell>
          <cell r="AC99">
            <v>150</v>
          </cell>
          <cell r="AD99">
            <v>0.5</v>
          </cell>
          <cell r="AE99">
            <v>200</v>
          </cell>
          <cell r="AF99">
            <v>1</v>
          </cell>
          <cell r="AQ99">
            <v>2</v>
          </cell>
          <cell r="AR99" t="str">
            <v>kW</v>
          </cell>
          <cell r="AS99" t="str">
            <v/>
          </cell>
        </row>
        <row r="100">
          <cell r="B100">
            <v>86</v>
          </cell>
          <cell r="C100" t="str">
            <v/>
          </cell>
          <cell r="D100" t="str">
            <v>Sentinel Lighting</v>
          </cell>
          <cell r="E100" t="str">
            <v>B</v>
          </cell>
          <cell r="F100" t="str">
            <v/>
          </cell>
          <cell r="G100" t="str">
            <v/>
          </cell>
          <cell r="H100">
            <v>0</v>
          </cell>
          <cell r="K100">
            <v>0</v>
          </cell>
          <cell r="L100">
            <v>0</v>
          </cell>
          <cell r="M100">
            <v>0</v>
          </cell>
          <cell r="P100">
            <v>0</v>
          </cell>
          <cell r="Q100">
            <v>0</v>
          </cell>
          <cell r="T100">
            <v>1</v>
          </cell>
          <cell r="U100">
            <v>1</v>
          </cell>
          <cell r="V100">
            <v>0</v>
          </cell>
          <cell r="W100">
            <v>0</v>
          </cell>
          <cell r="X100">
            <v>0</v>
          </cell>
          <cell r="Y100">
            <v>0</v>
          </cell>
          <cell r="Z100">
            <v>0</v>
          </cell>
          <cell r="AA100">
            <v>0</v>
          </cell>
          <cell r="AB100">
            <v>0</v>
          </cell>
          <cell r="AC100">
            <v>150</v>
          </cell>
          <cell r="AD100">
            <v>0.5</v>
          </cell>
          <cell r="AE100">
            <v>200</v>
          </cell>
          <cell r="AF100">
            <v>1</v>
          </cell>
          <cell r="AG100">
            <v>0</v>
          </cell>
          <cell r="AH100">
            <v>0</v>
          </cell>
          <cell r="AI100">
            <v>0</v>
          </cell>
          <cell r="AJ100">
            <v>0</v>
          </cell>
          <cell r="AK100">
            <v>0</v>
          </cell>
          <cell r="AL100">
            <v>0</v>
          </cell>
          <cell r="AM100">
            <v>0</v>
          </cell>
          <cell r="AN100">
            <v>0</v>
          </cell>
          <cell r="AO100">
            <v>0</v>
          </cell>
          <cell r="AP100">
            <v>0</v>
          </cell>
          <cell r="AQ100">
            <v>2</v>
          </cell>
          <cell r="AR100" t="str">
            <v>kW</v>
          </cell>
          <cell r="AS100" t="str">
            <v/>
          </cell>
        </row>
        <row r="101">
          <cell r="B101">
            <v>87</v>
          </cell>
          <cell r="C101" t="str">
            <v/>
          </cell>
          <cell r="D101" t="str">
            <v>Sentinel Lighting</v>
          </cell>
          <cell r="E101" t="str">
            <v>C</v>
          </cell>
          <cell r="F101" t="str">
            <v/>
          </cell>
          <cell r="G101" t="str">
            <v/>
          </cell>
          <cell r="H101">
            <v>0</v>
          </cell>
          <cell r="K101">
            <v>0</v>
          </cell>
          <cell r="L101">
            <v>0</v>
          </cell>
          <cell r="M101">
            <v>0</v>
          </cell>
          <cell r="P101">
            <v>0</v>
          </cell>
          <cell r="Q101">
            <v>0</v>
          </cell>
          <cell r="T101">
            <v>1</v>
          </cell>
          <cell r="U101">
            <v>1</v>
          </cell>
          <cell r="V101">
            <v>0</v>
          </cell>
          <cell r="W101">
            <v>0</v>
          </cell>
          <cell r="X101">
            <v>0</v>
          </cell>
          <cell r="Y101">
            <v>0</v>
          </cell>
          <cell r="Z101">
            <v>0</v>
          </cell>
          <cell r="AA101">
            <v>0</v>
          </cell>
          <cell r="AB101">
            <v>0</v>
          </cell>
          <cell r="AC101">
            <v>150</v>
          </cell>
          <cell r="AD101">
            <v>0.5</v>
          </cell>
          <cell r="AE101">
            <v>200</v>
          </cell>
          <cell r="AF101">
            <v>1</v>
          </cell>
          <cell r="AG101">
            <v>0</v>
          </cell>
          <cell r="AH101">
            <v>0</v>
          </cell>
          <cell r="AI101">
            <v>0</v>
          </cell>
          <cell r="AJ101">
            <v>0</v>
          </cell>
          <cell r="AK101">
            <v>0</v>
          </cell>
          <cell r="AL101">
            <v>0</v>
          </cell>
          <cell r="AM101">
            <v>0</v>
          </cell>
          <cell r="AN101">
            <v>0</v>
          </cell>
          <cell r="AO101">
            <v>0</v>
          </cell>
          <cell r="AP101">
            <v>0</v>
          </cell>
          <cell r="AQ101">
            <v>2</v>
          </cell>
          <cell r="AR101" t="str">
            <v>kW</v>
          </cell>
          <cell r="AS101" t="str">
            <v/>
          </cell>
        </row>
        <row r="102">
          <cell r="B102">
            <v>88</v>
          </cell>
          <cell r="C102" t="str">
            <v/>
          </cell>
          <cell r="D102" t="str">
            <v>Sentinel Lighting</v>
          </cell>
          <cell r="E102" t="str">
            <v>D</v>
          </cell>
          <cell r="F102" t="str">
            <v/>
          </cell>
          <cell r="G102" t="str">
            <v/>
          </cell>
          <cell r="H102">
            <v>0</v>
          </cell>
          <cell r="K102">
            <v>0</v>
          </cell>
          <cell r="L102">
            <v>0</v>
          </cell>
          <cell r="M102">
            <v>0</v>
          </cell>
          <cell r="P102">
            <v>0</v>
          </cell>
          <cell r="Q102">
            <v>0</v>
          </cell>
          <cell r="T102">
            <v>1</v>
          </cell>
          <cell r="U102">
            <v>1</v>
          </cell>
          <cell r="V102">
            <v>0</v>
          </cell>
          <cell r="W102">
            <v>0</v>
          </cell>
          <cell r="X102">
            <v>0</v>
          </cell>
          <cell r="Y102">
            <v>0</v>
          </cell>
          <cell r="Z102">
            <v>0</v>
          </cell>
          <cell r="AA102">
            <v>0</v>
          </cell>
          <cell r="AB102">
            <v>0</v>
          </cell>
          <cell r="AC102">
            <v>150</v>
          </cell>
          <cell r="AD102">
            <v>0.5</v>
          </cell>
          <cell r="AE102">
            <v>200</v>
          </cell>
          <cell r="AF102">
            <v>1</v>
          </cell>
          <cell r="AG102">
            <v>0</v>
          </cell>
          <cell r="AH102">
            <v>0</v>
          </cell>
          <cell r="AI102">
            <v>0</v>
          </cell>
          <cell r="AJ102">
            <v>0</v>
          </cell>
          <cell r="AK102">
            <v>0</v>
          </cell>
          <cell r="AL102">
            <v>0</v>
          </cell>
          <cell r="AM102">
            <v>0</v>
          </cell>
          <cell r="AN102">
            <v>0</v>
          </cell>
          <cell r="AO102">
            <v>0</v>
          </cell>
          <cell r="AP102">
            <v>0</v>
          </cell>
          <cell r="AQ102">
            <v>2</v>
          </cell>
          <cell r="AR102" t="str">
            <v>kW</v>
          </cell>
          <cell r="AS102" t="str">
            <v/>
          </cell>
        </row>
        <row r="103">
          <cell r="B103">
            <v>89</v>
          </cell>
          <cell r="C103" t="str">
            <v/>
          </cell>
          <cell r="D103" t="str">
            <v>Street Lighting</v>
          </cell>
          <cell r="E103" t="str">
            <v>A</v>
          </cell>
          <cell r="F103" t="str">
            <v>X</v>
          </cell>
          <cell r="G103" t="str">
            <v>X</v>
          </cell>
          <cell r="H103">
            <v>0</v>
          </cell>
          <cell r="I103">
            <v>6.1999999999999998E-3</v>
          </cell>
          <cell r="J103">
            <v>7.0000000000000001E-3</v>
          </cell>
          <cell r="K103">
            <v>1.32E-2</v>
          </cell>
          <cell r="L103">
            <v>1.32E-2</v>
          </cell>
          <cell r="M103">
            <v>2.7730999999999999</v>
          </cell>
          <cell r="P103">
            <v>2.7730999999999999</v>
          </cell>
          <cell r="Q103">
            <v>2.7730999999999999</v>
          </cell>
          <cell r="R103">
            <v>5.2999999999999999E-2</v>
          </cell>
          <cell r="S103">
            <v>6.2E-2</v>
          </cell>
          <cell r="T103">
            <v>1.0432999999999999</v>
          </cell>
          <cell r="U103">
            <v>1.0432999999999999</v>
          </cell>
          <cell r="V103">
            <v>0</v>
          </cell>
          <cell r="W103">
            <v>2.9765999999999999</v>
          </cell>
          <cell r="X103">
            <v>0.36</v>
          </cell>
          <cell r="Y103">
            <v>0</v>
          </cell>
          <cell r="Z103">
            <v>2.7345999999999999</v>
          </cell>
          <cell r="AA103">
            <v>0.36</v>
          </cell>
          <cell r="AB103">
            <v>0.23039999999999999</v>
          </cell>
          <cell r="AC103">
            <v>150</v>
          </cell>
          <cell r="AD103">
            <v>0.5</v>
          </cell>
          <cell r="AQ103">
            <v>1</v>
          </cell>
          <cell r="AR103" t="str">
            <v>kW</v>
          </cell>
          <cell r="AS103" t="str">
            <v>X</v>
          </cell>
        </row>
        <row r="104">
          <cell r="B104">
            <v>90</v>
          </cell>
          <cell r="C104" t="str">
            <v/>
          </cell>
          <cell r="D104" t="str">
            <v>Street Lighting</v>
          </cell>
          <cell r="E104" t="str">
            <v>B</v>
          </cell>
          <cell r="F104" t="str">
            <v/>
          </cell>
          <cell r="G104" t="str">
            <v/>
          </cell>
          <cell r="H104">
            <v>0</v>
          </cell>
          <cell r="K104">
            <v>0</v>
          </cell>
          <cell r="L104">
            <v>0</v>
          </cell>
          <cell r="M104">
            <v>0</v>
          </cell>
          <cell r="P104">
            <v>0</v>
          </cell>
          <cell r="Q104">
            <v>0</v>
          </cell>
          <cell r="T104">
            <v>1</v>
          </cell>
          <cell r="U104">
            <v>1</v>
          </cell>
          <cell r="V104">
            <v>0</v>
          </cell>
          <cell r="W104">
            <v>0</v>
          </cell>
          <cell r="X104">
            <v>0</v>
          </cell>
          <cell r="Y104">
            <v>0</v>
          </cell>
          <cell r="Z104">
            <v>0</v>
          </cell>
          <cell r="AA104">
            <v>0</v>
          </cell>
          <cell r="AB104">
            <v>0</v>
          </cell>
          <cell r="AC104">
            <v>150</v>
          </cell>
          <cell r="AD104">
            <v>0.5</v>
          </cell>
          <cell r="AE104">
            <v>0</v>
          </cell>
          <cell r="AF104">
            <v>0</v>
          </cell>
          <cell r="AG104">
            <v>0</v>
          </cell>
          <cell r="AH104">
            <v>0</v>
          </cell>
          <cell r="AI104">
            <v>0</v>
          </cell>
          <cell r="AJ104">
            <v>0</v>
          </cell>
          <cell r="AK104">
            <v>0</v>
          </cell>
          <cell r="AL104">
            <v>0</v>
          </cell>
          <cell r="AM104">
            <v>0</v>
          </cell>
          <cell r="AN104">
            <v>0</v>
          </cell>
          <cell r="AO104">
            <v>0</v>
          </cell>
          <cell r="AP104">
            <v>0</v>
          </cell>
          <cell r="AQ104">
            <v>1</v>
          </cell>
          <cell r="AR104" t="str">
            <v>kW</v>
          </cell>
          <cell r="AS104" t="str">
            <v/>
          </cell>
        </row>
        <row r="105">
          <cell r="B105">
            <v>91</v>
          </cell>
          <cell r="C105" t="str">
            <v/>
          </cell>
          <cell r="D105" t="str">
            <v>Street Lighting</v>
          </cell>
          <cell r="E105" t="str">
            <v>C</v>
          </cell>
          <cell r="F105" t="str">
            <v/>
          </cell>
          <cell r="G105" t="str">
            <v/>
          </cell>
          <cell r="H105">
            <v>0</v>
          </cell>
          <cell r="K105">
            <v>0</v>
          </cell>
          <cell r="L105">
            <v>0</v>
          </cell>
          <cell r="M105">
            <v>0</v>
          </cell>
          <cell r="P105">
            <v>0</v>
          </cell>
          <cell r="Q105">
            <v>0</v>
          </cell>
          <cell r="T105">
            <v>1</v>
          </cell>
          <cell r="U105">
            <v>1</v>
          </cell>
          <cell r="V105">
            <v>0</v>
          </cell>
          <cell r="W105">
            <v>0</v>
          </cell>
          <cell r="X105">
            <v>0</v>
          </cell>
          <cell r="Y105">
            <v>0</v>
          </cell>
          <cell r="Z105">
            <v>0</v>
          </cell>
          <cell r="AA105">
            <v>0</v>
          </cell>
          <cell r="AB105">
            <v>0</v>
          </cell>
          <cell r="AC105">
            <v>150</v>
          </cell>
          <cell r="AD105">
            <v>0.5</v>
          </cell>
          <cell r="AE105">
            <v>0</v>
          </cell>
          <cell r="AF105">
            <v>0</v>
          </cell>
          <cell r="AG105">
            <v>0</v>
          </cell>
          <cell r="AH105">
            <v>0</v>
          </cell>
          <cell r="AI105">
            <v>0</v>
          </cell>
          <cell r="AJ105">
            <v>0</v>
          </cell>
          <cell r="AK105">
            <v>0</v>
          </cell>
          <cell r="AL105">
            <v>0</v>
          </cell>
          <cell r="AM105">
            <v>0</v>
          </cell>
          <cell r="AN105">
            <v>0</v>
          </cell>
          <cell r="AO105">
            <v>0</v>
          </cell>
          <cell r="AP105">
            <v>0</v>
          </cell>
          <cell r="AQ105">
            <v>1</v>
          </cell>
          <cell r="AR105" t="str">
            <v>kW</v>
          </cell>
          <cell r="AS105" t="str">
            <v/>
          </cell>
        </row>
        <row r="106">
          <cell r="B106">
            <v>92</v>
          </cell>
          <cell r="C106" t="str">
            <v/>
          </cell>
          <cell r="D106" t="str">
            <v>Street Lighting</v>
          </cell>
          <cell r="E106" t="str">
            <v>D</v>
          </cell>
          <cell r="F106" t="str">
            <v/>
          </cell>
          <cell r="G106" t="str">
            <v/>
          </cell>
          <cell r="H106">
            <v>0</v>
          </cell>
          <cell r="K106">
            <v>0</v>
          </cell>
          <cell r="L106">
            <v>0</v>
          </cell>
          <cell r="M106">
            <v>0</v>
          </cell>
          <cell r="P106">
            <v>0</v>
          </cell>
          <cell r="Q106">
            <v>0</v>
          </cell>
          <cell r="T106">
            <v>1</v>
          </cell>
          <cell r="U106">
            <v>1</v>
          </cell>
          <cell r="V106">
            <v>0</v>
          </cell>
          <cell r="W106">
            <v>0</v>
          </cell>
          <cell r="X106">
            <v>0</v>
          </cell>
          <cell r="Y106">
            <v>0</v>
          </cell>
          <cell r="Z106">
            <v>0</v>
          </cell>
          <cell r="AA106">
            <v>0</v>
          </cell>
          <cell r="AB106">
            <v>0</v>
          </cell>
          <cell r="AC106">
            <v>150</v>
          </cell>
          <cell r="AD106">
            <v>0.5</v>
          </cell>
          <cell r="AE106">
            <v>0</v>
          </cell>
          <cell r="AF106">
            <v>0</v>
          </cell>
          <cell r="AG106">
            <v>0</v>
          </cell>
          <cell r="AH106">
            <v>0</v>
          </cell>
          <cell r="AI106">
            <v>0</v>
          </cell>
          <cell r="AJ106">
            <v>0</v>
          </cell>
          <cell r="AK106">
            <v>0</v>
          </cell>
          <cell r="AL106">
            <v>0</v>
          </cell>
          <cell r="AM106">
            <v>0</v>
          </cell>
          <cell r="AN106">
            <v>0</v>
          </cell>
          <cell r="AO106">
            <v>0</v>
          </cell>
          <cell r="AP106">
            <v>0</v>
          </cell>
          <cell r="AQ106">
            <v>1</v>
          </cell>
          <cell r="AR106" t="str">
            <v>kW</v>
          </cell>
          <cell r="AS106" t="str">
            <v/>
          </cell>
        </row>
        <row r="107">
          <cell r="B107">
            <v>93</v>
          </cell>
          <cell r="C107" t="str">
            <v/>
          </cell>
          <cell r="D107" t="str">
            <v>Back-up/Standby Power</v>
          </cell>
          <cell r="E107" t="str">
            <v>A</v>
          </cell>
          <cell r="F107" t="str">
            <v/>
          </cell>
          <cell r="G107" t="str">
            <v/>
          </cell>
          <cell r="H107">
            <v>0</v>
          </cell>
          <cell r="K107">
            <v>0</v>
          </cell>
          <cell r="L107">
            <v>0</v>
          </cell>
          <cell r="M107">
            <v>0</v>
          </cell>
          <cell r="P107">
            <v>0</v>
          </cell>
          <cell r="Q107">
            <v>0</v>
          </cell>
          <cell r="T107">
            <v>1</v>
          </cell>
          <cell r="U107">
            <v>1</v>
          </cell>
          <cell r="V107">
            <v>0</v>
          </cell>
          <cell r="W107">
            <v>0</v>
          </cell>
          <cell r="X107">
            <v>0</v>
          </cell>
          <cell r="Y107">
            <v>0</v>
          </cell>
          <cell r="Z107">
            <v>0</v>
          </cell>
          <cell r="AA107">
            <v>0</v>
          </cell>
          <cell r="AB107">
            <v>0</v>
          </cell>
          <cell r="AQ107">
            <v>0</v>
          </cell>
          <cell r="AR107" t="str">
            <v>kW</v>
          </cell>
          <cell r="AS107" t="str">
            <v/>
          </cell>
        </row>
        <row r="108">
          <cell r="B108">
            <v>94</v>
          </cell>
          <cell r="C108" t="str">
            <v/>
          </cell>
          <cell r="D108" t="str">
            <v>Back-up/Standby Power</v>
          </cell>
          <cell r="E108" t="str">
            <v>B</v>
          </cell>
          <cell r="F108" t="str">
            <v/>
          </cell>
          <cell r="G108" t="str">
            <v/>
          </cell>
          <cell r="H108">
            <v>0</v>
          </cell>
          <cell r="K108">
            <v>0</v>
          </cell>
          <cell r="L108">
            <v>0</v>
          </cell>
          <cell r="M108">
            <v>0</v>
          </cell>
          <cell r="P108">
            <v>0</v>
          </cell>
          <cell r="Q108">
            <v>0</v>
          </cell>
          <cell r="T108">
            <v>1</v>
          </cell>
          <cell r="U108">
            <v>1</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t="str">
            <v>kW</v>
          </cell>
          <cell r="AS108" t="str">
            <v/>
          </cell>
        </row>
        <row r="109">
          <cell r="B109">
            <v>95</v>
          </cell>
          <cell r="C109" t="str">
            <v/>
          </cell>
          <cell r="D109" t="str">
            <v>Back-up/Standby Power</v>
          </cell>
          <cell r="E109" t="str">
            <v>C</v>
          </cell>
          <cell r="F109" t="str">
            <v/>
          </cell>
          <cell r="G109" t="str">
            <v/>
          </cell>
          <cell r="H109">
            <v>0</v>
          </cell>
          <cell r="K109">
            <v>0</v>
          </cell>
          <cell r="L109">
            <v>0</v>
          </cell>
          <cell r="M109">
            <v>0</v>
          </cell>
          <cell r="P109">
            <v>0</v>
          </cell>
          <cell r="Q109">
            <v>0</v>
          </cell>
          <cell r="T109">
            <v>1</v>
          </cell>
          <cell r="U109">
            <v>1</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t="str">
            <v>kW</v>
          </cell>
          <cell r="AS109" t="str">
            <v/>
          </cell>
        </row>
        <row r="110">
          <cell r="B110">
            <v>96</v>
          </cell>
          <cell r="C110" t="str">
            <v/>
          </cell>
          <cell r="D110" t="str">
            <v>Back-up/Standby Power</v>
          </cell>
          <cell r="E110" t="str">
            <v>D</v>
          </cell>
          <cell r="F110" t="str">
            <v/>
          </cell>
          <cell r="G110" t="str">
            <v/>
          </cell>
          <cell r="H110">
            <v>0</v>
          </cell>
          <cell r="K110">
            <v>0</v>
          </cell>
          <cell r="L110">
            <v>0</v>
          </cell>
          <cell r="M110">
            <v>0</v>
          </cell>
          <cell r="P110">
            <v>0</v>
          </cell>
          <cell r="Q110">
            <v>0</v>
          </cell>
          <cell r="T110">
            <v>1</v>
          </cell>
          <cell r="U110">
            <v>1</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t="str">
            <v>kW</v>
          </cell>
          <cell r="AS110" t="str">
            <v/>
          </cell>
        </row>
        <row r="111">
          <cell r="B111">
            <v>97</v>
          </cell>
          <cell r="C111" t="str">
            <v/>
          </cell>
          <cell r="D111" t="str">
            <v>Other (specify) . . . . . . . .</v>
          </cell>
          <cell r="E111" t="str">
            <v>A</v>
          </cell>
          <cell r="F111" t="str">
            <v/>
          </cell>
          <cell r="G111" t="str">
            <v/>
          </cell>
          <cell r="H111">
            <v>0</v>
          </cell>
          <cell r="K111">
            <v>0</v>
          </cell>
          <cell r="L111">
            <v>0</v>
          </cell>
          <cell r="M111">
            <v>0</v>
          </cell>
          <cell r="P111">
            <v>0</v>
          </cell>
          <cell r="Q111">
            <v>0</v>
          </cell>
          <cell r="T111">
            <v>1</v>
          </cell>
          <cell r="U111">
            <v>1</v>
          </cell>
          <cell r="V111">
            <v>0</v>
          </cell>
          <cell r="W111">
            <v>0</v>
          </cell>
          <cell r="X111">
            <v>0</v>
          </cell>
          <cell r="Y111">
            <v>0</v>
          </cell>
          <cell r="Z111">
            <v>0</v>
          </cell>
          <cell r="AA111">
            <v>0</v>
          </cell>
          <cell r="AB111">
            <v>0</v>
          </cell>
          <cell r="AQ111">
            <v>0</v>
          </cell>
          <cell r="AR111" t="str">
            <v>kW</v>
          </cell>
          <cell r="AS111" t="str">
            <v/>
          </cell>
        </row>
        <row r="112">
          <cell r="B112">
            <v>98</v>
          </cell>
          <cell r="C112" t="str">
            <v/>
          </cell>
          <cell r="D112" t="str">
            <v>Other (specify) . . . . . . . .</v>
          </cell>
          <cell r="E112" t="str">
            <v>B</v>
          </cell>
          <cell r="F112" t="str">
            <v/>
          </cell>
          <cell r="G112" t="str">
            <v/>
          </cell>
          <cell r="H112">
            <v>0</v>
          </cell>
          <cell r="K112">
            <v>0</v>
          </cell>
          <cell r="L112">
            <v>0</v>
          </cell>
          <cell r="M112">
            <v>0</v>
          </cell>
          <cell r="P112">
            <v>0</v>
          </cell>
          <cell r="Q112">
            <v>0</v>
          </cell>
          <cell r="T112">
            <v>1</v>
          </cell>
          <cell r="U112">
            <v>1</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t="str">
            <v>kW</v>
          </cell>
          <cell r="AS112" t="str">
            <v/>
          </cell>
        </row>
        <row r="113">
          <cell r="B113">
            <v>99</v>
          </cell>
          <cell r="C113" t="str">
            <v/>
          </cell>
          <cell r="D113" t="str">
            <v>Other (specify) . . . . . . . .</v>
          </cell>
          <cell r="E113" t="str">
            <v>C</v>
          </cell>
          <cell r="F113" t="str">
            <v/>
          </cell>
          <cell r="G113" t="str">
            <v/>
          </cell>
          <cell r="H113">
            <v>0</v>
          </cell>
          <cell r="K113">
            <v>0</v>
          </cell>
          <cell r="L113">
            <v>0</v>
          </cell>
          <cell r="M113">
            <v>0</v>
          </cell>
          <cell r="P113">
            <v>0</v>
          </cell>
          <cell r="Q113">
            <v>0</v>
          </cell>
          <cell r="T113">
            <v>1</v>
          </cell>
          <cell r="U113">
            <v>1</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t="str">
            <v>kW</v>
          </cell>
          <cell r="AS113" t="str">
            <v/>
          </cell>
        </row>
        <row r="114">
          <cell r="B114">
            <v>100</v>
          </cell>
          <cell r="C114" t="str">
            <v/>
          </cell>
          <cell r="D114" t="str">
            <v>Other (specify) . . . . . . . .</v>
          </cell>
          <cell r="E114" t="str">
            <v>D</v>
          </cell>
          <cell r="F114" t="str">
            <v/>
          </cell>
          <cell r="G114" t="str">
            <v/>
          </cell>
          <cell r="H114">
            <v>0</v>
          </cell>
          <cell r="K114">
            <v>0</v>
          </cell>
          <cell r="L114">
            <v>0</v>
          </cell>
          <cell r="M114">
            <v>0</v>
          </cell>
          <cell r="P114">
            <v>0</v>
          </cell>
          <cell r="Q114">
            <v>0</v>
          </cell>
          <cell r="T114">
            <v>1</v>
          </cell>
          <cell r="U114">
            <v>1</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t="str">
            <v>kW</v>
          </cell>
          <cell r="AS114" t="str">
            <v/>
          </cell>
        </row>
        <row r="115">
          <cell r="B115">
            <v>101</v>
          </cell>
          <cell r="C115" t="str">
            <v/>
          </cell>
          <cell r="D115" t="str">
            <v>Other (specify) . . . . . . . .</v>
          </cell>
          <cell r="E115" t="str">
            <v>A</v>
          </cell>
          <cell r="F115" t="str">
            <v/>
          </cell>
          <cell r="G115" t="str">
            <v/>
          </cell>
          <cell r="H115">
            <v>0</v>
          </cell>
          <cell r="K115">
            <v>0</v>
          </cell>
          <cell r="L115">
            <v>0</v>
          </cell>
          <cell r="M115">
            <v>0</v>
          </cell>
          <cell r="P115">
            <v>0</v>
          </cell>
          <cell r="Q115">
            <v>0</v>
          </cell>
          <cell r="T115">
            <v>1</v>
          </cell>
          <cell r="U115">
            <v>1</v>
          </cell>
          <cell r="V115">
            <v>0</v>
          </cell>
          <cell r="W115">
            <v>0</v>
          </cell>
          <cell r="X115">
            <v>0</v>
          </cell>
          <cell r="Y115">
            <v>0</v>
          </cell>
          <cell r="Z115">
            <v>0</v>
          </cell>
          <cell r="AA115">
            <v>0</v>
          </cell>
          <cell r="AB115">
            <v>0</v>
          </cell>
          <cell r="AC115">
            <v>11000</v>
          </cell>
          <cell r="AD115">
            <v>500</v>
          </cell>
          <cell r="AE115">
            <v>15000</v>
          </cell>
          <cell r="AF115">
            <v>1000</v>
          </cell>
          <cell r="AQ115">
            <v>2</v>
          </cell>
          <cell r="AR115" t="str">
            <v>kW</v>
          </cell>
          <cell r="AS115" t="str">
            <v/>
          </cell>
        </row>
        <row r="116">
          <cell r="B116">
            <v>102</v>
          </cell>
          <cell r="C116" t="str">
            <v/>
          </cell>
          <cell r="D116" t="str">
            <v>Other (specify) . . . . . . . .</v>
          </cell>
          <cell r="E116" t="str">
            <v>B</v>
          </cell>
          <cell r="F116" t="str">
            <v/>
          </cell>
          <cell r="G116" t="str">
            <v/>
          </cell>
          <cell r="H116">
            <v>0</v>
          </cell>
          <cell r="K116">
            <v>0</v>
          </cell>
          <cell r="L116">
            <v>0</v>
          </cell>
          <cell r="M116">
            <v>0</v>
          </cell>
          <cell r="P116">
            <v>0</v>
          </cell>
          <cell r="Q116">
            <v>0</v>
          </cell>
          <cell r="T116">
            <v>1</v>
          </cell>
          <cell r="U116">
            <v>1</v>
          </cell>
          <cell r="V116">
            <v>0</v>
          </cell>
          <cell r="W116">
            <v>0</v>
          </cell>
          <cell r="X116">
            <v>0</v>
          </cell>
          <cell r="Y116">
            <v>0</v>
          </cell>
          <cell r="Z116">
            <v>0</v>
          </cell>
          <cell r="AA116">
            <v>0</v>
          </cell>
          <cell r="AB116">
            <v>0</v>
          </cell>
          <cell r="AC116">
            <v>11000</v>
          </cell>
          <cell r="AD116">
            <v>500</v>
          </cell>
          <cell r="AE116">
            <v>15000</v>
          </cell>
          <cell r="AF116">
            <v>1000</v>
          </cell>
          <cell r="AG116">
            <v>0</v>
          </cell>
          <cell r="AH116">
            <v>0</v>
          </cell>
          <cell r="AI116">
            <v>0</v>
          </cell>
          <cell r="AJ116">
            <v>0</v>
          </cell>
          <cell r="AK116">
            <v>0</v>
          </cell>
          <cell r="AL116">
            <v>0</v>
          </cell>
          <cell r="AM116">
            <v>0</v>
          </cell>
          <cell r="AN116">
            <v>0</v>
          </cell>
          <cell r="AO116">
            <v>0</v>
          </cell>
          <cell r="AP116">
            <v>0</v>
          </cell>
          <cell r="AQ116">
            <v>2</v>
          </cell>
          <cell r="AR116" t="str">
            <v>kW</v>
          </cell>
          <cell r="AS116" t="str">
            <v/>
          </cell>
        </row>
        <row r="117">
          <cell r="B117">
            <v>103</v>
          </cell>
          <cell r="C117" t="str">
            <v/>
          </cell>
          <cell r="D117" t="str">
            <v>Other (specify) . . . . . . . .</v>
          </cell>
          <cell r="E117" t="str">
            <v>C</v>
          </cell>
          <cell r="F117" t="str">
            <v/>
          </cell>
          <cell r="G117" t="str">
            <v/>
          </cell>
          <cell r="H117">
            <v>0</v>
          </cell>
          <cell r="K117">
            <v>0</v>
          </cell>
          <cell r="L117">
            <v>0</v>
          </cell>
          <cell r="M117">
            <v>0</v>
          </cell>
          <cell r="P117">
            <v>0</v>
          </cell>
          <cell r="Q117">
            <v>0</v>
          </cell>
          <cell r="T117">
            <v>1</v>
          </cell>
          <cell r="U117">
            <v>1</v>
          </cell>
          <cell r="V117">
            <v>0</v>
          </cell>
          <cell r="W117">
            <v>0</v>
          </cell>
          <cell r="X117">
            <v>0</v>
          </cell>
          <cell r="Y117">
            <v>0</v>
          </cell>
          <cell r="Z117">
            <v>0</v>
          </cell>
          <cell r="AA117">
            <v>0</v>
          </cell>
          <cell r="AB117">
            <v>0</v>
          </cell>
          <cell r="AC117">
            <v>11000</v>
          </cell>
          <cell r="AD117">
            <v>500</v>
          </cell>
          <cell r="AE117">
            <v>15000</v>
          </cell>
          <cell r="AF117">
            <v>1000</v>
          </cell>
          <cell r="AG117">
            <v>0</v>
          </cell>
          <cell r="AH117">
            <v>0</v>
          </cell>
          <cell r="AI117">
            <v>0</v>
          </cell>
          <cell r="AJ117">
            <v>0</v>
          </cell>
          <cell r="AK117">
            <v>0</v>
          </cell>
          <cell r="AL117">
            <v>0</v>
          </cell>
          <cell r="AM117">
            <v>0</v>
          </cell>
          <cell r="AN117">
            <v>0</v>
          </cell>
          <cell r="AO117">
            <v>0</v>
          </cell>
          <cell r="AP117">
            <v>0</v>
          </cell>
          <cell r="AQ117">
            <v>2</v>
          </cell>
          <cell r="AR117" t="str">
            <v>kW</v>
          </cell>
          <cell r="AS117" t="str">
            <v/>
          </cell>
        </row>
        <row r="118">
          <cell r="B118">
            <v>104</v>
          </cell>
          <cell r="C118" t="str">
            <v/>
          </cell>
          <cell r="D118" t="str">
            <v>Other (specify) . . . . . . . .</v>
          </cell>
          <cell r="E118" t="str">
            <v>D</v>
          </cell>
          <cell r="F118" t="str">
            <v/>
          </cell>
          <cell r="G118" t="str">
            <v/>
          </cell>
          <cell r="H118">
            <v>0</v>
          </cell>
          <cell r="K118">
            <v>0</v>
          </cell>
          <cell r="L118">
            <v>0</v>
          </cell>
          <cell r="M118">
            <v>0</v>
          </cell>
          <cell r="P118">
            <v>0</v>
          </cell>
          <cell r="Q118">
            <v>0</v>
          </cell>
          <cell r="T118">
            <v>1</v>
          </cell>
          <cell r="U118">
            <v>1</v>
          </cell>
          <cell r="V118">
            <v>0</v>
          </cell>
          <cell r="W118">
            <v>0</v>
          </cell>
          <cell r="X118">
            <v>0</v>
          </cell>
          <cell r="Y118">
            <v>0</v>
          </cell>
          <cell r="Z118">
            <v>0</v>
          </cell>
          <cell r="AA118">
            <v>0</v>
          </cell>
          <cell r="AB118">
            <v>0</v>
          </cell>
          <cell r="AC118">
            <v>11000</v>
          </cell>
          <cell r="AD118">
            <v>500</v>
          </cell>
          <cell r="AE118">
            <v>15000</v>
          </cell>
          <cell r="AF118">
            <v>1000</v>
          </cell>
          <cell r="AG118">
            <v>0</v>
          </cell>
          <cell r="AH118">
            <v>0</v>
          </cell>
          <cell r="AI118">
            <v>0</v>
          </cell>
          <cell r="AJ118">
            <v>0</v>
          </cell>
          <cell r="AK118">
            <v>0</v>
          </cell>
          <cell r="AL118">
            <v>0</v>
          </cell>
          <cell r="AM118">
            <v>0</v>
          </cell>
          <cell r="AN118">
            <v>0</v>
          </cell>
          <cell r="AO118">
            <v>0</v>
          </cell>
          <cell r="AP118">
            <v>0</v>
          </cell>
          <cell r="AQ118">
            <v>2</v>
          </cell>
          <cell r="AR118" t="str">
            <v>kW</v>
          </cell>
          <cell r="AS118" t="str">
            <v/>
          </cell>
        </row>
      </sheetData>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SCalc Sort"/>
      <sheetName val="TSCalc  Sort (2)"/>
      <sheetName val="TSCalc (3)"/>
      <sheetName val="Sheet4"/>
      <sheetName val="TSCalc (2)"/>
      <sheetName val="MSCalc Sort"/>
      <sheetName val="MSCalc Sort (2)"/>
      <sheetName val="MSCalc (2)"/>
      <sheetName val="Db-MS Fdrs (2)"/>
      <sheetName val="Db-MS Fdrs"/>
      <sheetName val="Db-TS Fdrs (2)"/>
      <sheetName val="Db-TS Fdrs"/>
      <sheetName val="Projects"/>
      <sheetName val="RPCAP97"/>
      <sheetName val="Global"/>
      <sheetName val="Budget"/>
      <sheetName val="Sheet2"/>
      <sheetName val="Item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4">
          <cell r="H14">
            <v>1</v>
          </cell>
          <cell r="I14">
            <v>1.29</v>
          </cell>
          <cell r="J14">
            <v>67</v>
          </cell>
          <cell r="K14">
            <v>111.49470000000001</v>
          </cell>
          <cell r="L14">
            <v>378488.29302144004</v>
          </cell>
          <cell r="M14">
            <v>33316.136255750404</v>
          </cell>
          <cell r="N14" t="str">
            <v>50F1</v>
          </cell>
          <cell r="O14">
            <v>240</v>
          </cell>
          <cell r="P14">
            <v>0</v>
          </cell>
          <cell r="Q14">
            <v>13.8</v>
          </cell>
          <cell r="R14">
            <v>3.2</v>
          </cell>
          <cell r="S14">
            <v>21.061140480000002</v>
          </cell>
          <cell r="T14">
            <v>71495.731271172117</v>
          </cell>
          <cell r="U14">
            <v>0.2</v>
          </cell>
          <cell r="V14">
            <v>6293.3558808910248</v>
          </cell>
          <cell r="W14" t="str">
            <v>58F1</v>
          </cell>
          <cell r="X14">
            <v>200</v>
          </cell>
          <cell r="Y14">
            <v>440</v>
          </cell>
          <cell r="Z14">
            <v>0</v>
          </cell>
          <cell r="AA14">
            <v>1.84</v>
          </cell>
          <cell r="AB14">
            <v>2.38</v>
          </cell>
          <cell r="AC14">
            <v>11</v>
          </cell>
          <cell r="AD14">
            <v>13.379999999999999</v>
          </cell>
          <cell r="AE14">
            <v>513</v>
          </cell>
          <cell r="AF14">
            <v>56635.200000000004</v>
          </cell>
        </row>
        <row r="15">
          <cell r="H15">
            <v>0</v>
          </cell>
          <cell r="M15">
            <v>0</v>
          </cell>
          <cell r="N15" t="str">
            <v>50F2</v>
          </cell>
          <cell r="O15">
            <v>170</v>
          </cell>
          <cell r="P15">
            <v>0</v>
          </cell>
          <cell r="Q15">
            <v>13.8</v>
          </cell>
          <cell r="R15">
            <v>3.2</v>
          </cell>
          <cell r="S15">
            <v>10.56713472</v>
          </cell>
          <cell r="T15">
            <v>35871.990169042947</v>
          </cell>
          <cell r="U15">
            <v>0.2</v>
          </cell>
          <cell r="V15">
            <v>3157.6039055165033</v>
          </cell>
          <cell r="W15" t="str">
            <v>30F7</v>
          </cell>
          <cell r="X15">
            <v>280</v>
          </cell>
          <cell r="Y15">
            <v>450</v>
          </cell>
          <cell r="Z15">
            <v>0</v>
          </cell>
          <cell r="AA15">
            <v>0</v>
          </cell>
          <cell r="AB15">
            <v>0</v>
          </cell>
          <cell r="AC15">
            <v>0</v>
          </cell>
          <cell r="AD15">
            <v>0</v>
          </cell>
          <cell r="AE15">
            <v>0</v>
          </cell>
          <cell r="AF15">
            <v>0</v>
          </cell>
        </row>
        <row r="16">
          <cell r="H16">
            <v>0</v>
          </cell>
          <cell r="M16">
            <v>0</v>
          </cell>
          <cell r="N16" t="str">
            <v>50F3</v>
          </cell>
          <cell r="O16">
            <v>375</v>
          </cell>
          <cell r="P16">
            <v>1</v>
          </cell>
          <cell r="Q16">
            <v>13.8</v>
          </cell>
          <cell r="R16">
            <v>3.2</v>
          </cell>
          <cell r="S16">
            <v>51.418800000000019</v>
          </cell>
          <cell r="T16">
            <v>174550.12517376005</v>
          </cell>
          <cell r="U16">
            <v>0.2</v>
          </cell>
          <cell r="V16">
            <v>15364.638381081606</v>
          </cell>
          <cell r="W16" t="str">
            <v>50F4</v>
          </cell>
          <cell r="X16">
            <v>440</v>
          </cell>
          <cell r="Y16">
            <v>815</v>
          </cell>
          <cell r="Z16">
            <v>1</v>
          </cell>
          <cell r="AA16">
            <v>0.51</v>
          </cell>
          <cell r="AB16">
            <v>1.03</v>
          </cell>
          <cell r="AC16">
            <v>1</v>
          </cell>
          <cell r="AD16">
            <v>2.0300000000000002</v>
          </cell>
          <cell r="AE16">
            <v>626</v>
          </cell>
          <cell r="AF16">
            <v>19155.599999999999</v>
          </cell>
        </row>
        <row r="17">
          <cell r="H17">
            <v>0</v>
          </cell>
          <cell r="M17">
            <v>0</v>
          </cell>
          <cell r="N17" t="str">
            <v>50F4</v>
          </cell>
          <cell r="O17">
            <v>440</v>
          </cell>
          <cell r="P17">
            <v>1</v>
          </cell>
          <cell r="Q17">
            <v>13.8</v>
          </cell>
          <cell r="R17">
            <v>3.2</v>
          </cell>
          <cell r="S17">
            <v>70.78883328000002</v>
          </cell>
          <cell r="T17">
            <v>240305.09677255075</v>
          </cell>
          <cell r="U17">
            <v>0.2</v>
          </cell>
          <cell r="V17">
            <v>21152.66837743928</v>
          </cell>
          <cell r="W17" t="str">
            <v>30F7</v>
          </cell>
          <cell r="X17">
            <v>280</v>
          </cell>
          <cell r="Y17">
            <v>720</v>
          </cell>
          <cell r="Z17">
            <v>1</v>
          </cell>
          <cell r="AA17">
            <v>0.09</v>
          </cell>
          <cell r="AB17">
            <v>0.1</v>
          </cell>
          <cell r="AC17">
            <v>2</v>
          </cell>
          <cell r="AD17">
            <v>2.1</v>
          </cell>
          <cell r="AE17">
            <v>1183</v>
          </cell>
          <cell r="AF17">
            <v>6388.2</v>
          </cell>
        </row>
        <row r="18">
          <cell r="H18">
            <v>0</v>
          </cell>
          <cell r="I18">
            <v>0.65</v>
          </cell>
          <cell r="J18">
            <v>67</v>
          </cell>
          <cell r="K18">
            <v>28.307500000000005</v>
          </cell>
          <cell r="L18">
            <v>96094.768224000029</v>
          </cell>
          <cell r="M18">
            <v>8458.6668878400014</v>
          </cell>
          <cell r="N18" t="str">
            <v>54F1</v>
          </cell>
          <cell r="O18">
            <v>330</v>
          </cell>
          <cell r="P18">
            <v>1</v>
          </cell>
          <cell r="Q18">
            <v>13.8</v>
          </cell>
          <cell r="R18">
            <v>3</v>
          </cell>
          <cell r="S18">
            <v>37.330048800000014</v>
          </cell>
          <cell r="T18">
            <v>126723.39087614982</v>
          </cell>
          <cell r="U18">
            <v>0.2</v>
          </cell>
          <cell r="V18">
            <v>11154.727464665248</v>
          </cell>
          <cell r="W18" t="str">
            <v>59F4</v>
          </cell>
          <cell r="X18">
            <v>300</v>
          </cell>
          <cell r="Y18">
            <v>630</v>
          </cell>
          <cell r="Z18">
            <v>1</v>
          </cell>
          <cell r="AA18">
            <v>0.11</v>
          </cell>
          <cell r="AB18">
            <v>0.13</v>
          </cell>
          <cell r="AC18">
            <v>0</v>
          </cell>
          <cell r="AD18">
            <v>0.13</v>
          </cell>
          <cell r="AE18">
            <v>8</v>
          </cell>
          <cell r="AF18">
            <v>52.8</v>
          </cell>
        </row>
        <row r="19">
          <cell r="H19">
            <v>0</v>
          </cell>
          <cell r="M19">
            <v>0</v>
          </cell>
          <cell r="N19" t="str">
            <v>54F2</v>
          </cell>
          <cell r="O19">
            <v>427</v>
          </cell>
          <cell r="P19">
            <v>1</v>
          </cell>
          <cell r="Q19">
            <v>13.8</v>
          </cell>
          <cell r="R19">
            <v>3</v>
          </cell>
          <cell r="S19">
            <v>62.500922568000007</v>
          </cell>
          <cell r="T19">
            <v>212170.33181870994</v>
          </cell>
          <cell r="U19">
            <v>0.2</v>
          </cell>
          <cell r="V19">
            <v>18676.127675894852</v>
          </cell>
          <cell r="W19" t="str">
            <v>57F2</v>
          </cell>
          <cell r="X19">
            <v>400</v>
          </cell>
          <cell r="Y19">
            <v>827</v>
          </cell>
          <cell r="Z19">
            <v>1</v>
          </cell>
          <cell r="AA19">
            <v>1.19</v>
          </cell>
          <cell r="AB19">
            <v>2</v>
          </cell>
          <cell r="AC19">
            <v>0</v>
          </cell>
          <cell r="AD19">
            <v>2</v>
          </cell>
          <cell r="AE19">
            <v>2634</v>
          </cell>
          <cell r="AF19">
            <v>188067.6</v>
          </cell>
        </row>
        <row r="20">
          <cell r="H20">
            <v>0</v>
          </cell>
          <cell r="M20">
            <v>0</v>
          </cell>
          <cell r="N20" t="str">
            <v>54F3</v>
          </cell>
          <cell r="O20">
            <v>180</v>
          </cell>
          <cell r="P20">
            <v>0</v>
          </cell>
          <cell r="Q20">
            <v>13.8</v>
          </cell>
          <cell r="R20">
            <v>3</v>
          </cell>
          <cell r="S20">
            <v>11.106460800000002</v>
          </cell>
          <cell r="T20">
            <v>37702.827037532174</v>
          </cell>
          <cell r="U20">
            <v>0.2</v>
          </cell>
          <cell r="V20">
            <v>3318.7618903136263</v>
          </cell>
          <cell r="W20" t="str">
            <v>58F1</v>
          </cell>
          <cell r="X20">
            <v>200</v>
          </cell>
          <cell r="Y20">
            <v>380</v>
          </cell>
          <cell r="Z20">
            <v>0</v>
          </cell>
          <cell r="AA20">
            <v>0.42</v>
          </cell>
          <cell r="AB20">
            <v>0.26</v>
          </cell>
          <cell r="AC20">
            <v>1</v>
          </cell>
          <cell r="AD20">
            <v>1.26</v>
          </cell>
          <cell r="AE20">
            <v>994</v>
          </cell>
          <cell r="AF20">
            <v>25048.799999999999</v>
          </cell>
        </row>
        <row r="21">
          <cell r="H21">
            <v>0</v>
          </cell>
          <cell r="I21">
            <v>0.75</v>
          </cell>
          <cell r="J21">
            <v>67</v>
          </cell>
          <cell r="K21">
            <v>37.6875</v>
          </cell>
          <cell r="L21">
            <v>127936.82160000001</v>
          </cell>
          <cell r="M21">
            <v>11261.538756000002</v>
          </cell>
          <cell r="N21" t="str">
            <v>54F4</v>
          </cell>
          <cell r="O21">
            <v>460</v>
          </cell>
          <cell r="P21">
            <v>1</v>
          </cell>
          <cell r="Q21">
            <v>13.8</v>
          </cell>
          <cell r="R21">
            <v>3</v>
          </cell>
          <cell r="S21">
            <v>72.534787199999997</v>
          </cell>
          <cell r="T21">
            <v>246232.04324511744</v>
          </cell>
          <cell r="U21">
            <v>0.2</v>
          </cell>
          <cell r="V21">
            <v>21674.383209579111</v>
          </cell>
          <cell r="W21" t="str">
            <v>58F1</v>
          </cell>
          <cell r="X21">
            <v>200</v>
          </cell>
          <cell r="Y21">
            <v>660</v>
          </cell>
          <cell r="Z21">
            <v>1</v>
          </cell>
          <cell r="AA21">
            <v>0.82</v>
          </cell>
          <cell r="AB21">
            <v>0.26</v>
          </cell>
          <cell r="AC21">
            <v>2</v>
          </cell>
          <cell r="AD21">
            <v>2.2599999999999998</v>
          </cell>
          <cell r="AE21">
            <v>1072</v>
          </cell>
          <cell r="AF21">
            <v>52742.399999999994</v>
          </cell>
        </row>
        <row r="22">
          <cell r="H22">
            <v>0</v>
          </cell>
          <cell r="M22">
            <v>0</v>
          </cell>
          <cell r="N22" t="str">
            <v>54F5</v>
          </cell>
          <cell r="O22">
            <v>250</v>
          </cell>
          <cell r="P22">
            <v>0</v>
          </cell>
          <cell r="Q22">
            <v>13.8</v>
          </cell>
          <cell r="R22">
            <v>3</v>
          </cell>
          <cell r="S22">
            <v>21.424500000000005</v>
          </cell>
          <cell r="T22">
            <v>72729.218822400027</v>
          </cell>
          <cell r="U22">
            <v>0.2</v>
          </cell>
          <cell r="V22">
            <v>6401.9326587840023</v>
          </cell>
          <cell r="W22" t="str">
            <v>59F4</v>
          </cell>
          <cell r="X22">
            <v>300</v>
          </cell>
          <cell r="Y22">
            <v>550</v>
          </cell>
          <cell r="Z22">
            <v>1</v>
          </cell>
          <cell r="AA22">
            <v>0</v>
          </cell>
          <cell r="AB22">
            <v>0</v>
          </cell>
          <cell r="AC22">
            <v>1</v>
          </cell>
          <cell r="AD22">
            <v>1</v>
          </cell>
          <cell r="AE22">
            <v>10</v>
          </cell>
          <cell r="AF22">
            <v>0</v>
          </cell>
        </row>
        <row r="23">
          <cell r="H23">
            <v>0</v>
          </cell>
          <cell r="M23">
            <v>0</v>
          </cell>
          <cell r="N23" t="str">
            <v>54F6</v>
          </cell>
          <cell r="O23">
            <v>330</v>
          </cell>
          <cell r="P23">
            <v>1</v>
          </cell>
          <cell r="Q23">
            <v>13.8</v>
          </cell>
          <cell r="R23">
            <v>3</v>
          </cell>
          <cell r="S23">
            <v>37.330048800000014</v>
          </cell>
          <cell r="T23">
            <v>126723.39087614982</v>
          </cell>
          <cell r="U23">
            <v>0.2</v>
          </cell>
          <cell r="V23">
            <v>11154.727464665248</v>
          </cell>
          <cell r="W23" t="str">
            <v>58F3</v>
          </cell>
          <cell r="X23">
            <v>130</v>
          </cell>
          <cell r="Y23">
            <v>460</v>
          </cell>
          <cell r="Z23">
            <v>0</v>
          </cell>
          <cell r="AA23">
            <v>0.03</v>
          </cell>
          <cell r="AB23">
            <v>0.47</v>
          </cell>
          <cell r="AC23">
            <v>3</v>
          </cell>
          <cell r="AD23">
            <v>3.4699999999999998</v>
          </cell>
          <cell r="AE23">
            <v>103</v>
          </cell>
          <cell r="AF23">
            <v>185.39999999999998</v>
          </cell>
        </row>
        <row r="24">
          <cell r="H24">
            <v>1</v>
          </cell>
          <cell r="I24">
            <v>1.405</v>
          </cell>
          <cell r="J24">
            <v>67</v>
          </cell>
          <cell r="K24">
            <v>132.25967500000002</v>
          </cell>
          <cell r="L24">
            <v>448978.63868256006</v>
          </cell>
          <cell r="M24">
            <v>39520.993853889609</v>
          </cell>
          <cell r="N24" t="str">
            <v>57F1</v>
          </cell>
          <cell r="O24">
            <v>280</v>
          </cell>
          <cell r="P24">
            <v>1</v>
          </cell>
          <cell r="Q24">
            <v>13.8</v>
          </cell>
          <cell r="R24">
            <v>2.7</v>
          </cell>
          <cell r="S24">
            <v>24.187403520000004</v>
          </cell>
          <cell r="T24">
            <v>82108.378881736717</v>
          </cell>
          <cell r="U24">
            <v>0.2</v>
          </cell>
          <cell r="V24">
            <v>7227.5258944607858</v>
          </cell>
          <cell r="W24" t="str">
            <v>57F4</v>
          </cell>
          <cell r="X24">
            <v>350</v>
          </cell>
          <cell r="Y24">
            <v>630</v>
          </cell>
          <cell r="Z24">
            <v>1</v>
          </cell>
          <cell r="AA24">
            <v>0.78</v>
          </cell>
          <cell r="AB24">
            <v>0.99</v>
          </cell>
          <cell r="AC24">
            <v>0</v>
          </cell>
          <cell r="AD24">
            <v>0.99</v>
          </cell>
          <cell r="AE24">
            <v>526</v>
          </cell>
          <cell r="AF24">
            <v>24616.800000000003</v>
          </cell>
        </row>
        <row r="25">
          <cell r="H25">
            <v>0</v>
          </cell>
          <cell r="M25">
            <v>0</v>
          </cell>
          <cell r="N25" t="str">
            <v>57F2</v>
          </cell>
          <cell r="O25">
            <v>400</v>
          </cell>
          <cell r="P25">
            <v>1</v>
          </cell>
          <cell r="Q25">
            <v>13.8</v>
          </cell>
          <cell r="R25">
            <v>2.7</v>
          </cell>
          <cell r="S25">
            <v>49.362048000000001</v>
          </cell>
          <cell r="T25">
            <v>167568.12016680962</v>
          </cell>
          <cell r="U25">
            <v>0.2</v>
          </cell>
          <cell r="V25">
            <v>14750.052845838338</v>
          </cell>
          <cell r="W25" t="str">
            <v>59F1</v>
          </cell>
          <cell r="X25">
            <v>200</v>
          </cell>
          <cell r="Y25">
            <v>600</v>
          </cell>
          <cell r="Z25">
            <v>1</v>
          </cell>
          <cell r="AA25">
            <v>3.76</v>
          </cell>
          <cell r="AB25">
            <v>3.57</v>
          </cell>
          <cell r="AC25">
            <v>1</v>
          </cell>
          <cell r="AD25">
            <v>4.57</v>
          </cell>
          <cell r="AE25">
            <v>485</v>
          </cell>
          <cell r="AF25">
            <v>109416</v>
          </cell>
        </row>
        <row r="26">
          <cell r="H26">
            <v>0</v>
          </cell>
          <cell r="M26">
            <v>0</v>
          </cell>
          <cell r="N26" t="str">
            <v>57F3</v>
          </cell>
          <cell r="O26">
            <v>430</v>
          </cell>
          <cell r="P26">
            <v>1</v>
          </cell>
          <cell r="Q26">
            <v>13.8</v>
          </cell>
          <cell r="R26">
            <v>2.7</v>
          </cell>
          <cell r="S26">
            <v>57.044016720000009</v>
          </cell>
          <cell r="T26">
            <v>193645.90886776938</v>
          </cell>
          <cell r="U26">
            <v>0.2</v>
          </cell>
          <cell r="V26">
            <v>17045.529819971929</v>
          </cell>
          <cell r="W26" t="str">
            <v>59F3</v>
          </cell>
          <cell r="X26">
            <v>350</v>
          </cell>
          <cell r="Y26">
            <v>780</v>
          </cell>
          <cell r="Z26">
            <v>1</v>
          </cell>
          <cell r="AA26">
            <v>0.02</v>
          </cell>
          <cell r="AB26">
            <v>0</v>
          </cell>
          <cell r="AC26">
            <v>0</v>
          </cell>
          <cell r="AD26">
            <v>0</v>
          </cell>
          <cell r="AE26">
            <v>1912</v>
          </cell>
          <cell r="AF26">
            <v>2294.4</v>
          </cell>
        </row>
        <row r="27">
          <cell r="H27">
            <v>0</v>
          </cell>
          <cell r="M27">
            <v>0</v>
          </cell>
          <cell r="N27" t="str">
            <v>57F4</v>
          </cell>
          <cell r="O27">
            <v>350</v>
          </cell>
          <cell r="P27">
            <v>1</v>
          </cell>
          <cell r="Q27">
            <v>13.8</v>
          </cell>
          <cell r="R27">
            <v>2.7</v>
          </cell>
          <cell r="S27">
            <v>37.792818000000004</v>
          </cell>
          <cell r="T27">
            <v>128294.34200271362</v>
          </cell>
          <cell r="U27">
            <v>0.2</v>
          </cell>
          <cell r="V27">
            <v>11293.009210094977</v>
          </cell>
          <cell r="W27" t="str">
            <v>54F1</v>
          </cell>
          <cell r="X27">
            <v>330</v>
          </cell>
          <cell r="Y27">
            <v>680</v>
          </cell>
          <cell r="Z27">
            <v>1</v>
          </cell>
          <cell r="AA27">
            <v>0</v>
          </cell>
          <cell r="AB27">
            <v>0</v>
          </cell>
          <cell r="AC27">
            <v>0</v>
          </cell>
          <cell r="AD27">
            <v>0</v>
          </cell>
          <cell r="AE27">
            <v>234</v>
          </cell>
          <cell r="AF27">
            <v>0</v>
          </cell>
        </row>
        <row r="28">
          <cell r="H28">
            <v>1</v>
          </cell>
          <cell r="I28">
            <v>1.25</v>
          </cell>
          <cell r="J28">
            <v>67</v>
          </cell>
          <cell r="K28">
            <v>104.6875</v>
          </cell>
          <cell r="L28">
            <v>355380.06000000006</v>
          </cell>
          <cell r="M28">
            <v>31282.052100000001</v>
          </cell>
          <cell r="N28" t="str">
            <v>58F1</v>
          </cell>
          <cell r="O28">
            <v>200</v>
          </cell>
          <cell r="P28">
            <v>0</v>
          </cell>
          <cell r="Q28">
            <v>13.8</v>
          </cell>
          <cell r="R28">
            <v>3.5</v>
          </cell>
          <cell r="S28">
            <v>15.99696</v>
          </cell>
          <cell r="T28">
            <v>54304.483387392007</v>
          </cell>
          <cell r="U28">
            <v>0.2</v>
          </cell>
          <cell r="V28">
            <v>4780.1097185587205</v>
          </cell>
          <cell r="W28" t="str">
            <v>50F1</v>
          </cell>
          <cell r="X28">
            <v>240</v>
          </cell>
          <cell r="Y28">
            <v>440</v>
          </cell>
          <cell r="Z28">
            <v>0</v>
          </cell>
          <cell r="AA28">
            <v>1.31</v>
          </cell>
          <cell r="AB28">
            <v>2.3199999999999998</v>
          </cell>
          <cell r="AC28">
            <v>9</v>
          </cell>
          <cell r="AD28">
            <v>11.32</v>
          </cell>
          <cell r="AE28">
            <v>1023</v>
          </cell>
          <cell r="AF28">
            <v>80407.8</v>
          </cell>
        </row>
        <row r="29">
          <cell r="H29">
            <v>0</v>
          </cell>
          <cell r="M29">
            <v>0</v>
          </cell>
          <cell r="N29" t="str">
            <v>58F2</v>
          </cell>
          <cell r="O29">
            <v>280</v>
          </cell>
          <cell r="P29">
            <v>1</v>
          </cell>
          <cell r="Q29">
            <v>13.8</v>
          </cell>
          <cell r="R29">
            <v>3.5</v>
          </cell>
          <cell r="S29">
            <v>31.354041600000002</v>
          </cell>
          <cell r="T29">
            <v>106436.78743928832</v>
          </cell>
          <cell r="U29">
            <v>0.2</v>
          </cell>
          <cell r="V29">
            <v>9369.0150483750913</v>
          </cell>
          <cell r="W29" t="str">
            <v>60F1</v>
          </cell>
          <cell r="X29">
            <v>100</v>
          </cell>
          <cell r="Y29">
            <v>380</v>
          </cell>
          <cell r="Z29">
            <v>0</v>
          </cell>
          <cell r="AA29">
            <v>0.38</v>
          </cell>
          <cell r="AB29">
            <v>0.15</v>
          </cell>
          <cell r="AC29">
            <v>1</v>
          </cell>
          <cell r="AD29">
            <v>1.1499999999999999</v>
          </cell>
          <cell r="AE29">
            <v>33</v>
          </cell>
          <cell r="AF29">
            <v>752.40000000000009</v>
          </cell>
        </row>
        <row r="30">
          <cell r="H30">
            <v>0</v>
          </cell>
          <cell r="M30">
            <v>0</v>
          </cell>
          <cell r="N30" t="str">
            <v>58F3</v>
          </cell>
          <cell r="O30">
            <v>130</v>
          </cell>
          <cell r="P30">
            <v>0</v>
          </cell>
          <cell r="Q30">
            <v>13.8</v>
          </cell>
          <cell r="R30">
            <v>3.5</v>
          </cell>
          <cell r="S30">
            <v>6.7587156000000022</v>
          </cell>
          <cell r="T30">
            <v>22943.64423117313</v>
          </cell>
          <cell r="U30">
            <v>0.2</v>
          </cell>
          <cell r="V30">
            <v>2019.59635609106</v>
          </cell>
          <cell r="W30" t="str">
            <v>54F6</v>
          </cell>
          <cell r="X30">
            <v>330</v>
          </cell>
          <cell r="Y30">
            <v>460</v>
          </cell>
          <cell r="Z30">
            <v>0</v>
          </cell>
          <cell r="AA30">
            <v>2.76</v>
          </cell>
          <cell r="AB30">
            <v>2.35</v>
          </cell>
          <cell r="AC30">
            <v>3</v>
          </cell>
          <cell r="AD30">
            <v>5.35</v>
          </cell>
          <cell r="AE30">
            <v>778</v>
          </cell>
          <cell r="AF30">
            <v>128836.79999999999</v>
          </cell>
        </row>
        <row r="31">
          <cell r="H31">
            <v>0</v>
          </cell>
          <cell r="M31">
            <v>0</v>
          </cell>
          <cell r="N31" t="str">
            <v>58F4</v>
          </cell>
          <cell r="O31">
            <v>55</v>
          </cell>
          <cell r="P31">
            <v>0</v>
          </cell>
          <cell r="Q31">
            <v>13.8</v>
          </cell>
          <cell r="R31">
            <v>3.5</v>
          </cell>
          <cell r="S31">
            <v>1.2097701000000003</v>
          </cell>
          <cell r="T31">
            <v>4106.7765561715214</v>
          </cell>
          <cell r="U31">
            <v>0.2</v>
          </cell>
          <cell r="V31">
            <v>361.4957974660033</v>
          </cell>
          <cell r="W31" t="str">
            <v>60F1</v>
          </cell>
          <cell r="X31">
            <v>100</v>
          </cell>
          <cell r="Y31">
            <v>155</v>
          </cell>
          <cell r="Z31">
            <v>0</v>
          </cell>
          <cell r="AA31">
            <v>2.58</v>
          </cell>
          <cell r="AB31">
            <v>1</v>
          </cell>
          <cell r="AC31">
            <v>0</v>
          </cell>
          <cell r="AD31">
            <v>1</v>
          </cell>
          <cell r="AE31">
            <v>7</v>
          </cell>
          <cell r="AF31">
            <v>1083.6000000000001</v>
          </cell>
        </row>
        <row r="32">
          <cell r="H32">
            <v>0</v>
          </cell>
          <cell r="I32">
            <v>0.93499999999999994</v>
          </cell>
          <cell r="J32">
            <v>67</v>
          </cell>
          <cell r="K32">
            <v>58.573074999999996</v>
          </cell>
          <cell r="L32">
            <v>198836.56509024001</v>
          </cell>
          <cell r="M32">
            <v>17502.433278158402</v>
          </cell>
          <cell r="N32" t="str">
            <v>59F1</v>
          </cell>
          <cell r="O32">
            <v>200</v>
          </cell>
          <cell r="P32">
            <v>0</v>
          </cell>
          <cell r="Q32">
            <v>13.8</v>
          </cell>
          <cell r="R32">
            <v>3.2</v>
          </cell>
          <cell r="S32">
            <v>14.625792000000002</v>
          </cell>
          <cell r="T32">
            <v>49649.813382758417</v>
          </cell>
          <cell r="U32">
            <v>0.2</v>
          </cell>
          <cell r="V32">
            <v>4370.386028396545</v>
          </cell>
          <cell r="W32" t="str">
            <v>82F2</v>
          </cell>
          <cell r="X32">
            <v>280</v>
          </cell>
          <cell r="Y32">
            <v>480</v>
          </cell>
          <cell r="Z32">
            <v>0</v>
          </cell>
          <cell r="AA32">
            <v>1.01</v>
          </cell>
          <cell r="AB32">
            <v>1.08</v>
          </cell>
          <cell r="AC32">
            <v>3</v>
          </cell>
          <cell r="AD32">
            <v>4.08</v>
          </cell>
          <cell r="AE32">
            <v>1611</v>
          </cell>
          <cell r="AF32">
            <v>97626.6</v>
          </cell>
        </row>
        <row r="33">
          <cell r="H33">
            <v>0</v>
          </cell>
          <cell r="M33">
            <v>0</v>
          </cell>
          <cell r="N33" t="str">
            <v>59F2</v>
          </cell>
          <cell r="O33">
            <v>275</v>
          </cell>
          <cell r="P33">
            <v>1</v>
          </cell>
          <cell r="Q33">
            <v>13.8</v>
          </cell>
          <cell r="R33">
            <v>3.2</v>
          </cell>
          <cell r="S33">
            <v>27.651888000000003</v>
          </cell>
          <cell r="T33">
            <v>93869.178426777624</v>
          </cell>
          <cell r="U33">
            <v>0.2</v>
          </cell>
          <cell r="V33">
            <v>8262.7610849372177</v>
          </cell>
          <cell r="W33" t="str">
            <v>54F6</v>
          </cell>
          <cell r="X33">
            <v>330</v>
          </cell>
          <cell r="Y33">
            <v>605</v>
          </cell>
          <cell r="Z33">
            <v>1</v>
          </cell>
          <cell r="AA33">
            <v>0</v>
          </cell>
          <cell r="AB33">
            <v>0</v>
          </cell>
          <cell r="AC33">
            <v>0</v>
          </cell>
          <cell r="AD33">
            <v>0</v>
          </cell>
          <cell r="AE33">
            <v>11</v>
          </cell>
          <cell r="AF33">
            <v>0</v>
          </cell>
        </row>
        <row r="34">
          <cell r="H34">
            <v>0</v>
          </cell>
          <cell r="M34">
            <v>0</v>
          </cell>
          <cell r="N34" t="str">
            <v>59F3</v>
          </cell>
          <cell r="O34">
            <v>350</v>
          </cell>
          <cell r="P34">
            <v>1</v>
          </cell>
          <cell r="Q34">
            <v>13.8</v>
          </cell>
          <cell r="R34">
            <v>3.2</v>
          </cell>
          <cell r="S34">
            <v>44.791488000000008</v>
          </cell>
          <cell r="T34">
            <v>152052.55348469765</v>
          </cell>
          <cell r="U34">
            <v>0.2</v>
          </cell>
          <cell r="V34">
            <v>13384.30721196442</v>
          </cell>
          <cell r="W34" t="str">
            <v>57F3</v>
          </cell>
          <cell r="X34">
            <v>430</v>
          </cell>
          <cell r="Y34">
            <v>780</v>
          </cell>
          <cell r="Z34">
            <v>1</v>
          </cell>
          <cell r="AA34">
            <v>2.33</v>
          </cell>
          <cell r="AB34">
            <v>3.34</v>
          </cell>
          <cell r="AC34">
            <v>0</v>
          </cell>
          <cell r="AD34">
            <v>3.34</v>
          </cell>
          <cell r="AE34">
            <v>481</v>
          </cell>
          <cell r="AF34">
            <v>67243.8</v>
          </cell>
        </row>
        <row r="35">
          <cell r="H35">
            <v>0</v>
          </cell>
          <cell r="M35">
            <v>0</v>
          </cell>
          <cell r="N35" t="str">
            <v>59F4</v>
          </cell>
          <cell r="O35">
            <v>300</v>
          </cell>
          <cell r="P35">
            <v>1</v>
          </cell>
          <cell r="Q35">
            <v>13.8</v>
          </cell>
          <cell r="R35">
            <v>3.2</v>
          </cell>
          <cell r="S35">
            <v>32.908032000000006</v>
          </cell>
          <cell r="T35">
            <v>111712.08011120642</v>
          </cell>
          <cell r="U35">
            <v>0.2</v>
          </cell>
          <cell r="V35">
            <v>9833.368563892227</v>
          </cell>
          <cell r="W35" t="str">
            <v>54F5</v>
          </cell>
          <cell r="X35">
            <v>250</v>
          </cell>
          <cell r="Y35">
            <v>550</v>
          </cell>
          <cell r="Z35">
            <v>1</v>
          </cell>
          <cell r="AA35">
            <v>0</v>
          </cell>
          <cell r="AB35">
            <v>0</v>
          </cell>
          <cell r="AC35">
            <v>3</v>
          </cell>
          <cell r="AD35">
            <v>3</v>
          </cell>
          <cell r="AE35">
            <v>23</v>
          </cell>
          <cell r="AF35">
            <v>0</v>
          </cell>
        </row>
        <row r="36">
          <cell r="H36">
            <v>0</v>
          </cell>
          <cell r="I36">
            <v>0.55000000000000004</v>
          </cell>
          <cell r="J36">
            <v>67</v>
          </cell>
          <cell r="K36">
            <v>20.267500000000002</v>
          </cell>
          <cell r="L36">
            <v>68801.579616000017</v>
          </cell>
          <cell r="M36">
            <v>6056.2052865600017</v>
          </cell>
          <cell r="N36" t="str">
            <v>60F1</v>
          </cell>
          <cell r="O36">
            <v>100</v>
          </cell>
          <cell r="P36">
            <v>0</v>
          </cell>
          <cell r="Q36">
            <v>13.8</v>
          </cell>
          <cell r="R36">
            <v>3.2</v>
          </cell>
          <cell r="S36">
            <v>3.6564480000000006</v>
          </cell>
          <cell r="T36">
            <v>12412.453345689604</v>
          </cell>
          <cell r="U36">
            <v>0.2</v>
          </cell>
          <cell r="V36">
            <v>1092.5965070991363</v>
          </cell>
          <cell r="W36" t="str">
            <v>58F4</v>
          </cell>
          <cell r="X36">
            <v>55</v>
          </cell>
          <cell r="Y36">
            <v>155</v>
          </cell>
          <cell r="Z36">
            <v>0</v>
          </cell>
          <cell r="AA36">
            <v>0</v>
          </cell>
          <cell r="AB36">
            <v>0</v>
          </cell>
          <cell r="AC36">
            <v>1</v>
          </cell>
          <cell r="AD36">
            <v>1</v>
          </cell>
          <cell r="AE36">
            <v>19</v>
          </cell>
          <cell r="AF36">
            <v>0</v>
          </cell>
        </row>
        <row r="37">
          <cell r="H37">
            <v>0</v>
          </cell>
          <cell r="M37">
            <v>0</v>
          </cell>
          <cell r="N37" t="str">
            <v>60F2</v>
          </cell>
          <cell r="O37">
            <v>100</v>
          </cell>
          <cell r="P37">
            <v>0</v>
          </cell>
          <cell r="Q37">
            <v>13.8</v>
          </cell>
          <cell r="R37">
            <v>3.2</v>
          </cell>
          <cell r="S37">
            <v>3.6564480000000006</v>
          </cell>
          <cell r="T37">
            <v>12412.453345689604</v>
          </cell>
          <cell r="U37">
            <v>0.2</v>
          </cell>
          <cell r="V37">
            <v>1092.5965070991363</v>
          </cell>
          <cell r="W37" t="str">
            <v>59F3</v>
          </cell>
          <cell r="X37">
            <v>350</v>
          </cell>
          <cell r="Y37">
            <v>450</v>
          </cell>
          <cell r="Z37">
            <v>0</v>
          </cell>
          <cell r="AA37">
            <v>2.1800000000000002</v>
          </cell>
          <cell r="AB37">
            <v>1.5</v>
          </cell>
          <cell r="AC37">
            <v>2</v>
          </cell>
          <cell r="AD37">
            <v>3.5</v>
          </cell>
          <cell r="AE37">
            <v>4</v>
          </cell>
          <cell r="AF37">
            <v>523.20000000000005</v>
          </cell>
        </row>
        <row r="38">
          <cell r="H38">
            <v>0</v>
          </cell>
          <cell r="M38">
            <v>0</v>
          </cell>
          <cell r="N38" t="str">
            <v>60F3</v>
          </cell>
          <cell r="O38">
            <v>260</v>
          </cell>
          <cell r="P38">
            <v>1</v>
          </cell>
          <cell r="Q38">
            <v>13.8</v>
          </cell>
          <cell r="R38">
            <v>3.2</v>
          </cell>
          <cell r="S38">
            <v>24.717588480000011</v>
          </cell>
          <cell r="T38">
            <v>83908.184616861749</v>
          </cell>
          <cell r="U38">
            <v>0.2</v>
          </cell>
          <cell r="V38">
            <v>7385.9523879901626</v>
          </cell>
          <cell r="W38" t="str">
            <v>59F3</v>
          </cell>
          <cell r="X38">
            <v>350</v>
          </cell>
          <cell r="Y38">
            <v>610</v>
          </cell>
          <cell r="Z38">
            <v>1</v>
          </cell>
          <cell r="AA38">
            <v>3.22</v>
          </cell>
          <cell r="AB38">
            <v>3.79</v>
          </cell>
          <cell r="AC38">
            <v>1</v>
          </cell>
          <cell r="AD38">
            <v>4.79</v>
          </cell>
          <cell r="AE38">
            <v>19</v>
          </cell>
          <cell r="AF38">
            <v>3670.8</v>
          </cell>
        </row>
        <row r="39">
          <cell r="H39">
            <v>0</v>
          </cell>
          <cell r="I39">
            <v>0.77</v>
          </cell>
          <cell r="J39">
            <v>67</v>
          </cell>
          <cell r="K39">
            <v>39.724299999999999</v>
          </cell>
          <cell r="L39">
            <v>134851.09604736001</v>
          </cell>
          <cell r="M39">
            <v>11870.1623616576</v>
          </cell>
          <cell r="N39" t="str">
            <v>82F1</v>
          </cell>
          <cell r="O39">
            <v>380</v>
          </cell>
          <cell r="P39">
            <v>1</v>
          </cell>
          <cell r="Q39">
            <v>13.8</v>
          </cell>
          <cell r="R39">
            <v>3.2</v>
          </cell>
          <cell r="S39">
            <v>52.799109120000026</v>
          </cell>
          <cell r="T39">
            <v>179235.82631175793</v>
          </cell>
          <cell r="U39">
            <v>0.2</v>
          </cell>
          <cell r="V39">
            <v>15777.093562511534</v>
          </cell>
          <cell r="W39" t="str">
            <v>82F2</v>
          </cell>
          <cell r="X39">
            <v>280</v>
          </cell>
          <cell r="Y39">
            <v>660</v>
          </cell>
          <cell r="Z39">
            <v>1</v>
          </cell>
          <cell r="AA39">
            <v>0.1</v>
          </cell>
          <cell r="AB39">
            <v>0.04</v>
          </cell>
          <cell r="AC39">
            <v>6</v>
          </cell>
          <cell r="AD39">
            <v>6.04</v>
          </cell>
          <cell r="AE39">
            <v>2122</v>
          </cell>
          <cell r="AF39">
            <v>12732.000000000002</v>
          </cell>
        </row>
        <row r="40">
          <cell r="H40">
            <v>0</v>
          </cell>
          <cell r="M40">
            <v>0</v>
          </cell>
          <cell r="N40" t="str">
            <v>82F2</v>
          </cell>
          <cell r="O40">
            <v>280</v>
          </cell>
          <cell r="P40">
            <v>1</v>
          </cell>
          <cell r="Q40">
            <v>13.8</v>
          </cell>
          <cell r="R40">
            <v>3.2</v>
          </cell>
          <cell r="S40">
            <v>28.666552320000005</v>
          </cell>
          <cell r="T40">
            <v>97313.634230206488</v>
          </cell>
          <cell r="U40">
            <v>0.2</v>
          </cell>
          <cell r="V40">
            <v>8565.9566156572273</v>
          </cell>
          <cell r="W40" t="str">
            <v>59F1</v>
          </cell>
          <cell r="X40">
            <v>200</v>
          </cell>
          <cell r="Y40">
            <v>480</v>
          </cell>
          <cell r="Z40">
            <v>0</v>
          </cell>
          <cell r="AA40">
            <v>0.01</v>
          </cell>
          <cell r="AB40">
            <v>0</v>
          </cell>
          <cell r="AC40">
            <v>8</v>
          </cell>
          <cell r="AD40">
            <v>8</v>
          </cell>
          <cell r="AE40">
            <v>1396</v>
          </cell>
          <cell r="AF40">
            <v>837.6</v>
          </cell>
        </row>
        <row r="41">
          <cell r="H41">
            <v>0</v>
          </cell>
          <cell r="M41">
            <v>0</v>
          </cell>
          <cell r="N41" t="str">
            <v>82F3</v>
          </cell>
          <cell r="O41">
            <v>40</v>
          </cell>
          <cell r="P41">
            <v>0</v>
          </cell>
          <cell r="Q41">
            <v>13.8</v>
          </cell>
          <cell r="R41">
            <v>3.2</v>
          </cell>
          <cell r="S41">
            <v>0.58503168000000016</v>
          </cell>
          <cell r="T41">
            <v>1985.9925353103365</v>
          </cell>
          <cell r="U41">
            <v>0.2</v>
          </cell>
          <cell r="V41">
            <v>174.81544113586182</v>
          </cell>
          <cell r="W41" t="str">
            <v>82F2</v>
          </cell>
          <cell r="X41">
            <v>280</v>
          </cell>
          <cell r="Y41">
            <v>320</v>
          </cell>
          <cell r="Z41">
            <v>0</v>
          </cell>
          <cell r="AA41">
            <v>0</v>
          </cell>
          <cell r="AB41">
            <v>0</v>
          </cell>
          <cell r="AC41">
            <v>0</v>
          </cell>
          <cell r="AD41">
            <v>0</v>
          </cell>
          <cell r="AE41">
            <v>1426</v>
          </cell>
          <cell r="AF41">
            <v>0</v>
          </cell>
        </row>
        <row r="42">
          <cell r="H42">
            <v>3</v>
          </cell>
          <cell r="J42">
            <v>67</v>
          </cell>
          <cell r="K42">
            <v>533.00175000000002</v>
          </cell>
          <cell r="L42">
            <v>1809367.8222816</v>
          </cell>
          <cell r="M42">
            <v>159268.18877985602</v>
          </cell>
          <cell r="N42">
            <v>28</v>
          </cell>
          <cell r="O42">
            <v>7612</v>
          </cell>
          <cell r="P42">
            <v>17</v>
          </cell>
          <cell r="R42">
            <v>3.1285714285714299</v>
          </cell>
          <cell r="S42">
            <v>853.82682778800006</v>
          </cell>
          <cell r="T42">
            <v>2898464.7573865945</v>
          </cell>
          <cell r="U42">
            <v>0.20000000000000009</v>
          </cell>
          <cell r="V42">
            <v>255135.09551037094</v>
          </cell>
          <cell r="X42">
            <v>7535</v>
          </cell>
          <cell r="Y42">
            <v>15147</v>
          </cell>
          <cell r="Z42">
            <v>15</v>
          </cell>
          <cell r="AA42">
            <v>0.76032981872954863</v>
          </cell>
          <cell r="AB42">
            <v>0.92524489689918465</v>
          </cell>
          <cell r="AD42">
            <v>3.6780106996312267</v>
          </cell>
          <cell r="AE42">
            <v>19253</v>
          </cell>
          <cell r="AF42">
            <v>878317.79999999993</v>
          </cell>
        </row>
        <row r="43">
          <cell r="H43">
            <v>0</v>
          </cell>
          <cell r="I43">
            <v>0.85</v>
          </cell>
          <cell r="J43">
            <v>67</v>
          </cell>
          <cell r="K43">
            <v>48.407499999999992</v>
          </cell>
          <cell r="L43">
            <v>164327.73974399999</v>
          </cell>
          <cell r="M43">
            <v>14464.820891039999</v>
          </cell>
          <cell r="N43" t="str">
            <v>13F1</v>
          </cell>
          <cell r="O43">
            <v>175</v>
          </cell>
          <cell r="P43">
            <v>0</v>
          </cell>
          <cell r="Q43">
            <v>13.8</v>
          </cell>
          <cell r="R43">
            <v>5.2</v>
          </cell>
          <cell r="S43">
            <v>18.196542000000001</v>
          </cell>
          <cell r="T43">
            <v>61771.349853158412</v>
          </cell>
          <cell r="U43">
            <v>0.2</v>
          </cell>
          <cell r="V43">
            <v>5437.3748048605448</v>
          </cell>
          <cell r="W43" t="str">
            <v>13F4</v>
          </cell>
          <cell r="X43">
            <v>360</v>
          </cell>
          <cell r="Y43">
            <v>535</v>
          </cell>
          <cell r="Z43">
            <v>1</v>
          </cell>
          <cell r="AA43">
            <v>1.1000000000000001</v>
          </cell>
          <cell r="AB43">
            <v>2.16</v>
          </cell>
          <cell r="AC43">
            <v>2</v>
          </cell>
          <cell r="AD43">
            <v>4.16</v>
          </cell>
          <cell r="AE43">
            <v>1208</v>
          </cell>
          <cell r="AF43">
            <v>79728.000000000015</v>
          </cell>
        </row>
        <row r="44">
          <cell r="H44">
            <v>0</v>
          </cell>
          <cell r="M44">
            <v>0</v>
          </cell>
          <cell r="N44" t="str">
            <v>13F2</v>
          </cell>
          <cell r="O44">
            <v>300</v>
          </cell>
          <cell r="P44">
            <v>1</v>
          </cell>
          <cell r="Q44">
            <v>13.8</v>
          </cell>
          <cell r="R44">
            <v>5.2</v>
          </cell>
          <cell r="S44">
            <v>53.475552</v>
          </cell>
          <cell r="T44">
            <v>181532.13018071043</v>
          </cell>
          <cell r="U44">
            <v>0.2</v>
          </cell>
          <cell r="V44">
            <v>15979.223916324867</v>
          </cell>
          <cell r="W44" t="str">
            <v>13F5</v>
          </cell>
          <cell r="X44">
            <v>330</v>
          </cell>
          <cell r="Y44">
            <v>630</v>
          </cell>
          <cell r="Z44">
            <v>1</v>
          </cell>
          <cell r="AA44">
            <v>0.74</v>
          </cell>
          <cell r="AB44">
            <v>1</v>
          </cell>
          <cell r="AC44">
            <v>0</v>
          </cell>
          <cell r="AD44">
            <v>1</v>
          </cell>
          <cell r="AE44">
            <v>836</v>
          </cell>
          <cell r="AF44">
            <v>37118.400000000001</v>
          </cell>
        </row>
        <row r="45">
          <cell r="H45">
            <v>0</v>
          </cell>
          <cell r="M45">
            <v>0</v>
          </cell>
          <cell r="N45" t="str">
            <v>13F3</v>
          </cell>
          <cell r="O45">
            <v>240</v>
          </cell>
          <cell r="P45">
            <v>0</v>
          </cell>
          <cell r="Q45">
            <v>13.8</v>
          </cell>
          <cell r="R45">
            <v>5.2</v>
          </cell>
          <cell r="S45">
            <v>34.224353280000003</v>
          </cell>
          <cell r="T45">
            <v>116180.56331565467</v>
          </cell>
          <cell r="U45">
            <v>0.2</v>
          </cell>
          <cell r="V45">
            <v>10226.703306447915</v>
          </cell>
          <cell r="W45" t="str">
            <v>68F4</v>
          </cell>
          <cell r="X45">
            <v>150</v>
          </cell>
          <cell r="Y45">
            <v>390</v>
          </cell>
          <cell r="Z45">
            <v>0</v>
          </cell>
          <cell r="AA45">
            <v>5.57</v>
          </cell>
          <cell r="AB45">
            <v>3.91</v>
          </cell>
          <cell r="AC45">
            <v>2</v>
          </cell>
          <cell r="AD45">
            <v>5.91</v>
          </cell>
          <cell r="AE45">
            <v>280</v>
          </cell>
          <cell r="AF45">
            <v>93576.000000000015</v>
          </cell>
        </row>
        <row r="46">
          <cell r="H46">
            <v>0</v>
          </cell>
          <cell r="I46">
            <v>0.8</v>
          </cell>
          <cell r="J46">
            <v>67</v>
          </cell>
          <cell r="K46">
            <v>42.88000000000001</v>
          </cell>
          <cell r="L46">
            <v>145563.67257600004</v>
          </cell>
          <cell r="M46">
            <v>12813.128540160003</v>
          </cell>
          <cell r="N46" t="str">
            <v>13F4</v>
          </cell>
          <cell r="O46">
            <v>360</v>
          </cell>
          <cell r="P46">
            <v>1</v>
          </cell>
          <cell r="Q46">
            <v>13.8</v>
          </cell>
          <cell r="R46">
            <v>5.2</v>
          </cell>
          <cell r="S46">
            <v>77.004794880000006</v>
          </cell>
          <cell r="T46">
            <v>261406.267460223</v>
          </cell>
          <cell r="U46">
            <v>0.2</v>
          </cell>
          <cell r="V46">
            <v>23010.082439507809</v>
          </cell>
          <cell r="W46" t="str">
            <v>20F2</v>
          </cell>
          <cell r="X46">
            <v>200</v>
          </cell>
          <cell r="Y46">
            <v>560</v>
          </cell>
          <cell r="Z46">
            <v>1</v>
          </cell>
          <cell r="AA46">
            <v>0.86</v>
          </cell>
          <cell r="AB46">
            <v>4.0599999999999996</v>
          </cell>
          <cell r="AC46">
            <v>4</v>
          </cell>
          <cell r="AD46">
            <v>8.0599999999999987</v>
          </cell>
          <cell r="AE46">
            <v>954</v>
          </cell>
          <cell r="AF46">
            <v>49226.399999999994</v>
          </cell>
        </row>
        <row r="47">
          <cell r="H47">
            <v>0</v>
          </cell>
          <cell r="M47">
            <v>0</v>
          </cell>
          <cell r="N47" t="str">
            <v>13F5</v>
          </cell>
          <cell r="O47">
            <v>330</v>
          </cell>
          <cell r="P47">
            <v>1</v>
          </cell>
          <cell r="Q47">
            <v>13.8</v>
          </cell>
          <cell r="R47">
            <v>5.2</v>
          </cell>
          <cell r="S47">
            <v>64.705417920000016</v>
          </cell>
          <cell r="T47">
            <v>219653.87751865969</v>
          </cell>
          <cell r="U47">
            <v>0.2</v>
          </cell>
          <cell r="V47">
            <v>19334.860938753092</v>
          </cell>
          <cell r="W47" t="str">
            <v>68F3</v>
          </cell>
          <cell r="X47">
            <v>300</v>
          </cell>
          <cell r="Y47">
            <v>630</v>
          </cell>
          <cell r="Z47">
            <v>1</v>
          </cell>
          <cell r="AA47">
            <v>0.12</v>
          </cell>
          <cell r="AB47">
            <v>1.1100000000000001</v>
          </cell>
          <cell r="AC47">
            <v>3</v>
          </cell>
          <cell r="AD47">
            <v>4.1100000000000003</v>
          </cell>
          <cell r="AE47">
            <v>1418</v>
          </cell>
          <cell r="AF47">
            <v>10209.6</v>
          </cell>
        </row>
        <row r="48">
          <cell r="H48">
            <v>0</v>
          </cell>
          <cell r="M48">
            <v>0</v>
          </cell>
          <cell r="N48" t="str">
            <v>13F6</v>
          </cell>
          <cell r="O48">
            <v>425</v>
          </cell>
          <cell r="P48">
            <v>1</v>
          </cell>
          <cell r="Q48">
            <v>13.8</v>
          </cell>
          <cell r="R48">
            <v>5.2</v>
          </cell>
          <cell r="S48">
            <v>107.322462</v>
          </cell>
          <cell r="T48">
            <v>364324.90015434241</v>
          </cell>
          <cell r="U48">
            <v>0.2</v>
          </cell>
          <cell r="V48">
            <v>32069.414665401986</v>
          </cell>
          <cell r="W48" t="str">
            <v>68F4</v>
          </cell>
          <cell r="X48">
            <v>150</v>
          </cell>
          <cell r="Y48">
            <v>575</v>
          </cell>
          <cell r="Z48">
            <v>1</v>
          </cell>
          <cell r="AA48">
            <v>0.46</v>
          </cell>
          <cell r="AB48">
            <v>0.15</v>
          </cell>
          <cell r="AC48">
            <v>1</v>
          </cell>
          <cell r="AD48">
            <v>1.1499999999999999</v>
          </cell>
          <cell r="AE48">
            <v>342</v>
          </cell>
          <cell r="AF48">
            <v>9439.1999999999989</v>
          </cell>
        </row>
        <row r="49">
          <cell r="H49">
            <v>0</v>
          </cell>
          <cell r="I49">
            <v>0.78</v>
          </cell>
          <cell r="J49">
            <v>67</v>
          </cell>
          <cell r="K49">
            <v>40.762800000000006</v>
          </cell>
          <cell r="L49">
            <v>138376.46624256001</v>
          </cell>
          <cell r="M49">
            <v>12180.480318489601</v>
          </cell>
          <cell r="N49" t="str">
            <v>14F1</v>
          </cell>
          <cell r="O49">
            <v>220</v>
          </cell>
          <cell r="P49">
            <v>0</v>
          </cell>
          <cell r="Q49">
            <v>13.8</v>
          </cell>
          <cell r="R49">
            <v>2.8</v>
          </cell>
          <cell r="S49">
            <v>15.485057279999999</v>
          </cell>
          <cell r="T49">
            <v>52566.739918995459</v>
          </cell>
          <cell r="U49">
            <v>0.2</v>
          </cell>
          <cell r="V49">
            <v>4627.1462075648415</v>
          </cell>
          <cell r="W49" t="str">
            <v>14F4</v>
          </cell>
          <cell r="X49">
            <v>200</v>
          </cell>
          <cell r="Y49">
            <v>420</v>
          </cell>
          <cell r="Z49">
            <v>0</v>
          </cell>
          <cell r="AA49">
            <v>0.84</v>
          </cell>
          <cell r="AB49">
            <v>0.42</v>
          </cell>
          <cell r="AC49">
            <v>1</v>
          </cell>
          <cell r="AD49">
            <v>1.42</v>
          </cell>
          <cell r="AE49">
            <v>12</v>
          </cell>
          <cell r="AF49">
            <v>604.79999999999995</v>
          </cell>
        </row>
        <row r="50">
          <cell r="H50">
            <v>0</v>
          </cell>
          <cell r="M50">
            <v>0</v>
          </cell>
          <cell r="N50" t="str">
            <v>14F2</v>
          </cell>
          <cell r="O50">
            <v>70</v>
          </cell>
          <cell r="P50">
            <v>0</v>
          </cell>
          <cell r="Q50">
            <v>13.8</v>
          </cell>
          <cell r="R50">
            <v>2.8</v>
          </cell>
          <cell r="S50">
            <v>1.5677020799999999</v>
          </cell>
          <cell r="T50">
            <v>5321.8393719644155</v>
          </cell>
          <cell r="U50">
            <v>0.2</v>
          </cell>
          <cell r="V50">
            <v>468.45075241875452</v>
          </cell>
          <cell r="W50" t="str">
            <v>14F5</v>
          </cell>
          <cell r="X50">
            <v>190</v>
          </cell>
          <cell r="Y50">
            <v>260</v>
          </cell>
          <cell r="Z50">
            <v>0</v>
          </cell>
          <cell r="AA50">
            <v>1.01</v>
          </cell>
          <cell r="AB50">
            <v>0.33</v>
          </cell>
          <cell r="AC50">
            <v>1</v>
          </cell>
          <cell r="AD50">
            <v>1.33</v>
          </cell>
          <cell r="AE50">
            <v>3</v>
          </cell>
          <cell r="AF50">
            <v>181.8</v>
          </cell>
        </row>
        <row r="51">
          <cell r="H51">
            <v>1</v>
          </cell>
          <cell r="I51">
            <v>1.1099999999999999</v>
          </cell>
          <cell r="J51">
            <v>67</v>
          </cell>
          <cell r="K51">
            <v>82.550699999999978</v>
          </cell>
          <cell r="L51">
            <v>280232.8140326399</v>
          </cell>
          <cell r="M51">
            <v>24667.274491142394</v>
          </cell>
          <cell r="N51" t="str">
            <v>14F4</v>
          </cell>
          <cell r="O51">
            <v>200</v>
          </cell>
          <cell r="P51">
            <v>0</v>
          </cell>
          <cell r="Q51">
            <v>13.8</v>
          </cell>
          <cell r="R51">
            <v>2.8</v>
          </cell>
          <cell r="S51">
            <v>12.797567999999998</v>
          </cell>
          <cell r="T51">
            <v>43443.586709913601</v>
          </cell>
          <cell r="U51">
            <v>0.2</v>
          </cell>
          <cell r="V51">
            <v>3824.0877748469757</v>
          </cell>
          <cell r="W51" t="str">
            <v>14F1</v>
          </cell>
          <cell r="X51">
            <v>220</v>
          </cell>
          <cell r="Y51">
            <v>420</v>
          </cell>
          <cell r="Z51">
            <v>0</v>
          </cell>
          <cell r="AA51">
            <v>15.68</v>
          </cell>
          <cell r="AB51">
            <v>3</v>
          </cell>
          <cell r="AC51">
            <v>1</v>
          </cell>
          <cell r="AD51">
            <v>4</v>
          </cell>
          <cell r="AE51">
            <v>3</v>
          </cell>
          <cell r="AF51">
            <v>2822.4</v>
          </cell>
        </row>
        <row r="52">
          <cell r="H52">
            <v>0</v>
          </cell>
          <cell r="M52">
            <v>0</v>
          </cell>
          <cell r="N52" t="str">
            <v>14F5</v>
          </cell>
          <cell r="O52">
            <v>190</v>
          </cell>
          <cell r="P52">
            <v>0</v>
          </cell>
          <cell r="Q52">
            <v>13.8</v>
          </cell>
          <cell r="R52">
            <v>2.8</v>
          </cell>
          <cell r="S52">
            <v>11.549805120000002</v>
          </cell>
          <cell r="T52">
            <v>39207.837005697038</v>
          </cell>
          <cell r="U52">
            <v>0.2</v>
          </cell>
          <cell r="V52">
            <v>3451.2392167993967</v>
          </cell>
          <cell r="W52" t="str">
            <v>14F2</v>
          </cell>
          <cell r="X52">
            <v>70</v>
          </cell>
          <cell r="Y52">
            <v>260</v>
          </cell>
          <cell r="Z52">
            <v>0</v>
          </cell>
          <cell r="AA52">
            <v>0</v>
          </cell>
          <cell r="AB52">
            <v>0</v>
          </cell>
          <cell r="AC52">
            <v>0</v>
          </cell>
          <cell r="AD52">
            <v>0</v>
          </cell>
          <cell r="AE52">
            <v>3</v>
          </cell>
          <cell r="AF52">
            <v>0</v>
          </cell>
        </row>
        <row r="53">
          <cell r="H53">
            <v>0</v>
          </cell>
          <cell r="I53">
            <v>0.80999999999999994</v>
          </cell>
          <cell r="J53">
            <v>67</v>
          </cell>
          <cell r="K53">
            <v>43.958699999999993</v>
          </cell>
          <cell r="L53">
            <v>149225.50871423999</v>
          </cell>
          <cell r="M53">
            <v>13135.458804998398</v>
          </cell>
          <cell r="N53" t="str">
            <v>20F1</v>
          </cell>
          <cell r="O53">
            <v>350</v>
          </cell>
          <cell r="P53">
            <v>1</v>
          </cell>
          <cell r="Q53">
            <v>13.8</v>
          </cell>
          <cell r="R53">
            <v>3.8</v>
          </cell>
          <cell r="S53">
            <v>53.189892</v>
          </cell>
          <cell r="T53">
            <v>180562.40726307841</v>
          </cell>
          <cell r="U53">
            <v>0.2</v>
          </cell>
          <cell r="V53">
            <v>15893.864814207745</v>
          </cell>
          <cell r="W53" t="str">
            <v>13F4</v>
          </cell>
          <cell r="X53">
            <v>360</v>
          </cell>
          <cell r="Y53">
            <v>710</v>
          </cell>
          <cell r="Z53">
            <v>1</v>
          </cell>
          <cell r="AA53">
            <v>1.79</v>
          </cell>
          <cell r="AB53">
            <v>1.05</v>
          </cell>
          <cell r="AC53">
            <v>5</v>
          </cell>
          <cell r="AD53">
            <v>6.05</v>
          </cell>
          <cell r="AE53">
            <v>1032</v>
          </cell>
          <cell r="AF53">
            <v>110836.8</v>
          </cell>
        </row>
        <row r="54">
          <cell r="H54">
            <v>0</v>
          </cell>
          <cell r="M54">
            <v>0</v>
          </cell>
          <cell r="N54" t="str">
            <v>20F2</v>
          </cell>
          <cell r="O54">
            <v>200</v>
          </cell>
          <cell r="P54">
            <v>0</v>
          </cell>
          <cell r="Q54">
            <v>13.8</v>
          </cell>
          <cell r="R54">
            <v>3.8</v>
          </cell>
          <cell r="S54">
            <v>17.368127999999999</v>
          </cell>
          <cell r="T54">
            <v>58959.153392025597</v>
          </cell>
          <cell r="U54">
            <v>0.2</v>
          </cell>
          <cell r="V54">
            <v>5189.8334087208959</v>
          </cell>
          <cell r="W54" t="str">
            <v>30F5</v>
          </cell>
          <cell r="X54">
            <v>120</v>
          </cell>
          <cell r="Y54">
            <v>320</v>
          </cell>
          <cell r="Z54">
            <v>0</v>
          </cell>
          <cell r="AA54">
            <v>0.02</v>
          </cell>
          <cell r="AB54">
            <v>0.03</v>
          </cell>
          <cell r="AC54">
            <v>1</v>
          </cell>
          <cell r="AD54">
            <v>1.03</v>
          </cell>
          <cell r="AE54">
            <v>727</v>
          </cell>
          <cell r="AF54">
            <v>872.40000000000009</v>
          </cell>
        </row>
        <row r="55">
          <cell r="H55">
            <v>0</v>
          </cell>
          <cell r="M55">
            <v>0</v>
          </cell>
          <cell r="N55" t="str">
            <v>20F3</v>
          </cell>
          <cell r="O55">
            <v>270</v>
          </cell>
          <cell r="P55">
            <v>1</v>
          </cell>
          <cell r="Q55">
            <v>13.8</v>
          </cell>
          <cell r="R55">
            <v>3.8</v>
          </cell>
          <cell r="S55">
            <v>31.653413280000002</v>
          </cell>
          <cell r="T55">
            <v>107453.05705696666</v>
          </cell>
          <cell r="U55">
            <v>0.2</v>
          </cell>
          <cell r="V55">
            <v>9458.4713873938344</v>
          </cell>
          <cell r="W55" t="str">
            <v>49F2</v>
          </cell>
          <cell r="X55">
            <v>280</v>
          </cell>
          <cell r="Y55">
            <v>550</v>
          </cell>
          <cell r="Z55">
            <v>1</v>
          </cell>
          <cell r="AA55">
            <v>0.53</v>
          </cell>
          <cell r="AB55">
            <v>1</v>
          </cell>
          <cell r="AC55">
            <v>0</v>
          </cell>
          <cell r="AD55">
            <v>1</v>
          </cell>
          <cell r="AE55">
            <v>205</v>
          </cell>
          <cell r="AF55">
            <v>6519</v>
          </cell>
        </row>
        <row r="56">
          <cell r="H56">
            <v>0</v>
          </cell>
          <cell r="I56">
            <v>0.875</v>
          </cell>
          <cell r="J56">
            <v>67</v>
          </cell>
          <cell r="K56">
            <v>51.296875</v>
          </cell>
          <cell r="L56">
            <v>174136.22940000001</v>
          </cell>
          <cell r="M56">
            <v>15328.205529000001</v>
          </cell>
          <cell r="N56" t="str">
            <v>20F4</v>
          </cell>
          <cell r="O56">
            <v>450</v>
          </cell>
          <cell r="P56">
            <v>1</v>
          </cell>
          <cell r="Q56">
            <v>13.8</v>
          </cell>
          <cell r="R56">
            <v>3.8</v>
          </cell>
          <cell r="S56">
            <v>87.926148000000026</v>
          </cell>
          <cell r="T56">
            <v>298480.71404712973</v>
          </cell>
          <cell r="U56">
            <v>0.2</v>
          </cell>
          <cell r="V56">
            <v>26273.531631649545</v>
          </cell>
          <cell r="W56" t="str">
            <v>30F7</v>
          </cell>
          <cell r="X56">
            <v>280</v>
          </cell>
          <cell r="Y56">
            <v>730</v>
          </cell>
          <cell r="Z56">
            <v>1</v>
          </cell>
          <cell r="AA56">
            <v>0.88</v>
          </cell>
          <cell r="AB56">
            <v>2.78</v>
          </cell>
          <cell r="AC56">
            <v>4</v>
          </cell>
          <cell r="AD56">
            <v>6.7799999999999994</v>
          </cell>
          <cell r="AE56">
            <v>610</v>
          </cell>
          <cell r="AF56">
            <v>32207.999999999996</v>
          </cell>
        </row>
        <row r="57">
          <cell r="H57">
            <v>0</v>
          </cell>
          <cell r="M57">
            <v>0</v>
          </cell>
          <cell r="N57" t="str">
            <v>20F5</v>
          </cell>
          <cell r="O57">
            <v>450</v>
          </cell>
          <cell r="P57">
            <v>1</v>
          </cell>
          <cell r="Q57">
            <v>13.8</v>
          </cell>
          <cell r="R57">
            <v>3.8</v>
          </cell>
          <cell r="S57">
            <v>87.926148000000026</v>
          </cell>
          <cell r="T57">
            <v>298480.71404712973</v>
          </cell>
          <cell r="U57">
            <v>0.2</v>
          </cell>
          <cell r="V57">
            <v>26273.531631649545</v>
          </cell>
          <cell r="W57" t="str">
            <v>20F2</v>
          </cell>
          <cell r="X57">
            <v>200</v>
          </cell>
          <cell r="Y57">
            <v>650</v>
          </cell>
          <cell r="Z57">
            <v>1</v>
          </cell>
          <cell r="AA57">
            <v>0.46</v>
          </cell>
          <cell r="AB57">
            <v>0.15</v>
          </cell>
          <cell r="AC57">
            <v>0</v>
          </cell>
          <cell r="AD57">
            <v>0.15</v>
          </cell>
          <cell r="AE57">
            <v>328</v>
          </cell>
          <cell r="AF57">
            <v>9052.7999999999993</v>
          </cell>
        </row>
        <row r="58">
          <cell r="H58">
            <v>0</v>
          </cell>
          <cell r="M58">
            <v>0</v>
          </cell>
          <cell r="N58" t="str">
            <v>20F6</v>
          </cell>
          <cell r="O58">
            <v>300</v>
          </cell>
          <cell r="P58">
            <v>1</v>
          </cell>
          <cell r="Q58">
            <v>13.8</v>
          </cell>
          <cell r="R58">
            <v>3.8</v>
          </cell>
          <cell r="S58">
            <v>39.078288000000001</v>
          </cell>
          <cell r="T58">
            <v>132658.09513205761</v>
          </cell>
          <cell r="U58">
            <v>0.2</v>
          </cell>
          <cell r="V58">
            <v>11677.125169622017</v>
          </cell>
          <cell r="W58" t="str">
            <v>20F2</v>
          </cell>
          <cell r="X58">
            <v>200</v>
          </cell>
          <cell r="Y58">
            <v>500</v>
          </cell>
          <cell r="Z58">
            <v>0</v>
          </cell>
          <cell r="AA58">
            <v>0.21</v>
          </cell>
          <cell r="AB58">
            <v>1.1399999999999999</v>
          </cell>
          <cell r="AC58">
            <v>4</v>
          </cell>
          <cell r="AD58">
            <v>5.14</v>
          </cell>
          <cell r="AE58">
            <v>573</v>
          </cell>
          <cell r="AF58">
            <v>7219.8</v>
          </cell>
        </row>
        <row r="59">
          <cell r="H59">
            <v>1</v>
          </cell>
          <cell r="I59">
            <v>1.35</v>
          </cell>
          <cell r="J59">
            <v>67</v>
          </cell>
          <cell r="K59">
            <v>122.10750000000002</v>
          </cell>
          <cell r="L59">
            <v>414515.30198400008</v>
          </cell>
          <cell r="M59">
            <v>36487.385569440004</v>
          </cell>
          <cell r="N59" t="str">
            <v>24F1</v>
          </cell>
          <cell r="O59">
            <v>160</v>
          </cell>
          <cell r="P59">
            <v>0</v>
          </cell>
          <cell r="Q59">
            <v>13.8</v>
          </cell>
          <cell r="R59">
            <v>3.1</v>
          </cell>
          <cell r="S59">
            <v>9.0679910400000026</v>
          </cell>
          <cell r="T59">
            <v>30782.884297310222</v>
          </cell>
          <cell r="U59">
            <v>0.2</v>
          </cell>
          <cell r="V59">
            <v>2709.6393376058586</v>
          </cell>
          <cell r="W59" t="str">
            <v>13F3</v>
          </cell>
          <cell r="X59">
            <v>240</v>
          </cell>
          <cell r="Y59">
            <v>400</v>
          </cell>
          <cell r="Z59">
            <v>0</v>
          </cell>
          <cell r="AA59">
            <v>0.4</v>
          </cell>
          <cell r="AB59">
            <v>0.44</v>
          </cell>
          <cell r="AC59">
            <v>4</v>
          </cell>
          <cell r="AD59">
            <v>4.4400000000000004</v>
          </cell>
          <cell r="AE59">
            <v>222</v>
          </cell>
          <cell r="AF59">
            <v>5328.0000000000009</v>
          </cell>
        </row>
        <row r="60">
          <cell r="H60">
            <v>0</v>
          </cell>
          <cell r="M60">
            <v>0</v>
          </cell>
          <cell r="N60" t="str">
            <v>24F2</v>
          </cell>
          <cell r="O60">
            <v>100</v>
          </cell>
          <cell r="P60">
            <v>0</v>
          </cell>
          <cell r="Q60">
            <v>13.8</v>
          </cell>
          <cell r="R60">
            <v>3.1</v>
          </cell>
          <cell r="S60">
            <v>3.5421840000000002</v>
          </cell>
          <cell r="T60">
            <v>12024.564178636801</v>
          </cell>
          <cell r="U60">
            <v>0.2</v>
          </cell>
          <cell r="V60">
            <v>1058.452866252288</v>
          </cell>
          <cell r="W60" t="str">
            <v>39F4</v>
          </cell>
          <cell r="X60">
            <v>340</v>
          </cell>
          <cell r="Y60">
            <v>440</v>
          </cell>
          <cell r="Z60">
            <v>0</v>
          </cell>
          <cell r="AA60">
            <v>0.49</v>
          </cell>
          <cell r="AB60">
            <v>1</v>
          </cell>
          <cell r="AC60">
            <v>0</v>
          </cell>
          <cell r="AD60">
            <v>1</v>
          </cell>
          <cell r="AE60">
            <v>435</v>
          </cell>
          <cell r="AF60">
            <v>12789</v>
          </cell>
        </row>
        <row r="61">
          <cell r="H61">
            <v>0</v>
          </cell>
          <cell r="M61">
            <v>0</v>
          </cell>
          <cell r="N61" t="str">
            <v>24F3</v>
          </cell>
          <cell r="O61">
            <v>330</v>
          </cell>
          <cell r="P61">
            <v>1</v>
          </cell>
          <cell r="Q61">
            <v>13.8</v>
          </cell>
          <cell r="R61">
            <v>3.1</v>
          </cell>
          <cell r="S61">
            <v>38.574383760000011</v>
          </cell>
          <cell r="T61">
            <v>130947.50390535481</v>
          </cell>
          <cell r="U61">
            <v>0.2</v>
          </cell>
          <cell r="V61">
            <v>11526.551713487421</v>
          </cell>
          <cell r="W61" t="str">
            <v>13F4</v>
          </cell>
          <cell r="X61">
            <v>360</v>
          </cell>
          <cell r="Y61">
            <v>690</v>
          </cell>
          <cell r="Z61">
            <v>1</v>
          </cell>
          <cell r="AA61">
            <v>0.25</v>
          </cell>
          <cell r="AB61">
            <v>2.09</v>
          </cell>
          <cell r="AC61">
            <v>3</v>
          </cell>
          <cell r="AD61">
            <v>5.09</v>
          </cell>
          <cell r="AE61">
            <v>1599</v>
          </cell>
          <cell r="AF61">
            <v>23985</v>
          </cell>
        </row>
        <row r="62">
          <cell r="H62">
            <v>0</v>
          </cell>
          <cell r="I62">
            <v>0.64500000000000002</v>
          </cell>
          <cell r="J62">
            <v>67</v>
          </cell>
          <cell r="K62">
            <v>27.873675000000002</v>
          </cell>
          <cell r="L62">
            <v>94622.07325536001</v>
          </cell>
          <cell r="M62">
            <v>8329.0340639376009</v>
          </cell>
          <cell r="N62" t="str">
            <v>30F1</v>
          </cell>
          <cell r="O62">
            <v>280</v>
          </cell>
          <cell r="P62">
            <v>1</v>
          </cell>
          <cell r="Q62">
            <v>13.8</v>
          </cell>
          <cell r="R62">
            <v>4.4000000000000004</v>
          </cell>
          <cell r="S62">
            <v>39.416509440000006</v>
          </cell>
          <cell r="T62">
            <v>133806.24706653392</v>
          </cell>
          <cell r="U62">
            <v>0.2</v>
          </cell>
          <cell r="V62">
            <v>11778.190346528689</v>
          </cell>
          <cell r="W62" t="str">
            <v>30F7</v>
          </cell>
          <cell r="X62">
            <v>280</v>
          </cell>
          <cell r="Y62">
            <v>560</v>
          </cell>
          <cell r="Z62">
            <v>1</v>
          </cell>
          <cell r="AA62">
            <v>0</v>
          </cell>
          <cell r="AB62">
            <v>0.01</v>
          </cell>
          <cell r="AC62">
            <v>2</v>
          </cell>
          <cell r="AD62">
            <v>2.0099999999999998</v>
          </cell>
          <cell r="AE62">
            <v>2842</v>
          </cell>
          <cell r="AF62">
            <v>0</v>
          </cell>
        </row>
        <row r="63">
          <cell r="H63">
            <v>0</v>
          </cell>
          <cell r="M63">
            <v>0</v>
          </cell>
          <cell r="N63" t="str">
            <v>30F2</v>
          </cell>
          <cell r="O63">
            <v>110</v>
          </cell>
          <cell r="P63">
            <v>0</v>
          </cell>
          <cell r="Q63">
            <v>13.8</v>
          </cell>
          <cell r="R63">
            <v>4.4000000000000004</v>
          </cell>
          <cell r="S63">
            <v>6.0834153600000018</v>
          </cell>
          <cell r="T63">
            <v>20651.219253891082</v>
          </cell>
          <cell r="U63">
            <v>0.2</v>
          </cell>
          <cell r="V63">
            <v>1817.8074386861883</v>
          </cell>
          <cell r="W63" t="str">
            <v>20F3</v>
          </cell>
          <cell r="X63">
            <v>270</v>
          </cell>
          <cell r="Y63">
            <v>380</v>
          </cell>
          <cell r="Z63">
            <v>0</v>
          </cell>
          <cell r="AA63">
            <v>0.03</v>
          </cell>
          <cell r="AB63">
            <v>0.01</v>
          </cell>
          <cell r="AC63">
            <v>0</v>
          </cell>
          <cell r="AD63">
            <v>0.01</v>
          </cell>
          <cell r="AE63">
            <v>2274</v>
          </cell>
          <cell r="AF63">
            <v>4093.2</v>
          </cell>
        </row>
        <row r="64">
          <cell r="H64">
            <v>0</v>
          </cell>
          <cell r="M64">
            <v>0</v>
          </cell>
          <cell r="N64" t="str">
            <v>30F3</v>
          </cell>
          <cell r="O64">
            <v>150</v>
          </cell>
          <cell r="P64">
            <v>0</v>
          </cell>
          <cell r="Q64">
            <v>13.8</v>
          </cell>
          <cell r="R64">
            <v>4.4000000000000004</v>
          </cell>
          <cell r="S64">
            <v>11.312136000000001</v>
          </cell>
          <cell r="T64">
            <v>38401.027538227208</v>
          </cell>
          <cell r="U64">
            <v>0.2</v>
          </cell>
          <cell r="V64">
            <v>3380.2204438379526</v>
          </cell>
          <cell r="W64" t="str">
            <v>20F3</v>
          </cell>
          <cell r="X64">
            <v>270</v>
          </cell>
          <cell r="Y64">
            <v>420</v>
          </cell>
          <cell r="Z64">
            <v>0</v>
          </cell>
          <cell r="AA64">
            <v>5.39</v>
          </cell>
          <cell r="AB64">
            <v>8.42</v>
          </cell>
          <cell r="AC64">
            <v>2</v>
          </cell>
          <cell r="AD64">
            <v>10.42</v>
          </cell>
          <cell r="AE64">
            <v>292</v>
          </cell>
          <cell r="AF64">
            <v>94432.799999999988</v>
          </cell>
        </row>
        <row r="65">
          <cell r="H65">
            <v>0</v>
          </cell>
          <cell r="I65">
            <v>0.74</v>
          </cell>
          <cell r="J65">
            <v>67</v>
          </cell>
          <cell r="K65">
            <v>36.6892</v>
          </cell>
          <cell r="L65">
            <v>124547.91734784</v>
          </cell>
          <cell r="M65">
            <v>10963.233107174401</v>
          </cell>
          <cell r="N65" t="str">
            <v>30F4</v>
          </cell>
          <cell r="O65">
            <v>380</v>
          </cell>
          <cell r="P65">
            <v>1</v>
          </cell>
          <cell r="Q65">
            <v>13.8</v>
          </cell>
          <cell r="R65">
            <v>4.4000000000000004</v>
          </cell>
          <cell r="S65">
            <v>72.598775040000021</v>
          </cell>
          <cell r="T65">
            <v>246449.2611786671</v>
          </cell>
          <cell r="U65">
            <v>0.2</v>
          </cell>
          <cell r="V65">
            <v>21693.503648453356</v>
          </cell>
          <cell r="W65" t="str">
            <v>30F3</v>
          </cell>
          <cell r="X65">
            <v>150</v>
          </cell>
          <cell r="Y65">
            <v>530</v>
          </cell>
          <cell r="Z65">
            <v>1</v>
          </cell>
          <cell r="AA65">
            <v>0.46</v>
          </cell>
          <cell r="AB65">
            <v>1.01</v>
          </cell>
          <cell r="AC65">
            <v>2</v>
          </cell>
          <cell r="AD65">
            <v>3.01</v>
          </cell>
          <cell r="AE65">
            <v>326</v>
          </cell>
          <cell r="AF65">
            <v>8997.6</v>
          </cell>
        </row>
        <row r="66">
          <cell r="H66">
            <v>0</v>
          </cell>
          <cell r="M66">
            <v>0</v>
          </cell>
          <cell r="N66" t="str">
            <v>30F5</v>
          </cell>
          <cell r="O66">
            <v>120</v>
          </cell>
          <cell r="P66">
            <v>0</v>
          </cell>
          <cell r="Q66">
            <v>13.8</v>
          </cell>
          <cell r="R66">
            <v>4.4000000000000004</v>
          </cell>
          <cell r="S66">
            <v>7.2397670400000003</v>
          </cell>
          <cell r="T66">
            <v>24576.65762446541</v>
          </cell>
          <cell r="U66">
            <v>0.2</v>
          </cell>
          <cell r="V66">
            <v>2163.3410840562892</v>
          </cell>
          <cell r="W66" t="str">
            <v>20F2</v>
          </cell>
          <cell r="X66">
            <v>200</v>
          </cell>
          <cell r="Y66">
            <v>320</v>
          </cell>
          <cell r="Z66">
            <v>0</v>
          </cell>
          <cell r="AA66">
            <v>0.28999999999999998</v>
          </cell>
          <cell r="AB66">
            <v>0.13</v>
          </cell>
          <cell r="AC66">
            <v>2</v>
          </cell>
          <cell r="AD66">
            <v>2.13</v>
          </cell>
          <cell r="AE66">
            <v>1180</v>
          </cell>
          <cell r="AF66">
            <v>20532</v>
          </cell>
        </row>
        <row r="67">
          <cell r="H67">
            <v>0</v>
          </cell>
          <cell r="M67">
            <v>0</v>
          </cell>
          <cell r="N67" t="str">
            <v>30F6</v>
          </cell>
          <cell r="O67">
            <v>230</v>
          </cell>
          <cell r="P67">
            <v>0</v>
          </cell>
          <cell r="Q67">
            <v>13.8</v>
          </cell>
          <cell r="R67">
            <v>4.4000000000000004</v>
          </cell>
          <cell r="S67">
            <v>26.596088640000001</v>
          </cell>
          <cell r="T67">
            <v>90285.082523209741</v>
          </cell>
          <cell r="U67">
            <v>0.2</v>
          </cell>
          <cell r="V67">
            <v>7947.273843512341</v>
          </cell>
          <cell r="W67" t="str">
            <v>49F4</v>
          </cell>
          <cell r="X67">
            <v>355</v>
          </cell>
          <cell r="Y67">
            <v>585</v>
          </cell>
          <cell r="Z67">
            <v>1</v>
          </cell>
          <cell r="AA67">
            <v>0</v>
          </cell>
          <cell r="AB67">
            <v>0</v>
          </cell>
          <cell r="AC67">
            <v>4</v>
          </cell>
          <cell r="AD67">
            <v>4</v>
          </cell>
          <cell r="AE67">
            <v>0</v>
          </cell>
          <cell r="AF67">
            <v>0</v>
          </cell>
        </row>
        <row r="68">
          <cell r="H68">
            <v>0</v>
          </cell>
          <cell r="M68">
            <v>0</v>
          </cell>
          <cell r="N68" t="str">
            <v>30F7</v>
          </cell>
          <cell r="O68">
            <v>280</v>
          </cell>
          <cell r="P68">
            <v>1</v>
          </cell>
          <cell r="Q68">
            <v>13.8</v>
          </cell>
          <cell r="R68">
            <v>4.4000000000000004</v>
          </cell>
          <cell r="S68">
            <v>39.416509440000006</v>
          </cell>
          <cell r="T68">
            <v>133806.24706653392</v>
          </cell>
          <cell r="U68">
            <v>0.2</v>
          </cell>
          <cell r="V68">
            <v>11778.190346528689</v>
          </cell>
          <cell r="W68" t="str">
            <v>30F1</v>
          </cell>
          <cell r="X68">
            <v>280</v>
          </cell>
          <cell r="Y68">
            <v>560</v>
          </cell>
          <cell r="Z68">
            <v>1</v>
          </cell>
          <cell r="AA68">
            <v>3.76</v>
          </cell>
          <cell r="AB68">
            <v>7.48</v>
          </cell>
          <cell r="AC68">
            <v>4</v>
          </cell>
          <cell r="AD68">
            <v>11.48</v>
          </cell>
          <cell r="AE68">
            <v>1334</v>
          </cell>
          <cell r="AF68">
            <v>300950.40000000002</v>
          </cell>
        </row>
        <row r="69">
          <cell r="H69">
            <v>0</v>
          </cell>
          <cell r="I69">
            <v>0.70499999999999996</v>
          </cell>
          <cell r="J69">
            <v>67</v>
          </cell>
          <cell r="K69">
            <v>33.300674999999998</v>
          </cell>
          <cell r="L69">
            <v>113044.97556576</v>
          </cell>
          <cell r="M69">
            <v>9950.695644801599</v>
          </cell>
          <cell r="N69" t="str">
            <v>47F1</v>
          </cell>
          <cell r="O69">
            <v>235</v>
          </cell>
          <cell r="P69">
            <v>0</v>
          </cell>
          <cell r="Q69">
            <v>13.8</v>
          </cell>
          <cell r="R69">
            <v>3</v>
          </cell>
          <cell r="S69">
            <v>18.930688200000002</v>
          </cell>
          <cell r="T69">
            <v>64263.53775147265</v>
          </cell>
          <cell r="U69">
            <v>0.2</v>
          </cell>
          <cell r="V69">
            <v>5656.7476973015437</v>
          </cell>
          <cell r="W69" t="str">
            <v>61F3</v>
          </cell>
          <cell r="X69">
            <v>170</v>
          </cell>
          <cell r="Y69">
            <v>405</v>
          </cell>
          <cell r="Z69">
            <v>0</v>
          </cell>
          <cell r="AA69">
            <v>0</v>
          </cell>
          <cell r="AB69">
            <v>0</v>
          </cell>
          <cell r="AC69">
            <v>0</v>
          </cell>
          <cell r="AD69">
            <v>0</v>
          </cell>
          <cell r="AE69">
            <v>0</v>
          </cell>
          <cell r="AF69">
            <v>0</v>
          </cell>
        </row>
        <row r="70">
          <cell r="H70">
            <v>0</v>
          </cell>
          <cell r="M70">
            <v>0</v>
          </cell>
          <cell r="N70" t="str">
            <v>47F2</v>
          </cell>
          <cell r="O70">
            <v>155</v>
          </cell>
          <cell r="P70">
            <v>0</v>
          </cell>
          <cell r="Q70">
            <v>13.8</v>
          </cell>
          <cell r="R70">
            <v>3</v>
          </cell>
          <cell r="S70">
            <v>8.2355778000000015</v>
          </cell>
          <cell r="T70">
            <v>27957.111715330568</v>
          </cell>
          <cell r="U70">
            <v>0.2</v>
          </cell>
          <cell r="V70">
            <v>2460.9029140365701</v>
          </cell>
          <cell r="W70" t="str">
            <v>47F5</v>
          </cell>
          <cell r="X70">
            <v>90</v>
          </cell>
          <cell r="Y70">
            <v>245</v>
          </cell>
          <cell r="Z70">
            <v>0</v>
          </cell>
          <cell r="AA70">
            <v>0</v>
          </cell>
          <cell r="AB70">
            <v>0</v>
          </cell>
          <cell r="AC70">
            <v>0</v>
          </cell>
          <cell r="AD70">
            <v>0</v>
          </cell>
          <cell r="AE70">
            <v>3</v>
          </cell>
          <cell r="AF70">
            <v>0</v>
          </cell>
        </row>
        <row r="71">
          <cell r="H71">
            <v>0</v>
          </cell>
          <cell r="M71">
            <v>0</v>
          </cell>
          <cell r="N71" t="str">
            <v>47F3</v>
          </cell>
          <cell r="O71">
            <v>195</v>
          </cell>
          <cell r="P71">
            <v>0</v>
          </cell>
          <cell r="Q71">
            <v>13.8</v>
          </cell>
          <cell r="R71">
            <v>3</v>
          </cell>
          <cell r="S71">
            <v>13.034665800000001</v>
          </cell>
          <cell r="T71">
            <v>44248.456731548169</v>
          </cell>
          <cell r="U71">
            <v>0.2</v>
          </cell>
          <cell r="V71">
            <v>3894.9358296041864</v>
          </cell>
          <cell r="W71" t="str">
            <v>61F2</v>
          </cell>
          <cell r="X71">
            <v>180</v>
          </cell>
          <cell r="Y71">
            <v>375</v>
          </cell>
          <cell r="Z71">
            <v>0</v>
          </cell>
          <cell r="AA71">
            <v>0</v>
          </cell>
          <cell r="AB71">
            <v>0</v>
          </cell>
          <cell r="AC71">
            <v>0</v>
          </cell>
          <cell r="AD71">
            <v>0</v>
          </cell>
          <cell r="AE71">
            <v>473</v>
          </cell>
          <cell r="AF71">
            <v>0</v>
          </cell>
        </row>
        <row r="72">
          <cell r="H72">
            <v>0</v>
          </cell>
          <cell r="I72">
            <v>0.63</v>
          </cell>
          <cell r="J72">
            <v>67</v>
          </cell>
          <cell r="K72">
            <v>26.592300000000002</v>
          </cell>
          <cell r="L72">
            <v>90272.221320960016</v>
          </cell>
          <cell r="M72">
            <v>7946.1417462336012</v>
          </cell>
          <cell r="N72" t="str">
            <v>47F4</v>
          </cell>
          <cell r="O72">
            <v>250</v>
          </cell>
          <cell r="P72">
            <v>0</v>
          </cell>
          <cell r="Q72">
            <v>13.8</v>
          </cell>
          <cell r="R72">
            <v>3</v>
          </cell>
          <cell r="S72">
            <v>21.424500000000005</v>
          </cell>
          <cell r="T72">
            <v>72729.218822400027</v>
          </cell>
          <cell r="U72">
            <v>0.2</v>
          </cell>
          <cell r="V72">
            <v>6401.9326587840023</v>
          </cell>
          <cell r="W72" t="str">
            <v>47F5</v>
          </cell>
          <cell r="X72">
            <v>90</v>
          </cell>
          <cell r="Y72">
            <v>340</v>
          </cell>
          <cell r="Z72">
            <v>0</v>
          </cell>
          <cell r="AA72">
            <v>0</v>
          </cell>
          <cell r="AB72">
            <v>0</v>
          </cell>
          <cell r="AC72">
            <v>0</v>
          </cell>
          <cell r="AD72">
            <v>0</v>
          </cell>
          <cell r="AE72">
            <v>6</v>
          </cell>
          <cell r="AF72">
            <v>0</v>
          </cell>
        </row>
        <row r="73">
          <cell r="H73">
            <v>0</v>
          </cell>
          <cell r="M73">
            <v>0</v>
          </cell>
          <cell r="N73" t="str">
            <v>47F5</v>
          </cell>
          <cell r="O73">
            <v>90</v>
          </cell>
          <cell r="P73">
            <v>0</v>
          </cell>
          <cell r="Q73">
            <v>13.8</v>
          </cell>
          <cell r="R73">
            <v>3</v>
          </cell>
          <cell r="S73">
            <v>2.7766152000000006</v>
          </cell>
          <cell r="T73">
            <v>9425.7067593830434</v>
          </cell>
          <cell r="U73">
            <v>0.2</v>
          </cell>
          <cell r="V73">
            <v>829.69047257840657</v>
          </cell>
          <cell r="W73" t="str">
            <v>47F2</v>
          </cell>
          <cell r="X73">
            <v>155</v>
          </cell>
          <cell r="Y73">
            <v>245</v>
          </cell>
          <cell r="Z73">
            <v>0</v>
          </cell>
          <cell r="AA73">
            <v>0</v>
          </cell>
          <cell r="AB73">
            <v>0</v>
          </cell>
          <cell r="AC73">
            <v>0</v>
          </cell>
          <cell r="AD73">
            <v>0</v>
          </cell>
          <cell r="AE73">
            <v>2</v>
          </cell>
          <cell r="AF73">
            <v>0</v>
          </cell>
        </row>
        <row r="74">
          <cell r="H74">
            <v>0</v>
          </cell>
          <cell r="M74">
            <v>0</v>
          </cell>
          <cell r="N74" t="str">
            <v>47F6</v>
          </cell>
          <cell r="O74">
            <v>285</v>
          </cell>
          <cell r="P74">
            <v>1</v>
          </cell>
          <cell r="Q74">
            <v>13.8</v>
          </cell>
          <cell r="R74">
            <v>3</v>
          </cell>
          <cell r="S74">
            <v>27.843280200000006</v>
          </cell>
          <cell r="T74">
            <v>94518.892781591072</v>
          </cell>
          <cell r="U74">
            <v>0.2</v>
          </cell>
          <cell r="V74">
            <v>8319.9516833556881</v>
          </cell>
          <cell r="W74" t="str">
            <v>10F4</v>
          </cell>
          <cell r="X74">
            <v>310</v>
          </cell>
          <cell r="Y74">
            <v>595</v>
          </cell>
          <cell r="Z74">
            <v>1</v>
          </cell>
          <cell r="AA74">
            <v>0</v>
          </cell>
          <cell r="AB74">
            <v>0</v>
          </cell>
          <cell r="AC74">
            <v>0</v>
          </cell>
          <cell r="AD74">
            <v>0</v>
          </cell>
          <cell r="AE74">
            <v>175</v>
          </cell>
          <cell r="AF74">
            <v>0</v>
          </cell>
        </row>
        <row r="75">
          <cell r="H75">
            <v>0</v>
          </cell>
          <cell r="M75">
            <v>0</v>
          </cell>
          <cell r="N75" t="str">
            <v>49F1</v>
          </cell>
          <cell r="O75">
            <v>160</v>
          </cell>
          <cell r="P75">
            <v>0</v>
          </cell>
          <cell r="Q75">
            <v>13.8</v>
          </cell>
          <cell r="R75">
            <v>3.5</v>
          </cell>
          <cell r="S75">
            <v>10.238054400000003</v>
          </cell>
          <cell r="T75">
            <v>34754.869367930893</v>
          </cell>
          <cell r="U75">
            <v>0.2</v>
          </cell>
          <cell r="V75">
            <v>3059.2702198775819</v>
          </cell>
          <cell r="W75" t="str">
            <v>49F4</v>
          </cell>
          <cell r="X75">
            <v>355</v>
          </cell>
          <cell r="Y75">
            <v>515</v>
          </cell>
          <cell r="Z75">
            <v>1</v>
          </cell>
          <cell r="AA75">
            <v>0</v>
          </cell>
          <cell r="AB75">
            <v>0</v>
          </cell>
          <cell r="AC75">
            <v>0</v>
          </cell>
          <cell r="AD75">
            <v>0</v>
          </cell>
          <cell r="AE75">
            <v>1212</v>
          </cell>
          <cell r="AF75">
            <v>0</v>
          </cell>
        </row>
        <row r="76">
          <cell r="H76">
            <v>0</v>
          </cell>
          <cell r="M76">
            <v>0</v>
          </cell>
          <cell r="N76" t="str">
            <v>49F2</v>
          </cell>
          <cell r="O76">
            <v>280</v>
          </cell>
          <cell r="P76">
            <v>1</v>
          </cell>
          <cell r="Q76">
            <v>13.8</v>
          </cell>
          <cell r="R76">
            <v>3.5</v>
          </cell>
          <cell r="S76">
            <v>31.354041600000002</v>
          </cell>
          <cell r="T76">
            <v>106436.78743928832</v>
          </cell>
          <cell r="U76">
            <v>0.2</v>
          </cell>
          <cell r="V76">
            <v>9369.0150483750913</v>
          </cell>
          <cell r="W76" t="str">
            <v>30F3</v>
          </cell>
          <cell r="X76">
            <v>150</v>
          </cell>
          <cell r="Y76">
            <v>430</v>
          </cell>
          <cell r="Z76">
            <v>0</v>
          </cell>
          <cell r="AA76">
            <v>0</v>
          </cell>
          <cell r="AB76">
            <v>0</v>
          </cell>
          <cell r="AC76">
            <v>4</v>
          </cell>
          <cell r="AD76">
            <v>4</v>
          </cell>
          <cell r="AE76">
            <v>1942</v>
          </cell>
          <cell r="AF76">
            <v>0</v>
          </cell>
        </row>
        <row r="77">
          <cell r="H77">
            <v>0</v>
          </cell>
          <cell r="M77">
            <v>0</v>
          </cell>
          <cell r="N77" t="str">
            <v>49F3</v>
          </cell>
          <cell r="O77">
            <v>200</v>
          </cell>
          <cell r="P77">
            <v>0</v>
          </cell>
          <cell r="Q77">
            <v>13.8</v>
          </cell>
          <cell r="R77">
            <v>3.5</v>
          </cell>
          <cell r="S77">
            <v>15.99696</v>
          </cell>
          <cell r="T77">
            <v>54304.483387392007</v>
          </cell>
          <cell r="U77">
            <v>0.2</v>
          </cell>
          <cell r="V77">
            <v>4780.1097185587205</v>
          </cell>
          <cell r="W77" t="str">
            <v>49F6</v>
          </cell>
          <cell r="X77">
            <v>180</v>
          </cell>
          <cell r="Y77">
            <v>380</v>
          </cell>
          <cell r="Z77">
            <v>0</v>
          </cell>
          <cell r="AA77">
            <v>0.74</v>
          </cell>
          <cell r="AB77">
            <v>2</v>
          </cell>
          <cell r="AC77">
            <v>0</v>
          </cell>
          <cell r="AD77">
            <v>2</v>
          </cell>
          <cell r="AE77">
            <v>1356</v>
          </cell>
          <cell r="AF77">
            <v>60206.399999999994</v>
          </cell>
        </row>
        <row r="78">
          <cell r="H78">
            <v>1</v>
          </cell>
          <cell r="I78">
            <v>1.0050000000000001</v>
          </cell>
          <cell r="J78">
            <v>67</v>
          </cell>
          <cell r="K78">
            <v>67.671675000000008</v>
          </cell>
          <cell r="L78">
            <v>229723.35686496002</v>
          </cell>
          <cell r="M78">
            <v>20221.218990273603</v>
          </cell>
          <cell r="N78" t="str">
            <v>49F4</v>
          </cell>
          <cell r="O78">
            <v>355</v>
          </cell>
          <cell r="P78">
            <v>1</v>
          </cell>
          <cell r="Q78">
            <v>13.8</v>
          </cell>
          <cell r="R78">
            <v>3.5</v>
          </cell>
          <cell r="S78">
            <v>50.400422100000014</v>
          </cell>
          <cell r="T78">
            <v>171093.06297240197</v>
          </cell>
          <cell r="U78">
            <v>0.2</v>
          </cell>
          <cell r="V78">
            <v>15060.333182034072</v>
          </cell>
          <cell r="W78" t="str">
            <v>20F3</v>
          </cell>
          <cell r="X78">
            <v>270</v>
          </cell>
          <cell r="Y78">
            <v>625</v>
          </cell>
          <cell r="Z78">
            <v>1</v>
          </cell>
          <cell r="AA78">
            <v>0</v>
          </cell>
          <cell r="AB78">
            <v>0</v>
          </cell>
          <cell r="AC78">
            <v>0</v>
          </cell>
          <cell r="AD78">
            <v>0</v>
          </cell>
          <cell r="AE78">
            <v>0</v>
          </cell>
          <cell r="AF78">
            <v>0</v>
          </cell>
        </row>
        <row r="79">
          <cell r="H79">
            <v>0</v>
          </cell>
          <cell r="M79">
            <v>0</v>
          </cell>
          <cell r="N79" t="str">
            <v>49F5</v>
          </cell>
          <cell r="O79">
            <v>60</v>
          </cell>
          <cell r="P79">
            <v>0</v>
          </cell>
          <cell r="Q79">
            <v>13.8</v>
          </cell>
          <cell r="R79">
            <v>3.5</v>
          </cell>
          <cell r="S79">
            <v>1.4397264000000001</v>
          </cell>
          <cell r="T79">
            <v>4887.4035048652804</v>
          </cell>
          <cell r="U79">
            <v>0.2</v>
          </cell>
          <cell r="V79">
            <v>430.20987467028488</v>
          </cell>
          <cell r="W79" t="str">
            <v>30F3</v>
          </cell>
          <cell r="X79">
            <v>150</v>
          </cell>
          <cell r="Y79">
            <v>210</v>
          </cell>
          <cell r="Z79">
            <v>0</v>
          </cell>
          <cell r="AA79">
            <v>0</v>
          </cell>
          <cell r="AB79">
            <v>0</v>
          </cell>
          <cell r="AC79">
            <v>0</v>
          </cell>
          <cell r="AD79">
            <v>0</v>
          </cell>
          <cell r="AE79">
            <v>0</v>
          </cell>
          <cell r="AF79">
            <v>0</v>
          </cell>
        </row>
        <row r="80">
          <cell r="H80">
            <v>0</v>
          </cell>
          <cell r="M80">
            <v>0</v>
          </cell>
          <cell r="N80" t="str">
            <v>49F6</v>
          </cell>
          <cell r="O80">
            <v>180</v>
          </cell>
          <cell r="P80">
            <v>0</v>
          </cell>
          <cell r="Q80">
            <v>13.8</v>
          </cell>
          <cell r="R80">
            <v>3.5</v>
          </cell>
          <cell r="S80">
            <v>12.957537600000002</v>
          </cell>
          <cell r="T80">
            <v>43986.631543787531</v>
          </cell>
          <cell r="U80">
            <v>0.2</v>
          </cell>
          <cell r="V80">
            <v>3871.888872032564</v>
          </cell>
          <cell r="W80" t="str">
            <v>49F3</v>
          </cell>
          <cell r="X80">
            <v>200</v>
          </cell>
          <cell r="Y80">
            <v>380</v>
          </cell>
          <cell r="Z80">
            <v>0</v>
          </cell>
          <cell r="AA80">
            <v>0</v>
          </cell>
          <cell r="AB80">
            <v>0</v>
          </cell>
          <cell r="AC80">
            <v>0</v>
          </cell>
          <cell r="AD80">
            <v>0</v>
          </cell>
          <cell r="AE80">
            <v>0</v>
          </cell>
          <cell r="AF80">
            <v>0</v>
          </cell>
        </row>
        <row r="81">
          <cell r="H81">
            <v>0</v>
          </cell>
          <cell r="I81">
            <v>0.8</v>
          </cell>
          <cell r="J81">
            <v>67</v>
          </cell>
          <cell r="K81">
            <v>42.88000000000001</v>
          </cell>
          <cell r="L81">
            <v>145563.67257600004</v>
          </cell>
          <cell r="M81">
            <v>12813.128540160003</v>
          </cell>
          <cell r="N81" t="str">
            <v>61F1</v>
          </cell>
          <cell r="O81">
            <v>50</v>
          </cell>
          <cell r="P81">
            <v>0</v>
          </cell>
          <cell r="Q81">
            <v>13.8</v>
          </cell>
          <cell r="R81">
            <v>3</v>
          </cell>
          <cell r="S81">
            <v>0.85698000000000008</v>
          </cell>
          <cell r="T81">
            <v>2909.1687528960006</v>
          </cell>
          <cell r="U81">
            <v>0.2</v>
          </cell>
          <cell r="V81">
            <v>256.07730635136005</v>
          </cell>
          <cell r="W81" t="str">
            <v>47F3</v>
          </cell>
          <cell r="X81">
            <v>195</v>
          </cell>
          <cell r="Y81">
            <v>245</v>
          </cell>
          <cell r="Z81">
            <v>0</v>
          </cell>
          <cell r="AA81">
            <v>0</v>
          </cell>
          <cell r="AB81">
            <v>0</v>
          </cell>
          <cell r="AC81">
            <v>0</v>
          </cell>
          <cell r="AD81">
            <v>0</v>
          </cell>
          <cell r="AE81">
            <v>325</v>
          </cell>
          <cell r="AF81">
            <v>0</v>
          </cell>
        </row>
        <row r="82">
          <cell r="H82">
            <v>0</v>
          </cell>
          <cell r="M82">
            <v>0</v>
          </cell>
          <cell r="N82" t="str">
            <v>61F2</v>
          </cell>
          <cell r="O82">
            <v>180</v>
          </cell>
          <cell r="P82">
            <v>0</v>
          </cell>
          <cell r="Q82">
            <v>13.8</v>
          </cell>
          <cell r="R82">
            <v>3</v>
          </cell>
          <cell r="S82">
            <v>11.106460800000002</v>
          </cell>
          <cell r="T82">
            <v>37702.827037532174</v>
          </cell>
          <cell r="U82">
            <v>0.2</v>
          </cell>
          <cell r="V82">
            <v>3318.7618903136263</v>
          </cell>
          <cell r="W82" t="str">
            <v>47F3</v>
          </cell>
          <cell r="X82">
            <v>195</v>
          </cell>
          <cell r="Y82">
            <v>375</v>
          </cell>
          <cell r="Z82">
            <v>0</v>
          </cell>
          <cell r="AA82">
            <v>0.14000000000000001</v>
          </cell>
          <cell r="AB82">
            <v>0.04</v>
          </cell>
          <cell r="AC82">
            <v>0</v>
          </cell>
          <cell r="AD82">
            <v>0.04</v>
          </cell>
          <cell r="AE82">
            <v>36</v>
          </cell>
          <cell r="AF82">
            <v>302.40000000000003</v>
          </cell>
        </row>
        <row r="83">
          <cell r="H83">
            <v>0</v>
          </cell>
          <cell r="M83">
            <v>0</v>
          </cell>
          <cell r="N83" t="str">
            <v>61F3</v>
          </cell>
          <cell r="O83">
            <v>170</v>
          </cell>
          <cell r="P83">
            <v>0</v>
          </cell>
          <cell r="Q83">
            <v>13.8</v>
          </cell>
          <cell r="R83">
            <v>3</v>
          </cell>
          <cell r="S83">
            <v>9.9066888000000013</v>
          </cell>
          <cell r="T83">
            <v>33629.99078347777</v>
          </cell>
          <cell r="U83">
            <v>0.2</v>
          </cell>
          <cell r="V83">
            <v>2960.2536614217224</v>
          </cell>
          <cell r="W83" t="str">
            <v>47F1</v>
          </cell>
          <cell r="X83">
            <v>235</v>
          </cell>
          <cell r="Y83">
            <v>405</v>
          </cell>
          <cell r="Z83">
            <v>0</v>
          </cell>
          <cell r="AA83">
            <v>0</v>
          </cell>
          <cell r="AB83">
            <v>0</v>
          </cell>
          <cell r="AC83">
            <v>0</v>
          </cell>
          <cell r="AD83">
            <v>0</v>
          </cell>
          <cell r="AE83">
            <v>9</v>
          </cell>
          <cell r="AF83">
            <v>0</v>
          </cell>
        </row>
        <row r="84">
          <cell r="H84">
            <v>0</v>
          </cell>
          <cell r="M84">
            <v>0</v>
          </cell>
          <cell r="N84" t="str">
            <v>61F4</v>
          </cell>
          <cell r="O84">
            <v>190</v>
          </cell>
          <cell r="P84">
            <v>0</v>
          </cell>
          <cell r="Q84">
            <v>13.8</v>
          </cell>
          <cell r="R84">
            <v>3</v>
          </cell>
          <cell r="S84">
            <v>12.374791200000004</v>
          </cell>
          <cell r="T84">
            <v>42008.396791818253</v>
          </cell>
          <cell r="U84">
            <v>0.2</v>
          </cell>
          <cell r="V84">
            <v>3697.7563037136397</v>
          </cell>
          <cell r="W84" t="str">
            <v>10F2</v>
          </cell>
          <cell r="X84">
            <v>300</v>
          </cell>
          <cell r="Y84">
            <v>490</v>
          </cell>
          <cell r="Z84">
            <v>0</v>
          </cell>
          <cell r="AA84">
            <v>0</v>
          </cell>
          <cell r="AB84">
            <v>0</v>
          </cell>
          <cell r="AC84">
            <v>0</v>
          </cell>
          <cell r="AD84">
            <v>0</v>
          </cell>
          <cell r="AE84">
            <v>3</v>
          </cell>
          <cell r="AF84">
            <v>0</v>
          </cell>
        </row>
        <row r="85">
          <cell r="H85">
            <v>3</v>
          </cell>
          <cell r="J85">
            <v>67</v>
          </cell>
          <cell r="K85">
            <v>666.97159999999997</v>
          </cell>
          <cell r="L85">
            <v>2264151.94962432</v>
          </cell>
          <cell r="M85">
            <v>199300.20623685123</v>
          </cell>
          <cell r="N85">
            <v>42</v>
          </cell>
          <cell r="O85">
            <v>9705</v>
          </cell>
          <cell r="P85">
            <v>16</v>
          </cell>
          <cell r="R85">
            <v>3.7214285714285715</v>
          </cell>
          <cell r="S85">
            <v>1216.1960217000001</v>
          </cell>
          <cell r="T85">
            <v>4128590.4732036539</v>
          </cell>
          <cell r="U85">
            <v>0.20000000000000004</v>
          </cell>
          <cell r="V85">
            <v>363415.95046812796</v>
          </cell>
          <cell r="X85">
            <v>9580</v>
          </cell>
          <cell r="Y85">
            <v>19285</v>
          </cell>
          <cell r="Z85">
            <v>17</v>
          </cell>
          <cell r="AA85">
            <v>0.66533238405207495</v>
          </cell>
          <cell r="AB85">
            <v>1.3556171684296177</v>
          </cell>
          <cell r="AD85">
            <v>3.393615541090317</v>
          </cell>
          <cell r="AE85">
            <v>24580</v>
          </cell>
          <cell r="AF85">
            <v>981232.20000000007</v>
          </cell>
        </row>
        <row r="86">
          <cell r="H86">
            <v>0</v>
          </cell>
          <cell r="I86">
            <v>1</v>
          </cell>
          <cell r="J86">
            <v>32</v>
          </cell>
          <cell r="K86">
            <v>32</v>
          </cell>
          <cell r="L86">
            <v>108629.6064</v>
          </cell>
          <cell r="M86">
            <v>9562.0362239999995</v>
          </cell>
          <cell r="N86" t="str">
            <v>5F1</v>
          </cell>
          <cell r="O86">
            <v>80</v>
          </cell>
          <cell r="P86">
            <v>0</v>
          </cell>
          <cell r="Q86">
            <v>4.16</v>
          </cell>
          <cell r="R86">
            <v>1.5</v>
          </cell>
          <cell r="S86">
            <v>1.9936051200000007</v>
          </cell>
          <cell r="T86">
            <v>6767.6418594570268</v>
          </cell>
          <cell r="U86">
            <v>4</v>
          </cell>
          <cell r="V86">
            <v>595.71638668099604</v>
          </cell>
          <cell r="W86" t="str">
            <v>26F3</v>
          </cell>
          <cell r="X86">
            <v>220</v>
          </cell>
          <cell r="Y86">
            <v>300</v>
          </cell>
          <cell r="Z86">
            <v>0</v>
          </cell>
          <cell r="AA86">
            <v>0</v>
          </cell>
          <cell r="AB86">
            <v>0</v>
          </cell>
          <cell r="AC86">
            <v>0</v>
          </cell>
          <cell r="AD86">
            <v>0</v>
          </cell>
          <cell r="AE86">
            <v>123</v>
          </cell>
          <cell r="AF86">
            <v>0</v>
          </cell>
        </row>
        <row r="87">
          <cell r="H87">
            <v>0</v>
          </cell>
          <cell r="M87">
            <v>0</v>
          </cell>
          <cell r="N87" t="str">
            <v>5F2</v>
          </cell>
          <cell r="O87">
            <v>310</v>
          </cell>
          <cell r="P87">
            <v>1</v>
          </cell>
          <cell r="Q87">
            <v>4.16</v>
          </cell>
          <cell r="R87">
            <v>1.5</v>
          </cell>
          <cell r="S87">
            <v>29.935226879999998</v>
          </cell>
          <cell r="T87">
            <v>101620.37229590937</v>
          </cell>
          <cell r="U87">
            <v>4</v>
          </cell>
          <cell r="V87">
            <v>8945.0538687568278</v>
          </cell>
          <cell r="W87" t="str">
            <v>67F4</v>
          </cell>
          <cell r="X87">
            <v>310</v>
          </cell>
          <cell r="Y87">
            <v>620</v>
          </cell>
          <cell r="Z87">
            <v>1</v>
          </cell>
          <cell r="AA87">
            <v>0</v>
          </cell>
          <cell r="AB87">
            <v>0</v>
          </cell>
          <cell r="AC87">
            <v>0</v>
          </cell>
          <cell r="AD87">
            <v>0</v>
          </cell>
          <cell r="AE87">
            <v>405</v>
          </cell>
          <cell r="AF87">
            <v>0</v>
          </cell>
        </row>
        <row r="88">
          <cell r="H88">
            <v>0</v>
          </cell>
          <cell r="M88">
            <v>0</v>
          </cell>
          <cell r="N88" t="str">
            <v>5F3</v>
          </cell>
          <cell r="O88">
            <v>260</v>
          </cell>
          <cell r="P88">
            <v>1</v>
          </cell>
          <cell r="Q88">
            <v>4.16</v>
          </cell>
          <cell r="R88">
            <v>1.5</v>
          </cell>
          <cell r="S88">
            <v>21.057454079999999</v>
          </cell>
          <cell r="T88">
            <v>71483.217140514811</v>
          </cell>
          <cell r="U88">
            <v>4</v>
          </cell>
          <cell r="V88">
            <v>6292.2543343180187</v>
          </cell>
          <cell r="W88" t="str">
            <v>67F3</v>
          </cell>
          <cell r="X88">
            <v>250</v>
          </cell>
          <cell r="Y88">
            <v>510</v>
          </cell>
          <cell r="Z88">
            <v>1</v>
          </cell>
          <cell r="AA88">
            <v>0</v>
          </cell>
          <cell r="AB88">
            <v>0</v>
          </cell>
          <cell r="AC88">
            <v>0</v>
          </cell>
          <cell r="AD88">
            <v>0</v>
          </cell>
          <cell r="AE88">
            <v>360</v>
          </cell>
          <cell r="AF88">
            <v>0</v>
          </cell>
        </row>
        <row r="89">
          <cell r="H89">
            <v>0</v>
          </cell>
          <cell r="I89">
            <v>0.84000000000000008</v>
          </cell>
          <cell r="J89">
            <v>32</v>
          </cell>
          <cell r="K89">
            <v>22.579200000000004</v>
          </cell>
          <cell r="L89">
            <v>76649.050275840025</v>
          </cell>
          <cell r="M89">
            <v>6746.9727596544017</v>
          </cell>
          <cell r="N89" t="str">
            <v>8F1</v>
          </cell>
          <cell r="O89">
            <v>230</v>
          </cell>
          <cell r="P89">
            <v>0</v>
          </cell>
          <cell r="Q89">
            <v>4.16</v>
          </cell>
          <cell r="R89">
            <v>1.5</v>
          </cell>
          <cell r="S89">
            <v>16.478392319999998</v>
          </cell>
          <cell r="T89">
            <v>55938.789744574467</v>
          </cell>
          <cell r="U89">
            <v>4</v>
          </cell>
          <cell r="V89">
            <v>4923.9682586601057</v>
          </cell>
          <cell r="W89" t="str">
            <v>23F1</v>
          </cell>
          <cell r="X89">
            <v>390</v>
          </cell>
          <cell r="Y89">
            <v>620</v>
          </cell>
          <cell r="Z89">
            <v>1</v>
          </cell>
          <cell r="AA89">
            <v>0</v>
          </cell>
          <cell r="AB89">
            <v>0</v>
          </cell>
          <cell r="AC89">
            <v>1</v>
          </cell>
          <cell r="AD89">
            <v>1</v>
          </cell>
          <cell r="AE89">
            <v>335</v>
          </cell>
          <cell r="AF89">
            <v>0</v>
          </cell>
        </row>
        <row r="90">
          <cell r="H90">
            <v>0</v>
          </cell>
          <cell r="M90">
            <v>0</v>
          </cell>
          <cell r="N90" t="str">
            <v>8F2</v>
          </cell>
          <cell r="O90">
            <v>30</v>
          </cell>
          <cell r="P90">
            <v>0</v>
          </cell>
          <cell r="Q90">
            <v>4.16</v>
          </cell>
          <cell r="R90">
            <v>1.5</v>
          </cell>
          <cell r="S90">
            <v>0.28035072</v>
          </cell>
          <cell r="T90">
            <v>951.69963648614396</v>
          </cell>
          <cell r="U90">
            <v>4</v>
          </cell>
          <cell r="V90">
            <v>83.772616877015054</v>
          </cell>
          <cell r="W90" t="str">
            <v>41F3</v>
          </cell>
          <cell r="X90">
            <v>250</v>
          </cell>
          <cell r="Y90">
            <v>280</v>
          </cell>
          <cell r="Z90">
            <v>0</v>
          </cell>
          <cell r="AA90">
            <v>0</v>
          </cell>
          <cell r="AB90">
            <v>0</v>
          </cell>
          <cell r="AC90">
            <v>0</v>
          </cell>
          <cell r="AD90">
            <v>0</v>
          </cell>
          <cell r="AE90">
            <v>67</v>
          </cell>
          <cell r="AF90">
            <v>0</v>
          </cell>
        </row>
        <row r="91">
          <cell r="H91">
            <v>0</v>
          </cell>
          <cell r="M91">
            <v>0</v>
          </cell>
          <cell r="N91" t="str">
            <v>8F3</v>
          </cell>
          <cell r="O91">
            <v>330</v>
          </cell>
          <cell r="P91">
            <v>1</v>
          </cell>
          <cell r="Q91">
            <v>4.16</v>
          </cell>
          <cell r="R91">
            <v>1.5</v>
          </cell>
          <cell r="S91">
            <v>33.922437119999998</v>
          </cell>
          <cell r="T91">
            <v>115155.65601482341</v>
          </cell>
          <cell r="U91">
            <v>4</v>
          </cell>
          <cell r="V91">
            <v>10136.48664211882</v>
          </cell>
          <cell r="W91" t="str">
            <v>66F3</v>
          </cell>
          <cell r="X91">
            <v>180</v>
          </cell>
          <cell r="Y91">
            <v>510</v>
          </cell>
          <cell r="Z91">
            <v>1</v>
          </cell>
          <cell r="AA91">
            <v>0</v>
          </cell>
          <cell r="AB91">
            <v>0</v>
          </cell>
          <cell r="AC91">
            <v>2</v>
          </cell>
          <cell r="AD91">
            <v>2</v>
          </cell>
          <cell r="AE91">
            <v>351</v>
          </cell>
          <cell r="AF91">
            <v>0</v>
          </cell>
        </row>
        <row r="92">
          <cell r="H92">
            <v>0</v>
          </cell>
          <cell r="I92">
            <v>0.64</v>
          </cell>
          <cell r="J92">
            <v>32</v>
          </cell>
          <cell r="K92">
            <v>13.107200000000001</v>
          </cell>
          <cell r="L92">
            <v>44494.686781440003</v>
          </cell>
          <cell r="M92">
            <v>3916.6100373504005</v>
          </cell>
          <cell r="N92" t="str">
            <v>8F4</v>
          </cell>
          <cell r="O92">
            <v>0</v>
          </cell>
          <cell r="P92">
            <v>0</v>
          </cell>
          <cell r="Q92">
            <v>4.16</v>
          </cell>
          <cell r="R92">
            <v>1.5</v>
          </cell>
          <cell r="S92">
            <v>0</v>
          </cell>
          <cell r="T92">
            <v>0</v>
          </cell>
          <cell r="U92">
            <v>4</v>
          </cell>
          <cell r="V92">
            <v>0</v>
          </cell>
          <cell r="W92" t="str">
            <v>23F1</v>
          </cell>
          <cell r="X92">
            <v>390</v>
          </cell>
          <cell r="Y92">
            <v>390</v>
          </cell>
          <cell r="Z92">
            <v>0</v>
          </cell>
          <cell r="AA92">
            <v>0</v>
          </cell>
          <cell r="AB92">
            <v>0</v>
          </cell>
          <cell r="AC92">
            <v>0</v>
          </cell>
          <cell r="AD92">
            <v>0</v>
          </cell>
          <cell r="AE92">
            <v>113</v>
          </cell>
          <cell r="AF92">
            <v>0</v>
          </cell>
        </row>
        <row r="93">
          <cell r="H93">
            <v>0</v>
          </cell>
          <cell r="M93">
            <v>0</v>
          </cell>
          <cell r="N93" t="str">
            <v>8F5</v>
          </cell>
          <cell r="O93">
            <v>350</v>
          </cell>
          <cell r="P93">
            <v>1</v>
          </cell>
          <cell r="Q93">
            <v>4.16</v>
          </cell>
          <cell r="R93">
            <v>1.5</v>
          </cell>
          <cell r="S93">
            <v>38.158848000000006</v>
          </cell>
          <cell r="T93">
            <v>129536.89496616964</v>
          </cell>
          <cell r="U93">
            <v>4</v>
          </cell>
          <cell r="V93">
            <v>11402.383963815939</v>
          </cell>
          <cell r="W93" t="str">
            <v>66F2</v>
          </cell>
          <cell r="X93">
            <v>180</v>
          </cell>
          <cell r="Y93">
            <v>530</v>
          </cell>
          <cell r="Z93">
            <v>1</v>
          </cell>
          <cell r="AA93">
            <v>0</v>
          </cell>
          <cell r="AB93">
            <v>0</v>
          </cell>
          <cell r="AC93">
            <v>0</v>
          </cell>
          <cell r="AD93">
            <v>0</v>
          </cell>
          <cell r="AE93">
            <v>204</v>
          </cell>
          <cell r="AF93">
            <v>0</v>
          </cell>
        </row>
        <row r="94">
          <cell r="H94">
            <v>0</v>
          </cell>
          <cell r="M94">
            <v>0</v>
          </cell>
          <cell r="N94" t="str">
            <v>8F6</v>
          </cell>
          <cell r="O94">
            <v>100</v>
          </cell>
          <cell r="P94">
            <v>0</v>
          </cell>
          <cell r="Q94">
            <v>4.16</v>
          </cell>
          <cell r="R94">
            <v>1.5</v>
          </cell>
          <cell r="S94">
            <v>3.1150080000000004</v>
          </cell>
          <cell r="T94">
            <v>10574.440405401601</v>
          </cell>
          <cell r="U94">
            <v>4</v>
          </cell>
          <cell r="V94">
            <v>930.80685418905614</v>
          </cell>
          <cell r="W94" t="str">
            <v>66F3</v>
          </cell>
          <cell r="X94">
            <v>180</v>
          </cell>
          <cell r="Y94">
            <v>280</v>
          </cell>
          <cell r="Z94">
            <v>0</v>
          </cell>
          <cell r="AA94">
            <v>0</v>
          </cell>
          <cell r="AB94">
            <v>0</v>
          </cell>
          <cell r="AC94">
            <v>0</v>
          </cell>
          <cell r="AD94">
            <v>0</v>
          </cell>
          <cell r="AE94">
            <v>146</v>
          </cell>
          <cell r="AF94">
            <v>0</v>
          </cell>
        </row>
        <row r="95">
          <cell r="H95">
            <v>1</v>
          </cell>
          <cell r="I95">
            <v>1.28</v>
          </cell>
          <cell r="J95">
            <v>32</v>
          </cell>
          <cell r="K95">
            <v>52.428800000000003</v>
          </cell>
          <cell r="L95">
            <v>177978.74712576001</v>
          </cell>
          <cell r="M95">
            <v>15666.440149401602</v>
          </cell>
          <cell r="N95" t="str">
            <v>12F1</v>
          </cell>
          <cell r="O95">
            <v>300</v>
          </cell>
          <cell r="P95">
            <v>1</v>
          </cell>
          <cell r="Q95">
            <v>4.16</v>
          </cell>
          <cell r="R95">
            <v>1.6</v>
          </cell>
          <cell r="S95">
            <v>29.904076800000009</v>
          </cell>
          <cell r="T95">
            <v>101514.6278918554</v>
          </cell>
          <cell r="U95">
            <v>4</v>
          </cell>
          <cell r="V95">
            <v>8935.7458002149415</v>
          </cell>
          <cell r="W95" t="str">
            <v>12F4</v>
          </cell>
          <cell r="X95">
            <v>375</v>
          </cell>
          <cell r="Y95">
            <v>675</v>
          </cell>
          <cell r="Z95">
            <v>1</v>
          </cell>
          <cell r="AA95">
            <v>0.13</v>
          </cell>
          <cell r="AB95">
            <v>0.06</v>
          </cell>
          <cell r="AC95">
            <v>0</v>
          </cell>
          <cell r="AD95">
            <v>0.06</v>
          </cell>
          <cell r="AE95">
            <v>185</v>
          </cell>
          <cell r="AF95">
            <v>1443</v>
          </cell>
        </row>
        <row r="96">
          <cell r="H96">
            <v>0</v>
          </cell>
          <cell r="M96">
            <v>0</v>
          </cell>
          <cell r="N96" t="str">
            <v>12F2</v>
          </cell>
          <cell r="O96">
            <v>375</v>
          </cell>
          <cell r="P96">
            <v>1</v>
          </cell>
          <cell r="Q96">
            <v>4.16</v>
          </cell>
          <cell r="R96">
            <v>1.6</v>
          </cell>
          <cell r="S96">
            <v>46.725120000000004</v>
          </cell>
          <cell r="T96">
            <v>158616.60608102402</v>
          </cell>
          <cell r="U96">
            <v>4</v>
          </cell>
          <cell r="V96">
            <v>13962.102812835841</v>
          </cell>
          <cell r="W96" t="str">
            <v>41F3</v>
          </cell>
          <cell r="X96">
            <v>250</v>
          </cell>
          <cell r="Y96">
            <v>625</v>
          </cell>
          <cell r="Z96">
            <v>1</v>
          </cell>
          <cell r="AA96">
            <v>0.35</v>
          </cell>
          <cell r="AB96">
            <v>0.02</v>
          </cell>
          <cell r="AC96">
            <v>0</v>
          </cell>
          <cell r="AD96">
            <v>0.02</v>
          </cell>
          <cell r="AE96">
            <v>374</v>
          </cell>
          <cell r="AF96">
            <v>7854</v>
          </cell>
        </row>
        <row r="97">
          <cell r="H97">
            <v>0</v>
          </cell>
          <cell r="M97">
            <v>0</v>
          </cell>
          <cell r="N97" t="str">
            <v>12F3</v>
          </cell>
          <cell r="O97">
            <v>200</v>
          </cell>
          <cell r="P97">
            <v>0</v>
          </cell>
          <cell r="Q97">
            <v>4.16</v>
          </cell>
          <cell r="R97">
            <v>1.6</v>
          </cell>
          <cell r="S97">
            <v>13.290700800000003</v>
          </cell>
          <cell r="T97">
            <v>45117.61239638018</v>
          </cell>
          <cell r="U97">
            <v>4</v>
          </cell>
          <cell r="V97">
            <v>3971.4425778733071</v>
          </cell>
          <cell r="W97" t="str">
            <v>23F1</v>
          </cell>
          <cell r="X97">
            <v>390</v>
          </cell>
          <cell r="Y97">
            <v>590</v>
          </cell>
          <cell r="Z97">
            <v>1</v>
          </cell>
          <cell r="AA97">
            <v>0</v>
          </cell>
          <cell r="AB97">
            <v>0</v>
          </cell>
          <cell r="AC97">
            <v>1</v>
          </cell>
          <cell r="AD97">
            <v>1</v>
          </cell>
          <cell r="AE97">
            <v>345</v>
          </cell>
          <cell r="AF97">
            <v>0</v>
          </cell>
        </row>
        <row r="98">
          <cell r="H98">
            <v>0</v>
          </cell>
          <cell r="I98">
            <v>0.72</v>
          </cell>
          <cell r="J98">
            <v>32</v>
          </cell>
          <cell r="K98">
            <v>16.588799999999999</v>
          </cell>
          <cell r="L98">
            <v>56313.587957760006</v>
          </cell>
          <cell r="M98">
            <v>4956.9595785216006</v>
          </cell>
          <cell r="N98" t="str">
            <v>12F4</v>
          </cell>
          <cell r="O98">
            <v>375</v>
          </cell>
          <cell r="P98">
            <v>1</v>
          </cell>
          <cell r="Q98">
            <v>4.16</v>
          </cell>
          <cell r="R98">
            <v>1.6</v>
          </cell>
          <cell r="S98">
            <v>46.725120000000004</v>
          </cell>
          <cell r="T98">
            <v>158616.60608102402</v>
          </cell>
          <cell r="U98">
            <v>4</v>
          </cell>
          <cell r="V98">
            <v>13962.102812835841</v>
          </cell>
          <cell r="W98" t="str">
            <v>40F2</v>
          </cell>
          <cell r="X98">
            <v>130</v>
          </cell>
          <cell r="Y98">
            <v>505</v>
          </cell>
          <cell r="Z98">
            <v>1</v>
          </cell>
          <cell r="AA98">
            <v>0.12</v>
          </cell>
          <cell r="AB98">
            <v>0.01</v>
          </cell>
          <cell r="AC98">
            <v>0</v>
          </cell>
          <cell r="AD98">
            <v>0.01</v>
          </cell>
          <cell r="AE98">
            <v>684</v>
          </cell>
          <cell r="AF98">
            <v>4924.8</v>
          </cell>
        </row>
        <row r="99">
          <cell r="H99">
            <v>0</v>
          </cell>
          <cell r="M99">
            <v>0</v>
          </cell>
          <cell r="N99" t="str">
            <v>12F5</v>
          </cell>
          <cell r="O99">
            <v>130</v>
          </cell>
          <cell r="P99">
            <v>0</v>
          </cell>
          <cell r="Q99">
            <v>4.16</v>
          </cell>
          <cell r="R99">
            <v>1.6</v>
          </cell>
          <cell r="S99">
            <v>5.6153210880000008</v>
          </cell>
          <cell r="T99">
            <v>19062.191237470623</v>
          </cell>
          <cell r="U99">
            <v>4</v>
          </cell>
          <cell r="V99">
            <v>1677.934489151472</v>
          </cell>
          <cell r="W99" t="str">
            <v>41F2</v>
          </cell>
          <cell r="X99">
            <v>200</v>
          </cell>
          <cell r="Y99">
            <v>330</v>
          </cell>
          <cell r="Z99">
            <v>0</v>
          </cell>
          <cell r="AA99">
            <v>0.18</v>
          </cell>
          <cell r="AB99">
            <v>0.24</v>
          </cell>
          <cell r="AC99">
            <v>0</v>
          </cell>
          <cell r="AD99">
            <v>0.24</v>
          </cell>
          <cell r="AE99">
            <v>423</v>
          </cell>
          <cell r="AF99">
            <v>4568.3999999999996</v>
          </cell>
        </row>
        <row r="100">
          <cell r="H100">
            <v>0</v>
          </cell>
          <cell r="I100">
            <v>0.65999999999999992</v>
          </cell>
          <cell r="J100">
            <v>32</v>
          </cell>
          <cell r="K100">
            <v>13.939199999999996</v>
          </cell>
          <cell r="L100">
            <v>47319.056547839988</v>
          </cell>
          <cell r="M100">
            <v>4165.2229791743994</v>
          </cell>
          <cell r="N100" t="str">
            <v>22F1</v>
          </cell>
          <cell r="O100">
            <v>280</v>
          </cell>
          <cell r="P100">
            <v>1</v>
          </cell>
          <cell r="Q100">
            <v>4.16</v>
          </cell>
          <cell r="R100">
            <v>1.8</v>
          </cell>
          <cell r="S100">
            <v>29.305995264</v>
          </cell>
          <cell r="T100">
            <v>99484.335334018266</v>
          </cell>
          <cell r="U100">
            <v>4</v>
          </cell>
          <cell r="V100">
            <v>8757.0308842106406</v>
          </cell>
          <cell r="W100" t="str">
            <v>66F3</v>
          </cell>
          <cell r="X100">
            <v>180</v>
          </cell>
          <cell r="Y100">
            <v>460</v>
          </cell>
          <cell r="Z100">
            <v>0</v>
          </cell>
          <cell r="AA100">
            <v>0.56000000000000005</v>
          </cell>
          <cell r="AB100">
            <v>0.28999999999999998</v>
          </cell>
          <cell r="AC100">
            <v>1</v>
          </cell>
          <cell r="AD100">
            <v>1.29</v>
          </cell>
          <cell r="AE100">
            <v>275</v>
          </cell>
          <cell r="AF100">
            <v>9240.0000000000018</v>
          </cell>
        </row>
        <row r="101">
          <cell r="H101">
            <v>0</v>
          </cell>
          <cell r="M101">
            <v>0</v>
          </cell>
          <cell r="N101" t="str">
            <v>22F2</v>
          </cell>
          <cell r="O101">
            <v>250</v>
          </cell>
          <cell r="P101">
            <v>0</v>
          </cell>
          <cell r="Q101">
            <v>4.16</v>
          </cell>
          <cell r="R101">
            <v>1.8</v>
          </cell>
          <cell r="S101">
            <v>23.362560000000002</v>
          </cell>
          <cell r="T101">
            <v>79308.303040512008</v>
          </cell>
          <cell r="U101">
            <v>4</v>
          </cell>
          <cell r="V101">
            <v>6981.0514064179206</v>
          </cell>
          <cell r="W101" t="str">
            <v>66F2</v>
          </cell>
          <cell r="X101">
            <v>180</v>
          </cell>
          <cell r="Y101">
            <v>430</v>
          </cell>
          <cell r="Z101">
            <v>0</v>
          </cell>
          <cell r="AA101">
            <v>1.48</v>
          </cell>
          <cell r="AB101">
            <v>1.19</v>
          </cell>
          <cell r="AC101">
            <v>2</v>
          </cell>
          <cell r="AD101">
            <v>3.19</v>
          </cell>
          <cell r="AE101">
            <v>408</v>
          </cell>
          <cell r="AF101">
            <v>36230.400000000001</v>
          </cell>
        </row>
        <row r="102">
          <cell r="H102">
            <v>0</v>
          </cell>
          <cell r="M102">
            <v>0</v>
          </cell>
          <cell r="N102" t="str">
            <v>22F3</v>
          </cell>
          <cell r="O102">
            <v>210</v>
          </cell>
          <cell r="P102">
            <v>0</v>
          </cell>
          <cell r="Q102">
            <v>4.16</v>
          </cell>
          <cell r="R102">
            <v>1.8</v>
          </cell>
          <cell r="S102">
            <v>16.484622336000005</v>
          </cell>
          <cell r="T102">
            <v>55959.938625385294</v>
          </cell>
          <cell r="U102">
            <v>4</v>
          </cell>
          <cell r="V102">
            <v>4925.8298723684857</v>
          </cell>
          <cell r="W102" t="str">
            <v>40F2</v>
          </cell>
          <cell r="X102">
            <v>130</v>
          </cell>
          <cell r="Y102">
            <v>340</v>
          </cell>
          <cell r="Z102">
            <v>0</v>
          </cell>
          <cell r="AA102">
            <v>1.23</v>
          </cell>
          <cell r="AB102">
            <v>1.1000000000000001</v>
          </cell>
          <cell r="AC102">
            <v>0</v>
          </cell>
          <cell r="AD102">
            <v>1.1000000000000001</v>
          </cell>
          <cell r="AE102">
            <v>40</v>
          </cell>
          <cell r="AF102">
            <v>2952</v>
          </cell>
        </row>
        <row r="103">
          <cell r="H103">
            <v>0</v>
          </cell>
          <cell r="M103">
            <v>0</v>
          </cell>
          <cell r="N103" t="str">
            <v>22F4</v>
          </cell>
          <cell r="O103">
            <v>285</v>
          </cell>
          <cell r="P103">
            <v>1</v>
          </cell>
          <cell r="Q103">
            <v>4.16</v>
          </cell>
          <cell r="R103">
            <v>1.8</v>
          </cell>
          <cell r="S103">
            <v>30.361982976</v>
          </cell>
          <cell r="T103">
            <v>103069.07063144942</v>
          </cell>
          <cell r="U103">
            <v>4</v>
          </cell>
          <cell r="V103">
            <v>9072.5744077807303</v>
          </cell>
          <cell r="W103" t="str">
            <v>22F3</v>
          </cell>
          <cell r="X103">
            <v>210</v>
          </cell>
          <cell r="Y103">
            <v>495</v>
          </cell>
          <cell r="Z103">
            <v>0</v>
          </cell>
          <cell r="AA103">
            <v>0.09</v>
          </cell>
          <cell r="AB103">
            <v>0.31</v>
          </cell>
          <cell r="AC103">
            <v>0</v>
          </cell>
          <cell r="AD103">
            <v>0.31</v>
          </cell>
          <cell r="AE103">
            <v>447</v>
          </cell>
          <cell r="AF103">
            <v>2413.7999999999997</v>
          </cell>
        </row>
        <row r="104">
          <cell r="H104">
            <v>0</v>
          </cell>
          <cell r="I104">
            <v>0.94000000000000006</v>
          </cell>
          <cell r="J104">
            <v>32</v>
          </cell>
          <cell r="K104">
            <v>28.275200000000005</v>
          </cell>
          <cell r="L104">
            <v>95985.12021504002</v>
          </cell>
          <cell r="M104">
            <v>8449.0152075264014</v>
          </cell>
          <cell r="N104" t="str">
            <v>23F1</v>
          </cell>
          <cell r="O104">
            <v>390</v>
          </cell>
          <cell r="P104">
            <v>1</v>
          </cell>
          <cell r="Q104">
            <v>4.16</v>
          </cell>
          <cell r="R104">
            <v>2.2000000000000002</v>
          </cell>
          <cell r="S104">
            <v>69.489598463999997</v>
          </cell>
          <cell r="T104">
            <v>235894.61656369892</v>
          </cell>
          <cell r="U104">
            <v>4</v>
          </cell>
          <cell r="V104">
            <v>20764.439303249463</v>
          </cell>
          <cell r="W104" t="str">
            <v>12F3</v>
          </cell>
          <cell r="X104">
            <v>200</v>
          </cell>
          <cell r="Y104">
            <v>590</v>
          </cell>
          <cell r="Z104">
            <v>1</v>
          </cell>
          <cell r="AA104">
            <v>0.1</v>
          </cell>
          <cell r="AB104">
            <v>0.06</v>
          </cell>
          <cell r="AC104">
            <v>0</v>
          </cell>
          <cell r="AD104">
            <v>0.06</v>
          </cell>
          <cell r="AE104">
            <v>281</v>
          </cell>
          <cell r="AF104">
            <v>1686</v>
          </cell>
        </row>
        <row r="105">
          <cell r="H105">
            <v>0</v>
          </cell>
          <cell r="M105">
            <v>0</v>
          </cell>
          <cell r="N105" t="str">
            <v>23F2</v>
          </cell>
          <cell r="O105">
            <v>90</v>
          </cell>
          <cell r="P105">
            <v>0</v>
          </cell>
          <cell r="Q105">
            <v>4.16</v>
          </cell>
          <cell r="R105">
            <v>2.2000000000000002</v>
          </cell>
          <cell r="S105">
            <v>3.7006295040000001</v>
          </cell>
          <cell r="T105">
            <v>12562.435201617101</v>
          </cell>
          <cell r="U105">
            <v>4</v>
          </cell>
          <cell r="V105">
            <v>1105.7985427765987</v>
          </cell>
          <cell r="W105" t="str">
            <v>67F2</v>
          </cell>
          <cell r="X105">
            <v>250</v>
          </cell>
          <cell r="Y105">
            <v>340</v>
          </cell>
          <cell r="Z105">
            <v>0</v>
          </cell>
          <cell r="AA105">
            <v>0.34</v>
          </cell>
          <cell r="AB105">
            <v>0.37</v>
          </cell>
          <cell r="AC105">
            <v>1</v>
          </cell>
          <cell r="AD105">
            <v>1.37</v>
          </cell>
          <cell r="AE105">
            <v>150</v>
          </cell>
          <cell r="AF105">
            <v>3060.0000000000005</v>
          </cell>
        </row>
        <row r="106">
          <cell r="H106">
            <v>0</v>
          </cell>
          <cell r="M106">
            <v>0</v>
          </cell>
          <cell r="N106" t="str">
            <v>23F3</v>
          </cell>
          <cell r="O106">
            <v>270</v>
          </cell>
          <cell r="P106">
            <v>1</v>
          </cell>
          <cell r="Q106">
            <v>4.16</v>
          </cell>
          <cell r="R106">
            <v>2.2000000000000002</v>
          </cell>
          <cell r="S106">
            <v>33.305665536000006</v>
          </cell>
          <cell r="T106">
            <v>113061.91681455393</v>
          </cell>
          <cell r="U106">
            <v>4</v>
          </cell>
          <cell r="V106">
            <v>9952.186884989389</v>
          </cell>
          <cell r="W106" t="str">
            <v>23F1</v>
          </cell>
          <cell r="X106">
            <v>390</v>
          </cell>
          <cell r="Y106">
            <v>660</v>
          </cell>
          <cell r="Z106">
            <v>1</v>
          </cell>
          <cell r="AA106">
            <v>0.18</v>
          </cell>
          <cell r="AB106">
            <v>0.12</v>
          </cell>
          <cell r="AC106">
            <v>1</v>
          </cell>
          <cell r="AD106">
            <v>1.1200000000000001</v>
          </cell>
          <cell r="AE106">
            <v>202</v>
          </cell>
          <cell r="AF106">
            <v>2181.6</v>
          </cell>
        </row>
        <row r="107">
          <cell r="H107">
            <v>0</v>
          </cell>
          <cell r="I107">
            <v>0.48</v>
          </cell>
          <cell r="J107">
            <v>32</v>
          </cell>
          <cell r="K107">
            <v>7.3727999999999998</v>
          </cell>
          <cell r="L107">
            <v>25028.261314560001</v>
          </cell>
          <cell r="M107">
            <v>2203.0931460095999</v>
          </cell>
          <cell r="N107" t="str">
            <v>26F1</v>
          </cell>
          <cell r="O107">
            <v>75</v>
          </cell>
          <cell r="P107">
            <v>0</v>
          </cell>
          <cell r="Q107">
            <v>4.16</v>
          </cell>
          <cell r="R107">
            <v>1.3</v>
          </cell>
          <cell r="S107">
            <v>1.5185664000000003</v>
          </cell>
          <cell r="T107">
            <v>5155.0396976332813</v>
          </cell>
          <cell r="U107">
            <v>4</v>
          </cell>
          <cell r="V107">
            <v>453.76834141716495</v>
          </cell>
          <cell r="W107" t="str">
            <v>66F2</v>
          </cell>
          <cell r="X107">
            <v>180</v>
          </cell>
          <cell r="Y107">
            <v>255</v>
          </cell>
          <cell r="Z107">
            <v>0</v>
          </cell>
          <cell r="AA107">
            <v>0.24</v>
          </cell>
          <cell r="AB107">
            <v>0.08</v>
          </cell>
          <cell r="AC107">
            <v>0</v>
          </cell>
          <cell r="AD107">
            <v>0.08</v>
          </cell>
          <cell r="AE107">
            <v>131</v>
          </cell>
          <cell r="AF107">
            <v>1886.3999999999999</v>
          </cell>
        </row>
        <row r="108">
          <cell r="H108">
            <v>0</v>
          </cell>
          <cell r="M108">
            <v>0</v>
          </cell>
          <cell r="N108" t="str">
            <v>26F2</v>
          </cell>
          <cell r="O108">
            <v>230</v>
          </cell>
          <cell r="P108">
            <v>0</v>
          </cell>
          <cell r="Q108">
            <v>4.16</v>
          </cell>
          <cell r="R108">
            <v>1.3</v>
          </cell>
          <cell r="S108">
            <v>14.281273343999999</v>
          </cell>
          <cell r="T108">
            <v>48480.284445297868</v>
          </cell>
          <cell r="U108">
            <v>4</v>
          </cell>
          <cell r="V108">
            <v>4267.4391575054251</v>
          </cell>
          <cell r="W108" t="str">
            <v>5F2</v>
          </cell>
          <cell r="X108">
            <v>310</v>
          </cell>
          <cell r="Y108">
            <v>540</v>
          </cell>
          <cell r="Z108">
            <v>1</v>
          </cell>
          <cell r="AA108">
            <v>0.56000000000000005</v>
          </cell>
          <cell r="AB108">
            <v>0.18</v>
          </cell>
          <cell r="AC108">
            <v>2</v>
          </cell>
          <cell r="AD108">
            <v>2.1800000000000002</v>
          </cell>
          <cell r="AE108">
            <v>523</v>
          </cell>
          <cell r="AF108">
            <v>17572.800000000003</v>
          </cell>
        </row>
        <row r="109">
          <cell r="H109">
            <v>0</v>
          </cell>
          <cell r="M109">
            <v>0</v>
          </cell>
          <cell r="N109" t="str">
            <v>26F3</v>
          </cell>
          <cell r="O109">
            <v>220</v>
          </cell>
          <cell r="P109">
            <v>0</v>
          </cell>
          <cell r="Q109">
            <v>4.16</v>
          </cell>
          <cell r="R109">
            <v>1.3</v>
          </cell>
          <cell r="S109">
            <v>13.066420224000002</v>
          </cell>
          <cell r="T109">
            <v>44356.252687191256</v>
          </cell>
          <cell r="U109">
            <v>4</v>
          </cell>
          <cell r="V109">
            <v>3904.4244843716942</v>
          </cell>
          <cell r="W109" t="str">
            <v>79F3</v>
          </cell>
          <cell r="X109">
            <v>190</v>
          </cell>
          <cell r="Y109">
            <v>410</v>
          </cell>
          <cell r="Z109">
            <v>0</v>
          </cell>
          <cell r="AA109">
            <v>0</v>
          </cell>
          <cell r="AB109">
            <v>0</v>
          </cell>
          <cell r="AC109">
            <v>0</v>
          </cell>
          <cell r="AD109">
            <v>0</v>
          </cell>
          <cell r="AE109">
            <v>199</v>
          </cell>
          <cell r="AF109">
            <v>0</v>
          </cell>
        </row>
        <row r="110">
          <cell r="H110">
            <v>0</v>
          </cell>
          <cell r="I110">
            <v>0.72</v>
          </cell>
          <cell r="J110">
            <v>32</v>
          </cell>
          <cell r="K110">
            <v>16.588799999999999</v>
          </cell>
          <cell r="L110">
            <v>56313.587957760006</v>
          </cell>
          <cell r="M110">
            <v>4956.9595785216006</v>
          </cell>
          <cell r="N110" t="str">
            <v>29F1</v>
          </cell>
          <cell r="O110">
            <v>195</v>
          </cell>
          <cell r="P110">
            <v>0</v>
          </cell>
          <cell r="Q110">
            <v>4.16</v>
          </cell>
          <cell r="R110">
            <v>1</v>
          </cell>
          <cell r="S110">
            <v>7.8965452799999989</v>
          </cell>
          <cell r="T110">
            <v>26806.206427693051</v>
          </cell>
          <cell r="U110">
            <v>4</v>
          </cell>
          <cell r="V110">
            <v>2359.5953753692565</v>
          </cell>
          <cell r="W110" t="str">
            <v>40F2</v>
          </cell>
          <cell r="X110">
            <v>130</v>
          </cell>
          <cell r="Y110">
            <v>325</v>
          </cell>
          <cell r="Z110">
            <v>0</v>
          </cell>
          <cell r="AA110">
            <v>0</v>
          </cell>
          <cell r="AB110">
            <v>0</v>
          </cell>
          <cell r="AC110">
            <v>0</v>
          </cell>
          <cell r="AD110">
            <v>0</v>
          </cell>
          <cell r="AE110">
            <v>21</v>
          </cell>
          <cell r="AF110">
            <v>0</v>
          </cell>
        </row>
        <row r="111">
          <cell r="H111">
            <v>0</v>
          </cell>
          <cell r="M111">
            <v>0</v>
          </cell>
          <cell r="N111" t="str">
            <v>29F2</v>
          </cell>
          <cell r="O111">
            <v>260</v>
          </cell>
          <cell r="P111">
            <v>1</v>
          </cell>
          <cell r="Q111">
            <v>4.16</v>
          </cell>
          <cell r="R111">
            <v>1</v>
          </cell>
          <cell r="S111">
            <v>14.038302720000001</v>
          </cell>
          <cell r="T111">
            <v>47655.478093676546</v>
          </cell>
          <cell r="U111">
            <v>4</v>
          </cell>
          <cell r="V111">
            <v>4194.8362228786791</v>
          </cell>
          <cell r="W111" t="str">
            <v>22F4</v>
          </cell>
          <cell r="X111">
            <v>285</v>
          </cell>
          <cell r="Y111">
            <v>545</v>
          </cell>
          <cell r="Z111">
            <v>1</v>
          </cell>
          <cell r="AA111">
            <v>0</v>
          </cell>
          <cell r="AB111">
            <v>0</v>
          </cell>
          <cell r="AC111">
            <v>0</v>
          </cell>
          <cell r="AD111">
            <v>0</v>
          </cell>
          <cell r="AE111">
            <v>95</v>
          </cell>
          <cell r="AF111">
            <v>0</v>
          </cell>
        </row>
        <row r="112">
          <cell r="H112">
            <v>0</v>
          </cell>
          <cell r="M112">
            <v>0</v>
          </cell>
          <cell r="N112" t="str">
            <v>29F3</v>
          </cell>
          <cell r="O112">
            <v>100</v>
          </cell>
          <cell r="P112">
            <v>0</v>
          </cell>
          <cell r="Q112">
            <v>4.16</v>
          </cell>
          <cell r="R112">
            <v>1</v>
          </cell>
          <cell r="S112">
            <v>2.0766720000000003</v>
          </cell>
          <cell r="T112">
            <v>7049.6269369344018</v>
          </cell>
          <cell r="U112">
            <v>4</v>
          </cell>
          <cell r="V112">
            <v>620.53790279270413</v>
          </cell>
          <cell r="W112" t="str">
            <v>41F2</v>
          </cell>
          <cell r="X112">
            <v>200</v>
          </cell>
          <cell r="Y112">
            <v>300</v>
          </cell>
          <cell r="Z112">
            <v>0</v>
          </cell>
          <cell r="AA112">
            <v>0</v>
          </cell>
          <cell r="AB112">
            <v>0</v>
          </cell>
          <cell r="AC112">
            <v>0</v>
          </cell>
          <cell r="AD112">
            <v>0</v>
          </cell>
          <cell r="AE112">
            <v>16</v>
          </cell>
          <cell r="AF112">
            <v>0</v>
          </cell>
        </row>
        <row r="113">
          <cell r="H113">
            <v>0</v>
          </cell>
          <cell r="I113">
            <v>0.48</v>
          </cell>
          <cell r="J113">
            <v>32</v>
          </cell>
          <cell r="K113">
            <v>7.3727999999999998</v>
          </cell>
          <cell r="L113">
            <v>25028.261314560001</v>
          </cell>
          <cell r="M113">
            <v>2203.0931460095999</v>
          </cell>
          <cell r="N113" t="str">
            <v>40F1</v>
          </cell>
          <cell r="O113">
            <v>273</v>
          </cell>
          <cell r="P113">
            <v>1</v>
          </cell>
          <cell r="Q113">
            <v>4.16</v>
          </cell>
          <cell r="R113">
            <v>2</v>
          </cell>
          <cell r="S113">
            <v>30.9544574976</v>
          </cell>
          <cell r="T113">
            <v>105080.32919655681</v>
          </cell>
          <cell r="U113">
            <v>4</v>
          </cell>
          <cell r="V113">
            <v>9249.6138714474891</v>
          </cell>
          <cell r="W113" t="str">
            <v>41F3</v>
          </cell>
          <cell r="X113">
            <v>250</v>
          </cell>
          <cell r="Y113">
            <v>523</v>
          </cell>
          <cell r="Z113">
            <v>1</v>
          </cell>
          <cell r="AA113">
            <v>0</v>
          </cell>
          <cell r="AB113">
            <v>0</v>
          </cell>
          <cell r="AC113">
            <v>0</v>
          </cell>
          <cell r="AD113">
            <v>0</v>
          </cell>
          <cell r="AE113">
            <v>594</v>
          </cell>
          <cell r="AF113">
            <v>0</v>
          </cell>
        </row>
        <row r="114">
          <cell r="H114">
            <v>0</v>
          </cell>
          <cell r="M114">
            <v>0</v>
          </cell>
          <cell r="N114" t="str">
            <v>40F2</v>
          </cell>
          <cell r="O114">
            <v>130</v>
          </cell>
          <cell r="P114">
            <v>0</v>
          </cell>
          <cell r="Q114">
            <v>4.16</v>
          </cell>
          <cell r="R114">
            <v>2</v>
          </cell>
          <cell r="S114">
            <v>7.0191513600000004</v>
          </cell>
          <cell r="T114">
            <v>23827.739046838273</v>
          </cell>
          <cell r="U114">
            <v>4</v>
          </cell>
          <cell r="V114">
            <v>2097.4181114393396</v>
          </cell>
          <cell r="W114" t="str">
            <v>22F3</v>
          </cell>
          <cell r="X114">
            <v>210</v>
          </cell>
          <cell r="Y114">
            <v>340</v>
          </cell>
          <cell r="Z114">
            <v>0</v>
          </cell>
          <cell r="AA114">
            <v>0</v>
          </cell>
          <cell r="AB114">
            <v>0</v>
          </cell>
          <cell r="AC114">
            <v>0</v>
          </cell>
          <cell r="AD114">
            <v>0</v>
          </cell>
          <cell r="AE114">
            <v>10</v>
          </cell>
          <cell r="AF114">
            <v>0</v>
          </cell>
        </row>
        <row r="115">
          <cell r="H115">
            <v>0</v>
          </cell>
          <cell r="M115">
            <v>0</v>
          </cell>
          <cell r="N115" t="str">
            <v>40F3</v>
          </cell>
          <cell r="O115">
            <v>100</v>
          </cell>
          <cell r="P115">
            <v>0</v>
          </cell>
          <cell r="Q115">
            <v>4.16</v>
          </cell>
          <cell r="R115">
            <v>2</v>
          </cell>
          <cell r="S115">
            <v>4.1533440000000006</v>
          </cell>
          <cell r="T115">
            <v>14099.253873868804</v>
          </cell>
          <cell r="U115">
            <v>4</v>
          </cell>
          <cell r="V115">
            <v>1241.0758055854083</v>
          </cell>
          <cell r="W115" t="str">
            <v>41F3</v>
          </cell>
          <cell r="X115">
            <v>250</v>
          </cell>
          <cell r="Y115">
            <v>350</v>
          </cell>
          <cell r="Z115">
            <v>0</v>
          </cell>
          <cell r="AA115">
            <v>0.35</v>
          </cell>
          <cell r="AB115">
            <v>0.41</v>
          </cell>
          <cell r="AC115">
            <v>0</v>
          </cell>
          <cell r="AD115">
            <v>0.41</v>
          </cell>
          <cell r="AE115">
            <v>185</v>
          </cell>
          <cell r="AF115">
            <v>3885</v>
          </cell>
        </row>
        <row r="116">
          <cell r="H116">
            <v>0</v>
          </cell>
          <cell r="I116">
            <v>0.45</v>
          </cell>
          <cell r="J116">
            <v>32</v>
          </cell>
          <cell r="K116">
            <v>6.48</v>
          </cell>
          <cell r="L116">
            <v>21997.495296000005</v>
          </cell>
          <cell r="M116">
            <v>1936.3123353600004</v>
          </cell>
          <cell r="N116" t="str">
            <v>41F1</v>
          </cell>
          <cell r="O116">
            <v>170</v>
          </cell>
          <cell r="P116">
            <v>0</v>
          </cell>
          <cell r="Q116">
            <v>4.16</v>
          </cell>
          <cell r="R116">
            <v>1</v>
          </cell>
          <cell r="S116">
            <v>6.0015820799999995</v>
          </cell>
          <cell r="T116">
            <v>20373.421847740417</v>
          </cell>
          <cell r="U116">
            <v>4</v>
          </cell>
          <cell r="V116">
            <v>1793.3545390709146</v>
          </cell>
          <cell r="W116" t="str">
            <v>12F3</v>
          </cell>
          <cell r="X116">
            <v>200</v>
          </cell>
          <cell r="Y116">
            <v>370</v>
          </cell>
          <cell r="Z116">
            <v>0</v>
          </cell>
          <cell r="AA116">
            <v>0</v>
          </cell>
          <cell r="AB116">
            <v>0</v>
          </cell>
          <cell r="AC116">
            <v>0</v>
          </cell>
          <cell r="AD116">
            <v>0</v>
          </cell>
          <cell r="AE116">
            <v>243</v>
          </cell>
          <cell r="AF116">
            <v>0</v>
          </cell>
        </row>
        <row r="117">
          <cell r="H117">
            <v>0</v>
          </cell>
          <cell r="M117">
            <v>0</v>
          </cell>
          <cell r="N117" t="str">
            <v>41F2</v>
          </cell>
          <cell r="O117">
            <v>200</v>
          </cell>
          <cell r="P117">
            <v>0</v>
          </cell>
          <cell r="Q117">
            <v>4.16</v>
          </cell>
          <cell r="R117">
            <v>1</v>
          </cell>
          <cell r="S117">
            <v>8.3066880000000012</v>
          </cell>
          <cell r="T117">
            <v>28198.507747737607</v>
          </cell>
          <cell r="U117">
            <v>4</v>
          </cell>
          <cell r="V117">
            <v>2482.1516111708165</v>
          </cell>
          <cell r="W117" t="str">
            <v>8F2</v>
          </cell>
          <cell r="X117">
            <v>30</v>
          </cell>
          <cell r="Y117">
            <v>230</v>
          </cell>
          <cell r="Z117">
            <v>0</v>
          </cell>
          <cell r="AA117">
            <v>0</v>
          </cell>
          <cell r="AB117">
            <v>0</v>
          </cell>
          <cell r="AC117">
            <v>0</v>
          </cell>
          <cell r="AD117">
            <v>0</v>
          </cell>
          <cell r="AE117">
            <v>257</v>
          </cell>
          <cell r="AF117">
            <v>0</v>
          </cell>
        </row>
        <row r="118">
          <cell r="H118">
            <v>0</v>
          </cell>
          <cell r="M118">
            <v>0</v>
          </cell>
          <cell r="N118" t="str">
            <v>41F3</v>
          </cell>
          <cell r="O118">
            <v>250</v>
          </cell>
          <cell r="P118">
            <v>0</v>
          </cell>
          <cell r="Q118">
            <v>4.16</v>
          </cell>
          <cell r="R118">
            <v>1</v>
          </cell>
          <cell r="S118">
            <v>12.979200000000001</v>
          </cell>
          <cell r="T118">
            <v>44060.168355840004</v>
          </cell>
          <cell r="U118">
            <v>4</v>
          </cell>
          <cell r="V118">
            <v>3878.3618924544007</v>
          </cell>
          <cell r="W118" t="str">
            <v>40F3</v>
          </cell>
          <cell r="X118">
            <v>100</v>
          </cell>
          <cell r="Y118">
            <v>350</v>
          </cell>
          <cell r="Z118">
            <v>0</v>
          </cell>
          <cell r="AA118">
            <v>0</v>
          </cell>
          <cell r="AB118">
            <v>0</v>
          </cell>
          <cell r="AC118">
            <v>0</v>
          </cell>
          <cell r="AD118">
            <v>0</v>
          </cell>
          <cell r="AE118">
            <v>465</v>
          </cell>
          <cell r="AF118">
            <v>0</v>
          </cell>
        </row>
        <row r="119">
          <cell r="H119">
            <v>0</v>
          </cell>
          <cell r="I119">
            <v>0.27</v>
          </cell>
          <cell r="J119">
            <v>32</v>
          </cell>
          <cell r="K119">
            <v>2.3328000000000002</v>
          </cell>
          <cell r="L119">
            <v>7919.0983065600012</v>
          </cell>
          <cell r="M119">
            <v>697.0724407296002</v>
          </cell>
          <cell r="N119" t="str">
            <v>66F1</v>
          </cell>
          <cell r="O119">
            <v>135</v>
          </cell>
          <cell r="P119">
            <v>0</v>
          </cell>
          <cell r="Q119">
            <v>4.16</v>
          </cell>
          <cell r="R119">
            <v>2</v>
          </cell>
          <cell r="S119">
            <v>7.5694694400000007</v>
          </cell>
          <cell r="T119">
            <v>25695.890185125896</v>
          </cell>
          <cell r="U119">
            <v>4</v>
          </cell>
          <cell r="V119">
            <v>2261.8606556794066</v>
          </cell>
          <cell r="W119" t="str">
            <v>66F2</v>
          </cell>
          <cell r="X119">
            <v>180</v>
          </cell>
          <cell r="Y119">
            <v>315</v>
          </cell>
          <cell r="Z119">
            <v>0</v>
          </cell>
          <cell r="AA119">
            <v>0</v>
          </cell>
          <cell r="AB119">
            <v>0</v>
          </cell>
          <cell r="AC119">
            <v>0</v>
          </cell>
          <cell r="AD119">
            <v>0</v>
          </cell>
          <cell r="AE119">
            <v>238</v>
          </cell>
          <cell r="AF119">
            <v>0</v>
          </cell>
        </row>
        <row r="120">
          <cell r="H120">
            <v>0</v>
          </cell>
          <cell r="M120">
            <v>0</v>
          </cell>
          <cell r="N120" t="str">
            <v>66F2</v>
          </cell>
          <cell r="O120">
            <v>180</v>
          </cell>
          <cell r="P120">
            <v>0</v>
          </cell>
          <cell r="Q120">
            <v>4.16</v>
          </cell>
          <cell r="R120">
            <v>2</v>
          </cell>
          <cell r="S120">
            <v>13.456834559999999</v>
          </cell>
          <cell r="T120">
            <v>45681.582551334912</v>
          </cell>
          <cell r="U120">
            <v>4</v>
          </cell>
          <cell r="V120">
            <v>4021.0856100967217</v>
          </cell>
          <cell r="W120" t="str">
            <v>26F1</v>
          </cell>
          <cell r="X120">
            <v>75</v>
          </cell>
          <cell r="Y120">
            <v>255</v>
          </cell>
          <cell r="Z120">
            <v>0</v>
          </cell>
          <cell r="AA120">
            <v>0</v>
          </cell>
          <cell r="AB120">
            <v>0</v>
          </cell>
          <cell r="AC120">
            <v>0</v>
          </cell>
          <cell r="AD120">
            <v>0</v>
          </cell>
          <cell r="AE120">
            <v>170</v>
          </cell>
          <cell r="AF120">
            <v>0</v>
          </cell>
        </row>
        <row r="121">
          <cell r="H121">
            <v>0</v>
          </cell>
          <cell r="M121">
            <v>0</v>
          </cell>
          <cell r="N121" t="str">
            <v>66F3</v>
          </cell>
          <cell r="O121">
            <v>180</v>
          </cell>
          <cell r="P121">
            <v>0</v>
          </cell>
          <cell r="Q121">
            <v>4.16</v>
          </cell>
          <cell r="R121">
            <v>2</v>
          </cell>
          <cell r="S121">
            <v>13.456834559999999</v>
          </cell>
          <cell r="T121">
            <v>45681.582551334912</v>
          </cell>
          <cell r="U121">
            <v>4</v>
          </cell>
          <cell r="V121">
            <v>4021.0856100967217</v>
          </cell>
          <cell r="W121" t="str">
            <v>8F3</v>
          </cell>
          <cell r="X121">
            <v>330</v>
          </cell>
          <cell r="Y121">
            <v>510</v>
          </cell>
          <cell r="Z121">
            <v>1</v>
          </cell>
          <cell r="AA121">
            <v>0</v>
          </cell>
          <cell r="AB121">
            <v>0</v>
          </cell>
          <cell r="AC121">
            <v>0</v>
          </cell>
          <cell r="AD121">
            <v>0</v>
          </cell>
          <cell r="AE121">
            <v>214</v>
          </cell>
          <cell r="AF121">
            <v>0</v>
          </cell>
        </row>
        <row r="122">
          <cell r="H122">
            <v>1</v>
          </cell>
          <cell r="I122">
            <v>1.1599999999999999</v>
          </cell>
          <cell r="J122">
            <v>32</v>
          </cell>
          <cell r="K122">
            <v>43.059199999999997</v>
          </cell>
          <cell r="L122">
            <v>146171.99837183999</v>
          </cell>
          <cell r="M122">
            <v>12866.675943014399</v>
          </cell>
          <cell r="N122" t="str">
            <v>67F1</v>
          </cell>
          <cell r="O122">
            <v>75</v>
          </cell>
          <cell r="P122">
            <v>0</v>
          </cell>
          <cell r="Q122">
            <v>4.16</v>
          </cell>
          <cell r="R122">
            <v>2.5</v>
          </cell>
          <cell r="S122">
            <v>2.9203200000000007</v>
          </cell>
          <cell r="T122">
            <v>9913.5378800640028</v>
          </cell>
          <cell r="U122">
            <v>4</v>
          </cell>
          <cell r="V122">
            <v>872.6314258022403</v>
          </cell>
          <cell r="W122" t="str">
            <v>25F3</v>
          </cell>
          <cell r="X122">
            <v>350</v>
          </cell>
          <cell r="Y122">
            <v>425</v>
          </cell>
          <cell r="Z122">
            <v>0</v>
          </cell>
          <cell r="AA122">
            <v>0</v>
          </cell>
          <cell r="AB122">
            <v>0</v>
          </cell>
          <cell r="AC122">
            <v>0</v>
          </cell>
          <cell r="AD122">
            <v>0</v>
          </cell>
          <cell r="AE122">
            <v>2</v>
          </cell>
          <cell r="AF122">
            <v>0</v>
          </cell>
        </row>
        <row r="123">
          <cell r="H123">
            <v>0</v>
          </cell>
          <cell r="M123">
            <v>0</v>
          </cell>
          <cell r="N123" t="str">
            <v>67F2</v>
          </cell>
          <cell r="O123">
            <v>250</v>
          </cell>
          <cell r="P123">
            <v>0</v>
          </cell>
          <cell r="Q123">
            <v>4.16</v>
          </cell>
          <cell r="R123">
            <v>2.5</v>
          </cell>
          <cell r="S123">
            <v>32.448</v>
          </cell>
          <cell r="T123">
            <v>110150.42088960001</v>
          </cell>
          <cell r="U123">
            <v>4</v>
          </cell>
          <cell r="V123">
            <v>9695.9047311360009</v>
          </cell>
          <cell r="W123" t="str">
            <v>23F2</v>
          </cell>
          <cell r="X123">
            <v>90</v>
          </cell>
          <cell r="Y123">
            <v>340</v>
          </cell>
          <cell r="Z123">
            <v>0</v>
          </cell>
          <cell r="AA123">
            <v>0</v>
          </cell>
          <cell r="AB123">
            <v>0</v>
          </cell>
          <cell r="AC123">
            <v>1</v>
          </cell>
          <cell r="AD123">
            <v>1</v>
          </cell>
          <cell r="AE123">
            <v>383</v>
          </cell>
          <cell r="AF123">
            <v>0</v>
          </cell>
        </row>
        <row r="124">
          <cell r="H124">
            <v>0</v>
          </cell>
          <cell r="M124">
            <v>0</v>
          </cell>
          <cell r="N124" t="str">
            <v>67F3</v>
          </cell>
          <cell r="O124">
            <v>250</v>
          </cell>
          <cell r="P124">
            <v>0</v>
          </cell>
          <cell r="Q124">
            <v>4.16</v>
          </cell>
          <cell r="R124">
            <v>2.5</v>
          </cell>
          <cell r="S124">
            <v>32.448</v>
          </cell>
          <cell r="T124">
            <v>110150.42088960001</v>
          </cell>
          <cell r="U124">
            <v>4</v>
          </cell>
          <cell r="V124">
            <v>9695.9047311360009</v>
          </cell>
          <cell r="W124" t="str">
            <v>5F3</v>
          </cell>
          <cell r="X124">
            <v>260</v>
          </cell>
          <cell r="Y124">
            <v>510</v>
          </cell>
          <cell r="Z124">
            <v>1</v>
          </cell>
          <cell r="AA124">
            <v>1.33</v>
          </cell>
          <cell r="AB124">
            <v>1.1200000000000001</v>
          </cell>
          <cell r="AC124">
            <v>1</v>
          </cell>
          <cell r="AD124">
            <v>2.12</v>
          </cell>
          <cell r="AE124">
            <v>351</v>
          </cell>
          <cell r="AF124">
            <v>28009.800000000003</v>
          </cell>
        </row>
        <row r="125">
          <cell r="H125">
            <v>0</v>
          </cell>
          <cell r="M125">
            <v>0</v>
          </cell>
          <cell r="N125" t="str">
            <v>67F4</v>
          </cell>
          <cell r="O125">
            <v>310</v>
          </cell>
          <cell r="P125">
            <v>1</v>
          </cell>
          <cell r="Q125">
            <v>4.16</v>
          </cell>
          <cell r="R125">
            <v>2.5</v>
          </cell>
          <cell r="S125">
            <v>49.892044799999994</v>
          </cell>
          <cell r="T125">
            <v>169367.28715984896</v>
          </cell>
          <cell r="U125">
            <v>4</v>
          </cell>
          <cell r="V125">
            <v>14908.423114594712</v>
          </cell>
          <cell r="W125" t="str">
            <v>23F1</v>
          </cell>
          <cell r="X125">
            <v>390</v>
          </cell>
          <cell r="Y125">
            <v>700</v>
          </cell>
          <cell r="Z125">
            <v>1</v>
          </cell>
          <cell r="AA125">
            <v>0.36</v>
          </cell>
          <cell r="AB125">
            <v>0.21</v>
          </cell>
          <cell r="AC125">
            <v>2</v>
          </cell>
          <cell r="AD125">
            <v>2.21</v>
          </cell>
          <cell r="AE125">
            <v>295</v>
          </cell>
          <cell r="AF125">
            <v>6372</v>
          </cell>
        </row>
        <row r="126">
          <cell r="H126">
            <v>0</v>
          </cell>
          <cell r="I126">
            <v>0.98000000000000009</v>
          </cell>
          <cell r="J126">
            <v>32</v>
          </cell>
          <cell r="K126">
            <v>30.732800000000005</v>
          </cell>
          <cell r="L126">
            <v>104327.87398656002</v>
          </cell>
          <cell r="M126">
            <v>9183.3795895296025</v>
          </cell>
          <cell r="N126" t="str">
            <v>79F1</v>
          </cell>
          <cell r="O126">
            <v>320</v>
          </cell>
          <cell r="P126">
            <v>1</v>
          </cell>
          <cell r="Q126">
            <v>4.16</v>
          </cell>
          <cell r="R126">
            <v>1.5</v>
          </cell>
          <cell r="S126">
            <v>31.897681920000011</v>
          </cell>
          <cell r="T126">
            <v>108282.26975131243</v>
          </cell>
          <cell r="U126">
            <v>4</v>
          </cell>
          <cell r="V126">
            <v>9531.4621868959366</v>
          </cell>
          <cell r="W126" t="str">
            <v>65F1</v>
          </cell>
          <cell r="X126">
            <v>0</v>
          </cell>
          <cell r="Y126">
            <v>320</v>
          </cell>
          <cell r="Z126">
            <v>0</v>
          </cell>
          <cell r="AA126">
            <v>0.18</v>
          </cell>
          <cell r="AB126">
            <v>0.12</v>
          </cell>
          <cell r="AC126">
            <v>2</v>
          </cell>
          <cell r="AD126">
            <v>2.12</v>
          </cell>
          <cell r="AE126">
            <v>410</v>
          </cell>
          <cell r="AF126">
            <v>4428</v>
          </cell>
        </row>
        <row r="127">
          <cell r="H127">
            <v>0</v>
          </cell>
          <cell r="M127">
            <v>0</v>
          </cell>
          <cell r="N127" t="str">
            <v>79F2</v>
          </cell>
          <cell r="O127">
            <v>250</v>
          </cell>
          <cell r="P127">
            <v>0</v>
          </cell>
          <cell r="Q127">
            <v>4.16</v>
          </cell>
          <cell r="R127">
            <v>1.5</v>
          </cell>
          <cell r="S127">
            <v>19.468800000000002</v>
          </cell>
          <cell r="T127">
            <v>66090.252533760009</v>
          </cell>
          <cell r="U127">
            <v>4</v>
          </cell>
          <cell r="V127">
            <v>5817.5428386816011</v>
          </cell>
          <cell r="W127" t="str">
            <v>5F1</v>
          </cell>
          <cell r="X127">
            <v>80</v>
          </cell>
          <cell r="Y127">
            <v>330</v>
          </cell>
          <cell r="Z127">
            <v>0</v>
          </cell>
          <cell r="AA127">
            <v>0.22</v>
          </cell>
          <cell r="AB127">
            <v>0.05</v>
          </cell>
          <cell r="AC127">
            <v>2</v>
          </cell>
          <cell r="AD127">
            <v>2.0499999999999998</v>
          </cell>
          <cell r="AE127">
            <v>439</v>
          </cell>
          <cell r="AF127">
            <v>5794.8</v>
          </cell>
        </row>
        <row r="128">
          <cell r="H128">
            <v>0</v>
          </cell>
          <cell r="M128">
            <v>0</v>
          </cell>
          <cell r="N128" t="str">
            <v>79F3</v>
          </cell>
          <cell r="O128">
            <v>190</v>
          </cell>
          <cell r="P128">
            <v>0</v>
          </cell>
          <cell r="Q128">
            <v>4.16</v>
          </cell>
          <cell r="R128">
            <v>1.5</v>
          </cell>
          <cell r="S128">
            <v>11.245178879999999</v>
          </cell>
          <cell r="T128">
            <v>38173.729863499779</v>
          </cell>
          <cell r="U128">
            <v>4</v>
          </cell>
          <cell r="V128">
            <v>3360.2127436224923</v>
          </cell>
          <cell r="W128" t="str">
            <v>26F3</v>
          </cell>
          <cell r="X128">
            <v>220</v>
          </cell>
          <cell r="Y128">
            <v>410</v>
          </cell>
          <cell r="Z128">
            <v>0</v>
          </cell>
          <cell r="AA128">
            <v>0</v>
          </cell>
          <cell r="AB128">
            <v>0</v>
          </cell>
          <cell r="AC128">
            <v>0</v>
          </cell>
          <cell r="AD128">
            <v>0</v>
          </cell>
          <cell r="AE128">
            <v>432</v>
          </cell>
          <cell r="AF128">
            <v>0</v>
          </cell>
        </row>
        <row r="129">
          <cell r="H129">
            <v>2</v>
          </cell>
          <cell r="J129">
            <v>32</v>
          </cell>
          <cell r="K129">
            <v>292.85759999999999</v>
          </cell>
          <cell r="L129">
            <v>994156.43185151997</v>
          </cell>
          <cell r="M129">
            <v>87509.84311480321</v>
          </cell>
          <cell r="N129">
            <v>43</v>
          </cell>
          <cell r="O129">
            <v>9188</v>
          </cell>
          <cell r="P129">
            <v>15</v>
          </cell>
          <cell r="R129">
            <v>1.6674418604651164</v>
          </cell>
          <cell r="S129">
            <v>830.30808207359985</v>
          </cell>
          <cell r="T129">
            <v>2818626.2545748157</v>
          </cell>
          <cell r="U129">
            <v>4</v>
          </cell>
          <cell r="V129">
            <v>248107.37368336652</v>
          </cell>
          <cell r="X129">
            <v>9545</v>
          </cell>
          <cell r="Y129">
            <v>18733</v>
          </cell>
          <cell r="Z129">
            <v>17</v>
          </cell>
          <cell r="AA129">
            <v>0.20778017427314294</v>
          </cell>
          <cell r="AB129">
            <v>0.14477353118799069</v>
          </cell>
          <cell r="AD129">
            <v>0.73945906306617204</v>
          </cell>
          <cell r="AE129">
            <v>11591</v>
          </cell>
          <cell r="AF129">
            <v>144502.79999999999</v>
          </cell>
        </row>
        <row r="130">
          <cell r="H130">
            <v>0</v>
          </cell>
          <cell r="I130">
            <v>0</v>
          </cell>
          <cell r="J130">
            <v>32</v>
          </cell>
          <cell r="K130">
            <v>0</v>
          </cell>
          <cell r="L130">
            <v>0</v>
          </cell>
          <cell r="M130">
            <v>0</v>
          </cell>
          <cell r="N130" t="str">
            <v>44F1</v>
          </cell>
          <cell r="O130">
            <v>0</v>
          </cell>
          <cell r="P130">
            <v>0</v>
          </cell>
          <cell r="Q130">
            <v>4.16</v>
          </cell>
          <cell r="R130">
            <v>2</v>
          </cell>
          <cell r="S130">
            <v>0</v>
          </cell>
          <cell r="T130">
            <v>0</v>
          </cell>
          <cell r="U130">
            <v>4</v>
          </cell>
          <cell r="V130">
            <v>0</v>
          </cell>
          <cell r="W130" t="str">
            <v>44F2</v>
          </cell>
          <cell r="Y130">
            <v>0</v>
          </cell>
          <cell r="Z130">
            <v>0</v>
          </cell>
          <cell r="AA130">
            <v>0</v>
          </cell>
          <cell r="AB130">
            <v>0</v>
          </cell>
          <cell r="AC130">
            <v>0</v>
          </cell>
          <cell r="AD130">
            <v>0</v>
          </cell>
          <cell r="AE130">
            <v>0</v>
          </cell>
          <cell r="AF130">
            <v>0</v>
          </cell>
        </row>
        <row r="131">
          <cell r="H131">
            <v>0</v>
          </cell>
          <cell r="M131">
            <v>0</v>
          </cell>
          <cell r="N131" t="str">
            <v>44F2</v>
          </cell>
          <cell r="O131">
            <v>0</v>
          </cell>
          <cell r="P131">
            <v>0</v>
          </cell>
          <cell r="Q131">
            <v>4.16</v>
          </cell>
          <cell r="R131">
            <v>2</v>
          </cell>
          <cell r="S131">
            <v>0</v>
          </cell>
          <cell r="T131">
            <v>0</v>
          </cell>
          <cell r="U131">
            <v>4</v>
          </cell>
          <cell r="V131">
            <v>0</v>
          </cell>
          <cell r="W131" t="str">
            <v>44F1</v>
          </cell>
          <cell r="Y131">
            <v>0</v>
          </cell>
          <cell r="Z131">
            <v>0</v>
          </cell>
          <cell r="AA131">
            <v>0</v>
          </cell>
          <cell r="AB131">
            <v>0</v>
          </cell>
          <cell r="AC131">
            <v>0</v>
          </cell>
          <cell r="AD131">
            <v>0</v>
          </cell>
          <cell r="AE131">
            <v>0</v>
          </cell>
          <cell r="AF131">
            <v>0</v>
          </cell>
        </row>
        <row r="132">
          <cell r="H132">
            <v>0</v>
          </cell>
          <cell r="I132">
            <v>0.16</v>
          </cell>
          <cell r="J132">
            <v>32</v>
          </cell>
          <cell r="K132">
            <v>0.81920000000000004</v>
          </cell>
          <cell r="L132">
            <v>2780.9179238400002</v>
          </cell>
          <cell r="M132">
            <v>244.78812733440003</v>
          </cell>
          <cell r="N132" t="str">
            <v>80F1</v>
          </cell>
          <cell r="O132">
            <v>0</v>
          </cell>
          <cell r="P132">
            <v>0</v>
          </cell>
          <cell r="Q132">
            <v>4.16</v>
          </cell>
          <cell r="R132">
            <v>2</v>
          </cell>
          <cell r="S132">
            <v>0</v>
          </cell>
          <cell r="T132">
            <v>0</v>
          </cell>
          <cell r="U132">
            <v>4</v>
          </cell>
          <cell r="V132">
            <v>0</v>
          </cell>
          <cell r="W132" t="str">
            <v>81F1</v>
          </cell>
          <cell r="X132">
            <v>280</v>
          </cell>
          <cell r="Y132">
            <v>280</v>
          </cell>
          <cell r="Z132">
            <v>0</v>
          </cell>
          <cell r="AA132">
            <v>0</v>
          </cell>
          <cell r="AB132">
            <v>0</v>
          </cell>
          <cell r="AC132">
            <v>0</v>
          </cell>
          <cell r="AD132">
            <v>0</v>
          </cell>
          <cell r="AE132">
            <v>0</v>
          </cell>
          <cell r="AF132">
            <v>0</v>
          </cell>
        </row>
        <row r="133">
          <cell r="H133">
            <v>0</v>
          </cell>
          <cell r="M133">
            <v>0</v>
          </cell>
          <cell r="N133" t="str">
            <v>80F2</v>
          </cell>
          <cell r="O133">
            <v>200</v>
          </cell>
          <cell r="P133">
            <v>0</v>
          </cell>
          <cell r="Q133">
            <v>4.16</v>
          </cell>
          <cell r="R133">
            <v>2</v>
          </cell>
          <cell r="S133">
            <v>16.613376000000002</v>
          </cell>
          <cell r="T133">
            <v>56397.015495475214</v>
          </cell>
          <cell r="U133">
            <v>4</v>
          </cell>
          <cell r="V133">
            <v>4964.303222341633</v>
          </cell>
          <cell r="W133" t="str">
            <v>81F1</v>
          </cell>
          <cell r="X133">
            <v>280</v>
          </cell>
          <cell r="Y133">
            <v>480</v>
          </cell>
          <cell r="Z133">
            <v>0</v>
          </cell>
          <cell r="AA133">
            <v>2.5499999999999998</v>
          </cell>
          <cell r="AB133">
            <v>0.4</v>
          </cell>
          <cell r="AC133">
            <v>0</v>
          </cell>
          <cell r="AD133">
            <v>0.4</v>
          </cell>
          <cell r="AE133">
            <v>50</v>
          </cell>
          <cell r="AF133">
            <v>7649.9999999999991</v>
          </cell>
        </row>
        <row r="134">
          <cell r="H134">
            <v>0</v>
          </cell>
          <cell r="M134">
            <v>0</v>
          </cell>
          <cell r="N134" t="str">
            <v>80F3</v>
          </cell>
          <cell r="O134">
            <v>120</v>
          </cell>
          <cell r="P134">
            <v>0</v>
          </cell>
          <cell r="Q134">
            <v>4.16</v>
          </cell>
          <cell r="R134">
            <v>2</v>
          </cell>
          <cell r="S134">
            <v>5.9808153600000002</v>
          </cell>
          <cell r="T134">
            <v>20302.925578371076</v>
          </cell>
          <cell r="U134">
            <v>4</v>
          </cell>
          <cell r="V134">
            <v>1787.1491600429879</v>
          </cell>
          <cell r="W134" t="str">
            <v>81F3</v>
          </cell>
          <cell r="X134">
            <v>400</v>
          </cell>
          <cell r="Y134">
            <v>520</v>
          </cell>
          <cell r="Z134">
            <v>1</v>
          </cell>
          <cell r="AA134">
            <v>2.42</v>
          </cell>
          <cell r="AB134">
            <v>0.33</v>
          </cell>
          <cell r="AC134">
            <v>0</v>
          </cell>
          <cell r="AD134">
            <v>0.33</v>
          </cell>
          <cell r="AE134">
            <v>52</v>
          </cell>
          <cell r="AF134">
            <v>7550.4000000000005</v>
          </cell>
        </row>
        <row r="135">
          <cell r="H135">
            <v>0</v>
          </cell>
          <cell r="I135">
            <v>0.33999999999999997</v>
          </cell>
          <cell r="J135">
            <v>32</v>
          </cell>
          <cell r="K135">
            <v>3.6991999999999994</v>
          </cell>
          <cell r="L135">
            <v>12557.582499839998</v>
          </cell>
          <cell r="M135">
            <v>1105.3713874943999</v>
          </cell>
          <cell r="N135" t="str">
            <v>81F1</v>
          </cell>
          <cell r="O135">
            <v>280</v>
          </cell>
          <cell r="P135">
            <v>1</v>
          </cell>
          <cell r="Q135">
            <v>4.16</v>
          </cell>
          <cell r="R135">
            <v>2</v>
          </cell>
          <cell r="S135">
            <v>32.562216960000001</v>
          </cell>
          <cell r="T135">
            <v>110538.1503711314</v>
          </cell>
          <cell r="U135">
            <v>4</v>
          </cell>
          <cell r="V135">
            <v>9730.0343157896004</v>
          </cell>
          <cell r="W135" t="str">
            <v>80F2</v>
          </cell>
          <cell r="X135">
            <v>200</v>
          </cell>
          <cell r="Y135">
            <v>480</v>
          </cell>
          <cell r="Z135">
            <v>0</v>
          </cell>
          <cell r="AA135">
            <v>0.03</v>
          </cell>
          <cell r="AB135">
            <v>0.03</v>
          </cell>
          <cell r="AC135">
            <v>0</v>
          </cell>
          <cell r="AD135">
            <v>0.03</v>
          </cell>
          <cell r="AE135">
            <v>444</v>
          </cell>
          <cell r="AF135">
            <v>799.2</v>
          </cell>
        </row>
        <row r="136">
          <cell r="H136">
            <v>0</v>
          </cell>
          <cell r="M136">
            <v>0</v>
          </cell>
          <cell r="N136" t="str">
            <v>81F2</v>
          </cell>
          <cell r="O136">
            <v>0</v>
          </cell>
          <cell r="P136">
            <v>0</v>
          </cell>
          <cell r="Q136">
            <v>4.16</v>
          </cell>
          <cell r="R136">
            <v>2</v>
          </cell>
          <cell r="S136">
            <v>0</v>
          </cell>
          <cell r="T136">
            <v>0</v>
          </cell>
          <cell r="U136">
            <v>4</v>
          </cell>
          <cell r="V136">
            <v>0</v>
          </cell>
          <cell r="W136" t="str">
            <v>81F3</v>
          </cell>
          <cell r="X136">
            <v>200</v>
          </cell>
          <cell r="Y136">
            <v>200</v>
          </cell>
          <cell r="Z136">
            <v>0</v>
          </cell>
          <cell r="AA136">
            <v>0</v>
          </cell>
          <cell r="AB136">
            <v>0</v>
          </cell>
          <cell r="AC136">
            <v>0</v>
          </cell>
          <cell r="AD136">
            <v>0</v>
          </cell>
          <cell r="AE136">
            <v>0</v>
          </cell>
          <cell r="AF136">
            <v>0</v>
          </cell>
        </row>
        <row r="137">
          <cell r="H137">
            <v>0</v>
          </cell>
          <cell r="M137">
            <v>0</v>
          </cell>
          <cell r="N137" t="str">
            <v>81F3</v>
          </cell>
          <cell r="O137">
            <v>200</v>
          </cell>
          <cell r="P137">
            <v>0</v>
          </cell>
          <cell r="Q137">
            <v>4.16</v>
          </cell>
          <cell r="R137">
            <v>2</v>
          </cell>
          <cell r="S137">
            <v>16.613376000000002</v>
          </cell>
          <cell r="T137">
            <v>56397.015495475214</v>
          </cell>
          <cell r="U137">
            <v>4</v>
          </cell>
          <cell r="V137">
            <v>4964.303222341633</v>
          </cell>
          <cell r="W137" t="str">
            <v>80F3</v>
          </cell>
          <cell r="X137">
            <v>120</v>
          </cell>
          <cell r="Y137">
            <v>320</v>
          </cell>
          <cell r="Z137">
            <v>0</v>
          </cell>
          <cell r="AA137">
            <v>0</v>
          </cell>
          <cell r="AB137">
            <v>0</v>
          </cell>
          <cell r="AC137">
            <v>0</v>
          </cell>
          <cell r="AD137">
            <v>0</v>
          </cell>
          <cell r="AE137">
            <v>147</v>
          </cell>
          <cell r="AF137">
            <v>0</v>
          </cell>
        </row>
        <row r="138">
          <cell r="H138">
            <v>0</v>
          </cell>
          <cell r="J138">
            <v>32</v>
          </cell>
          <cell r="K138">
            <v>4.5183999999999997</v>
          </cell>
          <cell r="L138">
            <v>15338.500423679998</v>
          </cell>
          <cell r="M138">
            <v>1350.1595148288</v>
          </cell>
          <cell r="N138">
            <v>8</v>
          </cell>
          <cell r="O138">
            <v>800</v>
          </cell>
          <cell r="P138">
            <v>1</v>
          </cell>
          <cell r="R138">
            <v>2</v>
          </cell>
          <cell r="S138">
            <v>71.769784320000014</v>
          </cell>
          <cell r="T138">
            <v>243635.10694045288</v>
          </cell>
          <cell r="U138">
            <v>4</v>
          </cell>
          <cell r="V138">
            <v>21445.789920515857</v>
          </cell>
          <cell r="X138">
            <v>1480</v>
          </cell>
          <cell r="Y138">
            <v>2280</v>
          </cell>
          <cell r="Z138">
            <v>1</v>
          </cell>
          <cell r="AA138">
            <v>0.38479076479076479</v>
          </cell>
          <cell r="AB138">
            <v>7.2842712842712834E-2</v>
          </cell>
          <cell r="AD138">
            <v>7.2842712842712834E-2</v>
          </cell>
          <cell r="AE138">
            <v>693</v>
          </cell>
          <cell r="AF138">
            <v>15999.6</v>
          </cell>
        </row>
        <row r="139">
          <cell r="H139">
            <v>0</v>
          </cell>
          <cell r="I139">
            <v>0.26</v>
          </cell>
          <cell r="J139">
            <v>67</v>
          </cell>
          <cell r="K139">
            <v>4.5292000000000003</v>
          </cell>
          <cell r="L139">
            <v>15375.162915840001</v>
          </cell>
          <cell r="M139">
            <v>1353.3867020544003</v>
          </cell>
          <cell r="N139" t="str">
            <v>10F1</v>
          </cell>
          <cell r="O139">
            <v>0</v>
          </cell>
          <cell r="P139">
            <v>0</v>
          </cell>
          <cell r="Q139">
            <v>13.8</v>
          </cell>
          <cell r="R139">
            <v>3.4</v>
          </cell>
          <cell r="S139">
            <v>0</v>
          </cell>
          <cell r="T139">
            <v>0</v>
          </cell>
          <cell r="U139">
            <v>0.2</v>
          </cell>
          <cell r="V139">
            <v>0</v>
          </cell>
          <cell r="W139" t="str">
            <v>68F4</v>
          </cell>
          <cell r="X139">
            <v>150</v>
          </cell>
          <cell r="Y139">
            <v>150</v>
          </cell>
          <cell r="Z139">
            <v>0</v>
          </cell>
          <cell r="AA139">
            <v>0</v>
          </cell>
          <cell r="AB139">
            <v>0</v>
          </cell>
          <cell r="AC139">
            <v>0</v>
          </cell>
          <cell r="AD139">
            <v>0</v>
          </cell>
          <cell r="AE139">
            <v>0</v>
          </cell>
          <cell r="AF139">
            <v>0</v>
          </cell>
        </row>
        <row r="140">
          <cell r="H140">
            <v>0</v>
          </cell>
          <cell r="M140">
            <v>0</v>
          </cell>
          <cell r="N140" t="str">
            <v>10F2</v>
          </cell>
          <cell r="O140">
            <v>300</v>
          </cell>
          <cell r="P140">
            <v>1</v>
          </cell>
          <cell r="Q140">
            <v>13.8</v>
          </cell>
          <cell r="R140">
            <v>3.4</v>
          </cell>
          <cell r="S140">
            <v>34.964784000000002</v>
          </cell>
          <cell r="T140">
            <v>118694.08511815683</v>
          </cell>
          <cell r="U140">
            <v>0.2</v>
          </cell>
          <cell r="V140">
            <v>10447.95409913549</v>
          </cell>
          <cell r="W140" t="str">
            <v>61F4</v>
          </cell>
          <cell r="X140">
            <v>190</v>
          </cell>
          <cell r="Y140">
            <v>490</v>
          </cell>
          <cell r="Z140">
            <v>0</v>
          </cell>
          <cell r="AA140">
            <v>0.41</v>
          </cell>
          <cell r="AB140">
            <v>1.1100000000000001</v>
          </cell>
          <cell r="AC140">
            <v>0</v>
          </cell>
          <cell r="AD140">
            <v>1.1100000000000001</v>
          </cell>
          <cell r="AE140">
            <v>9</v>
          </cell>
          <cell r="AF140">
            <v>221.4</v>
          </cell>
        </row>
        <row r="141">
          <cell r="H141">
            <v>0</v>
          </cell>
          <cell r="I141">
            <v>0.86</v>
          </cell>
          <cell r="J141">
            <v>67</v>
          </cell>
          <cell r="K141">
            <v>49.553199999999997</v>
          </cell>
          <cell r="L141">
            <v>168217.01912064</v>
          </cell>
          <cell r="M141">
            <v>14807.1716692224</v>
          </cell>
          <cell r="N141" t="str">
            <v>10F4</v>
          </cell>
          <cell r="O141">
            <v>310</v>
          </cell>
          <cell r="P141">
            <v>1</v>
          </cell>
          <cell r="Q141">
            <v>13.8</v>
          </cell>
          <cell r="R141">
            <v>3.4</v>
          </cell>
          <cell r="S141">
            <v>37.334619360000005</v>
          </cell>
          <cell r="T141">
            <v>126738.9064428319</v>
          </cell>
          <cell r="U141">
            <v>0.2</v>
          </cell>
          <cell r="V141">
            <v>11156.093210299117</v>
          </cell>
          <cell r="W141" t="str">
            <v>39F4</v>
          </cell>
          <cell r="X141">
            <v>340</v>
          </cell>
          <cell r="Y141">
            <v>650</v>
          </cell>
          <cell r="Z141">
            <v>1</v>
          </cell>
          <cell r="AA141">
            <v>0</v>
          </cell>
          <cell r="AB141">
            <v>0</v>
          </cell>
          <cell r="AC141">
            <v>0</v>
          </cell>
          <cell r="AD141">
            <v>0</v>
          </cell>
          <cell r="AE141">
            <v>354</v>
          </cell>
          <cell r="AF141">
            <v>0</v>
          </cell>
        </row>
        <row r="142">
          <cell r="H142">
            <v>0</v>
          </cell>
          <cell r="M142">
            <v>0</v>
          </cell>
          <cell r="N142" t="str">
            <v>10F5</v>
          </cell>
          <cell r="O142">
            <v>50</v>
          </cell>
          <cell r="P142">
            <v>0</v>
          </cell>
          <cell r="Q142">
            <v>13.8</v>
          </cell>
          <cell r="R142">
            <v>3.4</v>
          </cell>
          <cell r="S142">
            <v>0.971244</v>
          </cell>
          <cell r="T142">
            <v>3297.0579199488002</v>
          </cell>
          <cell r="U142">
            <v>0.2</v>
          </cell>
          <cell r="V142">
            <v>290.22094719820802</v>
          </cell>
          <cell r="W142" t="str">
            <v>68F1</v>
          </cell>
          <cell r="X142">
            <v>360</v>
          </cell>
          <cell r="Y142">
            <v>410</v>
          </cell>
          <cell r="Z142">
            <v>0</v>
          </cell>
          <cell r="AA142">
            <v>0</v>
          </cell>
          <cell r="AB142">
            <v>0</v>
          </cell>
          <cell r="AC142">
            <v>0</v>
          </cell>
          <cell r="AD142">
            <v>0</v>
          </cell>
          <cell r="AE142">
            <v>0</v>
          </cell>
          <cell r="AF142">
            <v>0</v>
          </cell>
        </row>
        <row r="143">
          <cell r="H143">
            <v>0</v>
          </cell>
          <cell r="I143">
            <v>0.69000000000000006</v>
          </cell>
          <cell r="J143">
            <v>67</v>
          </cell>
          <cell r="K143">
            <v>31.898700000000005</v>
          </cell>
          <cell r="L143">
            <v>108285.72580224002</v>
          </cell>
          <cell r="M143">
            <v>9531.7664030784017</v>
          </cell>
          <cell r="N143" t="str">
            <v>15F1</v>
          </cell>
          <cell r="O143">
            <v>340</v>
          </cell>
          <cell r="P143">
            <v>1</v>
          </cell>
          <cell r="Q143">
            <v>13.8</v>
          </cell>
          <cell r="R143">
            <v>3.4</v>
          </cell>
          <cell r="S143">
            <v>44.910322559999997</v>
          </cell>
          <cell r="T143">
            <v>152455.95821843253</v>
          </cell>
          <cell r="U143">
            <v>0.2</v>
          </cell>
          <cell r="V143">
            <v>13419.816598445137</v>
          </cell>
          <cell r="W143" t="str">
            <v>15F4</v>
          </cell>
          <cell r="X143">
            <v>100</v>
          </cell>
          <cell r="Y143">
            <v>440</v>
          </cell>
          <cell r="Z143">
            <v>0</v>
          </cell>
          <cell r="AA143">
            <v>0.46</v>
          </cell>
          <cell r="AB143">
            <v>0.16</v>
          </cell>
          <cell r="AC143">
            <v>3</v>
          </cell>
          <cell r="AD143">
            <v>3.16</v>
          </cell>
          <cell r="AE143">
            <v>200</v>
          </cell>
          <cell r="AF143">
            <v>5520</v>
          </cell>
        </row>
        <row r="144">
          <cell r="H144">
            <v>0</v>
          </cell>
          <cell r="M144">
            <v>0</v>
          </cell>
          <cell r="N144" t="str">
            <v>15F2</v>
          </cell>
          <cell r="O144">
            <v>170</v>
          </cell>
          <cell r="P144">
            <v>0</v>
          </cell>
          <cell r="Q144">
            <v>13.8</v>
          </cell>
          <cell r="R144">
            <v>3.4</v>
          </cell>
          <cell r="S144">
            <v>11.227580639999999</v>
          </cell>
          <cell r="T144">
            <v>38113.989554608132</v>
          </cell>
          <cell r="U144">
            <v>0.2</v>
          </cell>
          <cell r="V144">
            <v>3354.9541496112843</v>
          </cell>
          <cell r="W144" t="str">
            <v>19F1</v>
          </cell>
          <cell r="X144">
            <v>210</v>
          </cell>
          <cell r="Y144">
            <v>380</v>
          </cell>
          <cell r="Z144">
            <v>0</v>
          </cell>
          <cell r="AA144">
            <v>0.02</v>
          </cell>
          <cell r="AB144">
            <v>0.01</v>
          </cell>
          <cell r="AC144">
            <v>0</v>
          </cell>
          <cell r="AD144">
            <v>0.01</v>
          </cell>
          <cell r="AE144">
            <v>79</v>
          </cell>
          <cell r="AF144">
            <v>94.800000000000011</v>
          </cell>
        </row>
        <row r="145">
          <cell r="H145">
            <v>0</v>
          </cell>
          <cell r="I145">
            <v>0.65</v>
          </cell>
          <cell r="J145">
            <v>67</v>
          </cell>
          <cell r="K145">
            <v>28.307500000000005</v>
          </cell>
          <cell r="L145">
            <v>96094.768224000029</v>
          </cell>
          <cell r="M145">
            <v>8458.6668878400014</v>
          </cell>
          <cell r="N145" t="str">
            <v>15F4</v>
          </cell>
          <cell r="O145">
            <v>100</v>
          </cell>
          <cell r="P145">
            <v>0</v>
          </cell>
          <cell r="Q145">
            <v>13.8</v>
          </cell>
          <cell r="R145">
            <v>3.4</v>
          </cell>
          <cell r="S145">
            <v>3.884976</v>
          </cell>
          <cell r="T145">
            <v>13188.231679795201</v>
          </cell>
          <cell r="U145">
            <v>0.2</v>
          </cell>
          <cell r="V145">
            <v>1160.8837887928321</v>
          </cell>
          <cell r="W145" t="str">
            <v>15F1</v>
          </cell>
          <cell r="X145">
            <v>340</v>
          </cell>
          <cell r="Y145">
            <v>440</v>
          </cell>
          <cell r="Z145">
            <v>0</v>
          </cell>
          <cell r="AA145">
            <v>0</v>
          </cell>
          <cell r="AB145">
            <v>0</v>
          </cell>
          <cell r="AC145">
            <v>0</v>
          </cell>
          <cell r="AD145">
            <v>0</v>
          </cell>
          <cell r="AE145">
            <v>89</v>
          </cell>
          <cell r="AF145">
            <v>0</v>
          </cell>
        </row>
        <row r="146">
          <cell r="H146">
            <v>0</v>
          </cell>
          <cell r="M146">
            <v>0</v>
          </cell>
          <cell r="N146" t="str">
            <v>15F5</v>
          </cell>
          <cell r="O146">
            <v>175</v>
          </cell>
          <cell r="P146">
            <v>0</v>
          </cell>
          <cell r="Q146">
            <v>13.8</v>
          </cell>
          <cell r="R146">
            <v>3.4</v>
          </cell>
          <cell r="S146">
            <v>11.897739000000001</v>
          </cell>
          <cell r="T146">
            <v>40388.959519372809</v>
          </cell>
          <cell r="U146">
            <v>0.2</v>
          </cell>
          <cell r="V146">
            <v>3555.2066031780487</v>
          </cell>
          <cell r="W146" t="str">
            <v>45F4</v>
          </cell>
          <cell r="X146">
            <v>250</v>
          </cell>
          <cell r="Y146">
            <v>425</v>
          </cell>
          <cell r="Z146">
            <v>0</v>
          </cell>
          <cell r="AA146">
            <v>0</v>
          </cell>
          <cell r="AB146">
            <v>0</v>
          </cell>
          <cell r="AC146">
            <v>0</v>
          </cell>
          <cell r="AD146">
            <v>0</v>
          </cell>
          <cell r="AE146">
            <v>315</v>
          </cell>
          <cell r="AF146">
            <v>0</v>
          </cell>
        </row>
        <row r="147">
          <cell r="H147">
            <v>1</v>
          </cell>
          <cell r="I147">
            <v>1.0249999999999999</v>
          </cell>
          <cell r="J147">
            <v>67</v>
          </cell>
          <cell r="K147">
            <v>70.391874999999999</v>
          </cell>
          <cell r="L147">
            <v>238957.552344</v>
          </cell>
          <cell r="M147">
            <v>21034.051832040001</v>
          </cell>
          <cell r="N147" t="str">
            <v>17F1</v>
          </cell>
          <cell r="O147">
            <v>270</v>
          </cell>
          <cell r="P147">
            <v>1</v>
          </cell>
          <cell r="Q147">
            <v>13.8</v>
          </cell>
          <cell r="R147">
            <v>4</v>
          </cell>
          <cell r="S147">
            <v>33.319382400000002</v>
          </cell>
          <cell r="T147">
            <v>113108.48111259651</v>
          </cell>
          <cell r="U147">
            <v>0.2</v>
          </cell>
          <cell r="V147">
            <v>9956.285670940877</v>
          </cell>
          <cell r="W147" t="str">
            <v>27F2</v>
          </cell>
          <cell r="X147">
            <v>140</v>
          </cell>
          <cell r="Y147">
            <v>410</v>
          </cell>
          <cell r="Z147">
            <v>0</v>
          </cell>
          <cell r="AA147">
            <v>0</v>
          </cell>
          <cell r="AB147">
            <v>0</v>
          </cell>
          <cell r="AC147">
            <v>3</v>
          </cell>
          <cell r="AD147">
            <v>3</v>
          </cell>
          <cell r="AE147">
            <v>172</v>
          </cell>
          <cell r="AF147">
            <v>0</v>
          </cell>
        </row>
        <row r="148">
          <cell r="H148">
            <v>0</v>
          </cell>
          <cell r="M148">
            <v>0</v>
          </cell>
          <cell r="N148" t="str">
            <v>17F2</v>
          </cell>
          <cell r="O148">
            <v>250</v>
          </cell>
          <cell r="P148">
            <v>0</v>
          </cell>
          <cell r="Q148">
            <v>13.8</v>
          </cell>
          <cell r="R148">
            <v>4</v>
          </cell>
          <cell r="S148">
            <v>28.566000000000003</v>
          </cell>
          <cell r="T148">
            <v>96972.291763200017</v>
          </cell>
          <cell r="U148">
            <v>0.2</v>
          </cell>
          <cell r="V148">
            <v>8535.9102117120019</v>
          </cell>
          <cell r="W148" t="str">
            <v>34F3</v>
          </cell>
          <cell r="X148">
            <v>0</v>
          </cell>
          <cell r="Y148">
            <v>250</v>
          </cell>
          <cell r="Z148">
            <v>0</v>
          </cell>
          <cell r="AA148">
            <v>1.8</v>
          </cell>
          <cell r="AB148">
            <v>3.25</v>
          </cell>
          <cell r="AC148">
            <v>6</v>
          </cell>
          <cell r="AD148">
            <v>9.25</v>
          </cell>
          <cell r="AE148">
            <v>44</v>
          </cell>
          <cell r="AF148">
            <v>4752</v>
          </cell>
        </row>
        <row r="149">
          <cell r="H149">
            <v>0</v>
          </cell>
          <cell r="M149">
            <v>0</v>
          </cell>
          <cell r="N149" t="str">
            <v>17F3</v>
          </cell>
          <cell r="O149">
            <v>130</v>
          </cell>
          <cell r="P149">
            <v>0</v>
          </cell>
          <cell r="Q149">
            <v>13.8</v>
          </cell>
          <cell r="R149">
            <v>4</v>
          </cell>
          <cell r="S149">
            <v>7.724246400000002</v>
          </cell>
          <cell r="T149">
            <v>26221.307692769285</v>
          </cell>
          <cell r="U149">
            <v>0.2</v>
          </cell>
          <cell r="V149">
            <v>2308.1101212469252</v>
          </cell>
          <cell r="W149" t="str">
            <v>27F6</v>
          </cell>
          <cell r="X149">
            <v>310</v>
          </cell>
          <cell r="Y149">
            <v>440</v>
          </cell>
          <cell r="Z149">
            <v>0</v>
          </cell>
          <cell r="AA149">
            <v>0</v>
          </cell>
          <cell r="AB149">
            <v>0</v>
          </cell>
          <cell r="AC149">
            <v>0</v>
          </cell>
          <cell r="AD149">
            <v>0</v>
          </cell>
          <cell r="AE149">
            <v>22</v>
          </cell>
          <cell r="AF149">
            <v>0</v>
          </cell>
        </row>
        <row r="150">
          <cell r="H150">
            <v>0</v>
          </cell>
          <cell r="M150">
            <v>0</v>
          </cell>
          <cell r="N150" t="str">
            <v>17F4</v>
          </cell>
          <cell r="O150">
            <v>460</v>
          </cell>
          <cell r="P150">
            <v>1</v>
          </cell>
          <cell r="Q150">
            <v>13.8</v>
          </cell>
          <cell r="R150">
            <v>4</v>
          </cell>
          <cell r="S150">
            <v>96.713049599999991</v>
          </cell>
          <cell r="T150">
            <v>328309.39099348994</v>
          </cell>
          <cell r="U150">
            <v>0.2</v>
          </cell>
          <cell r="V150">
            <v>28899.177612772146</v>
          </cell>
          <cell r="W150" t="str">
            <v>43F6</v>
          </cell>
          <cell r="X150">
            <v>270</v>
          </cell>
          <cell r="Y150">
            <v>730</v>
          </cell>
          <cell r="Z150">
            <v>1</v>
          </cell>
          <cell r="AA150">
            <v>0.4</v>
          </cell>
          <cell r="AB150">
            <v>0.06</v>
          </cell>
          <cell r="AC150">
            <v>5</v>
          </cell>
          <cell r="AD150">
            <v>5.0599999999999996</v>
          </cell>
          <cell r="AE150">
            <v>36</v>
          </cell>
          <cell r="AF150">
            <v>864</v>
          </cell>
        </row>
        <row r="151">
          <cell r="H151">
            <v>0</v>
          </cell>
          <cell r="I151">
            <v>0.94000000000000006</v>
          </cell>
          <cell r="J151">
            <v>67</v>
          </cell>
          <cell r="K151">
            <v>59.201200000000014</v>
          </cell>
          <cell r="L151">
            <v>200968.84545024007</v>
          </cell>
          <cell r="M151">
            <v>17690.125590758405</v>
          </cell>
          <cell r="N151" t="str">
            <v>19F1</v>
          </cell>
          <cell r="O151">
            <v>120</v>
          </cell>
          <cell r="P151">
            <v>0</v>
          </cell>
          <cell r="Q151">
            <v>13.8</v>
          </cell>
          <cell r="R151">
            <v>3.8</v>
          </cell>
          <cell r="S151">
            <v>6.25252608</v>
          </cell>
          <cell r="T151">
            <v>21225.295221129218</v>
          </cell>
          <cell r="U151">
            <v>0.2</v>
          </cell>
          <cell r="V151">
            <v>1868.3400271395228</v>
          </cell>
          <cell r="W151" t="str">
            <v>19F2</v>
          </cell>
          <cell r="X151">
            <v>350</v>
          </cell>
          <cell r="Y151">
            <v>470</v>
          </cell>
          <cell r="Z151">
            <v>0</v>
          </cell>
          <cell r="AA151">
            <v>0.41</v>
          </cell>
          <cell r="AB151">
            <v>0.11</v>
          </cell>
          <cell r="AC151">
            <v>2</v>
          </cell>
          <cell r="AD151">
            <v>2.11</v>
          </cell>
          <cell r="AE151">
            <v>872</v>
          </cell>
          <cell r="AF151">
            <v>21451.199999999997</v>
          </cell>
        </row>
        <row r="152">
          <cell r="H152">
            <v>0</v>
          </cell>
          <cell r="M152">
            <v>0</v>
          </cell>
          <cell r="N152" t="str">
            <v>19F2</v>
          </cell>
          <cell r="O152">
            <v>350</v>
          </cell>
          <cell r="P152">
            <v>1</v>
          </cell>
          <cell r="Q152">
            <v>13.8</v>
          </cell>
          <cell r="R152">
            <v>3.8</v>
          </cell>
          <cell r="S152">
            <v>53.189892</v>
          </cell>
          <cell r="T152">
            <v>180562.40726307841</v>
          </cell>
          <cell r="U152">
            <v>0.2</v>
          </cell>
          <cell r="V152">
            <v>15893.864814207745</v>
          </cell>
          <cell r="W152" t="str">
            <v>19F5</v>
          </cell>
          <cell r="X152">
            <v>280</v>
          </cell>
          <cell r="Y152">
            <v>630</v>
          </cell>
          <cell r="Z152">
            <v>1</v>
          </cell>
          <cell r="AA152">
            <v>0</v>
          </cell>
          <cell r="AB152">
            <v>0</v>
          </cell>
          <cell r="AC152">
            <v>0</v>
          </cell>
          <cell r="AD152">
            <v>0</v>
          </cell>
          <cell r="AE152">
            <v>706</v>
          </cell>
          <cell r="AF152">
            <v>0</v>
          </cell>
        </row>
        <row r="153">
          <cell r="H153">
            <v>0</v>
          </cell>
          <cell r="I153">
            <v>0.83000000000000007</v>
          </cell>
          <cell r="J153">
            <v>67</v>
          </cell>
          <cell r="K153">
            <v>46.156300000000002</v>
          </cell>
          <cell r="L153">
            <v>156685.64693376003</v>
          </cell>
          <cell r="M153">
            <v>13792.131642681601</v>
          </cell>
          <cell r="N153" t="str">
            <v>19F4</v>
          </cell>
          <cell r="O153">
            <v>360</v>
          </cell>
          <cell r="P153">
            <v>1</v>
          </cell>
          <cell r="Q153">
            <v>13.8</v>
          </cell>
          <cell r="R153">
            <v>3.8</v>
          </cell>
          <cell r="S153">
            <v>56.27273472000001</v>
          </cell>
          <cell r="T153">
            <v>191027.656990163</v>
          </cell>
          <cell r="U153">
            <v>0.2</v>
          </cell>
          <cell r="V153">
            <v>16815.060244255706</v>
          </cell>
          <cell r="W153" t="str">
            <v>69F3</v>
          </cell>
          <cell r="X153">
            <v>250</v>
          </cell>
          <cell r="Y153">
            <v>610</v>
          </cell>
          <cell r="Z153">
            <v>1</v>
          </cell>
          <cell r="AA153">
            <v>1.04</v>
          </cell>
          <cell r="AB153">
            <v>1.46</v>
          </cell>
          <cell r="AC153">
            <v>4</v>
          </cell>
          <cell r="AD153">
            <v>5.46</v>
          </cell>
          <cell r="AE153">
            <v>692</v>
          </cell>
          <cell r="AF153">
            <v>43180.800000000003</v>
          </cell>
        </row>
        <row r="154">
          <cell r="H154">
            <v>0</v>
          </cell>
          <cell r="M154">
            <v>0</v>
          </cell>
          <cell r="N154" t="str">
            <v>19F5</v>
          </cell>
          <cell r="O154">
            <v>280</v>
          </cell>
          <cell r="P154">
            <v>1</v>
          </cell>
          <cell r="Q154">
            <v>13.8</v>
          </cell>
          <cell r="R154">
            <v>3.8</v>
          </cell>
          <cell r="S154">
            <v>34.041530880000003</v>
          </cell>
          <cell r="T154">
            <v>115559.9406483702</v>
          </cell>
          <cell r="U154">
            <v>0.2</v>
          </cell>
          <cell r="V154">
            <v>10172.073481092957</v>
          </cell>
          <cell r="W154" t="str">
            <v>45F4</v>
          </cell>
          <cell r="X154">
            <v>250</v>
          </cell>
          <cell r="Y154">
            <v>530</v>
          </cell>
          <cell r="Z154">
            <v>1</v>
          </cell>
          <cell r="AA154">
            <v>0.01</v>
          </cell>
          <cell r="AB154">
            <v>0.01</v>
          </cell>
          <cell r="AC154">
            <v>0</v>
          </cell>
          <cell r="AD154">
            <v>0.01</v>
          </cell>
          <cell r="AE154">
            <v>480</v>
          </cell>
          <cell r="AF154">
            <v>288</v>
          </cell>
        </row>
        <row r="155">
          <cell r="H155">
            <v>0</v>
          </cell>
          <cell r="I155">
            <v>0.56500000000000006</v>
          </cell>
          <cell r="J155">
            <v>67</v>
          </cell>
          <cell r="K155">
            <v>21.388075000000008</v>
          </cell>
          <cell r="L155">
            <v>72605.567778240031</v>
          </cell>
          <cell r="M155">
            <v>6391.0483722384033</v>
          </cell>
          <cell r="N155" t="str">
            <v>27F1</v>
          </cell>
          <cell r="O155">
            <v>270</v>
          </cell>
          <cell r="P155">
            <v>1</v>
          </cell>
          <cell r="Q155">
            <v>13.8</v>
          </cell>
          <cell r="R155">
            <v>3.2</v>
          </cell>
          <cell r="S155">
            <v>26.655505920000007</v>
          </cell>
          <cell r="T155">
            <v>90486.784890077208</v>
          </cell>
          <cell r="U155">
            <v>0.2</v>
          </cell>
          <cell r="V155">
            <v>7965.0285367527031</v>
          </cell>
          <cell r="W155" t="str">
            <v>69F4</v>
          </cell>
          <cell r="X155">
            <v>340</v>
          </cell>
          <cell r="Y155">
            <v>610</v>
          </cell>
          <cell r="Z155">
            <v>1</v>
          </cell>
          <cell r="AA155">
            <v>0.04</v>
          </cell>
          <cell r="AB155">
            <v>0.02</v>
          </cell>
          <cell r="AC155">
            <v>1</v>
          </cell>
          <cell r="AD155">
            <v>1.02</v>
          </cell>
          <cell r="AE155">
            <v>66</v>
          </cell>
          <cell r="AF155">
            <v>158.4</v>
          </cell>
        </row>
        <row r="156">
          <cell r="H156">
            <v>0</v>
          </cell>
          <cell r="M156">
            <v>0</v>
          </cell>
          <cell r="N156" t="str">
            <v>27F2</v>
          </cell>
          <cell r="O156">
            <v>140</v>
          </cell>
          <cell r="P156">
            <v>0</v>
          </cell>
          <cell r="Q156">
            <v>13.8</v>
          </cell>
          <cell r="R156">
            <v>3.2</v>
          </cell>
          <cell r="S156">
            <v>7.1666380800000011</v>
          </cell>
          <cell r="T156">
            <v>24328.408557551622</v>
          </cell>
          <cell r="U156">
            <v>0.2</v>
          </cell>
          <cell r="V156">
            <v>2141.4891539143068</v>
          </cell>
          <cell r="W156" t="str">
            <v>17F1</v>
          </cell>
          <cell r="X156">
            <v>270</v>
          </cell>
          <cell r="Y156">
            <v>410</v>
          </cell>
          <cell r="Z156">
            <v>0</v>
          </cell>
          <cell r="AA156">
            <v>0</v>
          </cell>
          <cell r="AB156">
            <v>0</v>
          </cell>
          <cell r="AC156">
            <v>0</v>
          </cell>
          <cell r="AD156">
            <v>0</v>
          </cell>
          <cell r="AE156">
            <v>13</v>
          </cell>
          <cell r="AF156">
            <v>0</v>
          </cell>
        </row>
        <row r="157">
          <cell r="H157">
            <v>0</v>
          </cell>
          <cell r="M157">
            <v>0</v>
          </cell>
          <cell r="N157" t="str">
            <v>27F3</v>
          </cell>
          <cell r="O157">
            <v>50</v>
          </cell>
          <cell r="P157">
            <v>0</v>
          </cell>
          <cell r="Q157">
            <v>13.8</v>
          </cell>
          <cell r="R157">
            <v>3.2</v>
          </cell>
          <cell r="S157">
            <v>0.91411200000000015</v>
          </cell>
          <cell r="T157">
            <v>3103.1133364224011</v>
          </cell>
          <cell r="U157">
            <v>0.2</v>
          </cell>
          <cell r="V157">
            <v>273.14912677478407</v>
          </cell>
          <cell r="W157" t="str">
            <v>71F3</v>
          </cell>
          <cell r="X157">
            <v>475</v>
          </cell>
          <cell r="Y157">
            <v>525</v>
          </cell>
          <cell r="Z157">
            <v>1</v>
          </cell>
          <cell r="AA157">
            <v>0</v>
          </cell>
          <cell r="AB157">
            <v>0</v>
          </cell>
          <cell r="AC157">
            <v>0</v>
          </cell>
          <cell r="AD157">
            <v>0</v>
          </cell>
          <cell r="AE157">
            <v>4</v>
          </cell>
          <cell r="AF157">
            <v>0</v>
          </cell>
        </row>
        <row r="158">
          <cell r="H158">
            <v>0</v>
          </cell>
          <cell r="I158">
            <v>0.8</v>
          </cell>
          <cell r="J158">
            <v>67</v>
          </cell>
          <cell r="K158">
            <v>42.88000000000001</v>
          </cell>
          <cell r="L158">
            <v>145563.67257600004</v>
          </cell>
          <cell r="M158">
            <v>12813.128540160003</v>
          </cell>
          <cell r="N158" t="str">
            <v>27F4</v>
          </cell>
          <cell r="O158">
            <v>270</v>
          </cell>
          <cell r="P158">
            <v>1</v>
          </cell>
          <cell r="Q158">
            <v>13.8</v>
          </cell>
          <cell r="R158">
            <v>3.2</v>
          </cell>
          <cell r="S158">
            <v>26.655505920000007</v>
          </cell>
          <cell r="T158">
            <v>90486.784890077208</v>
          </cell>
          <cell r="U158">
            <v>0.2</v>
          </cell>
          <cell r="V158">
            <v>7965.0285367527031</v>
          </cell>
          <cell r="W158" t="str">
            <v>27F2</v>
          </cell>
          <cell r="X158">
            <v>140</v>
          </cell>
          <cell r="Y158">
            <v>410</v>
          </cell>
          <cell r="Z158">
            <v>0</v>
          </cell>
          <cell r="AA158">
            <v>1.1399999999999999</v>
          </cell>
          <cell r="AB158">
            <v>2.04</v>
          </cell>
          <cell r="AC158">
            <v>2</v>
          </cell>
          <cell r="AD158">
            <v>4.04</v>
          </cell>
          <cell r="AE158">
            <v>99</v>
          </cell>
          <cell r="AF158">
            <v>6771.5999999999995</v>
          </cell>
        </row>
        <row r="159">
          <cell r="H159">
            <v>0</v>
          </cell>
          <cell r="M159">
            <v>0</v>
          </cell>
          <cell r="N159" t="str">
            <v>27F5</v>
          </cell>
          <cell r="O159">
            <v>370</v>
          </cell>
          <cell r="P159">
            <v>1</v>
          </cell>
          <cell r="Q159">
            <v>13.8</v>
          </cell>
          <cell r="R159">
            <v>3.2</v>
          </cell>
          <cell r="S159">
            <v>50.056773120000017</v>
          </cell>
          <cell r="T159">
            <v>169926.4863024907</v>
          </cell>
          <cell r="U159">
            <v>0.2</v>
          </cell>
          <cell r="V159">
            <v>14957.646182187178</v>
          </cell>
          <cell r="W159" t="str">
            <v>43F1</v>
          </cell>
          <cell r="X159">
            <v>0</v>
          </cell>
          <cell r="Y159">
            <v>370</v>
          </cell>
          <cell r="Z159">
            <v>0</v>
          </cell>
          <cell r="AA159">
            <v>0.04</v>
          </cell>
          <cell r="AB159">
            <v>0.02</v>
          </cell>
          <cell r="AC159">
            <v>5</v>
          </cell>
          <cell r="AD159">
            <v>5.0199999999999996</v>
          </cell>
          <cell r="AE159">
            <v>160</v>
          </cell>
          <cell r="AF159">
            <v>384</v>
          </cell>
        </row>
        <row r="160">
          <cell r="H160">
            <v>0</v>
          </cell>
          <cell r="M160">
            <v>0</v>
          </cell>
          <cell r="N160" t="str">
            <v>27F6</v>
          </cell>
          <cell r="O160">
            <v>310</v>
          </cell>
          <cell r="P160">
            <v>1</v>
          </cell>
          <cell r="Q160">
            <v>13.8</v>
          </cell>
          <cell r="R160">
            <v>3.2</v>
          </cell>
          <cell r="S160">
            <v>35.138465280000005</v>
          </cell>
          <cell r="T160">
            <v>119283.67665207709</v>
          </cell>
          <cell r="U160">
            <v>0.2</v>
          </cell>
          <cell r="V160">
            <v>10499.852433222699</v>
          </cell>
          <cell r="W160" t="str">
            <v>17F3</v>
          </cell>
          <cell r="X160">
            <v>130</v>
          </cell>
          <cell r="Y160">
            <v>440</v>
          </cell>
          <cell r="Z160">
            <v>0</v>
          </cell>
          <cell r="AA160">
            <v>0.35</v>
          </cell>
          <cell r="AB160">
            <v>1.06</v>
          </cell>
          <cell r="AC160">
            <v>4</v>
          </cell>
          <cell r="AD160">
            <v>5.0600000000000005</v>
          </cell>
          <cell r="AE160">
            <v>70</v>
          </cell>
          <cell r="AF160">
            <v>1470</v>
          </cell>
        </row>
        <row r="161">
          <cell r="H161">
            <v>0</v>
          </cell>
          <cell r="I161">
            <v>0.45</v>
          </cell>
          <cell r="J161">
            <v>67</v>
          </cell>
          <cell r="K161">
            <v>13.567500000000001</v>
          </cell>
          <cell r="L161">
            <v>46057.255776000005</v>
          </cell>
          <cell r="M161">
            <v>4054.1539521600007</v>
          </cell>
          <cell r="N161" t="str">
            <v>38F1</v>
          </cell>
          <cell r="O161">
            <v>80</v>
          </cell>
          <cell r="P161">
            <v>0</v>
          </cell>
          <cell r="Q161">
            <v>13.8</v>
          </cell>
          <cell r="R161">
            <v>3.6</v>
          </cell>
          <cell r="S161">
            <v>2.6326425600000007</v>
          </cell>
          <cell r="T161">
            <v>8936.9664088965164</v>
          </cell>
          <cell r="U161">
            <v>0.2</v>
          </cell>
          <cell r="V161">
            <v>786.66948511137821</v>
          </cell>
          <cell r="W161" t="str">
            <v>39F1</v>
          </cell>
          <cell r="X161">
            <v>170</v>
          </cell>
          <cell r="Y161">
            <v>250</v>
          </cell>
          <cell r="Z161">
            <v>0</v>
          </cell>
          <cell r="AA161">
            <v>0.23</v>
          </cell>
          <cell r="AB161">
            <v>0.28999999999999998</v>
          </cell>
          <cell r="AC161">
            <v>2</v>
          </cell>
          <cell r="AD161">
            <v>2.29</v>
          </cell>
          <cell r="AE161">
            <v>582</v>
          </cell>
          <cell r="AF161">
            <v>8031.6</v>
          </cell>
        </row>
        <row r="162">
          <cell r="H162">
            <v>0</v>
          </cell>
          <cell r="M162">
            <v>0</v>
          </cell>
          <cell r="N162" t="str">
            <v>38F2</v>
          </cell>
          <cell r="O162">
            <v>66</v>
          </cell>
          <cell r="P162">
            <v>0</v>
          </cell>
          <cell r="Q162">
            <v>13.8</v>
          </cell>
          <cell r="R162">
            <v>3.6</v>
          </cell>
          <cell r="S162">
            <v>1.7918423424000003</v>
          </cell>
          <cell r="T162">
            <v>6082.7227620551903</v>
          </cell>
          <cell r="U162">
            <v>0.2</v>
          </cell>
          <cell r="V162">
            <v>535.42691830393176</v>
          </cell>
          <cell r="W162" t="str">
            <v>47F6</v>
          </cell>
          <cell r="X162">
            <v>285</v>
          </cell>
          <cell r="Y162">
            <v>351</v>
          </cell>
          <cell r="Z162">
            <v>0</v>
          </cell>
          <cell r="AA162">
            <v>0</v>
          </cell>
          <cell r="AB162">
            <v>0</v>
          </cell>
          <cell r="AC162">
            <v>4</v>
          </cell>
          <cell r="AD162">
            <v>4</v>
          </cell>
          <cell r="AE162">
            <v>172</v>
          </cell>
          <cell r="AF162">
            <v>0</v>
          </cell>
        </row>
        <row r="163">
          <cell r="H163">
            <v>0</v>
          </cell>
          <cell r="M163">
            <v>0</v>
          </cell>
          <cell r="N163" t="str">
            <v>38F3</v>
          </cell>
          <cell r="O163">
            <v>330</v>
          </cell>
          <cell r="P163">
            <v>1</v>
          </cell>
          <cell r="Q163">
            <v>13.8</v>
          </cell>
          <cell r="R163">
            <v>3.6</v>
          </cell>
          <cell r="S163">
            <v>44.796058560000013</v>
          </cell>
          <cell r="T163">
            <v>152068.06905137977</v>
          </cell>
          <cell r="U163">
            <v>0.2</v>
          </cell>
          <cell r="V163">
            <v>13385.672957598295</v>
          </cell>
          <cell r="W163" t="str">
            <v>71F1</v>
          </cell>
          <cell r="X163">
            <v>280</v>
          </cell>
          <cell r="Y163">
            <v>610</v>
          </cell>
          <cell r="Z163">
            <v>1</v>
          </cell>
          <cell r="AA163">
            <v>3.54</v>
          </cell>
          <cell r="AB163">
            <v>3.84</v>
          </cell>
          <cell r="AC163">
            <v>4</v>
          </cell>
          <cell r="AD163">
            <v>7.84</v>
          </cell>
          <cell r="AE163">
            <v>444</v>
          </cell>
          <cell r="AF163">
            <v>94305.600000000006</v>
          </cell>
        </row>
        <row r="164">
          <cell r="H164">
            <v>0</v>
          </cell>
          <cell r="I164">
            <v>0.45</v>
          </cell>
          <cell r="J164">
            <v>67</v>
          </cell>
          <cell r="K164">
            <v>13.567500000000001</v>
          </cell>
          <cell r="L164">
            <v>46057.255776000005</v>
          </cell>
          <cell r="M164">
            <v>4054.1539521600007</v>
          </cell>
          <cell r="N164" t="str">
            <v>38F4</v>
          </cell>
          <cell r="O164">
            <v>100</v>
          </cell>
          <cell r="P164">
            <v>0</v>
          </cell>
          <cell r="Q164">
            <v>13.8</v>
          </cell>
          <cell r="R164">
            <v>3.6</v>
          </cell>
          <cell r="S164">
            <v>4.1135039999999998</v>
          </cell>
          <cell r="T164">
            <v>13964.010013900801</v>
          </cell>
          <cell r="U164">
            <v>0.2</v>
          </cell>
          <cell r="V164">
            <v>1229.1710704865282</v>
          </cell>
          <cell r="W164" t="str">
            <v>45F2</v>
          </cell>
          <cell r="X164">
            <v>400</v>
          </cell>
          <cell r="Y164">
            <v>500</v>
          </cell>
          <cell r="Z164">
            <v>0</v>
          </cell>
          <cell r="AA164">
            <v>0.59</v>
          </cell>
          <cell r="AB164">
            <v>0.48</v>
          </cell>
          <cell r="AC164">
            <v>3</v>
          </cell>
          <cell r="AD164">
            <v>3.48</v>
          </cell>
          <cell r="AE164">
            <v>385</v>
          </cell>
          <cell r="AF164">
            <v>13628.999999999998</v>
          </cell>
        </row>
        <row r="165">
          <cell r="H165">
            <v>0</v>
          </cell>
          <cell r="M165">
            <v>0</v>
          </cell>
          <cell r="N165" t="str">
            <v>38F5</v>
          </cell>
          <cell r="O165">
            <v>290</v>
          </cell>
          <cell r="P165">
            <v>1</v>
          </cell>
          <cell r="Q165">
            <v>13.8</v>
          </cell>
          <cell r="R165">
            <v>3.6</v>
          </cell>
          <cell r="S165">
            <v>34.594568640000006</v>
          </cell>
          <cell r="T165">
            <v>117437.32421690576</v>
          </cell>
          <cell r="U165">
            <v>0.2</v>
          </cell>
          <cell r="V165">
            <v>10337.328702791703</v>
          </cell>
          <cell r="W165" t="str">
            <v>38F2</v>
          </cell>
          <cell r="X165">
            <v>66</v>
          </cell>
          <cell r="Y165">
            <v>356</v>
          </cell>
          <cell r="Z165">
            <v>0</v>
          </cell>
          <cell r="AA165">
            <v>0.64</v>
          </cell>
          <cell r="AB165">
            <v>1.2</v>
          </cell>
          <cell r="AC165">
            <v>1</v>
          </cell>
          <cell r="AD165">
            <v>2.2000000000000002</v>
          </cell>
          <cell r="AE165">
            <v>611</v>
          </cell>
          <cell r="AF165">
            <v>23462.400000000001</v>
          </cell>
        </row>
        <row r="166">
          <cell r="H166">
            <v>0</v>
          </cell>
          <cell r="M166">
            <v>0</v>
          </cell>
          <cell r="N166" t="str">
            <v>38F6</v>
          </cell>
          <cell r="O166">
            <v>0</v>
          </cell>
          <cell r="P166">
            <v>0</v>
          </cell>
          <cell r="Q166">
            <v>13.8</v>
          </cell>
          <cell r="R166">
            <v>3.6</v>
          </cell>
          <cell r="S166">
            <v>0</v>
          </cell>
          <cell r="T166">
            <v>0</v>
          </cell>
          <cell r="U166">
            <v>0.2</v>
          </cell>
          <cell r="V166">
            <v>0</v>
          </cell>
          <cell r="W166" t="str">
            <v>39F3</v>
          </cell>
          <cell r="X166">
            <v>420</v>
          </cell>
          <cell r="Y166">
            <v>420</v>
          </cell>
          <cell r="Z166">
            <v>0</v>
          </cell>
          <cell r="AA166">
            <v>0</v>
          </cell>
          <cell r="AB166">
            <v>0</v>
          </cell>
          <cell r="AC166">
            <v>0</v>
          </cell>
          <cell r="AD166">
            <v>0</v>
          </cell>
          <cell r="AE166">
            <v>376</v>
          </cell>
          <cell r="AF166">
            <v>0</v>
          </cell>
        </row>
        <row r="167">
          <cell r="H167">
            <v>1</v>
          </cell>
          <cell r="I167">
            <v>1.335</v>
          </cell>
          <cell r="J167">
            <v>67</v>
          </cell>
          <cell r="K167">
            <v>119.409075</v>
          </cell>
          <cell r="L167">
            <v>405355.02555744001</v>
          </cell>
          <cell r="M167">
            <v>35681.059394510405</v>
          </cell>
          <cell r="N167" t="str">
            <v>39F1</v>
          </cell>
          <cell r="O167">
            <v>170</v>
          </cell>
          <cell r="P167">
            <v>0</v>
          </cell>
          <cell r="Q167">
            <v>13.8</v>
          </cell>
          <cell r="R167">
            <v>3.3</v>
          </cell>
          <cell r="S167">
            <v>10.897357679999999</v>
          </cell>
          <cell r="T167">
            <v>36992.989861825532</v>
          </cell>
          <cell r="U167">
            <v>0.2</v>
          </cell>
          <cell r="V167">
            <v>3256.2790275638936</v>
          </cell>
          <cell r="W167" t="str">
            <v>38F1</v>
          </cell>
          <cell r="X167">
            <v>80</v>
          </cell>
          <cell r="Y167">
            <v>250</v>
          </cell>
          <cell r="Z167">
            <v>0</v>
          </cell>
          <cell r="AA167">
            <v>0</v>
          </cell>
          <cell r="AB167">
            <v>0</v>
          </cell>
          <cell r="AC167">
            <v>0</v>
          </cell>
          <cell r="AD167">
            <v>0</v>
          </cell>
          <cell r="AE167">
            <v>760</v>
          </cell>
          <cell r="AF167">
            <v>0</v>
          </cell>
        </row>
        <row r="168">
          <cell r="H168">
            <v>0</v>
          </cell>
          <cell r="M168">
            <v>0</v>
          </cell>
          <cell r="N168" t="str">
            <v>39F2</v>
          </cell>
          <cell r="O168">
            <v>315</v>
          </cell>
          <cell r="P168">
            <v>1</v>
          </cell>
          <cell r="Q168">
            <v>13.8</v>
          </cell>
          <cell r="R168">
            <v>3.3</v>
          </cell>
          <cell r="S168">
            <v>37.414889820000006</v>
          </cell>
          <cell r="T168">
            <v>127011.3985826865</v>
          </cell>
          <cell r="U168">
            <v>0.2</v>
          </cell>
          <cell r="V168">
            <v>11180.079117994028</v>
          </cell>
          <cell r="W168" t="str">
            <v>38F4</v>
          </cell>
          <cell r="X168">
            <v>100</v>
          </cell>
          <cell r="Y168">
            <v>415</v>
          </cell>
          <cell r="Z168">
            <v>0</v>
          </cell>
          <cell r="AA168">
            <v>0</v>
          </cell>
          <cell r="AB168">
            <v>0</v>
          </cell>
          <cell r="AC168">
            <v>0</v>
          </cell>
          <cell r="AD168">
            <v>0</v>
          </cell>
          <cell r="AE168">
            <v>230</v>
          </cell>
          <cell r="AF168">
            <v>0</v>
          </cell>
        </row>
        <row r="169">
          <cell r="H169">
            <v>0</v>
          </cell>
          <cell r="M169">
            <v>0</v>
          </cell>
          <cell r="N169" t="str">
            <v>39F3</v>
          </cell>
          <cell r="O169">
            <v>420</v>
          </cell>
          <cell r="P169">
            <v>1</v>
          </cell>
          <cell r="Q169">
            <v>13.8</v>
          </cell>
          <cell r="R169">
            <v>3.3</v>
          </cell>
          <cell r="S169">
            <v>66.515359680000003</v>
          </cell>
          <cell r="T169">
            <v>225798.04192477599</v>
          </cell>
          <cell r="U169">
            <v>0.2</v>
          </cell>
          <cell r="V169">
            <v>19875.69620976716</v>
          </cell>
          <cell r="W169" t="str">
            <v>38F6</v>
          </cell>
          <cell r="X169">
            <v>0</v>
          </cell>
          <cell r="Y169">
            <v>420</v>
          </cell>
          <cell r="Z169">
            <v>0</v>
          </cell>
          <cell r="AA169">
            <v>0.33</v>
          </cell>
          <cell r="AB169">
            <v>0.2</v>
          </cell>
          <cell r="AC169">
            <v>2</v>
          </cell>
          <cell r="AD169">
            <v>2.2000000000000002</v>
          </cell>
          <cell r="AE169">
            <v>806</v>
          </cell>
          <cell r="AF169">
            <v>15958.800000000001</v>
          </cell>
        </row>
        <row r="170">
          <cell r="H170">
            <v>0</v>
          </cell>
          <cell r="M170">
            <v>0</v>
          </cell>
          <cell r="N170" t="str">
            <v>39F4</v>
          </cell>
          <cell r="O170">
            <v>340</v>
          </cell>
          <cell r="P170">
            <v>1</v>
          </cell>
          <cell r="Q170">
            <v>13.8</v>
          </cell>
          <cell r="R170">
            <v>3.3</v>
          </cell>
          <cell r="S170">
            <v>43.589430719999996</v>
          </cell>
          <cell r="T170">
            <v>147971.95944730213</v>
          </cell>
          <cell r="U170">
            <v>0.2</v>
          </cell>
          <cell r="V170">
            <v>13025.116110255574</v>
          </cell>
          <cell r="W170" t="str">
            <v>68F2</v>
          </cell>
          <cell r="X170">
            <v>200</v>
          </cell>
          <cell r="Y170">
            <v>540</v>
          </cell>
          <cell r="Z170">
            <v>1</v>
          </cell>
          <cell r="AA170">
            <v>0.28000000000000003</v>
          </cell>
          <cell r="AB170">
            <v>0.19</v>
          </cell>
          <cell r="AC170">
            <v>0</v>
          </cell>
          <cell r="AD170">
            <v>0.19</v>
          </cell>
          <cell r="AE170">
            <v>499</v>
          </cell>
          <cell r="AF170">
            <v>8383.2000000000007</v>
          </cell>
        </row>
        <row r="171">
          <cell r="H171">
            <v>0</v>
          </cell>
          <cell r="I171">
            <v>0.85</v>
          </cell>
          <cell r="J171">
            <v>67</v>
          </cell>
          <cell r="K171">
            <v>48.407499999999992</v>
          </cell>
          <cell r="L171">
            <v>164327.73974399999</v>
          </cell>
          <cell r="M171">
            <v>14464.820891039999</v>
          </cell>
          <cell r="N171" t="str">
            <v>43F1</v>
          </cell>
          <cell r="O171">
            <v>0</v>
          </cell>
          <cell r="P171">
            <v>0</v>
          </cell>
          <cell r="Q171">
            <v>13.8</v>
          </cell>
          <cell r="R171">
            <v>3.8</v>
          </cell>
          <cell r="S171">
            <v>0</v>
          </cell>
          <cell r="T171">
            <v>0</v>
          </cell>
          <cell r="U171">
            <v>0.2</v>
          </cell>
          <cell r="V171">
            <v>0</v>
          </cell>
          <cell r="W171" t="str">
            <v>89F1</v>
          </cell>
          <cell r="X171">
            <v>230</v>
          </cell>
          <cell r="Y171">
            <v>230</v>
          </cell>
          <cell r="Z171">
            <v>0</v>
          </cell>
          <cell r="AA171">
            <v>0</v>
          </cell>
          <cell r="AB171">
            <v>0</v>
          </cell>
          <cell r="AC171">
            <v>0</v>
          </cell>
          <cell r="AD171">
            <v>0</v>
          </cell>
          <cell r="AE171">
            <v>30</v>
          </cell>
          <cell r="AF171">
            <v>0</v>
          </cell>
        </row>
        <row r="172">
          <cell r="H172">
            <v>0</v>
          </cell>
          <cell r="M172">
            <v>0</v>
          </cell>
          <cell r="N172" t="str">
            <v>43F2</v>
          </cell>
          <cell r="O172">
            <v>460</v>
          </cell>
          <cell r="P172">
            <v>1</v>
          </cell>
          <cell r="Q172">
            <v>13.8</v>
          </cell>
          <cell r="R172">
            <v>3.8</v>
          </cell>
          <cell r="S172">
            <v>91.877397119999983</v>
          </cell>
          <cell r="T172">
            <v>311893.9214438154</v>
          </cell>
          <cell r="U172">
            <v>0.2</v>
          </cell>
          <cell r="V172">
            <v>27454.218732133537</v>
          </cell>
          <cell r="W172" t="str">
            <v>43F1</v>
          </cell>
          <cell r="X172">
            <v>0</v>
          </cell>
          <cell r="Y172">
            <v>460</v>
          </cell>
          <cell r="Z172">
            <v>0</v>
          </cell>
          <cell r="AA172">
            <v>0.2</v>
          </cell>
          <cell r="AB172">
            <v>1</v>
          </cell>
          <cell r="AC172">
            <v>4</v>
          </cell>
          <cell r="AD172">
            <v>5</v>
          </cell>
          <cell r="AE172">
            <v>106</v>
          </cell>
          <cell r="AF172">
            <v>1272.0000000000002</v>
          </cell>
        </row>
        <row r="173">
          <cell r="H173">
            <v>0</v>
          </cell>
          <cell r="M173">
            <v>0</v>
          </cell>
          <cell r="N173" t="str">
            <v>43F3</v>
          </cell>
          <cell r="O173">
            <v>430</v>
          </cell>
          <cell r="P173">
            <v>1</v>
          </cell>
          <cell r="Q173">
            <v>13.8</v>
          </cell>
          <cell r="R173">
            <v>3.8</v>
          </cell>
          <cell r="S173">
            <v>80.284171680000014</v>
          </cell>
          <cell r="T173">
            <v>272538.68655463838</v>
          </cell>
          <cell r="U173">
            <v>0.2</v>
          </cell>
          <cell r="V173">
            <v>23990.004931812349</v>
          </cell>
          <cell r="W173" t="str">
            <v>46F6</v>
          </cell>
          <cell r="X173">
            <v>270</v>
          </cell>
          <cell r="Y173">
            <v>700</v>
          </cell>
          <cell r="Z173">
            <v>1</v>
          </cell>
          <cell r="AA173">
            <v>0.06</v>
          </cell>
          <cell r="AB173">
            <v>0.01</v>
          </cell>
          <cell r="AC173">
            <v>2</v>
          </cell>
          <cell r="AD173">
            <v>2.0099999999999998</v>
          </cell>
          <cell r="AE173">
            <v>96</v>
          </cell>
          <cell r="AF173">
            <v>345.59999999999997</v>
          </cell>
        </row>
        <row r="174">
          <cell r="H174">
            <v>0</v>
          </cell>
          <cell r="I174">
            <v>0.77500000000000002</v>
          </cell>
          <cell r="J174">
            <v>67</v>
          </cell>
          <cell r="K174">
            <v>40.241875000000007</v>
          </cell>
          <cell r="L174">
            <v>136608.09506400005</v>
          </cell>
          <cell r="M174">
            <v>12024.820827240004</v>
          </cell>
          <cell r="N174" t="str">
            <v>43F4</v>
          </cell>
          <cell r="O174">
            <v>230</v>
          </cell>
          <cell r="P174">
            <v>0</v>
          </cell>
          <cell r="Q174">
            <v>13.8</v>
          </cell>
          <cell r="R174">
            <v>3.8</v>
          </cell>
          <cell r="S174">
            <v>22.969349279999996</v>
          </cell>
          <cell r="T174">
            <v>77973.48036095385</v>
          </cell>
          <cell r="U174">
            <v>0.2</v>
          </cell>
          <cell r="V174">
            <v>6863.5546830333842</v>
          </cell>
          <cell r="W174" t="str">
            <v>17F1</v>
          </cell>
          <cell r="X174">
            <v>270</v>
          </cell>
          <cell r="Y174">
            <v>500</v>
          </cell>
          <cell r="Z174">
            <v>0</v>
          </cell>
          <cell r="AA174">
            <v>0.01</v>
          </cell>
          <cell r="AB174">
            <v>0.01</v>
          </cell>
          <cell r="AC174">
            <v>0</v>
          </cell>
          <cell r="AD174">
            <v>0.01</v>
          </cell>
          <cell r="AE174">
            <v>132</v>
          </cell>
          <cell r="AF174">
            <v>79.2</v>
          </cell>
        </row>
        <row r="175">
          <cell r="H175">
            <v>0</v>
          </cell>
          <cell r="M175">
            <v>0</v>
          </cell>
          <cell r="N175" t="str">
            <v>43F5</v>
          </cell>
          <cell r="O175">
            <v>250</v>
          </cell>
          <cell r="P175">
            <v>0</v>
          </cell>
          <cell r="Q175">
            <v>13.8</v>
          </cell>
          <cell r="R175">
            <v>3.8</v>
          </cell>
          <cell r="S175">
            <v>27.137700000000002</v>
          </cell>
          <cell r="T175">
            <v>92123.677175040008</v>
          </cell>
          <cell r="U175">
            <v>0.2</v>
          </cell>
          <cell r="V175">
            <v>8109.1147011264002</v>
          </cell>
          <cell r="W175" t="str">
            <v>43F2</v>
          </cell>
          <cell r="X175">
            <v>460</v>
          </cell>
          <cell r="Y175">
            <v>710</v>
          </cell>
          <cell r="Z175">
            <v>1</v>
          </cell>
          <cell r="AA175">
            <v>0.18</v>
          </cell>
          <cell r="AB175">
            <v>0.08</v>
          </cell>
          <cell r="AC175">
            <v>4</v>
          </cell>
          <cell r="AD175">
            <v>4.08</v>
          </cell>
          <cell r="AE175">
            <v>51</v>
          </cell>
          <cell r="AF175">
            <v>550.79999999999995</v>
          </cell>
        </row>
        <row r="176">
          <cell r="H176">
            <v>0</v>
          </cell>
          <cell r="M176">
            <v>0</v>
          </cell>
          <cell r="N176" t="str">
            <v>43F6</v>
          </cell>
          <cell r="O176">
            <v>270</v>
          </cell>
          <cell r="P176">
            <v>1</v>
          </cell>
          <cell r="Q176">
            <v>13.8</v>
          </cell>
          <cell r="R176">
            <v>3.8</v>
          </cell>
          <cell r="S176">
            <v>31.653413280000002</v>
          </cell>
          <cell r="T176">
            <v>107453.05705696666</v>
          </cell>
          <cell r="U176">
            <v>0.2</v>
          </cell>
          <cell r="V176">
            <v>9458.4713873938344</v>
          </cell>
          <cell r="W176" t="str">
            <v>89F6</v>
          </cell>
          <cell r="X176">
            <v>100</v>
          </cell>
          <cell r="Y176">
            <v>370</v>
          </cell>
          <cell r="Z176">
            <v>0</v>
          </cell>
          <cell r="AA176">
            <v>4.12</v>
          </cell>
          <cell r="AB176">
            <v>1</v>
          </cell>
          <cell r="AC176">
            <v>0</v>
          </cell>
          <cell r="AD176">
            <v>1</v>
          </cell>
          <cell r="AE176">
            <v>1</v>
          </cell>
          <cell r="AF176">
            <v>247.20000000000002</v>
          </cell>
        </row>
        <row r="177">
          <cell r="H177">
            <v>0</v>
          </cell>
          <cell r="I177">
            <v>0.65</v>
          </cell>
          <cell r="J177">
            <v>67</v>
          </cell>
          <cell r="K177">
            <v>28.307500000000005</v>
          </cell>
          <cell r="L177">
            <v>96094.768224000029</v>
          </cell>
          <cell r="M177">
            <v>8458.6668878400014</v>
          </cell>
          <cell r="N177" t="str">
            <v>45F1</v>
          </cell>
          <cell r="O177">
            <v>350</v>
          </cell>
          <cell r="P177">
            <v>1</v>
          </cell>
          <cell r="Q177">
            <v>13.8</v>
          </cell>
          <cell r="R177">
            <v>3.6</v>
          </cell>
          <cell r="S177">
            <v>50.390424000000003</v>
          </cell>
          <cell r="T177">
            <v>171059.12267028482</v>
          </cell>
          <cell r="U177">
            <v>0.2</v>
          </cell>
          <cell r="V177">
            <v>15057.345613459969</v>
          </cell>
          <cell r="W177" t="str">
            <v>19F4</v>
          </cell>
          <cell r="X177">
            <v>360</v>
          </cell>
          <cell r="Y177">
            <v>710</v>
          </cell>
          <cell r="Z177">
            <v>1</v>
          </cell>
          <cell r="AA177">
            <v>3.99</v>
          </cell>
          <cell r="AB177">
            <v>4.38</v>
          </cell>
          <cell r="AC177">
            <v>0</v>
          </cell>
          <cell r="AD177">
            <v>4.38</v>
          </cell>
          <cell r="AE177">
            <v>814</v>
          </cell>
          <cell r="AF177">
            <v>194871.6</v>
          </cell>
        </row>
        <row r="178">
          <cell r="H178">
            <v>0</v>
          </cell>
          <cell r="M178">
            <v>0</v>
          </cell>
          <cell r="N178" t="str">
            <v>45F2</v>
          </cell>
          <cell r="O178">
            <v>400</v>
          </cell>
          <cell r="P178">
            <v>1</v>
          </cell>
          <cell r="Q178">
            <v>13.8</v>
          </cell>
          <cell r="R178">
            <v>3.6</v>
          </cell>
          <cell r="S178">
            <v>65.816063999999997</v>
          </cell>
          <cell r="T178">
            <v>223424.16022241281</v>
          </cell>
          <cell r="U178">
            <v>0.2</v>
          </cell>
          <cell r="V178">
            <v>19666.73712778445</v>
          </cell>
          <cell r="W178" t="str">
            <v>38F4</v>
          </cell>
          <cell r="X178">
            <v>100</v>
          </cell>
          <cell r="Y178">
            <v>500</v>
          </cell>
          <cell r="Z178">
            <v>0</v>
          </cell>
          <cell r="AA178">
            <v>0.89</v>
          </cell>
          <cell r="AB178">
            <v>1.79</v>
          </cell>
          <cell r="AC178">
            <v>0</v>
          </cell>
          <cell r="AD178">
            <v>1.79</v>
          </cell>
          <cell r="AE178">
            <v>38</v>
          </cell>
          <cell r="AF178">
            <v>2029.2</v>
          </cell>
        </row>
        <row r="179">
          <cell r="H179">
            <v>0</v>
          </cell>
          <cell r="M179">
            <v>0</v>
          </cell>
          <cell r="N179" t="str">
            <v>45F3</v>
          </cell>
          <cell r="O179">
            <v>400</v>
          </cell>
          <cell r="P179">
            <v>1</v>
          </cell>
          <cell r="Q179">
            <v>13.8</v>
          </cell>
          <cell r="R179">
            <v>3.6</v>
          </cell>
          <cell r="S179">
            <v>65.816063999999997</v>
          </cell>
          <cell r="T179">
            <v>223424.16022241281</v>
          </cell>
          <cell r="U179">
            <v>0.2</v>
          </cell>
          <cell r="V179">
            <v>19666.73712778445</v>
          </cell>
          <cell r="W179" t="str">
            <v>15F2</v>
          </cell>
          <cell r="X179">
            <v>170</v>
          </cell>
          <cell r="Y179">
            <v>570</v>
          </cell>
          <cell r="Z179">
            <v>1</v>
          </cell>
          <cell r="AA179">
            <v>0.18</v>
          </cell>
          <cell r="AB179">
            <v>1.1100000000000001</v>
          </cell>
          <cell r="AC179">
            <v>4</v>
          </cell>
          <cell r="AD179">
            <v>5.1100000000000003</v>
          </cell>
          <cell r="AE179">
            <v>1354</v>
          </cell>
          <cell r="AF179">
            <v>14623.2</v>
          </cell>
        </row>
        <row r="180">
          <cell r="H180">
            <v>0</v>
          </cell>
          <cell r="I180">
            <v>0.55000000000000004</v>
          </cell>
          <cell r="J180">
            <v>67</v>
          </cell>
          <cell r="K180">
            <v>20.267500000000002</v>
          </cell>
          <cell r="L180">
            <v>68801.579616000017</v>
          </cell>
          <cell r="M180">
            <v>6056.2052865600017</v>
          </cell>
          <cell r="N180" t="str">
            <v>45F4</v>
          </cell>
          <cell r="O180">
            <v>250</v>
          </cell>
          <cell r="P180">
            <v>0</v>
          </cell>
          <cell r="Q180">
            <v>13.8</v>
          </cell>
          <cell r="R180">
            <v>3.6</v>
          </cell>
          <cell r="S180">
            <v>25.709400000000006</v>
          </cell>
          <cell r="T180">
            <v>87275.062586880027</v>
          </cell>
          <cell r="U180">
            <v>0.2</v>
          </cell>
          <cell r="V180">
            <v>7682.3191905408021</v>
          </cell>
          <cell r="W180" t="str">
            <v>19F5</v>
          </cell>
          <cell r="X180">
            <v>280</v>
          </cell>
          <cell r="Y180">
            <v>530</v>
          </cell>
          <cell r="Z180">
            <v>1</v>
          </cell>
          <cell r="AA180">
            <v>0.08</v>
          </cell>
          <cell r="AB180">
            <v>2.02</v>
          </cell>
          <cell r="AC180">
            <v>0</v>
          </cell>
          <cell r="AD180">
            <v>2.02</v>
          </cell>
          <cell r="AE180">
            <v>563</v>
          </cell>
          <cell r="AF180">
            <v>2702.4</v>
          </cell>
        </row>
        <row r="181">
          <cell r="H181">
            <v>0</v>
          </cell>
          <cell r="M181">
            <v>0</v>
          </cell>
          <cell r="N181" t="str">
            <v>45F5</v>
          </cell>
          <cell r="O181">
            <v>450</v>
          </cell>
          <cell r="P181">
            <v>1</v>
          </cell>
          <cell r="Q181">
            <v>13.8</v>
          </cell>
          <cell r="R181">
            <v>3.6</v>
          </cell>
          <cell r="S181">
            <v>83.29845600000003</v>
          </cell>
          <cell r="T181">
            <v>282771.20278149133</v>
          </cell>
          <cell r="U181">
            <v>0.2</v>
          </cell>
          <cell r="V181">
            <v>24890.714177352202</v>
          </cell>
          <cell r="W181" t="str">
            <v>71F3</v>
          </cell>
          <cell r="X181">
            <v>475</v>
          </cell>
          <cell r="Y181">
            <v>925</v>
          </cell>
          <cell r="Z181">
            <v>1</v>
          </cell>
          <cell r="AA181">
            <v>0.09</v>
          </cell>
          <cell r="AB181">
            <v>0.01</v>
          </cell>
          <cell r="AC181">
            <v>1</v>
          </cell>
          <cell r="AD181">
            <v>1.01</v>
          </cell>
          <cell r="AE181">
            <v>779</v>
          </cell>
          <cell r="AF181">
            <v>4206.6000000000004</v>
          </cell>
        </row>
        <row r="182">
          <cell r="H182">
            <v>0</v>
          </cell>
          <cell r="M182">
            <v>0</v>
          </cell>
          <cell r="N182" t="str">
            <v>45F6</v>
          </cell>
          <cell r="O182">
            <v>80</v>
          </cell>
          <cell r="P182">
            <v>0</v>
          </cell>
          <cell r="Q182">
            <v>13.8</v>
          </cell>
          <cell r="R182">
            <v>3.6</v>
          </cell>
          <cell r="S182">
            <v>2.6326425600000007</v>
          </cell>
          <cell r="T182">
            <v>8936.9664088965164</v>
          </cell>
          <cell r="U182">
            <v>0.2</v>
          </cell>
          <cell r="V182">
            <v>786.66948511137821</v>
          </cell>
          <cell r="W182" t="str">
            <v>45F4</v>
          </cell>
          <cell r="X182">
            <v>250</v>
          </cell>
          <cell r="Y182">
            <v>330</v>
          </cell>
          <cell r="Z182">
            <v>0</v>
          </cell>
          <cell r="AA182">
            <v>0</v>
          </cell>
          <cell r="AB182">
            <v>0</v>
          </cell>
          <cell r="AC182">
            <v>0</v>
          </cell>
          <cell r="AD182">
            <v>0</v>
          </cell>
          <cell r="AE182">
            <v>0</v>
          </cell>
          <cell r="AF182">
            <v>0</v>
          </cell>
        </row>
        <row r="183">
          <cell r="H183">
            <v>1</v>
          </cell>
          <cell r="I183">
            <v>1.0649999999999999</v>
          </cell>
          <cell r="J183">
            <v>67</v>
          </cell>
          <cell r="K183">
            <v>75.99307499999999</v>
          </cell>
          <cell r="L183">
            <v>257971.80707424</v>
          </cell>
          <cell r="M183">
            <v>22707.766747598398</v>
          </cell>
          <cell r="N183" t="str">
            <v>68F1</v>
          </cell>
          <cell r="O183">
            <v>360</v>
          </cell>
          <cell r="P183">
            <v>1</v>
          </cell>
          <cell r="Q183">
            <v>13.8</v>
          </cell>
          <cell r="R183">
            <v>3.9</v>
          </cell>
          <cell r="S183">
            <v>57.753596160000008</v>
          </cell>
          <cell r="T183">
            <v>196054.70059516726</v>
          </cell>
          <cell r="U183">
            <v>0.2</v>
          </cell>
          <cell r="V183">
            <v>17257.561829630857</v>
          </cell>
          <cell r="W183" t="str">
            <v>10F4</v>
          </cell>
          <cell r="X183">
            <v>310</v>
          </cell>
          <cell r="Y183">
            <v>670</v>
          </cell>
          <cell r="Z183">
            <v>1</v>
          </cell>
          <cell r="AA183">
            <v>0</v>
          </cell>
          <cell r="AB183">
            <v>0</v>
          </cell>
          <cell r="AC183">
            <v>0</v>
          </cell>
          <cell r="AD183">
            <v>0</v>
          </cell>
          <cell r="AE183">
            <v>415</v>
          </cell>
          <cell r="AF183">
            <v>0</v>
          </cell>
        </row>
        <row r="184">
          <cell r="H184">
            <v>0</v>
          </cell>
          <cell r="M184">
            <v>0</v>
          </cell>
          <cell r="N184" t="str">
            <v>68F2</v>
          </cell>
          <cell r="O184">
            <v>200</v>
          </cell>
          <cell r="P184">
            <v>0</v>
          </cell>
          <cell r="Q184">
            <v>13.8</v>
          </cell>
          <cell r="R184">
            <v>3.9</v>
          </cell>
          <cell r="S184">
            <v>17.825184</v>
          </cell>
          <cell r="T184">
            <v>60510.710060236801</v>
          </cell>
          <cell r="U184">
            <v>0.2</v>
          </cell>
          <cell r="V184">
            <v>5326.407972108289</v>
          </cell>
          <cell r="W184" t="str">
            <v>10F4</v>
          </cell>
          <cell r="X184">
            <v>310</v>
          </cell>
          <cell r="Y184">
            <v>510</v>
          </cell>
          <cell r="Z184">
            <v>1</v>
          </cell>
          <cell r="AA184">
            <v>0.59</v>
          </cell>
          <cell r="AB184">
            <v>0.31</v>
          </cell>
          <cell r="AC184">
            <v>2</v>
          </cell>
          <cell r="AD184">
            <v>2.31</v>
          </cell>
          <cell r="AE184">
            <v>392</v>
          </cell>
          <cell r="AF184">
            <v>13876.8</v>
          </cell>
        </row>
        <row r="185">
          <cell r="H185">
            <v>0</v>
          </cell>
          <cell r="M185">
            <v>0</v>
          </cell>
          <cell r="N185" t="str">
            <v>68F3</v>
          </cell>
          <cell r="O185">
            <v>300</v>
          </cell>
          <cell r="P185">
            <v>1</v>
          </cell>
          <cell r="Q185">
            <v>13.8</v>
          </cell>
          <cell r="R185">
            <v>3.9</v>
          </cell>
          <cell r="S185">
            <v>40.106664000000002</v>
          </cell>
          <cell r="T185">
            <v>136149.09763553282</v>
          </cell>
          <cell r="U185">
            <v>0.2</v>
          </cell>
          <cell r="V185">
            <v>11984.417937243648</v>
          </cell>
          <cell r="W185" t="str">
            <v>13F5</v>
          </cell>
          <cell r="X185">
            <v>330</v>
          </cell>
          <cell r="Y185">
            <v>630</v>
          </cell>
          <cell r="Z185">
            <v>1</v>
          </cell>
          <cell r="AA185">
            <v>0.06</v>
          </cell>
          <cell r="AB185">
            <v>2E-3</v>
          </cell>
          <cell r="AC185">
            <v>0</v>
          </cell>
          <cell r="AD185">
            <v>2E-3</v>
          </cell>
          <cell r="AE185">
            <v>1853</v>
          </cell>
          <cell r="AF185">
            <v>6670.7999999999993</v>
          </cell>
        </row>
        <row r="186">
          <cell r="H186">
            <v>0</v>
          </cell>
          <cell r="M186">
            <v>0</v>
          </cell>
          <cell r="N186" t="str">
            <v>68F4</v>
          </cell>
          <cell r="O186">
            <v>150</v>
          </cell>
          <cell r="P186">
            <v>0</v>
          </cell>
          <cell r="Q186">
            <v>13.8</v>
          </cell>
          <cell r="R186">
            <v>3.9</v>
          </cell>
          <cell r="S186">
            <v>10.026666000000001</v>
          </cell>
          <cell r="T186">
            <v>34037.274408883204</v>
          </cell>
          <cell r="U186">
            <v>0.2</v>
          </cell>
          <cell r="V186">
            <v>2996.1044843109121</v>
          </cell>
          <cell r="W186" t="str">
            <v>13F5</v>
          </cell>
          <cell r="X186">
            <v>330</v>
          </cell>
          <cell r="Y186">
            <v>480</v>
          </cell>
          <cell r="Z186">
            <v>0</v>
          </cell>
          <cell r="AA186">
            <v>0</v>
          </cell>
          <cell r="AB186">
            <v>0</v>
          </cell>
          <cell r="AC186">
            <v>1</v>
          </cell>
          <cell r="AD186">
            <v>1</v>
          </cell>
          <cell r="AE186">
            <v>22</v>
          </cell>
          <cell r="AF186">
            <v>0</v>
          </cell>
        </row>
        <row r="187">
          <cell r="H187">
            <v>1</v>
          </cell>
          <cell r="I187">
            <v>1.125</v>
          </cell>
          <cell r="J187">
            <v>67</v>
          </cell>
          <cell r="K187">
            <v>84.796875</v>
          </cell>
          <cell r="L187">
            <v>287857.84860000003</v>
          </cell>
          <cell r="M187">
            <v>25338.462201000002</v>
          </cell>
          <cell r="N187" t="str">
            <v>69F1</v>
          </cell>
          <cell r="O187">
            <v>350</v>
          </cell>
          <cell r="P187">
            <v>1</v>
          </cell>
          <cell r="Q187">
            <v>13.8</v>
          </cell>
          <cell r="R187">
            <v>4</v>
          </cell>
          <cell r="S187">
            <v>55.989360000000005</v>
          </cell>
          <cell r="T187">
            <v>190065.69185587202</v>
          </cell>
          <cell r="U187">
            <v>0.2</v>
          </cell>
          <cell r="V187">
            <v>16730.384014955522</v>
          </cell>
          <cell r="W187" t="str">
            <v>71F4</v>
          </cell>
          <cell r="X187">
            <v>300</v>
          </cell>
          <cell r="Y187">
            <v>650</v>
          </cell>
          <cell r="Z187">
            <v>1</v>
          </cell>
          <cell r="AA187">
            <v>1.8</v>
          </cell>
          <cell r="AB187">
            <v>3</v>
          </cell>
          <cell r="AC187">
            <v>1</v>
          </cell>
          <cell r="AD187">
            <v>4</v>
          </cell>
          <cell r="AE187">
            <v>1350</v>
          </cell>
          <cell r="AF187">
            <v>145800</v>
          </cell>
        </row>
        <row r="188">
          <cell r="H188">
            <v>0</v>
          </cell>
          <cell r="M188">
            <v>0</v>
          </cell>
          <cell r="N188" t="str">
            <v>69F2</v>
          </cell>
          <cell r="O188">
            <v>360</v>
          </cell>
          <cell r="P188">
            <v>1</v>
          </cell>
          <cell r="Q188">
            <v>13.8</v>
          </cell>
          <cell r="R188">
            <v>4</v>
          </cell>
          <cell r="S188">
            <v>59.234457600000013</v>
          </cell>
          <cell r="T188">
            <v>201081.74420017158</v>
          </cell>
          <cell r="U188">
            <v>0.2</v>
          </cell>
          <cell r="V188">
            <v>17700.063415006007</v>
          </cell>
          <cell r="W188" t="str">
            <v>19F2</v>
          </cell>
          <cell r="X188">
            <v>350</v>
          </cell>
          <cell r="Y188">
            <v>710</v>
          </cell>
          <cell r="Z188">
            <v>1</v>
          </cell>
          <cell r="AA188">
            <v>0.57999999999999996</v>
          </cell>
          <cell r="AB188">
            <v>1</v>
          </cell>
          <cell r="AC188">
            <v>0</v>
          </cell>
          <cell r="AD188">
            <v>1</v>
          </cell>
          <cell r="AE188">
            <v>31</v>
          </cell>
          <cell r="AF188">
            <v>1078.8</v>
          </cell>
        </row>
        <row r="189">
          <cell r="H189">
            <v>0</v>
          </cell>
          <cell r="M189">
            <v>0</v>
          </cell>
          <cell r="N189" t="str">
            <v>69F3</v>
          </cell>
          <cell r="O189">
            <v>250</v>
          </cell>
          <cell r="P189">
            <v>0</v>
          </cell>
          <cell r="Q189">
            <v>13.8</v>
          </cell>
          <cell r="R189">
            <v>4</v>
          </cell>
          <cell r="S189">
            <v>28.566000000000003</v>
          </cell>
          <cell r="T189">
            <v>96972.291763200017</v>
          </cell>
          <cell r="U189">
            <v>0.2</v>
          </cell>
          <cell r="V189">
            <v>8535.9102117120019</v>
          </cell>
          <cell r="W189" t="str">
            <v>19F4</v>
          </cell>
          <cell r="X189">
            <v>360</v>
          </cell>
          <cell r="Y189">
            <v>610</v>
          </cell>
          <cell r="Z189">
            <v>1</v>
          </cell>
          <cell r="AA189">
            <v>0.78</v>
          </cell>
          <cell r="AB189">
            <v>0.38</v>
          </cell>
          <cell r="AC189">
            <v>4</v>
          </cell>
          <cell r="AD189">
            <v>4.38</v>
          </cell>
          <cell r="AE189">
            <v>1787</v>
          </cell>
          <cell r="AF189">
            <v>83631.600000000006</v>
          </cell>
        </row>
        <row r="190">
          <cell r="H190">
            <v>0</v>
          </cell>
          <cell r="M190">
            <v>0</v>
          </cell>
          <cell r="N190" t="str">
            <v>69F4</v>
          </cell>
          <cell r="O190">
            <v>340</v>
          </cell>
          <cell r="P190">
            <v>1</v>
          </cell>
          <cell r="Q190">
            <v>13.8</v>
          </cell>
          <cell r="R190">
            <v>4</v>
          </cell>
          <cell r="S190">
            <v>52.8356736</v>
          </cell>
          <cell r="T190">
            <v>179359.95084521474</v>
          </cell>
          <cell r="U190">
            <v>0.2</v>
          </cell>
          <cell r="V190">
            <v>15788.019527582517</v>
          </cell>
          <cell r="W190" t="str">
            <v>89F6</v>
          </cell>
          <cell r="X190">
            <v>100</v>
          </cell>
          <cell r="Y190">
            <v>440</v>
          </cell>
          <cell r="Z190">
            <v>0</v>
          </cell>
          <cell r="AA190">
            <v>0.79</v>
          </cell>
          <cell r="AB190">
            <v>0.72</v>
          </cell>
          <cell r="AC190">
            <v>3</v>
          </cell>
          <cell r="AD190">
            <v>3.7199999999999998</v>
          </cell>
          <cell r="AE190">
            <v>110</v>
          </cell>
          <cell r="AF190">
            <v>5214</v>
          </cell>
        </row>
        <row r="191">
          <cell r="H191">
            <v>1</v>
          </cell>
          <cell r="I191">
            <v>1.0550000000000002</v>
          </cell>
          <cell r="J191">
            <v>67</v>
          </cell>
          <cell r="K191">
            <v>74.572675000000032</v>
          </cell>
          <cell r="L191">
            <v>253150.01042016014</v>
          </cell>
          <cell r="M191">
            <v>22283.331864705611</v>
          </cell>
          <cell r="N191" t="str">
            <v>71F1</v>
          </cell>
          <cell r="O191">
            <v>280</v>
          </cell>
          <cell r="P191">
            <v>1</v>
          </cell>
          <cell r="Q191">
            <v>13.8</v>
          </cell>
          <cell r="R191">
            <v>4</v>
          </cell>
          <cell r="S191">
            <v>35.833190399999999</v>
          </cell>
          <cell r="T191">
            <v>121642.04278775808</v>
          </cell>
          <cell r="U191">
            <v>0.2</v>
          </cell>
          <cell r="V191">
            <v>10707.445769571532</v>
          </cell>
          <cell r="W191" t="str">
            <v>10F2</v>
          </cell>
          <cell r="X191">
            <v>300</v>
          </cell>
          <cell r="Y191">
            <v>580</v>
          </cell>
          <cell r="Z191">
            <v>1</v>
          </cell>
          <cell r="AA191">
            <v>0.22</v>
          </cell>
          <cell r="AB191">
            <v>0.21</v>
          </cell>
          <cell r="AC191">
            <v>3</v>
          </cell>
          <cell r="AD191">
            <v>3.21</v>
          </cell>
          <cell r="AE191">
            <v>857</v>
          </cell>
          <cell r="AF191">
            <v>11312.4</v>
          </cell>
        </row>
        <row r="192">
          <cell r="H192">
            <v>0</v>
          </cell>
          <cell r="M192">
            <v>0</v>
          </cell>
          <cell r="N192" t="str">
            <v>71F2</v>
          </cell>
          <cell r="O192">
            <v>270</v>
          </cell>
          <cell r="P192">
            <v>1</v>
          </cell>
          <cell r="Q192">
            <v>13.8</v>
          </cell>
          <cell r="R192">
            <v>4</v>
          </cell>
          <cell r="S192">
            <v>33.319382400000002</v>
          </cell>
          <cell r="T192">
            <v>113108.48111259651</v>
          </cell>
          <cell r="U192">
            <v>0.2</v>
          </cell>
          <cell r="V192">
            <v>9956.285670940877</v>
          </cell>
          <cell r="W192" t="str">
            <v>71F1</v>
          </cell>
          <cell r="X192">
            <v>280</v>
          </cell>
          <cell r="Y192">
            <v>550</v>
          </cell>
          <cell r="Z192">
            <v>1</v>
          </cell>
          <cell r="AA192">
            <v>0</v>
          </cell>
          <cell r="AB192">
            <v>0</v>
          </cell>
          <cell r="AC192">
            <v>0</v>
          </cell>
          <cell r="AD192">
            <v>0</v>
          </cell>
          <cell r="AE192">
            <v>1196</v>
          </cell>
          <cell r="AF192">
            <v>0</v>
          </cell>
        </row>
        <row r="193">
          <cell r="H193">
            <v>0</v>
          </cell>
          <cell r="M193">
            <v>0</v>
          </cell>
          <cell r="N193" t="str">
            <v>71F3</v>
          </cell>
          <cell r="O193">
            <v>475</v>
          </cell>
          <cell r="P193">
            <v>1</v>
          </cell>
          <cell r="Q193">
            <v>13.8</v>
          </cell>
          <cell r="R193">
            <v>4</v>
          </cell>
          <cell r="S193">
            <v>103.12326000000002</v>
          </cell>
          <cell r="T193">
            <v>350069.97326515208</v>
          </cell>
          <cell r="U193">
            <v>0.2</v>
          </cell>
          <cell r="V193">
            <v>30814.635864280324</v>
          </cell>
          <cell r="W193" t="str">
            <v>27F3</v>
          </cell>
          <cell r="X193">
            <v>50</v>
          </cell>
          <cell r="Y193">
            <v>525</v>
          </cell>
          <cell r="Z193">
            <v>1</v>
          </cell>
          <cell r="AA193">
            <v>0.84</v>
          </cell>
          <cell r="AB193">
            <v>1.21</v>
          </cell>
          <cell r="AC193">
            <v>3</v>
          </cell>
          <cell r="AD193">
            <v>4.21</v>
          </cell>
          <cell r="AE193">
            <v>1240</v>
          </cell>
          <cell r="AF193">
            <v>62495.999999999993</v>
          </cell>
        </row>
        <row r="194">
          <cell r="H194">
            <v>0</v>
          </cell>
          <cell r="M194">
            <v>0</v>
          </cell>
          <cell r="N194" t="str">
            <v>71F4</v>
          </cell>
          <cell r="O194">
            <v>300</v>
          </cell>
          <cell r="P194">
            <v>1</v>
          </cell>
          <cell r="Q194">
            <v>13.8</v>
          </cell>
          <cell r="R194">
            <v>4</v>
          </cell>
          <cell r="S194">
            <v>41.135040000000004</v>
          </cell>
          <cell r="T194">
            <v>139640.10013900802</v>
          </cell>
          <cell r="U194">
            <v>0.2</v>
          </cell>
          <cell r="V194">
            <v>12291.710704865283</v>
          </cell>
          <cell r="W194" t="str">
            <v>69F1</v>
          </cell>
          <cell r="X194">
            <v>350</v>
          </cell>
          <cell r="Y194">
            <v>650</v>
          </cell>
          <cell r="Z194">
            <v>1</v>
          </cell>
          <cell r="AA194">
            <v>0</v>
          </cell>
          <cell r="AB194">
            <v>0</v>
          </cell>
          <cell r="AC194">
            <v>1</v>
          </cell>
          <cell r="AD194">
            <v>1</v>
          </cell>
          <cell r="AE194">
            <v>0</v>
          </cell>
          <cell r="AF194">
            <v>0</v>
          </cell>
        </row>
        <row r="195">
          <cell r="H195">
            <v>0</v>
          </cell>
          <cell r="I195">
            <v>0.67500000000000004</v>
          </cell>
          <cell r="J195">
            <v>67</v>
          </cell>
          <cell r="K195">
            <v>30.526875000000004</v>
          </cell>
          <cell r="L195">
            <v>103628.82549600002</v>
          </cell>
          <cell r="M195">
            <v>9121.8463923600011</v>
          </cell>
          <cell r="N195" t="str">
            <v>89F1</v>
          </cell>
          <cell r="O195">
            <v>230</v>
          </cell>
          <cell r="P195">
            <v>0</v>
          </cell>
          <cell r="Q195">
            <v>13.8</v>
          </cell>
          <cell r="R195">
            <v>4</v>
          </cell>
          <cell r="S195">
            <v>24.178262399999998</v>
          </cell>
          <cell r="T195">
            <v>82077.347748372486</v>
          </cell>
          <cell r="U195">
            <v>0.2</v>
          </cell>
          <cell r="V195">
            <v>7224.7944031930365</v>
          </cell>
          <cell r="W195" t="str">
            <v>27F1</v>
          </cell>
          <cell r="X195">
            <v>270</v>
          </cell>
          <cell r="Y195">
            <v>500</v>
          </cell>
          <cell r="Z195">
            <v>0</v>
          </cell>
          <cell r="AA195">
            <v>0</v>
          </cell>
          <cell r="AB195">
            <v>0</v>
          </cell>
          <cell r="AC195">
            <v>0</v>
          </cell>
          <cell r="AD195">
            <v>0</v>
          </cell>
          <cell r="AE195">
            <v>52</v>
          </cell>
          <cell r="AF195">
            <v>0</v>
          </cell>
        </row>
        <row r="196">
          <cell r="H196">
            <v>0</v>
          </cell>
          <cell r="M196">
            <v>0</v>
          </cell>
          <cell r="N196" t="str">
            <v>89F2</v>
          </cell>
          <cell r="O196">
            <v>65</v>
          </cell>
          <cell r="P196">
            <v>0</v>
          </cell>
          <cell r="Q196">
            <v>13.8</v>
          </cell>
          <cell r="R196">
            <v>4</v>
          </cell>
          <cell r="S196">
            <v>1.9310616000000005</v>
          </cell>
          <cell r="T196">
            <v>6555.3269231923214</v>
          </cell>
          <cell r="U196">
            <v>0.2</v>
          </cell>
          <cell r="V196">
            <v>577.02753031173131</v>
          </cell>
          <cell r="W196" t="str">
            <v>89F5</v>
          </cell>
          <cell r="X196">
            <v>430</v>
          </cell>
          <cell r="Y196">
            <v>495</v>
          </cell>
          <cell r="Z196">
            <v>0</v>
          </cell>
          <cell r="AA196">
            <v>0</v>
          </cell>
          <cell r="AB196">
            <v>0</v>
          </cell>
          <cell r="AC196">
            <v>0</v>
          </cell>
          <cell r="AD196">
            <v>0</v>
          </cell>
          <cell r="AE196">
            <v>39</v>
          </cell>
          <cell r="AF196">
            <v>0</v>
          </cell>
        </row>
        <row r="197">
          <cell r="H197">
            <v>0</v>
          </cell>
          <cell r="M197">
            <v>0</v>
          </cell>
          <cell r="N197" t="str">
            <v>89F3</v>
          </cell>
          <cell r="O197">
            <v>350</v>
          </cell>
          <cell r="P197">
            <v>1</v>
          </cell>
          <cell r="Q197">
            <v>13.8</v>
          </cell>
          <cell r="R197">
            <v>4</v>
          </cell>
          <cell r="S197">
            <v>55.989360000000005</v>
          </cell>
          <cell r="T197">
            <v>190065.69185587202</v>
          </cell>
          <cell r="U197">
            <v>0.2</v>
          </cell>
          <cell r="V197">
            <v>16730.384014955522</v>
          </cell>
          <cell r="W197" t="str">
            <v>89F5</v>
          </cell>
          <cell r="X197">
            <v>430</v>
          </cell>
          <cell r="Y197">
            <v>780</v>
          </cell>
          <cell r="Z197">
            <v>1</v>
          </cell>
          <cell r="AA197">
            <v>0</v>
          </cell>
          <cell r="AB197">
            <v>0</v>
          </cell>
          <cell r="AC197">
            <v>4</v>
          </cell>
          <cell r="AD197">
            <v>4</v>
          </cell>
          <cell r="AE197">
            <v>0</v>
          </cell>
          <cell r="AF197">
            <v>0</v>
          </cell>
        </row>
        <row r="198">
          <cell r="H198">
            <v>0</v>
          </cell>
          <cell r="I198">
            <v>0.6</v>
          </cell>
          <cell r="J198">
            <v>67</v>
          </cell>
          <cell r="K198">
            <v>24.119999999999997</v>
          </cell>
          <cell r="L198">
            <v>81879.565824000005</v>
          </cell>
          <cell r="M198">
            <v>7207.3848038399992</v>
          </cell>
          <cell r="N198" t="str">
            <v>89F4</v>
          </cell>
          <cell r="O198">
            <v>130</v>
          </cell>
          <cell r="P198">
            <v>0</v>
          </cell>
          <cell r="Q198">
            <v>13.8</v>
          </cell>
          <cell r="R198">
            <v>4</v>
          </cell>
          <cell r="S198">
            <v>7.724246400000002</v>
          </cell>
          <cell r="T198">
            <v>26221.307692769285</v>
          </cell>
          <cell r="U198">
            <v>0.2</v>
          </cell>
          <cell r="V198">
            <v>2308.1101212469252</v>
          </cell>
          <cell r="W198" t="str">
            <v>43F1</v>
          </cell>
          <cell r="X198">
            <v>0</v>
          </cell>
          <cell r="Y198">
            <v>130</v>
          </cell>
          <cell r="Z198">
            <v>0</v>
          </cell>
          <cell r="AA198">
            <v>0.48</v>
          </cell>
          <cell r="AB198">
            <v>0.37</v>
          </cell>
          <cell r="AC198">
            <v>0</v>
          </cell>
          <cell r="AD198">
            <v>0.37</v>
          </cell>
          <cell r="AE198">
            <v>30</v>
          </cell>
          <cell r="AF198">
            <v>863.99999999999989</v>
          </cell>
        </row>
        <row r="199">
          <cell r="H199">
            <v>0</v>
          </cell>
          <cell r="M199">
            <v>0</v>
          </cell>
          <cell r="N199" t="str">
            <v>89F5</v>
          </cell>
          <cell r="O199">
            <v>430</v>
          </cell>
          <cell r="P199">
            <v>1</v>
          </cell>
          <cell r="Q199">
            <v>13.8</v>
          </cell>
          <cell r="R199">
            <v>4</v>
          </cell>
          <cell r="S199">
            <v>84.509654400000016</v>
          </cell>
          <cell r="T199">
            <v>286882.82795225095</v>
          </cell>
          <cell r="U199">
            <v>0.2</v>
          </cell>
          <cell r="V199">
            <v>25252.636770328791</v>
          </cell>
          <cell r="W199" t="str">
            <v>27F1</v>
          </cell>
          <cell r="X199">
            <v>270</v>
          </cell>
          <cell r="Y199">
            <v>700</v>
          </cell>
          <cell r="Z199">
            <v>1</v>
          </cell>
          <cell r="AA199">
            <v>0</v>
          </cell>
          <cell r="AB199">
            <v>0</v>
          </cell>
          <cell r="AC199">
            <v>0</v>
          </cell>
          <cell r="AD199">
            <v>0</v>
          </cell>
          <cell r="AE199">
            <v>0</v>
          </cell>
          <cell r="AF199">
            <v>0</v>
          </cell>
        </row>
        <row r="200">
          <cell r="H200">
            <v>0</v>
          </cell>
          <cell r="M200">
            <v>0</v>
          </cell>
          <cell r="N200" t="str">
            <v>89F6</v>
          </cell>
          <cell r="O200">
            <v>100</v>
          </cell>
          <cell r="P200">
            <v>0</v>
          </cell>
          <cell r="Q200">
            <v>13.8</v>
          </cell>
          <cell r="R200">
            <v>4</v>
          </cell>
          <cell r="S200">
            <v>4.5705599999999995</v>
          </cell>
          <cell r="T200">
            <v>15515.566682111999</v>
          </cell>
          <cell r="U200">
            <v>0.2</v>
          </cell>
          <cell r="V200">
            <v>1365.74563387392</v>
          </cell>
          <cell r="W200" t="str">
            <v>69F4</v>
          </cell>
          <cell r="X200">
            <v>340</v>
          </cell>
          <cell r="Y200">
            <v>440</v>
          </cell>
          <cell r="Z200">
            <v>0</v>
          </cell>
          <cell r="AA200">
            <v>0.75</v>
          </cell>
          <cell r="AB200">
            <v>1</v>
          </cell>
          <cell r="AC200">
            <v>1</v>
          </cell>
          <cell r="AD200">
            <v>2</v>
          </cell>
          <cell r="AE200">
            <v>26</v>
          </cell>
          <cell r="AF200">
            <v>1170</v>
          </cell>
        </row>
        <row r="201">
          <cell r="H201">
            <v>5</v>
          </cell>
          <cell r="J201">
            <v>67</v>
          </cell>
          <cell r="K201">
            <v>928.08400000000017</v>
          </cell>
          <cell r="L201">
            <v>3150543.7383168004</v>
          </cell>
          <cell r="M201">
            <v>277324.15084108803</v>
          </cell>
          <cell r="N201">
            <v>62</v>
          </cell>
          <cell r="O201">
            <v>15696</v>
          </cell>
          <cell r="P201">
            <v>35</v>
          </cell>
          <cell r="R201">
            <v>3.6838709677419348</v>
          </cell>
          <cell r="S201">
            <v>2116.4399828424002</v>
          </cell>
          <cell r="T201">
            <v>7184626.3220435232</v>
          </cell>
          <cell r="U201">
            <v>0.19999999999999982</v>
          </cell>
          <cell r="V201">
            <v>632421.11818315531</v>
          </cell>
          <cell r="X201">
            <v>15221</v>
          </cell>
          <cell r="Y201">
            <v>30917</v>
          </cell>
          <cell r="Z201">
            <v>27</v>
          </cell>
          <cell r="AA201">
            <v>0.58853198890405534</v>
          </cell>
          <cell r="AB201">
            <v>0.77953661221434545</v>
          </cell>
          <cell r="AD201">
            <v>2.4257873277266522</v>
          </cell>
          <cell r="AE201">
            <v>22711</v>
          </cell>
          <cell r="AF201">
            <v>801969.00000000012</v>
          </cell>
        </row>
        <row r="202">
          <cell r="H202">
            <v>0</v>
          </cell>
          <cell r="I202">
            <v>0.52</v>
          </cell>
          <cell r="J202">
            <v>32</v>
          </cell>
          <cell r="K202">
            <v>8.6528000000000009</v>
          </cell>
          <cell r="L202">
            <v>29373.445570560005</v>
          </cell>
          <cell r="M202">
            <v>2585.5745949696002</v>
          </cell>
          <cell r="N202" t="str">
            <v>1F1</v>
          </cell>
          <cell r="O202">
            <v>140</v>
          </cell>
          <cell r="P202">
            <v>0</v>
          </cell>
          <cell r="Q202">
            <v>4.16</v>
          </cell>
          <cell r="R202">
            <v>1.6</v>
          </cell>
          <cell r="S202">
            <v>6.5124433920000007</v>
          </cell>
          <cell r="T202">
            <v>22107.630074226283</v>
          </cell>
          <cell r="U202">
            <v>4</v>
          </cell>
          <cell r="V202">
            <v>1946.00686315792</v>
          </cell>
          <cell r="W202" t="str">
            <v>25F2</v>
          </cell>
          <cell r="X202">
            <v>430</v>
          </cell>
          <cell r="Y202">
            <v>570</v>
          </cell>
          <cell r="Z202">
            <v>1</v>
          </cell>
          <cell r="AC202">
            <v>0</v>
          </cell>
          <cell r="AD202">
            <v>0</v>
          </cell>
          <cell r="AE202">
            <v>172</v>
          </cell>
          <cell r="AF202">
            <v>0</v>
          </cell>
        </row>
        <row r="203">
          <cell r="H203">
            <v>0</v>
          </cell>
          <cell r="M203">
            <v>0</v>
          </cell>
          <cell r="N203" t="str">
            <v>1F2</v>
          </cell>
          <cell r="O203">
            <v>100</v>
          </cell>
          <cell r="P203">
            <v>0</v>
          </cell>
          <cell r="Q203">
            <v>4.16</v>
          </cell>
          <cell r="R203">
            <v>1.6</v>
          </cell>
          <cell r="S203">
            <v>3.3226752000000008</v>
          </cell>
          <cell r="T203">
            <v>11279.403099095045</v>
          </cell>
          <cell r="U203">
            <v>4</v>
          </cell>
          <cell r="V203">
            <v>992.86064446832677</v>
          </cell>
          <cell r="W203" t="str">
            <v>42F3</v>
          </cell>
          <cell r="X203">
            <v>0</v>
          </cell>
          <cell r="Y203">
            <v>100</v>
          </cell>
          <cell r="Z203">
            <v>0</v>
          </cell>
          <cell r="AA203">
            <v>0.43</v>
          </cell>
          <cell r="AB203">
            <v>1</v>
          </cell>
          <cell r="AC203">
            <v>1</v>
          </cell>
          <cell r="AD203">
            <v>2</v>
          </cell>
          <cell r="AE203">
            <v>172</v>
          </cell>
          <cell r="AF203">
            <v>4437.5999999999995</v>
          </cell>
        </row>
        <row r="204">
          <cell r="H204">
            <v>0</v>
          </cell>
          <cell r="M204">
            <v>0</v>
          </cell>
          <cell r="N204" t="str">
            <v>1F3</v>
          </cell>
          <cell r="O204">
            <v>130</v>
          </cell>
          <cell r="P204">
            <v>0</v>
          </cell>
          <cell r="Q204">
            <v>4.16</v>
          </cell>
          <cell r="R204">
            <v>1.6</v>
          </cell>
          <cell r="S204">
            <v>5.6153210880000008</v>
          </cell>
          <cell r="T204">
            <v>19062.191237470623</v>
          </cell>
          <cell r="U204">
            <v>4</v>
          </cell>
          <cell r="V204">
            <v>1677.934489151472</v>
          </cell>
          <cell r="W204" t="str">
            <v>78F2</v>
          </cell>
          <cell r="X204">
            <v>170</v>
          </cell>
          <cell r="Y204">
            <v>300</v>
          </cell>
          <cell r="Z204">
            <v>0</v>
          </cell>
          <cell r="AA204">
            <v>2.58</v>
          </cell>
          <cell r="AB204">
            <v>1.41</v>
          </cell>
          <cell r="AC204">
            <v>0</v>
          </cell>
          <cell r="AD204">
            <v>1.41</v>
          </cell>
          <cell r="AE204">
            <v>238</v>
          </cell>
          <cell r="AF204">
            <v>36842.399999999994</v>
          </cell>
        </row>
        <row r="205">
          <cell r="H205">
            <v>0</v>
          </cell>
          <cell r="I205">
            <v>0.82</v>
          </cell>
          <cell r="J205">
            <v>32</v>
          </cell>
          <cell r="K205">
            <v>21.516799999999996</v>
          </cell>
          <cell r="L205">
            <v>73042.547343359998</v>
          </cell>
          <cell r="M205">
            <v>6429.5131570176</v>
          </cell>
          <cell r="N205" t="str">
            <v>1F4</v>
          </cell>
          <cell r="O205">
            <v>140</v>
          </cell>
          <cell r="P205">
            <v>0</v>
          </cell>
          <cell r="Q205">
            <v>4.16</v>
          </cell>
          <cell r="R205">
            <v>1.6</v>
          </cell>
          <cell r="S205">
            <v>6.5124433920000007</v>
          </cell>
          <cell r="T205">
            <v>22107.630074226283</v>
          </cell>
          <cell r="U205">
            <v>4</v>
          </cell>
          <cell r="V205">
            <v>1946.00686315792</v>
          </cell>
          <cell r="W205" t="str">
            <v>25F2</v>
          </cell>
          <cell r="X205">
            <v>430</v>
          </cell>
          <cell r="Y205">
            <v>570</v>
          </cell>
          <cell r="Z205">
            <v>1</v>
          </cell>
          <cell r="AA205">
            <v>0.11</v>
          </cell>
          <cell r="AB205">
            <v>1.08</v>
          </cell>
          <cell r="AC205">
            <v>0</v>
          </cell>
          <cell r="AD205">
            <v>1.08</v>
          </cell>
          <cell r="AE205">
            <v>150</v>
          </cell>
          <cell r="AF205">
            <v>990</v>
          </cell>
        </row>
        <row r="206">
          <cell r="H206">
            <v>0</v>
          </cell>
          <cell r="M206">
            <v>0</v>
          </cell>
          <cell r="N206" t="str">
            <v>1F5</v>
          </cell>
          <cell r="O206">
            <v>230</v>
          </cell>
          <cell r="P206">
            <v>0</v>
          </cell>
          <cell r="Q206">
            <v>4.16</v>
          </cell>
          <cell r="R206">
            <v>1.6</v>
          </cell>
          <cell r="S206">
            <v>17.576951808</v>
          </cell>
          <cell r="T206">
            <v>59668.042394212767</v>
          </cell>
          <cell r="U206">
            <v>4</v>
          </cell>
          <cell r="V206">
            <v>5252.2328092374464</v>
          </cell>
          <cell r="W206" t="str">
            <v>9F4</v>
          </cell>
          <cell r="X206">
            <v>286</v>
          </cell>
          <cell r="Y206">
            <v>516</v>
          </cell>
          <cell r="Z206">
            <v>1</v>
          </cell>
          <cell r="AA206">
            <v>0</v>
          </cell>
          <cell r="AB206">
            <v>0</v>
          </cell>
          <cell r="AC206">
            <v>1</v>
          </cell>
          <cell r="AD206">
            <v>1</v>
          </cell>
          <cell r="AE206">
            <v>346</v>
          </cell>
          <cell r="AF206">
            <v>0</v>
          </cell>
        </row>
        <row r="207">
          <cell r="H207">
            <v>0</v>
          </cell>
          <cell r="M207">
            <v>0</v>
          </cell>
          <cell r="N207" t="str">
            <v>1F6</v>
          </cell>
          <cell r="O207">
            <v>200</v>
          </cell>
          <cell r="P207">
            <v>0</v>
          </cell>
          <cell r="Q207">
            <v>4.16</v>
          </cell>
          <cell r="R207">
            <v>1.6</v>
          </cell>
          <cell r="S207">
            <v>13.290700800000003</v>
          </cell>
          <cell r="T207">
            <v>45117.61239638018</v>
          </cell>
          <cell r="U207">
            <v>4</v>
          </cell>
          <cell r="V207">
            <v>3971.4425778733071</v>
          </cell>
          <cell r="W207" t="str">
            <v>9F1</v>
          </cell>
          <cell r="X207">
            <v>320</v>
          </cell>
          <cell r="Y207">
            <v>520</v>
          </cell>
          <cell r="Z207">
            <v>1</v>
          </cell>
          <cell r="AA207">
            <v>0.46</v>
          </cell>
          <cell r="AB207">
            <v>0.14000000000000001</v>
          </cell>
          <cell r="AC207">
            <v>0</v>
          </cell>
          <cell r="AD207">
            <v>0.14000000000000001</v>
          </cell>
          <cell r="AE207">
            <v>139</v>
          </cell>
          <cell r="AF207">
            <v>3836.4</v>
          </cell>
        </row>
        <row r="208">
          <cell r="H208">
            <v>0</v>
          </cell>
          <cell r="M208">
            <v>0</v>
          </cell>
          <cell r="N208" t="str">
            <v>2F4</v>
          </cell>
          <cell r="O208">
            <v>260</v>
          </cell>
          <cell r="P208">
            <v>1</v>
          </cell>
          <cell r="Q208">
            <v>4.16</v>
          </cell>
          <cell r="R208">
            <v>2</v>
          </cell>
          <cell r="S208">
            <v>28.076605440000002</v>
          </cell>
          <cell r="T208">
            <v>95310.956187353091</v>
          </cell>
          <cell r="U208">
            <v>4</v>
          </cell>
          <cell r="V208">
            <v>8389.6724457573582</v>
          </cell>
          <cell r="W208" t="str">
            <v>7F3</v>
          </cell>
          <cell r="X208">
            <v>100</v>
          </cell>
          <cell r="Y208">
            <v>360</v>
          </cell>
          <cell r="Z208">
            <v>0</v>
          </cell>
          <cell r="AA208">
            <v>0.57999999999999996</v>
          </cell>
          <cell r="AB208">
            <v>0.17</v>
          </cell>
          <cell r="AC208">
            <v>0</v>
          </cell>
          <cell r="AD208">
            <v>0.17</v>
          </cell>
          <cell r="AE208">
            <v>433</v>
          </cell>
          <cell r="AF208">
            <v>15068.4</v>
          </cell>
        </row>
        <row r="209">
          <cell r="H209">
            <v>0</v>
          </cell>
          <cell r="I209">
            <v>0.78</v>
          </cell>
          <cell r="J209">
            <v>32</v>
          </cell>
          <cell r="K209">
            <v>19.468800000000002</v>
          </cell>
          <cell r="L209">
            <v>66090.252533760009</v>
          </cell>
          <cell r="M209">
            <v>5817.5428386816011</v>
          </cell>
          <cell r="N209" t="str">
            <v>3F2</v>
          </cell>
          <cell r="O209">
            <v>200</v>
          </cell>
          <cell r="P209">
            <v>0</v>
          </cell>
          <cell r="Q209">
            <v>4.16</v>
          </cell>
          <cell r="R209">
            <v>1.5</v>
          </cell>
          <cell r="S209">
            <v>12.460032000000002</v>
          </cell>
          <cell r="T209">
            <v>42297.761621606405</v>
          </cell>
          <cell r="U209">
            <v>4</v>
          </cell>
          <cell r="V209">
            <v>3723.2274167562246</v>
          </cell>
          <cell r="W209" t="str">
            <v>36F4</v>
          </cell>
          <cell r="X209">
            <v>158</v>
          </cell>
          <cell r="Y209">
            <v>358</v>
          </cell>
          <cell r="Z209">
            <v>0</v>
          </cell>
          <cell r="AA209">
            <v>0.52</v>
          </cell>
          <cell r="AB209">
            <v>0.14000000000000001</v>
          </cell>
          <cell r="AC209">
            <v>0</v>
          </cell>
          <cell r="AD209">
            <v>0.14000000000000001</v>
          </cell>
          <cell r="AE209">
            <v>14</v>
          </cell>
          <cell r="AF209">
            <v>436.8</v>
          </cell>
        </row>
        <row r="210">
          <cell r="H210">
            <v>0</v>
          </cell>
          <cell r="M210">
            <v>0</v>
          </cell>
          <cell r="N210" t="str">
            <v>3F3</v>
          </cell>
          <cell r="O210">
            <v>350</v>
          </cell>
          <cell r="P210">
            <v>1</v>
          </cell>
          <cell r="Q210">
            <v>4.16</v>
          </cell>
          <cell r="R210">
            <v>1.5</v>
          </cell>
          <cell r="S210">
            <v>38.158848000000006</v>
          </cell>
          <cell r="T210">
            <v>129536.89496616964</v>
          </cell>
          <cell r="U210">
            <v>4</v>
          </cell>
          <cell r="V210">
            <v>11402.383963815939</v>
          </cell>
          <cell r="W210" t="str">
            <v>25F3</v>
          </cell>
          <cell r="X210">
            <v>350</v>
          </cell>
          <cell r="Y210">
            <v>700</v>
          </cell>
          <cell r="Z210">
            <v>1</v>
          </cell>
          <cell r="AA210">
            <v>1.1499999999999999</v>
          </cell>
          <cell r="AB210">
            <v>0.92</v>
          </cell>
          <cell r="AC210">
            <v>0</v>
          </cell>
          <cell r="AD210">
            <v>0.92</v>
          </cell>
          <cell r="AE210">
            <v>12</v>
          </cell>
          <cell r="AF210">
            <v>827.99999999999989</v>
          </cell>
        </row>
        <row r="211">
          <cell r="H211">
            <v>0</v>
          </cell>
          <cell r="I211">
            <v>0.91999999999999993</v>
          </cell>
          <cell r="J211">
            <v>32</v>
          </cell>
          <cell r="K211">
            <v>27.084799999999994</v>
          </cell>
          <cell r="L211">
            <v>91944.098856959987</v>
          </cell>
          <cell r="M211">
            <v>8093.307459993599</v>
          </cell>
          <cell r="N211" t="str">
            <v>3F4</v>
          </cell>
          <cell r="O211">
            <v>330</v>
          </cell>
          <cell r="P211">
            <v>1</v>
          </cell>
          <cell r="Q211">
            <v>4.16</v>
          </cell>
          <cell r="R211">
            <v>1.5</v>
          </cell>
          <cell r="S211">
            <v>33.922437119999998</v>
          </cell>
          <cell r="T211">
            <v>115155.65601482341</v>
          </cell>
          <cell r="U211">
            <v>4</v>
          </cell>
          <cell r="V211">
            <v>10136.48664211882</v>
          </cell>
          <cell r="W211" t="str">
            <v>36F4</v>
          </cell>
          <cell r="X211">
            <v>158</v>
          </cell>
          <cell r="Y211">
            <v>488</v>
          </cell>
          <cell r="Z211">
            <v>0</v>
          </cell>
          <cell r="AA211">
            <v>0.17</v>
          </cell>
          <cell r="AB211">
            <v>7.0000000000000007E-2</v>
          </cell>
          <cell r="AC211">
            <v>1</v>
          </cell>
          <cell r="AD211">
            <v>1.07</v>
          </cell>
          <cell r="AE211">
            <v>319</v>
          </cell>
          <cell r="AF211">
            <v>3253.8</v>
          </cell>
        </row>
        <row r="212">
          <cell r="H212">
            <v>0</v>
          </cell>
          <cell r="M212">
            <v>0</v>
          </cell>
          <cell r="N212" t="str">
            <v>3F5</v>
          </cell>
          <cell r="O212">
            <v>270</v>
          </cell>
          <cell r="P212">
            <v>1</v>
          </cell>
          <cell r="Q212">
            <v>4.16</v>
          </cell>
          <cell r="R212">
            <v>1.5</v>
          </cell>
          <cell r="S212">
            <v>22.708408320000004</v>
          </cell>
          <cell r="T212">
            <v>77087.670555377685</v>
          </cell>
          <cell r="U212">
            <v>4</v>
          </cell>
          <cell r="V212">
            <v>6785.5819670382207</v>
          </cell>
          <cell r="W212" t="str">
            <v>35F2</v>
          </cell>
          <cell r="X212">
            <v>230</v>
          </cell>
          <cell r="Y212">
            <v>500</v>
          </cell>
          <cell r="Z212">
            <v>0</v>
          </cell>
          <cell r="AA212">
            <v>0.73</v>
          </cell>
          <cell r="AB212">
            <v>0.55000000000000004</v>
          </cell>
          <cell r="AC212">
            <v>1</v>
          </cell>
          <cell r="AD212">
            <v>1.55</v>
          </cell>
          <cell r="AE212">
            <v>251</v>
          </cell>
          <cell r="AF212">
            <v>10993.8</v>
          </cell>
        </row>
        <row r="213">
          <cell r="H213">
            <v>0</v>
          </cell>
          <cell r="M213">
            <v>0</v>
          </cell>
          <cell r="N213" t="str">
            <v>3F6</v>
          </cell>
          <cell r="O213">
            <v>40</v>
          </cell>
          <cell r="P213">
            <v>0</v>
          </cell>
          <cell r="Q213">
            <v>4.16</v>
          </cell>
          <cell r="R213">
            <v>1.5</v>
          </cell>
          <cell r="S213">
            <v>0.49840128000000017</v>
          </cell>
          <cell r="T213">
            <v>1691.9104648642567</v>
          </cell>
          <cell r="U213">
            <v>4</v>
          </cell>
          <cell r="V213">
            <v>148.92909667024901</v>
          </cell>
          <cell r="W213" t="str">
            <v>36F1</v>
          </cell>
          <cell r="X213">
            <v>123</v>
          </cell>
          <cell r="Y213">
            <v>163</v>
          </cell>
          <cell r="Z213">
            <v>0</v>
          </cell>
          <cell r="AA213">
            <v>0</v>
          </cell>
          <cell r="AB213">
            <v>0</v>
          </cell>
          <cell r="AC213">
            <v>0</v>
          </cell>
          <cell r="AD213">
            <v>0</v>
          </cell>
          <cell r="AE213">
            <v>3</v>
          </cell>
          <cell r="AF213">
            <v>0</v>
          </cell>
        </row>
        <row r="214">
          <cell r="H214">
            <v>0</v>
          </cell>
          <cell r="I214">
            <v>0.96</v>
          </cell>
          <cell r="J214">
            <v>32</v>
          </cell>
          <cell r="K214">
            <v>29.491199999999999</v>
          </cell>
          <cell r="L214">
            <v>100113.04525824</v>
          </cell>
          <cell r="M214">
            <v>8812.3725840383995</v>
          </cell>
          <cell r="N214" t="str">
            <v>4F1</v>
          </cell>
          <cell r="O214">
            <v>275</v>
          </cell>
          <cell r="P214">
            <v>1</v>
          </cell>
          <cell r="Q214">
            <v>4.16</v>
          </cell>
          <cell r="R214">
            <v>1.5</v>
          </cell>
          <cell r="S214">
            <v>23.557248000000001</v>
          </cell>
          <cell r="T214">
            <v>79969.20556584961</v>
          </cell>
          <cell r="U214">
            <v>4</v>
          </cell>
          <cell r="V214">
            <v>7039.2268348047364</v>
          </cell>
          <cell r="W214" t="str">
            <v>7F4</v>
          </cell>
          <cell r="X214">
            <v>0</v>
          </cell>
          <cell r="Y214">
            <v>275</v>
          </cell>
          <cell r="Z214">
            <v>0</v>
          </cell>
          <cell r="AA214">
            <v>0</v>
          </cell>
          <cell r="AB214">
            <v>0</v>
          </cell>
          <cell r="AC214">
            <v>0</v>
          </cell>
          <cell r="AD214">
            <v>0</v>
          </cell>
          <cell r="AE214">
            <v>416</v>
          </cell>
          <cell r="AF214">
            <v>0</v>
          </cell>
        </row>
        <row r="215">
          <cell r="H215">
            <v>0</v>
          </cell>
          <cell r="M215">
            <v>0</v>
          </cell>
          <cell r="N215" t="str">
            <v>4F2</v>
          </cell>
          <cell r="O215">
            <v>175</v>
          </cell>
          <cell r="P215">
            <v>0</v>
          </cell>
          <cell r="Q215">
            <v>4.16</v>
          </cell>
          <cell r="R215">
            <v>1.5</v>
          </cell>
          <cell r="S215">
            <v>9.5397120000000015</v>
          </cell>
          <cell r="T215">
            <v>32384.22374154241</v>
          </cell>
          <cell r="U215">
            <v>4</v>
          </cell>
          <cell r="V215">
            <v>2850.5959909539847</v>
          </cell>
          <cell r="W215" t="str">
            <v>7F1</v>
          </cell>
          <cell r="X215">
            <v>0</v>
          </cell>
          <cell r="Y215">
            <v>175</v>
          </cell>
          <cell r="Z215">
            <v>0</v>
          </cell>
          <cell r="AA215">
            <v>0</v>
          </cell>
          <cell r="AB215">
            <v>0</v>
          </cell>
          <cell r="AC215">
            <v>1</v>
          </cell>
          <cell r="AD215">
            <v>1</v>
          </cell>
          <cell r="AE215">
            <v>209</v>
          </cell>
          <cell r="AF215">
            <v>0</v>
          </cell>
        </row>
        <row r="216">
          <cell r="H216">
            <v>0</v>
          </cell>
          <cell r="M216">
            <v>0</v>
          </cell>
          <cell r="N216" t="str">
            <v>4F3</v>
          </cell>
          <cell r="O216">
            <v>220</v>
          </cell>
          <cell r="P216">
            <v>0</v>
          </cell>
          <cell r="Q216">
            <v>4.16</v>
          </cell>
          <cell r="R216">
            <v>1.5</v>
          </cell>
          <cell r="S216">
            <v>15.076638720000002</v>
          </cell>
          <cell r="T216">
            <v>51180.29156214375</v>
          </cell>
          <cell r="U216">
            <v>4</v>
          </cell>
          <cell r="V216">
            <v>4505.1051742750315</v>
          </cell>
          <cell r="W216" t="str">
            <v>9F3</v>
          </cell>
          <cell r="X216">
            <v>154</v>
          </cell>
          <cell r="Y216">
            <v>374</v>
          </cell>
          <cell r="Z216">
            <v>0</v>
          </cell>
          <cell r="AA216">
            <v>0.05</v>
          </cell>
          <cell r="AB216">
            <v>0.04</v>
          </cell>
          <cell r="AC216">
            <v>0</v>
          </cell>
          <cell r="AD216">
            <v>0.04</v>
          </cell>
          <cell r="AE216">
            <v>611</v>
          </cell>
          <cell r="AF216">
            <v>1833</v>
          </cell>
        </row>
        <row r="217">
          <cell r="H217">
            <v>0</v>
          </cell>
          <cell r="I217">
            <v>0.72</v>
          </cell>
          <cell r="J217">
            <v>32</v>
          </cell>
          <cell r="K217">
            <v>16.588799999999999</v>
          </cell>
          <cell r="L217">
            <v>56313.587957760006</v>
          </cell>
          <cell r="M217">
            <v>4956.9595785216006</v>
          </cell>
          <cell r="N217" t="str">
            <v>4F4</v>
          </cell>
          <cell r="O217">
            <v>220</v>
          </cell>
          <cell r="P217">
            <v>0</v>
          </cell>
          <cell r="Q217">
            <v>4.16</v>
          </cell>
          <cell r="R217">
            <v>1.5</v>
          </cell>
          <cell r="S217">
            <v>15.076638720000002</v>
          </cell>
          <cell r="T217">
            <v>51180.29156214375</v>
          </cell>
          <cell r="U217">
            <v>4</v>
          </cell>
          <cell r="V217">
            <v>4505.1051742750315</v>
          </cell>
          <cell r="W217" t="str">
            <v>4F5</v>
          </cell>
          <cell r="X217">
            <v>285</v>
          </cell>
          <cell r="Y217">
            <v>505</v>
          </cell>
          <cell r="Z217">
            <v>1</v>
          </cell>
          <cell r="AA217">
            <v>0</v>
          </cell>
          <cell r="AB217">
            <v>0</v>
          </cell>
          <cell r="AC217">
            <v>0</v>
          </cell>
          <cell r="AD217">
            <v>0</v>
          </cell>
          <cell r="AE217">
            <v>29</v>
          </cell>
          <cell r="AF217">
            <v>0</v>
          </cell>
        </row>
        <row r="218">
          <cell r="H218">
            <v>0</v>
          </cell>
          <cell r="M218">
            <v>0</v>
          </cell>
          <cell r="N218" t="str">
            <v>4F5</v>
          </cell>
          <cell r="O218">
            <v>285</v>
          </cell>
          <cell r="P218">
            <v>1</v>
          </cell>
          <cell r="Q218">
            <v>4.16</v>
          </cell>
          <cell r="R218">
            <v>1.5</v>
          </cell>
          <cell r="S218">
            <v>25.301652480000001</v>
          </cell>
          <cell r="T218">
            <v>85890.892192874511</v>
          </cell>
          <cell r="U218">
            <v>4</v>
          </cell>
          <cell r="V218">
            <v>7560.4786731506083</v>
          </cell>
          <cell r="W218" t="str">
            <v>9F2</v>
          </cell>
          <cell r="X218">
            <v>276</v>
          </cell>
          <cell r="Y218">
            <v>561</v>
          </cell>
          <cell r="Z218">
            <v>1</v>
          </cell>
          <cell r="AA218">
            <v>1.25</v>
          </cell>
          <cell r="AB218">
            <v>0.61</v>
          </cell>
          <cell r="AC218">
            <v>3</v>
          </cell>
          <cell r="AD218">
            <v>3.61</v>
          </cell>
          <cell r="AE218">
            <v>242</v>
          </cell>
          <cell r="AF218">
            <v>18150</v>
          </cell>
        </row>
        <row r="219">
          <cell r="H219">
            <v>0</v>
          </cell>
          <cell r="I219">
            <v>0.81333333333333324</v>
          </cell>
          <cell r="J219">
            <v>32</v>
          </cell>
          <cell r="K219">
            <v>21.16835555555555</v>
          </cell>
          <cell r="L219">
            <v>71859.691629226654</v>
          </cell>
          <cell r="M219">
            <v>6325.393207022933</v>
          </cell>
          <cell r="N219" t="str">
            <v>7F1</v>
          </cell>
          <cell r="O219">
            <v>0</v>
          </cell>
          <cell r="P219">
            <v>0</v>
          </cell>
          <cell r="Q219">
            <v>4.16</v>
          </cell>
          <cell r="R219">
            <v>3</v>
          </cell>
          <cell r="S219">
            <v>0</v>
          </cell>
          <cell r="T219">
            <v>0</v>
          </cell>
          <cell r="U219">
            <v>4</v>
          </cell>
          <cell r="V219">
            <v>0</v>
          </cell>
          <cell r="W219" t="str">
            <v>4F2</v>
          </cell>
          <cell r="X219">
            <v>175</v>
          </cell>
          <cell r="Y219">
            <v>175</v>
          </cell>
          <cell r="Z219">
            <v>0</v>
          </cell>
          <cell r="AA219">
            <v>0</v>
          </cell>
          <cell r="AB219">
            <v>0</v>
          </cell>
          <cell r="AC219">
            <v>0</v>
          </cell>
          <cell r="AD219">
            <v>0</v>
          </cell>
          <cell r="AE219">
            <v>0</v>
          </cell>
          <cell r="AF219">
            <v>0</v>
          </cell>
        </row>
        <row r="220">
          <cell r="H220">
            <v>0</v>
          </cell>
          <cell r="M220">
            <v>0</v>
          </cell>
          <cell r="N220" t="str">
            <v>7F2</v>
          </cell>
          <cell r="O220">
            <v>240</v>
          </cell>
          <cell r="P220">
            <v>0</v>
          </cell>
          <cell r="Q220">
            <v>4.16</v>
          </cell>
          <cell r="R220">
            <v>3</v>
          </cell>
          <cell r="S220">
            <v>35.88489216</v>
          </cell>
          <cell r="T220">
            <v>121817.55347022643</v>
          </cell>
          <cell r="U220">
            <v>4</v>
          </cell>
          <cell r="V220">
            <v>10722.894960257927</v>
          </cell>
          <cell r="W220" t="str">
            <v>9F5</v>
          </cell>
          <cell r="X220">
            <v>230</v>
          </cell>
          <cell r="Y220">
            <v>470</v>
          </cell>
          <cell r="Z220">
            <v>0</v>
          </cell>
          <cell r="AA220">
            <v>1.1599999999999999</v>
          </cell>
          <cell r="AB220">
            <v>2.12</v>
          </cell>
          <cell r="AC220">
            <v>1</v>
          </cell>
          <cell r="AD220">
            <v>3.12</v>
          </cell>
          <cell r="AE220">
            <v>611</v>
          </cell>
          <cell r="AF220">
            <v>42525.599999999999</v>
          </cell>
        </row>
        <row r="221">
          <cell r="H221">
            <v>0</v>
          </cell>
          <cell r="M221">
            <v>0</v>
          </cell>
          <cell r="N221" t="str">
            <v>7F3</v>
          </cell>
          <cell r="O221">
            <v>100</v>
          </cell>
          <cell r="P221">
            <v>0</v>
          </cell>
          <cell r="Q221">
            <v>4.16</v>
          </cell>
          <cell r="R221">
            <v>3</v>
          </cell>
          <cell r="S221">
            <v>6.2300160000000009</v>
          </cell>
          <cell r="T221">
            <v>21148.880810803203</v>
          </cell>
          <cell r="U221">
            <v>4</v>
          </cell>
          <cell r="V221">
            <v>1861.6137083781123</v>
          </cell>
          <cell r="W221" t="str">
            <v>4F2</v>
          </cell>
          <cell r="X221">
            <v>175</v>
          </cell>
          <cell r="Y221">
            <v>275</v>
          </cell>
          <cell r="Z221">
            <v>0</v>
          </cell>
          <cell r="AA221">
            <v>0.02</v>
          </cell>
          <cell r="AB221">
            <v>0.03</v>
          </cell>
          <cell r="AC221">
            <v>0</v>
          </cell>
          <cell r="AD221">
            <v>0.03</v>
          </cell>
          <cell r="AE221">
            <v>368</v>
          </cell>
          <cell r="AF221">
            <v>441.6</v>
          </cell>
        </row>
        <row r="222">
          <cell r="H222">
            <v>0</v>
          </cell>
          <cell r="M222">
            <v>0</v>
          </cell>
          <cell r="N222" t="str">
            <v>7F4</v>
          </cell>
          <cell r="O222">
            <v>0</v>
          </cell>
          <cell r="P222">
            <v>0</v>
          </cell>
          <cell r="Q222">
            <v>4.16</v>
          </cell>
          <cell r="R222">
            <v>3</v>
          </cell>
          <cell r="S222">
            <v>0</v>
          </cell>
          <cell r="T222">
            <v>0</v>
          </cell>
          <cell r="U222">
            <v>4</v>
          </cell>
          <cell r="V222">
            <v>0</v>
          </cell>
          <cell r="W222" t="str">
            <v>4F1</v>
          </cell>
          <cell r="X222">
            <v>275</v>
          </cell>
          <cell r="Y222">
            <v>275</v>
          </cell>
          <cell r="Z222">
            <v>0</v>
          </cell>
          <cell r="AA222">
            <v>0.02</v>
          </cell>
          <cell r="AB222">
            <v>1</v>
          </cell>
          <cell r="AC222">
            <v>0</v>
          </cell>
          <cell r="AD222">
            <v>1</v>
          </cell>
          <cell r="AE222">
            <v>2</v>
          </cell>
          <cell r="AF222">
            <v>2.4</v>
          </cell>
        </row>
        <row r="223">
          <cell r="H223">
            <v>0</v>
          </cell>
          <cell r="M223">
            <v>0</v>
          </cell>
          <cell r="N223" t="str">
            <v>7F5</v>
          </cell>
          <cell r="O223">
            <v>140</v>
          </cell>
          <cell r="P223">
            <v>0</v>
          </cell>
          <cell r="Q223">
            <v>4.16</v>
          </cell>
          <cell r="R223">
            <v>3</v>
          </cell>
          <cell r="S223">
            <v>12.21083136</v>
          </cell>
          <cell r="T223">
            <v>41451.806389174279</v>
          </cell>
          <cell r="U223">
            <v>4</v>
          </cell>
          <cell r="V223">
            <v>3648.7628684210999</v>
          </cell>
          <cell r="W223" t="str">
            <v>9F5</v>
          </cell>
          <cell r="X223">
            <v>230</v>
          </cell>
          <cell r="Y223">
            <v>370</v>
          </cell>
          <cell r="Z223">
            <v>0</v>
          </cell>
          <cell r="AA223">
            <v>2.59</v>
          </cell>
          <cell r="AB223">
            <v>2</v>
          </cell>
          <cell r="AC223">
            <v>0</v>
          </cell>
          <cell r="AD223">
            <v>2</v>
          </cell>
          <cell r="AE223">
            <v>217</v>
          </cell>
          <cell r="AF223">
            <v>33721.799999999996</v>
          </cell>
        </row>
        <row r="224">
          <cell r="H224">
            <v>0</v>
          </cell>
          <cell r="I224">
            <v>0</v>
          </cell>
          <cell r="J224">
            <v>32</v>
          </cell>
          <cell r="K224">
            <v>0</v>
          </cell>
          <cell r="L224">
            <v>0</v>
          </cell>
          <cell r="M224">
            <v>0</v>
          </cell>
          <cell r="N224" t="str">
            <v>7F6</v>
          </cell>
          <cell r="O224">
            <v>0</v>
          </cell>
          <cell r="P224">
            <v>0</v>
          </cell>
          <cell r="Q224">
            <v>4.16</v>
          </cell>
          <cell r="R224">
            <v>3</v>
          </cell>
          <cell r="S224">
            <v>0</v>
          </cell>
          <cell r="T224">
            <v>0</v>
          </cell>
          <cell r="U224">
            <v>4</v>
          </cell>
          <cell r="V224">
            <v>0</v>
          </cell>
          <cell r="W224" t="str">
            <v>2F4</v>
          </cell>
          <cell r="X224">
            <v>260</v>
          </cell>
          <cell r="Y224">
            <v>260</v>
          </cell>
          <cell r="Z224">
            <v>0</v>
          </cell>
          <cell r="AA224">
            <v>0</v>
          </cell>
          <cell r="AB224">
            <v>0</v>
          </cell>
          <cell r="AC224">
            <v>0</v>
          </cell>
          <cell r="AD224">
            <v>0</v>
          </cell>
          <cell r="AE224">
            <v>0</v>
          </cell>
          <cell r="AF224">
            <v>0</v>
          </cell>
        </row>
        <row r="225">
          <cell r="H225">
            <v>0</v>
          </cell>
          <cell r="M225">
            <v>0</v>
          </cell>
          <cell r="N225" t="str">
            <v>7F7</v>
          </cell>
          <cell r="O225">
            <v>0</v>
          </cell>
          <cell r="P225">
            <v>0</v>
          </cell>
          <cell r="Q225">
            <v>4.16</v>
          </cell>
          <cell r="R225">
            <v>3</v>
          </cell>
          <cell r="S225">
            <v>0</v>
          </cell>
          <cell r="T225">
            <v>0</v>
          </cell>
          <cell r="U225">
            <v>4</v>
          </cell>
          <cell r="V225">
            <v>0</v>
          </cell>
          <cell r="W225" t="str">
            <v>2F4</v>
          </cell>
          <cell r="X225">
            <v>260</v>
          </cell>
          <cell r="Y225">
            <v>260</v>
          </cell>
          <cell r="Z225">
            <v>0</v>
          </cell>
          <cell r="AA225">
            <v>0</v>
          </cell>
          <cell r="AB225">
            <v>0</v>
          </cell>
          <cell r="AC225">
            <v>0</v>
          </cell>
          <cell r="AD225">
            <v>0</v>
          </cell>
          <cell r="AE225">
            <v>0</v>
          </cell>
          <cell r="AF225">
            <v>0</v>
          </cell>
        </row>
        <row r="226">
          <cell r="H226">
            <v>0</v>
          </cell>
          <cell r="M226">
            <v>0</v>
          </cell>
          <cell r="N226" t="str">
            <v>7F8</v>
          </cell>
          <cell r="O226">
            <v>0</v>
          </cell>
          <cell r="P226">
            <v>0</v>
          </cell>
          <cell r="Q226">
            <v>4.16</v>
          </cell>
          <cell r="R226">
            <v>3</v>
          </cell>
          <cell r="S226">
            <v>0</v>
          </cell>
          <cell r="T226">
            <v>0</v>
          </cell>
          <cell r="U226">
            <v>4</v>
          </cell>
          <cell r="V226">
            <v>0</v>
          </cell>
          <cell r="W226" t="str">
            <v>7F5</v>
          </cell>
          <cell r="X226">
            <v>140</v>
          </cell>
          <cell r="Y226">
            <v>140</v>
          </cell>
          <cell r="Z226">
            <v>0</v>
          </cell>
          <cell r="AA226">
            <v>0</v>
          </cell>
          <cell r="AB226">
            <v>0</v>
          </cell>
          <cell r="AC226">
            <v>0</v>
          </cell>
          <cell r="AD226">
            <v>0</v>
          </cell>
          <cell r="AE226">
            <v>0</v>
          </cell>
          <cell r="AF226">
            <v>0</v>
          </cell>
        </row>
        <row r="227">
          <cell r="H227">
            <v>0</v>
          </cell>
          <cell r="I227">
            <v>0.82</v>
          </cell>
          <cell r="J227">
            <v>32</v>
          </cell>
          <cell r="K227">
            <v>21.516799999999996</v>
          </cell>
          <cell r="L227">
            <v>73042.547343359998</v>
          </cell>
          <cell r="M227">
            <v>6429.5131570176</v>
          </cell>
          <cell r="N227" t="str">
            <v>9F1</v>
          </cell>
          <cell r="O227">
            <v>145</v>
          </cell>
          <cell r="P227">
            <v>0</v>
          </cell>
          <cell r="Q227">
            <v>4.16</v>
          </cell>
          <cell r="R227">
            <v>2</v>
          </cell>
          <cell r="S227">
            <v>8.7324057599999989</v>
          </cell>
          <cell r="T227">
            <v>29643.681269809149</v>
          </cell>
          <cell r="U227">
            <v>4</v>
          </cell>
          <cell r="V227">
            <v>2609.3618812433201</v>
          </cell>
          <cell r="W227" t="str">
            <v>1F6</v>
          </cell>
          <cell r="X227">
            <v>200</v>
          </cell>
          <cell r="Y227">
            <v>345</v>
          </cell>
          <cell r="Z227">
            <v>0</v>
          </cell>
          <cell r="AA227">
            <v>0.16</v>
          </cell>
          <cell r="AB227">
            <v>0.03</v>
          </cell>
          <cell r="AC227">
            <v>1</v>
          </cell>
          <cell r="AD227">
            <v>1.03</v>
          </cell>
          <cell r="AE227">
            <v>328</v>
          </cell>
          <cell r="AF227">
            <v>3148.8</v>
          </cell>
        </row>
        <row r="228">
          <cell r="H228">
            <v>0</v>
          </cell>
          <cell r="M228">
            <v>0</v>
          </cell>
          <cell r="N228" t="str">
            <v>9F2</v>
          </cell>
          <cell r="O228">
            <v>276</v>
          </cell>
          <cell r="P228">
            <v>1</v>
          </cell>
          <cell r="Q228">
            <v>4.16</v>
          </cell>
          <cell r="R228">
            <v>2</v>
          </cell>
          <cell r="S228">
            <v>31.638513254400003</v>
          </cell>
          <cell r="T228">
            <v>107402.47630958298</v>
          </cell>
          <cell r="U228">
            <v>4</v>
          </cell>
          <cell r="V228">
            <v>9454.019056627405</v>
          </cell>
          <cell r="W228" t="str">
            <v>4F5</v>
          </cell>
          <cell r="X228">
            <v>285</v>
          </cell>
          <cell r="Y228">
            <v>561</v>
          </cell>
          <cell r="Z228">
            <v>1</v>
          </cell>
          <cell r="AA228">
            <v>0.31</v>
          </cell>
          <cell r="AB228">
            <v>0.41</v>
          </cell>
          <cell r="AC228">
            <v>0</v>
          </cell>
          <cell r="AD228">
            <v>0.41</v>
          </cell>
          <cell r="AE228">
            <v>74</v>
          </cell>
          <cell r="AF228">
            <v>1376.4</v>
          </cell>
        </row>
        <row r="229">
          <cell r="H229">
            <v>0</v>
          </cell>
          <cell r="M229">
            <v>0</v>
          </cell>
          <cell r="N229" t="str">
            <v>9F3</v>
          </cell>
          <cell r="O229">
            <v>154</v>
          </cell>
          <cell r="P229">
            <v>0</v>
          </cell>
          <cell r="Q229">
            <v>4.16</v>
          </cell>
          <cell r="R229">
            <v>2</v>
          </cell>
          <cell r="S229">
            <v>9.8500706304000012</v>
          </cell>
          <cell r="T229">
            <v>33437.790487267252</v>
          </cell>
          <cell r="U229">
            <v>4</v>
          </cell>
          <cell r="V229">
            <v>2943.3353805263541</v>
          </cell>
          <cell r="W229" t="str">
            <v>4F3</v>
          </cell>
          <cell r="X229">
            <v>220</v>
          </cell>
          <cell r="Y229">
            <v>374</v>
          </cell>
          <cell r="Z229">
            <v>0</v>
          </cell>
          <cell r="AA229">
            <v>0.11</v>
          </cell>
          <cell r="AB229">
            <v>0.12</v>
          </cell>
          <cell r="AC229">
            <v>0</v>
          </cell>
          <cell r="AD229">
            <v>0.12</v>
          </cell>
          <cell r="AE229">
            <v>346</v>
          </cell>
          <cell r="AF229">
            <v>2283.6000000000004</v>
          </cell>
        </row>
        <row r="230">
          <cell r="H230">
            <v>0</v>
          </cell>
          <cell r="I230">
            <v>0.86</v>
          </cell>
          <cell r="J230">
            <v>32</v>
          </cell>
          <cell r="K230">
            <v>23.667199999999998</v>
          </cell>
          <cell r="L230">
            <v>80342.456893440001</v>
          </cell>
          <cell r="M230">
            <v>7072.0819912704001</v>
          </cell>
          <cell r="N230" t="str">
            <v>9F4</v>
          </cell>
          <cell r="O230">
            <v>286</v>
          </cell>
          <cell r="P230">
            <v>1</v>
          </cell>
          <cell r="Q230">
            <v>4.16</v>
          </cell>
          <cell r="R230">
            <v>2</v>
          </cell>
          <cell r="S230">
            <v>33.972692582400001</v>
          </cell>
          <cell r="T230">
            <v>115326.25698669723</v>
          </cell>
          <cell r="U230">
            <v>4</v>
          </cell>
          <cell r="V230">
            <v>10151.503659366404</v>
          </cell>
          <cell r="W230" t="str">
            <v>35F2</v>
          </cell>
          <cell r="X230">
            <v>230</v>
          </cell>
          <cell r="Y230">
            <v>516</v>
          </cell>
          <cell r="Z230">
            <v>1</v>
          </cell>
          <cell r="AA230">
            <v>7.0000000000000007E-2</v>
          </cell>
          <cell r="AB230">
            <v>0.04</v>
          </cell>
          <cell r="AC230">
            <v>2</v>
          </cell>
          <cell r="AD230">
            <v>2.04</v>
          </cell>
          <cell r="AE230">
            <v>707</v>
          </cell>
          <cell r="AF230">
            <v>2969.4</v>
          </cell>
        </row>
        <row r="231">
          <cell r="H231">
            <v>0</v>
          </cell>
          <cell r="M231">
            <v>0</v>
          </cell>
          <cell r="N231" t="str">
            <v>9F5</v>
          </cell>
          <cell r="O231">
            <v>230</v>
          </cell>
          <cell r="P231">
            <v>0</v>
          </cell>
          <cell r="Q231">
            <v>4.16</v>
          </cell>
          <cell r="R231">
            <v>2</v>
          </cell>
          <cell r="S231">
            <v>21.971189759999998</v>
          </cell>
          <cell r="T231">
            <v>74585.052992765952</v>
          </cell>
          <cell r="U231">
            <v>4</v>
          </cell>
          <cell r="V231">
            <v>6565.2910115468076</v>
          </cell>
          <cell r="W231" t="str">
            <v>7F5</v>
          </cell>
          <cell r="X231">
            <v>140</v>
          </cell>
          <cell r="Y231">
            <v>370</v>
          </cell>
          <cell r="Z231">
            <v>0</v>
          </cell>
          <cell r="AA231">
            <v>0</v>
          </cell>
          <cell r="AB231">
            <v>0</v>
          </cell>
          <cell r="AC231">
            <v>0</v>
          </cell>
          <cell r="AD231">
            <v>0</v>
          </cell>
          <cell r="AE231">
            <v>606</v>
          </cell>
          <cell r="AF231">
            <v>0</v>
          </cell>
        </row>
        <row r="232">
          <cell r="H232">
            <v>0</v>
          </cell>
          <cell r="I232">
            <v>0.76</v>
          </cell>
          <cell r="J232">
            <v>32</v>
          </cell>
          <cell r="K232">
            <v>18.4832</v>
          </cell>
          <cell r="L232">
            <v>62744.460656640003</v>
          </cell>
          <cell r="M232">
            <v>5523.0321229824003</v>
          </cell>
          <cell r="N232" t="str">
            <v>11F1</v>
          </cell>
          <cell r="O232">
            <v>0</v>
          </cell>
          <cell r="P232">
            <v>0</v>
          </cell>
          <cell r="Q232">
            <v>4.16</v>
          </cell>
          <cell r="R232">
            <v>1.6</v>
          </cell>
          <cell r="S232">
            <v>0</v>
          </cell>
          <cell r="T232">
            <v>0</v>
          </cell>
          <cell r="U232">
            <v>4</v>
          </cell>
          <cell r="V232">
            <v>0</v>
          </cell>
          <cell r="W232" t="str">
            <v>11F5</v>
          </cell>
          <cell r="X232">
            <v>170</v>
          </cell>
          <cell r="Y232">
            <v>170</v>
          </cell>
          <cell r="Z232">
            <v>0</v>
          </cell>
          <cell r="AA232">
            <v>0</v>
          </cell>
          <cell r="AB232">
            <v>0</v>
          </cell>
          <cell r="AC232">
            <v>0</v>
          </cell>
          <cell r="AD232">
            <v>0</v>
          </cell>
          <cell r="AE232">
            <v>39</v>
          </cell>
          <cell r="AF232">
            <v>0</v>
          </cell>
        </row>
        <row r="233">
          <cell r="H233">
            <v>0</v>
          </cell>
          <cell r="M233">
            <v>0</v>
          </cell>
          <cell r="N233" t="str">
            <v>11F2</v>
          </cell>
          <cell r="O233">
            <v>290</v>
          </cell>
          <cell r="P233">
            <v>1</v>
          </cell>
          <cell r="Q233">
            <v>4.16</v>
          </cell>
          <cell r="R233">
            <v>1.6</v>
          </cell>
          <cell r="S233">
            <v>27.943698431999998</v>
          </cell>
          <cell r="T233">
            <v>94859.780063389291</v>
          </cell>
          <cell r="U233">
            <v>4</v>
          </cell>
          <cell r="V233">
            <v>8349.9580199786251</v>
          </cell>
          <cell r="W233" t="str">
            <v>3F4</v>
          </cell>
          <cell r="X233">
            <v>330</v>
          </cell>
          <cell r="Y233">
            <v>620</v>
          </cell>
          <cell r="Z233">
            <v>1</v>
          </cell>
          <cell r="AA233">
            <v>0</v>
          </cell>
          <cell r="AB233">
            <v>0</v>
          </cell>
          <cell r="AC233">
            <v>0</v>
          </cell>
          <cell r="AD233">
            <v>0</v>
          </cell>
          <cell r="AE233">
            <v>320</v>
          </cell>
          <cell r="AF233">
            <v>0</v>
          </cell>
        </row>
        <row r="234">
          <cell r="H234">
            <v>0</v>
          </cell>
          <cell r="M234">
            <v>0</v>
          </cell>
          <cell r="N234" t="str">
            <v>11F3</v>
          </cell>
          <cell r="O234">
            <v>220</v>
          </cell>
          <cell r="P234">
            <v>0</v>
          </cell>
          <cell r="Q234">
            <v>4.16</v>
          </cell>
          <cell r="R234">
            <v>1.6</v>
          </cell>
          <cell r="S234">
            <v>16.081747968000002</v>
          </cell>
          <cell r="T234">
            <v>54592.31099962</v>
          </cell>
          <cell r="U234">
            <v>4</v>
          </cell>
          <cell r="V234">
            <v>4805.4455192267005</v>
          </cell>
          <cell r="W234" t="str">
            <v>35F2</v>
          </cell>
          <cell r="X234">
            <v>230</v>
          </cell>
          <cell r="Y234">
            <v>450</v>
          </cell>
          <cell r="Z234">
            <v>0</v>
          </cell>
          <cell r="AA234">
            <v>0.9</v>
          </cell>
          <cell r="AB234">
            <v>0.34</v>
          </cell>
          <cell r="AC234">
            <v>1</v>
          </cell>
          <cell r="AD234">
            <v>1.34</v>
          </cell>
          <cell r="AE234">
            <v>424</v>
          </cell>
          <cell r="AF234">
            <v>22896</v>
          </cell>
        </row>
        <row r="235">
          <cell r="H235">
            <v>0</v>
          </cell>
          <cell r="I235">
            <v>0.86</v>
          </cell>
          <cell r="J235">
            <v>32</v>
          </cell>
          <cell r="K235">
            <v>23.667199999999998</v>
          </cell>
          <cell r="L235">
            <v>80342.456893440001</v>
          </cell>
          <cell r="M235">
            <v>7072.0819912704001</v>
          </cell>
          <cell r="N235" t="str">
            <v>11F4</v>
          </cell>
          <cell r="O235">
            <v>270</v>
          </cell>
          <cell r="P235">
            <v>1</v>
          </cell>
          <cell r="Q235">
            <v>4.16</v>
          </cell>
          <cell r="R235">
            <v>1.6</v>
          </cell>
          <cell r="S235">
            <v>24.222302208000002</v>
          </cell>
          <cell r="T235">
            <v>82226.84859240285</v>
          </cell>
          <cell r="U235">
            <v>4</v>
          </cell>
          <cell r="V235">
            <v>7237.9540981741011</v>
          </cell>
          <cell r="W235" t="str">
            <v>35F1</v>
          </cell>
          <cell r="X235">
            <v>175</v>
          </cell>
          <cell r="Y235">
            <v>445</v>
          </cell>
          <cell r="Z235">
            <v>0</v>
          </cell>
          <cell r="AA235">
            <v>0.01</v>
          </cell>
          <cell r="AB235">
            <v>0.02</v>
          </cell>
          <cell r="AC235">
            <v>0</v>
          </cell>
          <cell r="AD235">
            <v>0.02</v>
          </cell>
          <cell r="AE235">
            <v>383</v>
          </cell>
          <cell r="AF235">
            <v>229.8</v>
          </cell>
        </row>
        <row r="236">
          <cell r="H236">
            <v>0</v>
          </cell>
          <cell r="M236">
            <v>0</v>
          </cell>
          <cell r="N236" t="str">
            <v>11F5</v>
          </cell>
          <cell r="O236">
            <v>170</v>
          </cell>
          <cell r="P236">
            <v>0</v>
          </cell>
          <cell r="Q236">
            <v>4.16</v>
          </cell>
          <cell r="R236">
            <v>1.6</v>
          </cell>
          <cell r="S236">
            <v>9.6025313279999995</v>
          </cell>
          <cell r="T236">
            <v>32597.474956384667</v>
          </cell>
          <cell r="U236">
            <v>4</v>
          </cell>
          <cell r="V236">
            <v>2869.3672625134632</v>
          </cell>
          <cell r="W236" t="str">
            <v>11F1</v>
          </cell>
          <cell r="X236">
            <v>0</v>
          </cell>
          <cell r="Y236">
            <v>170</v>
          </cell>
          <cell r="Z236">
            <v>0</v>
          </cell>
          <cell r="AA236">
            <v>0.17</v>
          </cell>
          <cell r="AB236">
            <v>0.21</v>
          </cell>
          <cell r="AC236">
            <v>0</v>
          </cell>
          <cell r="AD236">
            <v>0.21</v>
          </cell>
          <cell r="AE236">
            <v>39</v>
          </cell>
          <cell r="AF236">
            <v>397.80000000000007</v>
          </cell>
        </row>
        <row r="237">
          <cell r="H237">
            <v>0</v>
          </cell>
          <cell r="I237">
            <v>0.78</v>
          </cell>
          <cell r="J237">
            <v>32</v>
          </cell>
          <cell r="K237">
            <v>19.468800000000002</v>
          </cell>
          <cell r="L237">
            <v>66090.252533760009</v>
          </cell>
          <cell r="M237">
            <v>5817.5428386816011</v>
          </cell>
          <cell r="N237" t="str">
            <v>25F1</v>
          </cell>
          <cell r="O237">
            <v>250</v>
          </cell>
          <cell r="P237">
            <v>0</v>
          </cell>
          <cell r="Q237">
            <v>4.16</v>
          </cell>
          <cell r="R237">
            <v>1.8</v>
          </cell>
          <cell r="S237">
            <v>23.362560000000002</v>
          </cell>
          <cell r="T237">
            <v>79308.303040512008</v>
          </cell>
          <cell r="U237">
            <v>4</v>
          </cell>
          <cell r="V237">
            <v>6981.0514064179206</v>
          </cell>
          <cell r="W237" t="str">
            <v>67F2</v>
          </cell>
          <cell r="X237">
            <v>250</v>
          </cell>
          <cell r="Y237">
            <v>500</v>
          </cell>
          <cell r="Z237">
            <v>0</v>
          </cell>
          <cell r="AA237">
            <v>0</v>
          </cell>
          <cell r="AB237">
            <v>0</v>
          </cell>
          <cell r="AC237">
            <v>1</v>
          </cell>
          <cell r="AD237">
            <v>1</v>
          </cell>
          <cell r="AE237">
            <v>194</v>
          </cell>
          <cell r="AF237">
            <v>0</v>
          </cell>
        </row>
        <row r="238">
          <cell r="H238">
            <v>0</v>
          </cell>
          <cell r="M238">
            <v>0</v>
          </cell>
          <cell r="N238" t="str">
            <v>25F2</v>
          </cell>
          <cell r="O238">
            <v>430</v>
          </cell>
          <cell r="P238">
            <v>1</v>
          </cell>
          <cell r="Q238">
            <v>4.16</v>
          </cell>
          <cell r="R238">
            <v>1.8</v>
          </cell>
          <cell r="S238">
            <v>69.115797504</v>
          </cell>
          <cell r="T238">
            <v>234625.68371505072</v>
          </cell>
          <cell r="U238">
            <v>4</v>
          </cell>
          <cell r="V238">
            <v>20652.742480746776</v>
          </cell>
          <cell r="W238" t="str">
            <v>1F4</v>
          </cell>
          <cell r="X238">
            <v>140</v>
          </cell>
          <cell r="Y238">
            <v>570</v>
          </cell>
          <cell r="Z238">
            <v>1</v>
          </cell>
          <cell r="AA238">
            <v>0.13</v>
          </cell>
          <cell r="AB238">
            <v>0.1</v>
          </cell>
          <cell r="AC238">
            <v>4</v>
          </cell>
          <cell r="AD238">
            <v>4.0999999999999996</v>
          </cell>
          <cell r="AE238">
            <v>326</v>
          </cell>
          <cell r="AF238">
            <v>2542.8000000000002</v>
          </cell>
        </row>
        <row r="239">
          <cell r="H239">
            <v>0</v>
          </cell>
          <cell r="M239">
            <v>0</v>
          </cell>
          <cell r="N239" t="str">
            <v>25F3</v>
          </cell>
          <cell r="O239">
            <v>350</v>
          </cell>
          <cell r="P239">
            <v>1</v>
          </cell>
          <cell r="Q239">
            <v>4.16</v>
          </cell>
          <cell r="R239">
            <v>1.8</v>
          </cell>
          <cell r="S239">
            <v>45.790617600000012</v>
          </cell>
          <cell r="T239">
            <v>155444.27395940357</v>
          </cell>
          <cell r="U239">
            <v>4</v>
          </cell>
          <cell r="V239">
            <v>13682.860756579128</v>
          </cell>
          <cell r="W239" t="str">
            <v>1F4</v>
          </cell>
          <cell r="X239">
            <v>140</v>
          </cell>
          <cell r="Y239">
            <v>490</v>
          </cell>
          <cell r="Z239">
            <v>0</v>
          </cell>
          <cell r="AA239">
            <v>0.02</v>
          </cell>
          <cell r="AB239">
            <v>0.05</v>
          </cell>
          <cell r="AC239">
            <v>0</v>
          </cell>
          <cell r="AD239">
            <v>0.05</v>
          </cell>
          <cell r="AE239">
            <v>346</v>
          </cell>
          <cell r="AF239">
            <v>415.2</v>
          </cell>
        </row>
        <row r="240">
          <cell r="H240">
            <v>0</v>
          </cell>
          <cell r="I240">
            <v>0.7</v>
          </cell>
          <cell r="J240">
            <v>32</v>
          </cell>
          <cell r="K240">
            <v>15.679999999999998</v>
          </cell>
          <cell r="L240">
            <v>53228.507136</v>
          </cell>
          <cell r="M240">
            <v>4685.3977497599999</v>
          </cell>
          <cell r="N240" t="str">
            <v>35F1</v>
          </cell>
          <cell r="O240">
            <v>175</v>
          </cell>
          <cell r="P240">
            <v>0</v>
          </cell>
          <cell r="Q240">
            <v>4.16</v>
          </cell>
          <cell r="R240">
            <v>2</v>
          </cell>
          <cell r="S240">
            <v>12.719616000000002</v>
          </cell>
          <cell r="T240">
            <v>43178.964988723208</v>
          </cell>
          <cell r="U240">
            <v>4</v>
          </cell>
          <cell r="V240">
            <v>3800.7946546053126</v>
          </cell>
          <cell r="W240" t="str">
            <v>11F4</v>
          </cell>
          <cell r="X240">
            <v>270</v>
          </cell>
          <cell r="Y240">
            <v>445</v>
          </cell>
          <cell r="Z240">
            <v>0</v>
          </cell>
          <cell r="AA240">
            <v>0.04</v>
          </cell>
          <cell r="AB240">
            <v>0.04</v>
          </cell>
          <cell r="AC240">
            <v>1</v>
          </cell>
          <cell r="AD240">
            <v>1.04</v>
          </cell>
          <cell r="AE240">
            <v>744</v>
          </cell>
          <cell r="AF240">
            <v>1785.6000000000001</v>
          </cell>
        </row>
        <row r="241">
          <cell r="H241">
            <v>0</v>
          </cell>
          <cell r="M241">
            <v>0</v>
          </cell>
          <cell r="N241" t="str">
            <v>35F2</v>
          </cell>
          <cell r="O241">
            <v>230</v>
          </cell>
          <cell r="P241">
            <v>0</v>
          </cell>
          <cell r="Q241">
            <v>4.16</v>
          </cell>
          <cell r="R241">
            <v>2</v>
          </cell>
          <cell r="S241">
            <v>21.971189759999998</v>
          </cell>
          <cell r="T241">
            <v>74585.052992765952</v>
          </cell>
          <cell r="U241">
            <v>4</v>
          </cell>
          <cell r="V241">
            <v>6565.2910115468076</v>
          </cell>
          <cell r="W241" t="str">
            <v>11F3</v>
          </cell>
          <cell r="X241">
            <v>220</v>
          </cell>
          <cell r="Y241">
            <v>450</v>
          </cell>
          <cell r="Z241">
            <v>0</v>
          </cell>
          <cell r="AA241">
            <v>0</v>
          </cell>
          <cell r="AB241">
            <v>0.01</v>
          </cell>
          <cell r="AC241">
            <v>0</v>
          </cell>
          <cell r="AD241">
            <v>0.01</v>
          </cell>
          <cell r="AE241">
            <v>184</v>
          </cell>
          <cell r="AF241">
            <v>0</v>
          </cell>
        </row>
        <row r="242">
          <cell r="H242">
            <v>0</v>
          </cell>
          <cell r="I242">
            <v>0.67</v>
          </cell>
          <cell r="J242">
            <v>32</v>
          </cell>
          <cell r="K242">
            <v>14.364800000000002</v>
          </cell>
          <cell r="L242">
            <v>48763.83031296001</v>
          </cell>
          <cell r="M242">
            <v>4292.3980609536011</v>
          </cell>
          <cell r="N242" t="str">
            <v>36F1</v>
          </cell>
          <cell r="O242">
            <v>123</v>
          </cell>
          <cell r="P242">
            <v>0</v>
          </cell>
          <cell r="Q242">
            <v>4.16</v>
          </cell>
          <cell r="R242">
            <v>2</v>
          </cell>
          <cell r="S242">
            <v>6.2835941375999997</v>
          </cell>
          <cell r="T242">
            <v>21330.761185776108</v>
          </cell>
          <cell r="U242">
            <v>4</v>
          </cell>
          <cell r="V242">
            <v>1877.6235862701637</v>
          </cell>
          <cell r="W242" t="str">
            <v>3F6</v>
          </cell>
          <cell r="X242">
            <v>40</v>
          </cell>
          <cell r="Y242">
            <v>163</v>
          </cell>
          <cell r="Z242">
            <v>0</v>
          </cell>
          <cell r="AA242">
            <v>0</v>
          </cell>
          <cell r="AB242">
            <v>0</v>
          </cell>
          <cell r="AC242">
            <v>0</v>
          </cell>
          <cell r="AD242">
            <v>0</v>
          </cell>
          <cell r="AE242">
            <v>23</v>
          </cell>
          <cell r="AF242">
            <v>0</v>
          </cell>
        </row>
        <row r="243">
          <cell r="H243">
            <v>0</v>
          </cell>
          <cell r="M243">
            <v>0</v>
          </cell>
          <cell r="N243" t="str">
            <v>36F2</v>
          </cell>
          <cell r="O243">
            <v>117</v>
          </cell>
          <cell r="P243">
            <v>0</v>
          </cell>
          <cell r="Q243">
            <v>4.16</v>
          </cell>
          <cell r="R243">
            <v>2</v>
          </cell>
          <cell r="S243">
            <v>5.6855126015999993</v>
          </cell>
          <cell r="T243">
            <v>19300.468627938997</v>
          </cell>
          <cell r="U243">
            <v>4</v>
          </cell>
          <cell r="V243">
            <v>1698.9086702658647</v>
          </cell>
          <cell r="W243" t="str">
            <v>36F1</v>
          </cell>
          <cell r="X243">
            <v>123</v>
          </cell>
          <cell r="Y243">
            <v>240</v>
          </cell>
          <cell r="Z243">
            <v>0</v>
          </cell>
          <cell r="AA243">
            <v>0</v>
          </cell>
          <cell r="AB243">
            <v>0</v>
          </cell>
          <cell r="AC243">
            <v>0</v>
          </cell>
          <cell r="AD243">
            <v>0</v>
          </cell>
          <cell r="AE243">
            <v>118</v>
          </cell>
          <cell r="AF243">
            <v>0</v>
          </cell>
        </row>
        <row r="244">
          <cell r="H244">
            <v>0</v>
          </cell>
          <cell r="M244">
            <v>0</v>
          </cell>
          <cell r="N244" t="str">
            <v>36F3</v>
          </cell>
          <cell r="O244">
            <v>280</v>
          </cell>
          <cell r="P244">
            <v>1</v>
          </cell>
          <cell r="Q244">
            <v>4.16</v>
          </cell>
          <cell r="R244">
            <v>2</v>
          </cell>
          <cell r="S244">
            <v>32.562216960000001</v>
          </cell>
          <cell r="T244">
            <v>110538.1503711314</v>
          </cell>
          <cell r="U244">
            <v>4</v>
          </cell>
          <cell r="V244">
            <v>9730.0343157896004</v>
          </cell>
          <cell r="W244" t="str">
            <v>36F2</v>
          </cell>
          <cell r="X244">
            <v>117</v>
          </cell>
          <cell r="Y244">
            <v>397</v>
          </cell>
          <cell r="Z244">
            <v>0</v>
          </cell>
          <cell r="AA244">
            <v>0.1</v>
          </cell>
          <cell r="AB244">
            <v>0.04</v>
          </cell>
          <cell r="AC244">
            <v>1</v>
          </cell>
          <cell r="AD244">
            <v>1.04</v>
          </cell>
          <cell r="AE244">
            <v>57</v>
          </cell>
          <cell r="AF244">
            <v>342</v>
          </cell>
        </row>
        <row r="245">
          <cell r="H245">
            <v>0</v>
          </cell>
          <cell r="M245">
            <v>0</v>
          </cell>
          <cell r="N245" t="str">
            <v>36F4</v>
          </cell>
          <cell r="O245">
            <v>158</v>
          </cell>
          <cell r="P245">
            <v>0</v>
          </cell>
          <cell r="Q245">
            <v>4.16</v>
          </cell>
          <cell r="R245">
            <v>2</v>
          </cell>
          <cell r="S245">
            <v>10.368407961600003</v>
          </cell>
          <cell r="T245">
            <v>35197.377370726084</v>
          </cell>
          <cell r="U245">
            <v>4</v>
          </cell>
          <cell r="V245">
            <v>3098.2216410634137</v>
          </cell>
          <cell r="W245" t="str">
            <v>3F2</v>
          </cell>
          <cell r="X245">
            <v>200</v>
          </cell>
          <cell r="Y245">
            <v>358</v>
          </cell>
          <cell r="Z245">
            <v>0</v>
          </cell>
          <cell r="AA245">
            <v>0</v>
          </cell>
          <cell r="AB245">
            <v>0</v>
          </cell>
          <cell r="AC245">
            <v>1</v>
          </cell>
          <cell r="AD245">
            <v>1</v>
          </cell>
          <cell r="AE245">
            <v>99</v>
          </cell>
          <cell r="AF245">
            <v>0</v>
          </cell>
        </row>
        <row r="246">
          <cell r="H246">
            <v>0</v>
          </cell>
          <cell r="I246">
            <v>0.8</v>
          </cell>
          <cell r="J246">
            <v>32</v>
          </cell>
          <cell r="K246">
            <v>20.480000000000004</v>
          </cell>
          <cell r="L246">
            <v>69522.948096000022</v>
          </cell>
          <cell r="M246">
            <v>6119.7031833600013</v>
          </cell>
          <cell r="N246" t="str">
            <v>42F1</v>
          </cell>
          <cell r="O246">
            <v>300</v>
          </cell>
          <cell r="P246">
            <v>1</v>
          </cell>
          <cell r="Q246">
            <v>4.16</v>
          </cell>
          <cell r="R246">
            <v>2</v>
          </cell>
          <cell r="S246">
            <v>37.380096000000009</v>
          </cell>
          <cell r="T246">
            <v>126893.28486481924</v>
          </cell>
          <cell r="U246">
            <v>4</v>
          </cell>
          <cell r="V246">
            <v>11169.682250268675</v>
          </cell>
          <cell r="W246" t="str">
            <v>78F5</v>
          </cell>
          <cell r="X246">
            <v>180</v>
          </cell>
          <cell r="Y246">
            <v>480</v>
          </cell>
          <cell r="Z246">
            <v>0</v>
          </cell>
          <cell r="AA246">
            <v>0</v>
          </cell>
          <cell r="AB246">
            <v>0</v>
          </cell>
          <cell r="AC246">
            <v>0</v>
          </cell>
          <cell r="AD246">
            <v>0</v>
          </cell>
          <cell r="AE246">
            <v>0</v>
          </cell>
          <cell r="AF246">
            <v>0</v>
          </cell>
        </row>
        <row r="247">
          <cell r="H247">
            <v>0</v>
          </cell>
          <cell r="M247">
            <v>0</v>
          </cell>
          <cell r="N247" t="str">
            <v>42F2</v>
          </cell>
          <cell r="O247">
            <v>360</v>
          </cell>
          <cell r="P247">
            <v>1</v>
          </cell>
          <cell r="Q247">
            <v>4.16</v>
          </cell>
          <cell r="R247">
            <v>2</v>
          </cell>
          <cell r="S247">
            <v>53.827338239999996</v>
          </cell>
          <cell r="T247">
            <v>182726.33020533965</v>
          </cell>
          <cell r="U247">
            <v>4</v>
          </cell>
          <cell r="V247">
            <v>16084.342440386887</v>
          </cell>
          <cell r="W247" t="str">
            <v>78F4</v>
          </cell>
          <cell r="X247">
            <v>390</v>
          </cell>
          <cell r="Y247">
            <v>750</v>
          </cell>
          <cell r="Z247">
            <v>1</v>
          </cell>
          <cell r="AA247">
            <v>0</v>
          </cell>
          <cell r="AB247">
            <v>0</v>
          </cell>
          <cell r="AC247">
            <v>0</v>
          </cell>
          <cell r="AD247">
            <v>0</v>
          </cell>
          <cell r="AE247">
            <v>0</v>
          </cell>
          <cell r="AF247">
            <v>0</v>
          </cell>
        </row>
        <row r="248">
          <cell r="H248">
            <v>0</v>
          </cell>
          <cell r="M248">
            <v>0</v>
          </cell>
          <cell r="N248" t="str">
            <v>42F3</v>
          </cell>
          <cell r="O248">
            <v>0</v>
          </cell>
          <cell r="P248">
            <v>0</v>
          </cell>
          <cell r="Q248">
            <v>4.16</v>
          </cell>
          <cell r="R248">
            <v>2</v>
          </cell>
          <cell r="S248">
            <v>0</v>
          </cell>
          <cell r="T248">
            <v>0</v>
          </cell>
          <cell r="U248">
            <v>4</v>
          </cell>
          <cell r="V248">
            <v>0</v>
          </cell>
          <cell r="W248" t="str">
            <v>1F2</v>
          </cell>
          <cell r="X248">
            <v>100</v>
          </cell>
          <cell r="Y248">
            <v>100</v>
          </cell>
          <cell r="Z248">
            <v>0</v>
          </cell>
          <cell r="AA248">
            <v>0</v>
          </cell>
          <cell r="AB248">
            <v>0</v>
          </cell>
          <cell r="AC248">
            <v>0</v>
          </cell>
          <cell r="AD248">
            <v>0</v>
          </cell>
          <cell r="AE248">
            <v>0</v>
          </cell>
          <cell r="AF248">
            <v>0</v>
          </cell>
        </row>
        <row r="249">
          <cell r="H249">
            <v>0</v>
          </cell>
          <cell r="I249">
            <v>1</v>
          </cell>
          <cell r="J249">
            <v>32</v>
          </cell>
          <cell r="K249">
            <v>32</v>
          </cell>
          <cell r="L249">
            <v>108629.6064</v>
          </cell>
          <cell r="M249">
            <v>9562.0362239999995</v>
          </cell>
          <cell r="N249" t="str">
            <v>65F1</v>
          </cell>
          <cell r="O249">
            <v>0</v>
          </cell>
          <cell r="P249">
            <v>0</v>
          </cell>
          <cell r="Q249">
            <v>4.16</v>
          </cell>
          <cell r="R249">
            <v>2</v>
          </cell>
          <cell r="S249">
            <v>0</v>
          </cell>
          <cell r="T249">
            <v>0</v>
          </cell>
          <cell r="U249">
            <v>4</v>
          </cell>
          <cell r="V249">
            <v>0</v>
          </cell>
          <cell r="W249" t="str">
            <v>79F1</v>
          </cell>
          <cell r="X249">
            <v>320</v>
          </cell>
          <cell r="Y249">
            <v>320</v>
          </cell>
          <cell r="Z249">
            <v>0</v>
          </cell>
          <cell r="AA249">
            <v>0</v>
          </cell>
          <cell r="AB249">
            <v>0</v>
          </cell>
          <cell r="AC249">
            <v>0</v>
          </cell>
          <cell r="AD249">
            <v>0</v>
          </cell>
          <cell r="AE249">
            <v>0</v>
          </cell>
          <cell r="AF249">
            <v>0</v>
          </cell>
        </row>
        <row r="250">
          <cell r="H250">
            <v>0</v>
          </cell>
          <cell r="M250">
            <v>0</v>
          </cell>
          <cell r="N250" t="str">
            <v>65F2</v>
          </cell>
          <cell r="O250">
            <v>250</v>
          </cell>
          <cell r="P250">
            <v>0</v>
          </cell>
          <cell r="Q250">
            <v>4.16</v>
          </cell>
          <cell r="R250">
            <v>2</v>
          </cell>
          <cell r="S250">
            <v>25.958400000000001</v>
          </cell>
          <cell r="T250">
            <v>88120.336711680007</v>
          </cell>
          <cell r="U250">
            <v>4</v>
          </cell>
          <cell r="V250">
            <v>7756.7237849088015</v>
          </cell>
          <cell r="W250" t="str">
            <v>78F1</v>
          </cell>
          <cell r="X250">
            <v>80</v>
          </cell>
          <cell r="Y250">
            <v>330</v>
          </cell>
          <cell r="Z250">
            <v>0</v>
          </cell>
          <cell r="AA250">
            <v>0.41</v>
          </cell>
          <cell r="AB250">
            <v>0.24</v>
          </cell>
          <cell r="AC250">
            <v>1</v>
          </cell>
          <cell r="AD250">
            <v>1.24</v>
          </cell>
          <cell r="AE250">
            <v>129</v>
          </cell>
          <cell r="AF250">
            <v>3173.3999999999996</v>
          </cell>
        </row>
        <row r="251">
          <cell r="H251">
            <v>0</v>
          </cell>
          <cell r="M251">
            <v>0</v>
          </cell>
          <cell r="N251" t="str">
            <v>65F3</v>
          </cell>
          <cell r="O251">
            <v>500</v>
          </cell>
          <cell r="P251">
            <v>1</v>
          </cell>
          <cell r="Q251">
            <v>4.16</v>
          </cell>
          <cell r="R251">
            <v>2</v>
          </cell>
          <cell r="S251">
            <v>103.8336</v>
          </cell>
          <cell r="T251">
            <v>352481.34684672003</v>
          </cell>
          <cell r="U251">
            <v>4</v>
          </cell>
          <cell r="V251">
            <v>31026.895139635206</v>
          </cell>
          <cell r="W251" t="str">
            <v>78F2</v>
          </cell>
          <cell r="X251">
            <v>170</v>
          </cell>
          <cell r="Y251">
            <v>670</v>
          </cell>
          <cell r="Z251">
            <v>1</v>
          </cell>
          <cell r="AA251">
            <v>0.39</v>
          </cell>
          <cell r="AB251">
            <v>0.08</v>
          </cell>
          <cell r="AC251">
            <v>1</v>
          </cell>
          <cell r="AD251">
            <v>1.08</v>
          </cell>
          <cell r="AE251">
            <v>52</v>
          </cell>
          <cell r="AF251">
            <v>1216.8000000000002</v>
          </cell>
        </row>
        <row r="252">
          <cell r="H252">
            <v>0</v>
          </cell>
          <cell r="I252">
            <v>0.78</v>
          </cell>
          <cell r="J252">
            <v>32</v>
          </cell>
          <cell r="K252">
            <v>19.468800000000002</v>
          </cell>
          <cell r="L252">
            <v>66090.252533760009</v>
          </cell>
          <cell r="M252">
            <v>5817.5428386816011</v>
          </cell>
          <cell r="N252" t="str">
            <v>78F1</v>
          </cell>
          <cell r="O252">
            <v>80</v>
          </cell>
          <cell r="P252">
            <v>0</v>
          </cell>
          <cell r="Q252">
            <v>4.16</v>
          </cell>
          <cell r="R252">
            <v>1.6</v>
          </cell>
          <cell r="S252">
            <v>2.1265121280000008</v>
          </cell>
          <cell r="T252">
            <v>7218.8179834208286</v>
          </cell>
          <cell r="U252">
            <v>4</v>
          </cell>
          <cell r="V252">
            <v>635.43081245972917</v>
          </cell>
          <cell r="W252" t="str">
            <v>65F2</v>
          </cell>
          <cell r="X252">
            <v>250</v>
          </cell>
          <cell r="Y252">
            <v>330</v>
          </cell>
          <cell r="Z252">
            <v>0</v>
          </cell>
          <cell r="AA252">
            <v>0.45</v>
          </cell>
          <cell r="AB252">
            <v>0.56000000000000005</v>
          </cell>
          <cell r="AC252">
            <v>3</v>
          </cell>
          <cell r="AD252">
            <v>3.56</v>
          </cell>
          <cell r="AE252">
            <v>498</v>
          </cell>
          <cell r="AF252">
            <v>13446</v>
          </cell>
        </row>
        <row r="253">
          <cell r="H253">
            <v>0</v>
          </cell>
          <cell r="M253">
            <v>0</v>
          </cell>
          <cell r="N253" t="str">
            <v>78F2</v>
          </cell>
          <cell r="O253">
            <v>170</v>
          </cell>
          <cell r="P253">
            <v>0</v>
          </cell>
          <cell r="Q253">
            <v>4.16</v>
          </cell>
          <cell r="R253">
            <v>1.6</v>
          </cell>
          <cell r="S253">
            <v>9.6025313279999995</v>
          </cell>
          <cell r="T253">
            <v>32597.474956384667</v>
          </cell>
          <cell r="U253">
            <v>4</v>
          </cell>
          <cell r="V253">
            <v>2869.3672625134632</v>
          </cell>
          <cell r="W253" t="str">
            <v>1F3</v>
          </cell>
          <cell r="X253">
            <v>130</v>
          </cell>
          <cell r="Y253">
            <v>300</v>
          </cell>
          <cell r="Z253">
            <v>0</v>
          </cell>
          <cell r="AA253">
            <v>0.66</v>
          </cell>
          <cell r="AB253">
            <v>0.45</v>
          </cell>
          <cell r="AC253">
            <v>2</v>
          </cell>
          <cell r="AD253">
            <v>2.4500000000000002</v>
          </cell>
          <cell r="AE253">
            <v>368</v>
          </cell>
          <cell r="AF253">
            <v>14572.800000000001</v>
          </cell>
        </row>
        <row r="254">
          <cell r="H254">
            <v>0</v>
          </cell>
          <cell r="I254">
            <v>0.82</v>
          </cell>
          <cell r="J254">
            <v>32</v>
          </cell>
          <cell r="K254">
            <v>21.516799999999996</v>
          </cell>
          <cell r="L254">
            <v>73042.547343359998</v>
          </cell>
          <cell r="M254">
            <v>6429.5131570176</v>
          </cell>
          <cell r="N254" t="str">
            <v>78F4</v>
          </cell>
          <cell r="O254">
            <v>390</v>
          </cell>
          <cell r="P254">
            <v>1</v>
          </cell>
          <cell r="Q254">
            <v>4.16</v>
          </cell>
          <cell r="R254">
            <v>1.6</v>
          </cell>
          <cell r="S254">
            <v>50.537889791999994</v>
          </cell>
          <cell r="T254">
            <v>171559.72113723555</v>
          </cell>
          <cell r="U254">
            <v>4</v>
          </cell>
          <cell r="V254">
            <v>15101.410402363244</v>
          </cell>
          <cell r="W254" t="str">
            <v>42F2</v>
          </cell>
          <cell r="X254">
            <v>360</v>
          </cell>
          <cell r="Y254">
            <v>750</v>
          </cell>
          <cell r="Z254">
            <v>1</v>
          </cell>
          <cell r="AA254">
            <v>0.18</v>
          </cell>
          <cell r="AB254">
            <v>1.1499999999999999</v>
          </cell>
          <cell r="AC254">
            <v>1</v>
          </cell>
          <cell r="AD254">
            <v>2.15</v>
          </cell>
          <cell r="AE254">
            <v>405</v>
          </cell>
          <cell r="AF254">
            <v>4373.9999999999991</v>
          </cell>
        </row>
        <row r="255">
          <cell r="H255">
            <v>0</v>
          </cell>
          <cell r="M255">
            <v>0</v>
          </cell>
          <cell r="N255" t="str">
            <v>78F5</v>
          </cell>
          <cell r="O255">
            <v>180</v>
          </cell>
          <cell r="P255">
            <v>0</v>
          </cell>
          <cell r="Q255">
            <v>4.16</v>
          </cell>
          <cell r="R255">
            <v>1.6</v>
          </cell>
          <cell r="S255">
            <v>10.765467648</v>
          </cell>
          <cell r="T255">
            <v>36545.266041067931</v>
          </cell>
          <cell r="U255">
            <v>4</v>
          </cell>
          <cell r="V255">
            <v>3216.8684880773776</v>
          </cell>
          <cell r="W255" t="str">
            <v>42F1</v>
          </cell>
          <cell r="X255">
            <v>300</v>
          </cell>
          <cell r="Y255">
            <v>480</v>
          </cell>
          <cell r="Z255">
            <v>0</v>
          </cell>
          <cell r="AA255">
            <v>0.95</v>
          </cell>
          <cell r="AB255">
            <v>0.4</v>
          </cell>
          <cell r="AC255">
            <v>1</v>
          </cell>
          <cell r="AD255">
            <v>1.4</v>
          </cell>
          <cell r="AE255">
            <v>139</v>
          </cell>
          <cell r="AF255">
            <v>7922.9999999999991</v>
          </cell>
        </row>
        <row r="256">
          <cell r="H256">
            <v>0</v>
          </cell>
          <cell r="J256">
            <v>32</v>
          </cell>
          <cell r="K256">
            <v>374.28515555555555</v>
          </cell>
          <cell r="L256">
            <v>1270576.5352925865</v>
          </cell>
          <cell r="M256">
            <v>111841.50673524056</v>
          </cell>
          <cell r="N256">
            <v>54</v>
          </cell>
          <cell r="O256">
            <v>10429</v>
          </cell>
          <cell r="P256">
            <v>17</v>
          </cell>
          <cell r="R256">
            <v>1.9333333333333327</v>
          </cell>
          <cell r="S256">
            <v>1037.4393968639999</v>
          </cell>
          <cell r="T256">
            <v>3521769.7920371788</v>
          </cell>
          <cell r="U256">
            <v>4</v>
          </cell>
          <cell r="V256">
            <v>310001.03415682114</v>
          </cell>
          <cell r="X256">
            <v>10975</v>
          </cell>
          <cell r="Y256">
            <v>21404</v>
          </cell>
          <cell r="Z256">
            <v>14</v>
          </cell>
          <cell r="AA256">
            <v>0.35912031591329174</v>
          </cell>
          <cell r="AB256">
            <v>0.3533162493698539</v>
          </cell>
          <cell r="AD256">
            <v>1.2063661569484119</v>
          </cell>
          <cell r="AE256">
            <v>11902</v>
          </cell>
          <cell r="AF256">
            <v>256454.99999999991</v>
          </cell>
        </row>
        <row r="257">
          <cell r="H257">
            <v>1</v>
          </cell>
          <cell r="I257">
            <v>1.27</v>
          </cell>
          <cell r="J257">
            <v>67</v>
          </cell>
          <cell r="K257">
            <v>108.0643</v>
          </cell>
          <cell r="L257">
            <v>366843.19921536004</v>
          </cell>
          <cell r="M257">
            <v>32291.085972537603</v>
          </cell>
          <cell r="N257" t="str">
            <v>21F1</v>
          </cell>
          <cell r="O257">
            <v>400</v>
          </cell>
          <cell r="P257">
            <v>1</v>
          </cell>
          <cell r="Q257">
            <v>13.8</v>
          </cell>
          <cell r="R257">
            <v>4</v>
          </cell>
          <cell r="S257">
            <v>73.128959999999992</v>
          </cell>
          <cell r="T257">
            <v>248249.06691379199</v>
          </cell>
          <cell r="U257">
            <v>0.2</v>
          </cell>
          <cell r="V257">
            <v>21851.930141982721</v>
          </cell>
          <cell r="W257" t="str">
            <v>37F1</v>
          </cell>
          <cell r="X257">
            <v>280</v>
          </cell>
          <cell r="Y257">
            <v>680</v>
          </cell>
          <cell r="Z257">
            <v>1</v>
          </cell>
          <cell r="AA257">
            <v>0.82</v>
          </cell>
          <cell r="AB257">
            <v>0.57999999999999996</v>
          </cell>
          <cell r="AC257">
            <v>2</v>
          </cell>
          <cell r="AD257">
            <v>2.58</v>
          </cell>
          <cell r="AE257">
            <v>210</v>
          </cell>
          <cell r="AF257">
            <v>10332</v>
          </cell>
        </row>
        <row r="258">
          <cell r="H258">
            <v>0</v>
          </cell>
          <cell r="M258">
            <v>0</v>
          </cell>
          <cell r="N258" t="str">
            <v>21F2</v>
          </cell>
          <cell r="O258">
            <v>290</v>
          </cell>
          <cell r="P258">
            <v>1</v>
          </cell>
          <cell r="Q258">
            <v>13.8</v>
          </cell>
          <cell r="R258">
            <v>4</v>
          </cell>
          <cell r="S258">
            <v>38.438409600000007</v>
          </cell>
          <cell r="T258">
            <v>130485.91579656197</v>
          </cell>
          <cell r="U258">
            <v>0.2</v>
          </cell>
          <cell r="V258">
            <v>11485.920780879671</v>
          </cell>
          <cell r="W258" t="str">
            <v>37F3</v>
          </cell>
          <cell r="X258">
            <v>265</v>
          </cell>
          <cell r="Y258">
            <v>555</v>
          </cell>
          <cell r="Z258">
            <v>1</v>
          </cell>
          <cell r="AA258">
            <v>0.59</v>
          </cell>
          <cell r="AB258">
            <v>0.34</v>
          </cell>
          <cell r="AC258">
            <v>2</v>
          </cell>
          <cell r="AD258">
            <v>2.34</v>
          </cell>
          <cell r="AE258">
            <v>574</v>
          </cell>
          <cell r="AF258">
            <v>20319.599999999999</v>
          </cell>
        </row>
        <row r="259">
          <cell r="H259">
            <v>0</v>
          </cell>
          <cell r="M259">
            <v>0</v>
          </cell>
          <cell r="N259" t="str">
            <v>21F3</v>
          </cell>
          <cell r="O259">
            <v>350</v>
          </cell>
          <cell r="P259">
            <v>1</v>
          </cell>
          <cell r="Q259">
            <v>13.8</v>
          </cell>
          <cell r="R259">
            <v>4</v>
          </cell>
          <cell r="S259">
            <v>55.989360000000005</v>
          </cell>
          <cell r="T259">
            <v>190065.69185587202</v>
          </cell>
          <cell r="U259">
            <v>0.2</v>
          </cell>
          <cell r="V259">
            <v>16730.384014955522</v>
          </cell>
          <cell r="W259" t="str">
            <v>21F2</v>
          </cell>
          <cell r="X259">
            <v>290</v>
          </cell>
          <cell r="Y259">
            <v>640</v>
          </cell>
          <cell r="Z259">
            <v>1</v>
          </cell>
          <cell r="AA259">
            <v>0.94</v>
          </cell>
          <cell r="AB259">
            <v>1.02</v>
          </cell>
          <cell r="AC259">
            <v>4</v>
          </cell>
          <cell r="AD259">
            <v>5.0199999999999996</v>
          </cell>
          <cell r="AE259">
            <v>47</v>
          </cell>
          <cell r="AF259">
            <v>2650.8</v>
          </cell>
        </row>
        <row r="260">
          <cell r="H260">
            <v>1</v>
          </cell>
          <cell r="I260">
            <v>1.25</v>
          </cell>
          <cell r="J260">
            <v>67</v>
          </cell>
          <cell r="K260">
            <v>104.6875</v>
          </cell>
          <cell r="L260">
            <v>355380.06000000006</v>
          </cell>
          <cell r="M260">
            <v>31282.052100000001</v>
          </cell>
          <cell r="N260" t="str">
            <v>28F1</v>
          </cell>
          <cell r="O260">
            <v>300</v>
          </cell>
          <cell r="P260">
            <v>1</v>
          </cell>
          <cell r="Q260">
            <v>13.8</v>
          </cell>
          <cell r="R260">
            <v>3.5</v>
          </cell>
          <cell r="S260">
            <v>35.993160000000003</v>
          </cell>
          <cell r="T260">
            <v>122185.08762163202</v>
          </cell>
          <cell r="U260">
            <v>0.2</v>
          </cell>
          <cell r="V260">
            <v>10755.246866757123</v>
          </cell>
          <cell r="W260" t="str">
            <v>48F1</v>
          </cell>
          <cell r="X260">
            <v>360</v>
          </cell>
          <cell r="Y260">
            <v>660</v>
          </cell>
          <cell r="Z260">
            <v>1</v>
          </cell>
          <cell r="AA260">
            <v>0.28000000000000003</v>
          </cell>
          <cell r="AB260">
            <v>0.05</v>
          </cell>
          <cell r="AC260">
            <v>2</v>
          </cell>
          <cell r="AD260">
            <v>2.0499999999999998</v>
          </cell>
          <cell r="AE260">
            <v>55</v>
          </cell>
          <cell r="AF260">
            <v>924.00000000000011</v>
          </cell>
        </row>
        <row r="261">
          <cell r="H261">
            <v>0</v>
          </cell>
          <cell r="M261">
            <v>0</v>
          </cell>
          <cell r="N261" t="str">
            <v>28F2</v>
          </cell>
          <cell r="O261">
            <v>150</v>
          </cell>
          <cell r="P261">
            <v>0</v>
          </cell>
          <cell r="Q261">
            <v>13.8</v>
          </cell>
          <cell r="R261">
            <v>3.5</v>
          </cell>
          <cell r="S261">
            <v>8.9982900000000008</v>
          </cell>
          <cell r="T261">
            <v>30546.271905408004</v>
          </cell>
          <cell r="U261">
            <v>0.2</v>
          </cell>
          <cell r="V261">
            <v>2688.8117166892807</v>
          </cell>
          <cell r="W261" t="str">
            <v>37F3</v>
          </cell>
          <cell r="X261">
            <v>265</v>
          </cell>
          <cell r="Y261">
            <v>415</v>
          </cell>
          <cell r="Z261">
            <v>0</v>
          </cell>
          <cell r="AA261">
            <v>0.13</v>
          </cell>
          <cell r="AB261">
            <v>0.11</v>
          </cell>
          <cell r="AC261">
            <v>3</v>
          </cell>
          <cell r="AD261">
            <v>3.11</v>
          </cell>
          <cell r="AE261">
            <v>28</v>
          </cell>
          <cell r="AF261">
            <v>218.4</v>
          </cell>
        </row>
        <row r="262">
          <cell r="H262">
            <v>0</v>
          </cell>
          <cell r="I262">
            <v>0.91999999999999993</v>
          </cell>
          <cell r="J262">
            <v>67</v>
          </cell>
          <cell r="K262">
            <v>56.708799999999989</v>
          </cell>
          <cell r="L262">
            <v>192507.95698175998</v>
          </cell>
          <cell r="M262">
            <v>16945.362494361598</v>
          </cell>
          <cell r="N262" t="str">
            <v>28F4</v>
          </cell>
          <cell r="O262">
            <v>340</v>
          </cell>
          <cell r="P262">
            <v>1</v>
          </cell>
          <cell r="Q262">
            <v>13.8</v>
          </cell>
          <cell r="R262">
            <v>3.5</v>
          </cell>
          <cell r="S262">
            <v>46.231214399999999</v>
          </cell>
          <cell r="T262">
            <v>156939.9569895629</v>
          </cell>
          <cell r="U262">
            <v>0.2</v>
          </cell>
          <cell r="V262">
            <v>13814.5170866347</v>
          </cell>
          <cell r="W262" t="str">
            <v>37F4</v>
          </cell>
          <cell r="X262">
            <v>175</v>
          </cell>
          <cell r="Y262">
            <v>515</v>
          </cell>
          <cell r="Z262">
            <v>1</v>
          </cell>
          <cell r="AA262">
            <v>0.17</v>
          </cell>
          <cell r="AB262">
            <v>1.28</v>
          </cell>
          <cell r="AC262">
            <v>9</v>
          </cell>
          <cell r="AD262">
            <v>10.28</v>
          </cell>
          <cell r="AE262">
            <v>47</v>
          </cell>
          <cell r="AF262">
            <v>479.40000000000003</v>
          </cell>
        </row>
        <row r="263">
          <cell r="H263">
            <v>0</v>
          </cell>
          <cell r="M263">
            <v>0</v>
          </cell>
          <cell r="N263" t="str">
            <v>28F5</v>
          </cell>
          <cell r="O263">
            <v>220</v>
          </cell>
          <cell r="P263">
            <v>0</v>
          </cell>
          <cell r="Q263">
            <v>13.8</v>
          </cell>
          <cell r="R263">
            <v>3.5</v>
          </cell>
          <cell r="S263">
            <v>19.356321600000005</v>
          </cell>
          <cell r="T263">
            <v>65708.424898744342</v>
          </cell>
          <cell r="U263">
            <v>0.2</v>
          </cell>
          <cell r="V263">
            <v>5783.9327594560527</v>
          </cell>
          <cell r="W263" t="str">
            <v>37F5</v>
          </cell>
          <cell r="X263">
            <v>270</v>
          </cell>
          <cell r="Y263">
            <v>490</v>
          </cell>
          <cell r="Z263">
            <v>0</v>
          </cell>
          <cell r="AA263">
            <v>0</v>
          </cell>
          <cell r="AB263">
            <v>0</v>
          </cell>
          <cell r="AC263">
            <v>0</v>
          </cell>
          <cell r="AD263">
            <v>0</v>
          </cell>
          <cell r="AE263">
            <v>18</v>
          </cell>
          <cell r="AF263">
            <v>0</v>
          </cell>
        </row>
        <row r="264">
          <cell r="H264">
            <v>0</v>
          </cell>
          <cell r="I264">
            <v>0.74</v>
          </cell>
          <cell r="J264">
            <v>67</v>
          </cell>
          <cell r="K264">
            <v>36.6892</v>
          </cell>
          <cell r="L264">
            <v>124547.91734784</v>
          </cell>
          <cell r="M264">
            <v>10963.233107174401</v>
          </cell>
          <cell r="N264" t="str">
            <v>33F1</v>
          </cell>
          <cell r="O264">
            <v>160</v>
          </cell>
          <cell r="P264">
            <v>0</v>
          </cell>
          <cell r="Q264">
            <v>13.8</v>
          </cell>
          <cell r="R264">
            <v>4</v>
          </cell>
          <cell r="S264">
            <v>11.700633600000003</v>
          </cell>
          <cell r="T264">
            <v>39719.850706206737</v>
          </cell>
          <cell r="U264">
            <v>0.2</v>
          </cell>
          <cell r="V264">
            <v>3496.3088227172366</v>
          </cell>
          <cell r="W264" t="str">
            <v>28F1</v>
          </cell>
          <cell r="X264">
            <v>300</v>
          </cell>
          <cell r="Y264">
            <v>460</v>
          </cell>
          <cell r="Z264">
            <v>0</v>
          </cell>
          <cell r="AA264">
            <v>0.27</v>
          </cell>
          <cell r="AB264">
            <v>0.23</v>
          </cell>
          <cell r="AC264">
            <v>4</v>
          </cell>
          <cell r="AD264">
            <v>4.2300000000000004</v>
          </cell>
          <cell r="AE264">
            <v>177</v>
          </cell>
          <cell r="AF264">
            <v>2867.4000000000005</v>
          </cell>
        </row>
        <row r="265">
          <cell r="H265">
            <v>0</v>
          </cell>
          <cell r="M265">
            <v>0</v>
          </cell>
          <cell r="N265" t="str">
            <v>33F2</v>
          </cell>
          <cell r="O265">
            <v>289</v>
          </cell>
          <cell r="P265">
            <v>1</v>
          </cell>
          <cell r="Q265">
            <v>13.8</v>
          </cell>
          <cell r="R265">
            <v>4</v>
          </cell>
          <cell r="S265">
            <v>38.173774176000009</v>
          </cell>
          <cell r="T265">
            <v>129587.56448566768</v>
          </cell>
          <cell r="U265">
            <v>0.2</v>
          </cell>
          <cell r="V265">
            <v>11406.844108678371</v>
          </cell>
          <cell r="W265" t="str">
            <v>37F6</v>
          </cell>
          <cell r="X265">
            <v>370</v>
          </cell>
          <cell r="Y265">
            <v>659</v>
          </cell>
          <cell r="Z265">
            <v>1</v>
          </cell>
          <cell r="AA265">
            <v>0.46</v>
          </cell>
          <cell r="AB265">
            <v>0.36</v>
          </cell>
          <cell r="AC265">
            <v>2</v>
          </cell>
          <cell r="AD265">
            <v>2.36</v>
          </cell>
          <cell r="AE265">
            <v>1009</v>
          </cell>
          <cell r="AF265">
            <v>27848.400000000001</v>
          </cell>
        </row>
        <row r="266">
          <cell r="H266">
            <v>0</v>
          </cell>
          <cell r="I266">
            <v>0.53</v>
          </cell>
          <cell r="J266">
            <v>67</v>
          </cell>
          <cell r="K266">
            <v>18.820300000000003</v>
          </cell>
          <cell r="L266">
            <v>63888.805666560016</v>
          </cell>
          <cell r="M266">
            <v>5623.7621983296012</v>
          </cell>
          <cell r="N266" t="str">
            <v>34F1</v>
          </cell>
          <cell r="O266">
            <v>150</v>
          </cell>
          <cell r="P266">
            <v>0</v>
          </cell>
          <cell r="Q266">
            <v>13.8</v>
          </cell>
          <cell r="R266">
            <v>4</v>
          </cell>
          <cell r="S266">
            <v>10.283760000000001</v>
          </cell>
          <cell r="T266">
            <v>34910.025034752005</v>
          </cell>
          <cell r="U266">
            <v>0.2</v>
          </cell>
          <cell r="V266">
            <v>3072.9276762163208</v>
          </cell>
          <cell r="W266" t="str">
            <v>17F1</v>
          </cell>
          <cell r="X266">
            <v>270</v>
          </cell>
          <cell r="Y266">
            <v>420</v>
          </cell>
          <cell r="Z266">
            <v>0</v>
          </cell>
          <cell r="AA266">
            <v>0</v>
          </cell>
          <cell r="AB266">
            <v>0</v>
          </cell>
          <cell r="AC266">
            <v>0</v>
          </cell>
          <cell r="AD266">
            <v>0</v>
          </cell>
          <cell r="AE266">
            <v>21</v>
          </cell>
          <cell r="AF266">
            <v>0</v>
          </cell>
        </row>
        <row r="267">
          <cell r="H267">
            <v>0</v>
          </cell>
          <cell r="M267">
            <v>0</v>
          </cell>
          <cell r="N267" t="str">
            <v>34F2</v>
          </cell>
          <cell r="O267">
            <v>200</v>
          </cell>
          <cell r="P267">
            <v>0</v>
          </cell>
          <cell r="Q267">
            <v>13.8</v>
          </cell>
          <cell r="R267">
            <v>4</v>
          </cell>
          <cell r="S267">
            <v>18.282239999999998</v>
          </cell>
          <cell r="T267">
            <v>62062.266728447998</v>
          </cell>
          <cell r="U267">
            <v>0.2</v>
          </cell>
          <cell r="V267">
            <v>5462.9825354956802</v>
          </cell>
          <cell r="W267" t="str">
            <v>37F1</v>
          </cell>
          <cell r="X267">
            <v>280</v>
          </cell>
          <cell r="Y267">
            <v>480</v>
          </cell>
          <cell r="Z267">
            <v>0</v>
          </cell>
          <cell r="AA267">
            <v>0</v>
          </cell>
          <cell r="AB267">
            <v>0</v>
          </cell>
          <cell r="AC267">
            <v>0</v>
          </cell>
          <cell r="AD267">
            <v>0</v>
          </cell>
          <cell r="AE267">
            <v>38</v>
          </cell>
          <cell r="AF267">
            <v>0</v>
          </cell>
        </row>
        <row r="268">
          <cell r="H268">
            <v>0</v>
          </cell>
          <cell r="M268">
            <v>0</v>
          </cell>
          <cell r="N268" t="str">
            <v>34F3</v>
          </cell>
          <cell r="O268">
            <v>0</v>
          </cell>
          <cell r="P268">
            <v>0</v>
          </cell>
          <cell r="Q268">
            <v>13.8</v>
          </cell>
          <cell r="R268">
            <v>4</v>
          </cell>
          <cell r="S268">
            <v>0</v>
          </cell>
          <cell r="T268">
            <v>0</v>
          </cell>
          <cell r="U268">
            <v>0.2</v>
          </cell>
          <cell r="V268">
            <v>0</v>
          </cell>
          <cell r="W268" t="str">
            <v>17F2</v>
          </cell>
          <cell r="X268">
            <v>250</v>
          </cell>
          <cell r="Y268">
            <v>250</v>
          </cell>
          <cell r="Z268">
            <v>0</v>
          </cell>
          <cell r="AA268">
            <v>0</v>
          </cell>
          <cell r="AB268">
            <v>0</v>
          </cell>
          <cell r="AC268">
            <v>0</v>
          </cell>
          <cell r="AD268">
            <v>0</v>
          </cell>
          <cell r="AE268">
            <v>0</v>
          </cell>
          <cell r="AF268">
            <v>0</v>
          </cell>
        </row>
        <row r="269">
          <cell r="H269">
            <v>0</v>
          </cell>
          <cell r="I269">
            <v>0.91999999999999993</v>
          </cell>
          <cell r="J269">
            <v>67</v>
          </cell>
          <cell r="K269">
            <v>56.708799999999989</v>
          </cell>
          <cell r="L269">
            <v>192507.95698175998</v>
          </cell>
          <cell r="M269">
            <v>16945.362494361598</v>
          </cell>
          <cell r="N269" t="str">
            <v>37F1</v>
          </cell>
          <cell r="O269">
            <v>280</v>
          </cell>
          <cell r="P269">
            <v>1</v>
          </cell>
          <cell r="Q269">
            <v>13.8</v>
          </cell>
          <cell r="R269">
            <v>3.5</v>
          </cell>
          <cell r="S269">
            <v>31.354041600000002</v>
          </cell>
          <cell r="T269">
            <v>106436.78743928832</v>
          </cell>
          <cell r="U269">
            <v>0.2</v>
          </cell>
          <cell r="V269">
            <v>9369.0150483750913</v>
          </cell>
          <cell r="W269" t="str">
            <v>34F2</v>
          </cell>
          <cell r="X269">
            <v>200</v>
          </cell>
          <cell r="Y269">
            <v>480</v>
          </cell>
          <cell r="Z269">
            <v>0</v>
          </cell>
          <cell r="AA269">
            <v>0.02</v>
          </cell>
          <cell r="AB269">
            <v>0.03</v>
          </cell>
          <cell r="AC269">
            <v>0</v>
          </cell>
          <cell r="AD269">
            <v>0.03</v>
          </cell>
          <cell r="AE269">
            <v>420</v>
          </cell>
          <cell r="AF269">
            <v>504</v>
          </cell>
        </row>
        <row r="270">
          <cell r="H270">
            <v>0</v>
          </cell>
          <cell r="M270">
            <v>0</v>
          </cell>
          <cell r="N270" t="str">
            <v>37F2</v>
          </cell>
          <cell r="O270">
            <v>260</v>
          </cell>
          <cell r="P270">
            <v>1</v>
          </cell>
          <cell r="Q270">
            <v>13.8</v>
          </cell>
          <cell r="R270">
            <v>3.5</v>
          </cell>
          <cell r="S270">
            <v>27.034862400000009</v>
          </cell>
          <cell r="T270">
            <v>91774.576924692519</v>
          </cell>
          <cell r="U270">
            <v>0.2</v>
          </cell>
          <cell r="V270">
            <v>8078.38542436424</v>
          </cell>
          <cell r="W270" t="str">
            <v>21F2</v>
          </cell>
          <cell r="X270">
            <v>290</v>
          </cell>
          <cell r="Y270">
            <v>550</v>
          </cell>
          <cell r="Z270">
            <v>1</v>
          </cell>
          <cell r="AA270">
            <v>0.36</v>
          </cell>
          <cell r="AB270">
            <v>1.4</v>
          </cell>
          <cell r="AC270">
            <v>4</v>
          </cell>
          <cell r="AD270">
            <v>5.4</v>
          </cell>
          <cell r="AE270">
            <v>719</v>
          </cell>
          <cell r="AF270">
            <v>15530.399999999998</v>
          </cell>
        </row>
        <row r="271">
          <cell r="H271">
            <v>0</v>
          </cell>
          <cell r="M271">
            <v>0</v>
          </cell>
          <cell r="N271" t="str">
            <v>37F3</v>
          </cell>
          <cell r="O271">
            <v>265</v>
          </cell>
          <cell r="P271">
            <v>1</v>
          </cell>
          <cell r="Q271">
            <v>13.8</v>
          </cell>
          <cell r="R271">
            <v>3.5</v>
          </cell>
          <cell r="S271">
            <v>28.084662900000005</v>
          </cell>
          <cell r="T271">
            <v>95338.308646990103</v>
          </cell>
          <cell r="U271">
            <v>0.2</v>
          </cell>
          <cell r="V271">
            <v>8392.0801246446554</v>
          </cell>
          <cell r="W271" t="str">
            <v>28F2</v>
          </cell>
          <cell r="X271">
            <v>150</v>
          </cell>
          <cell r="Y271">
            <v>415</v>
          </cell>
          <cell r="Z271">
            <v>0</v>
          </cell>
          <cell r="AA271">
            <v>0.53</v>
          </cell>
          <cell r="AB271">
            <v>1.48</v>
          </cell>
          <cell r="AC271">
            <v>3</v>
          </cell>
          <cell r="AD271">
            <v>4.4800000000000004</v>
          </cell>
          <cell r="AE271">
            <v>254</v>
          </cell>
          <cell r="AF271">
            <v>8077.2000000000007</v>
          </cell>
        </row>
        <row r="272">
          <cell r="H272">
            <v>0</v>
          </cell>
          <cell r="I272">
            <v>0.70499999999999996</v>
          </cell>
          <cell r="J272">
            <v>67</v>
          </cell>
          <cell r="K272">
            <v>33.300674999999998</v>
          </cell>
          <cell r="L272">
            <v>113044.97556576</v>
          </cell>
          <cell r="M272">
            <v>9950.695644801599</v>
          </cell>
          <cell r="N272" t="str">
            <v>37F4</v>
          </cell>
          <cell r="O272">
            <v>175</v>
          </cell>
          <cell r="P272">
            <v>0</v>
          </cell>
          <cell r="Q272">
            <v>13.8</v>
          </cell>
          <cell r="R272">
            <v>3.5</v>
          </cell>
          <cell r="S272">
            <v>12.2476725</v>
          </cell>
          <cell r="T272">
            <v>41576.870093472004</v>
          </cell>
          <cell r="U272">
            <v>0.2</v>
          </cell>
          <cell r="V272">
            <v>3659.7715032715205</v>
          </cell>
          <cell r="W272" t="str">
            <v>48F3</v>
          </cell>
          <cell r="X272">
            <v>240</v>
          </cell>
          <cell r="Y272">
            <v>415</v>
          </cell>
          <cell r="Z272">
            <v>0</v>
          </cell>
          <cell r="AA272">
            <v>1.23</v>
          </cell>
          <cell r="AB272">
            <v>1</v>
          </cell>
          <cell r="AC272">
            <v>4</v>
          </cell>
          <cell r="AD272">
            <v>5</v>
          </cell>
          <cell r="AE272">
            <v>31</v>
          </cell>
          <cell r="AF272">
            <v>2287.8000000000002</v>
          </cell>
        </row>
        <row r="273">
          <cell r="H273">
            <v>0</v>
          </cell>
          <cell r="M273">
            <v>0</v>
          </cell>
          <cell r="N273" t="str">
            <v>37F5</v>
          </cell>
          <cell r="O273">
            <v>270</v>
          </cell>
          <cell r="P273">
            <v>1</v>
          </cell>
          <cell r="Q273">
            <v>13.8</v>
          </cell>
          <cell r="R273">
            <v>3.5</v>
          </cell>
          <cell r="S273">
            <v>29.154459600000003</v>
          </cell>
          <cell r="T273">
            <v>98969.920973521934</v>
          </cell>
          <cell r="U273">
            <v>0.2</v>
          </cell>
          <cell r="V273">
            <v>8711.7499620732688</v>
          </cell>
          <cell r="W273" t="str">
            <v>28F2</v>
          </cell>
          <cell r="X273">
            <v>150</v>
          </cell>
          <cell r="Y273">
            <v>420</v>
          </cell>
          <cell r="Z273">
            <v>0</v>
          </cell>
          <cell r="AA273">
            <v>0.03</v>
          </cell>
          <cell r="AB273">
            <v>1</v>
          </cell>
          <cell r="AC273">
            <v>2</v>
          </cell>
          <cell r="AD273">
            <v>3</v>
          </cell>
          <cell r="AE273">
            <v>794</v>
          </cell>
          <cell r="AF273">
            <v>1429.2</v>
          </cell>
        </row>
        <row r="274">
          <cell r="H274">
            <v>0</v>
          </cell>
          <cell r="M274">
            <v>0</v>
          </cell>
          <cell r="N274" t="str">
            <v>37F6</v>
          </cell>
          <cell r="O274">
            <v>370</v>
          </cell>
          <cell r="P274">
            <v>1</v>
          </cell>
          <cell r="Q274">
            <v>13.8</v>
          </cell>
          <cell r="R274">
            <v>3.5</v>
          </cell>
          <cell r="S274">
            <v>54.749595600000013</v>
          </cell>
          <cell r="T274">
            <v>185857.09439334917</v>
          </cell>
          <cell r="U274">
            <v>0.2</v>
          </cell>
          <cell r="V274">
            <v>16359.925511767226</v>
          </cell>
          <cell r="W274" t="str">
            <v>48F2</v>
          </cell>
          <cell r="X274">
            <v>350</v>
          </cell>
          <cell r="Y274">
            <v>720</v>
          </cell>
          <cell r="Z274">
            <v>1</v>
          </cell>
          <cell r="AA274">
            <v>1.83</v>
          </cell>
          <cell r="AB274">
            <v>2.19</v>
          </cell>
          <cell r="AC274">
            <v>5</v>
          </cell>
          <cell r="AD274">
            <v>7.1899999999999995</v>
          </cell>
          <cell r="AE274">
            <v>1669</v>
          </cell>
          <cell r="AF274">
            <v>183256.2</v>
          </cell>
        </row>
        <row r="275">
          <cell r="H275">
            <v>0</v>
          </cell>
          <cell r="I275">
            <v>0.85</v>
          </cell>
          <cell r="J275">
            <v>67</v>
          </cell>
          <cell r="K275">
            <v>48.407499999999992</v>
          </cell>
          <cell r="L275">
            <v>164327.73974399999</v>
          </cell>
          <cell r="M275">
            <v>14464.820891039999</v>
          </cell>
          <cell r="N275" t="str">
            <v>48F1</v>
          </cell>
          <cell r="O275">
            <v>360</v>
          </cell>
          <cell r="P275">
            <v>1</v>
          </cell>
          <cell r="Q275">
            <v>13.8</v>
          </cell>
          <cell r="R275">
            <v>3.5</v>
          </cell>
          <cell r="S275">
            <v>51.830150400000008</v>
          </cell>
          <cell r="T275">
            <v>175946.52617515012</v>
          </cell>
          <cell r="U275">
            <v>0.2</v>
          </cell>
          <cell r="V275">
            <v>15487.555488130256</v>
          </cell>
          <cell r="W275" t="str">
            <v>37F4</v>
          </cell>
          <cell r="X275">
            <v>175</v>
          </cell>
          <cell r="Y275">
            <v>535</v>
          </cell>
          <cell r="Z275">
            <v>1</v>
          </cell>
          <cell r="AA275">
            <v>7.0000000000000007E-2</v>
          </cell>
          <cell r="AB275">
            <v>1.42</v>
          </cell>
          <cell r="AC275">
            <v>0</v>
          </cell>
          <cell r="AD275">
            <v>1.42</v>
          </cell>
          <cell r="AE275">
            <v>1216</v>
          </cell>
          <cell r="AF275">
            <v>5107.2000000000007</v>
          </cell>
        </row>
        <row r="276">
          <cell r="H276">
            <v>0</v>
          </cell>
          <cell r="M276">
            <v>0</v>
          </cell>
          <cell r="N276" t="str">
            <v>48F2</v>
          </cell>
          <cell r="O276">
            <v>350</v>
          </cell>
          <cell r="P276">
            <v>1</v>
          </cell>
          <cell r="Q276">
            <v>13.8</v>
          </cell>
          <cell r="R276">
            <v>3.5</v>
          </cell>
          <cell r="S276">
            <v>48.990690000000001</v>
          </cell>
          <cell r="T276">
            <v>166307.48037388801</v>
          </cell>
          <cell r="U276">
            <v>0.2</v>
          </cell>
          <cell r="V276">
            <v>14639.086013086082</v>
          </cell>
          <cell r="W276" t="str">
            <v>28F5</v>
          </cell>
          <cell r="X276">
            <v>220</v>
          </cell>
          <cell r="Y276">
            <v>570</v>
          </cell>
          <cell r="Z276">
            <v>1</v>
          </cell>
          <cell r="AA276">
            <v>0</v>
          </cell>
          <cell r="AB276">
            <v>0</v>
          </cell>
          <cell r="AC276">
            <v>0</v>
          </cell>
          <cell r="AD276">
            <v>0</v>
          </cell>
          <cell r="AE276">
            <v>543</v>
          </cell>
          <cell r="AF276">
            <v>0</v>
          </cell>
        </row>
        <row r="277">
          <cell r="H277">
            <v>0</v>
          </cell>
          <cell r="M277">
            <v>0</v>
          </cell>
          <cell r="N277" t="str">
            <v>48F3</v>
          </cell>
          <cell r="O277">
            <v>240</v>
          </cell>
          <cell r="P277">
            <v>0</v>
          </cell>
          <cell r="Q277">
            <v>13.8</v>
          </cell>
          <cell r="R277">
            <v>3.5</v>
          </cell>
          <cell r="S277">
            <v>23.035622400000001</v>
          </cell>
          <cell r="T277">
            <v>78198.456077844487</v>
          </cell>
          <cell r="U277">
            <v>0.2</v>
          </cell>
          <cell r="V277">
            <v>6883.357994724558</v>
          </cell>
          <cell r="W277" t="str">
            <v>28F1</v>
          </cell>
          <cell r="X277">
            <v>300</v>
          </cell>
          <cell r="Y277">
            <v>540</v>
          </cell>
          <cell r="Z277">
            <v>1</v>
          </cell>
          <cell r="AA277">
            <v>1.74</v>
          </cell>
          <cell r="AB277">
            <v>2.23</v>
          </cell>
          <cell r="AC277">
            <v>0</v>
          </cell>
          <cell r="AD277">
            <v>2.23</v>
          </cell>
          <cell r="AE277">
            <v>22</v>
          </cell>
          <cell r="AF277">
            <v>2296.8000000000002</v>
          </cell>
        </row>
        <row r="278">
          <cell r="H278">
            <v>0</v>
          </cell>
          <cell r="M278">
            <v>0</v>
          </cell>
          <cell r="N278" t="str">
            <v>48F4</v>
          </cell>
          <cell r="O278">
            <v>275</v>
          </cell>
          <cell r="P278">
            <v>1</v>
          </cell>
          <cell r="Q278">
            <v>13.8</v>
          </cell>
          <cell r="R278">
            <v>3.5</v>
          </cell>
          <cell r="S278">
            <v>30.244252500000002</v>
          </cell>
          <cell r="T278">
            <v>102669.41390428801</v>
          </cell>
          <cell r="U278">
            <v>0.2</v>
          </cell>
          <cell r="V278">
            <v>9037.3949366500819</v>
          </cell>
          <cell r="W278" t="str">
            <v>37F6</v>
          </cell>
          <cell r="X278">
            <v>370</v>
          </cell>
          <cell r="Y278">
            <v>645</v>
          </cell>
          <cell r="Z278">
            <v>1</v>
          </cell>
          <cell r="AA278">
            <v>2.95</v>
          </cell>
          <cell r="AB278">
            <v>1.88</v>
          </cell>
          <cell r="AC278">
            <v>9</v>
          </cell>
          <cell r="AD278">
            <v>10.879999999999999</v>
          </cell>
          <cell r="AE278">
            <v>1505</v>
          </cell>
          <cell r="AF278">
            <v>266385</v>
          </cell>
        </row>
        <row r="279">
          <cell r="H279">
            <v>2</v>
          </cell>
          <cell r="J279">
            <v>67</v>
          </cell>
          <cell r="K279">
            <v>463.38707499999998</v>
          </cell>
          <cell r="L279">
            <v>1573048.61150304</v>
          </cell>
          <cell r="M279">
            <v>138466.37490260642</v>
          </cell>
          <cell r="N279">
            <v>22</v>
          </cell>
          <cell r="O279">
            <v>5694</v>
          </cell>
          <cell r="P279">
            <v>14</v>
          </cell>
          <cell r="R279">
            <v>3.6818181818181817</v>
          </cell>
          <cell r="S279">
            <v>693.30213327600006</v>
          </cell>
          <cell r="T279">
            <v>2353535.5579391322</v>
          </cell>
          <cell r="U279">
            <v>0.20000000000000007</v>
          </cell>
          <cell r="V279">
            <v>207168.12851754963</v>
          </cell>
          <cell r="X279">
            <v>5820</v>
          </cell>
          <cell r="Y279">
            <v>11514</v>
          </cell>
          <cell r="Z279">
            <v>12</v>
          </cell>
          <cell r="AA279">
            <v>0.97639991486644684</v>
          </cell>
          <cell r="AB279">
            <v>1.2041342981802701</v>
          </cell>
          <cell r="AD279">
            <v>4.6455517718420776</v>
          </cell>
          <cell r="AE279">
            <v>9397</v>
          </cell>
          <cell r="AF279">
            <v>550513.80000000005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D4" t="str">
            <v>TABLE 1</v>
          </cell>
        </row>
        <row r="5">
          <cell r="D5" t="str">
            <v xml:space="preserve">SUMMARY OF </v>
          </cell>
        </row>
        <row r="6">
          <cell r="D6" t="str">
            <v>RECOMMENDED SYSTEM EXPANSION PROJECTS - 1997</v>
          </cell>
        </row>
        <row r="8">
          <cell r="E8">
            <v>1997</v>
          </cell>
        </row>
        <row r="9">
          <cell r="C9" t="str">
            <v>Item</v>
          </cell>
          <cell r="D9" t="str">
            <v>Description</v>
          </cell>
          <cell r="E9" t="str">
            <v>Budget</v>
          </cell>
        </row>
        <row r="10">
          <cell r="E10" t="str">
            <v>Amount</v>
          </cell>
        </row>
        <row r="12">
          <cell r="D12" t="str">
            <v>SUBTRANSMISSION</v>
          </cell>
        </row>
        <row r="15">
          <cell r="C15">
            <v>1</v>
          </cell>
          <cell r="D15" t="str">
            <v>44 kV Aquitaine MS - C.P.R. Feeder Tie</v>
          </cell>
          <cell r="E15">
            <v>160000</v>
          </cell>
        </row>
        <row r="16">
          <cell r="C16">
            <v>2</v>
          </cell>
          <cell r="D16" t="str">
            <v>44 kV Meadowvale Feeder Egress</v>
          </cell>
          <cell r="E16">
            <v>350000</v>
          </cell>
        </row>
        <row r="17">
          <cell r="C17">
            <v>3</v>
          </cell>
          <cell r="D17" t="str">
            <v>44 kV Mississauga Rd. Feeder Tie</v>
          </cell>
          <cell r="E17">
            <v>50000</v>
          </cell>
        </row>
        <row r="18">
          <cell r="C18">
            <v>4</v>
          </cell>
          <cell r="D18" t="str">
            <v>44 kV Britannia Rd. Feeder Tie</v>
          </cell>
          <cell r="E18">
            <v>0</v>
          </cell>
        </row>
        <row r="19">
          <cell r="C19">
            <v>5</v>
          </cell>
          <cell r="D19" t="str">
            <v>44 kV Drew Rd. Feeder Tie</v>
          </cell>
          <cell r="E19">
            <v>0</v>
          </cell>
        </row>
        <row r="20">
          <cell r="C20">
            <v>6</v>
          </cell>
          <cell r="D20" t="str">
            <v>27.6 kV Stanfield Feeder Tie</v>
          </cell>
          <cell r="E20">
            <v>0</v>
          </cell>
        </row>
        <row r="21">
          <cell r="C21">
            <v>7</v>
          </cell>
          <cell r="D21" t="str">
            <v>27.6 kV Midway Feeder Tie</v>
          </cell>
          <cell r="E21">
            <v>335000</v>
          </cell>
        </row>
        <row r="22">
          <cell r="C22">
            <v>8</v>
          </cell>
          <cell r="D22" t="str">
            <v>27.6 kV Pacific Drive Feeder Tie</v>
          </cell>
          <cell r="E22">
            <v>110000</v>
          </cell>
        </row>
        <row r="23">
          <cell r="C23">
            <v>9</v>
          </cell>
          <cell r="D23" t="str">
            <v>27.6 kV Kennedy/401 Crossing</v>
          </cell>
          <cell r="E23">
            <v>155000</v>
          </cell>
        </row>
        <row r="24">
          <cell r="C24">
            <v>10</v>
          </cell>
          <cell r="D24" t="str">
            <v>27.6 kV Bramalea TS Feeder Ties</v>
          </cell>
          <cell r="E24">
            <v>300000</v>
          </cell>
        </row>
        <row r="25">
          <cell r="C25">
            <v>11</v>
          </cell>
          <cell r="D25" t="str">
            <v>27.6 kV Highway 10 Feeder Tie</v>
          </cell>
          <cell r="E25">
            <v>0</v>
          </cell>
        </row>
        <row r="27">
          <cell r="D27" t="str">
            <v>TOTAL - TRANSMISSION</v>
          </cell>
          <cell r="E27">
            <v>1460000</v>
          </cell>
        </row>
        <row r="30">
          <cell r="D30" t="str">
            <v>TABLE 1 (Cont'd)</v>
          </cell>
        </row>
        <row r="31">
          <cell r="D31" t="str">
            <v xml:space="preserve">SUMMARY OF </v>
          </cell>
        </row>
        <row r="32">
          <cell r="D32" t="str">
            <v>RECOMMENDED SYSTEM EXPANSION PROJECTS - 1997</v>
          </cell>
        </row>
        <row r="34">
          <cell r="E34">
            <v>1997</v>
          </cell>
        </row>
        <row r="35">
          <cell r="C35" t="str">
            <v>Item</v>
          </cell>
          <cell r="D35" t="str">
            <v>Description</v>
          </cell>
          <cell r="E35" t="str">
            <v>Budget</v>
          </cell>
        </row>
        <row r="36">
          <cell r="E36" t="str">
            <v>Estimate</v>
          </cell>
        </row>
        <row r="39">
          <cell r="D39" t="str">
            <v>DISTRIBUTION</v>
          </cell>
        </row>
        <row r="41">
          <cell r="C41">
            <v>1</v>
          </cell>
          <cell r="D41" t="str">
            <v xml:space="preserve">Streetsville Conversion </v>
          </cell>
          <cell r="E41">
            <v>100000</v>
          </cell>
        </row>
        <row r="42">
          <cell r="C42">
            <v>2</v>
          </cell>
          <cell r="D42" t="str">
            <v xml:space="preserve">13.8 kV WCB/Collegeway Tie </v>
          </cell>
          <cell r="E42">
            <v>80000</v>
          </cell>
        </row>
        <row r="43">
          <cell r="C43">
            <v>3</v>
          </cell>
          <cell r="D43" t="str">
            <v>13.8 kV Burnhamthorpe Road Feeder Tie</v>
          </cell>
          <cell r="E43">
            <v>300000</v>
          </cell>
        </row>
        <row r="44">
          <cell r="C44">
            <v>4</v>
          </cell>
          <cell r="D44" t="str">
            <v>13.8 kV Tomken Road Feeder Tie</v>
          </cell>
          <cell r="E44">
            <v>160000</v>
          </cell>
        </row>
        <row r="45">
          <cell r="C45">
            <v>5</v>
          </cell>
          <cell r="D45" t="str">
            <v>13.8 kV American/Elmbank Drive Feeder Tie</v>
          </cell>
          <cell r="E45">
            <v>360000</v>
          </cell>
        </row>
        <row r="46">
          <cell r="C46">
            <v>6</v>
          </cell>
          <cell r="D46" t="str">
            <v>13.8 kV Derry Rd. &amp; Ninth Line Feeder Tie</v>
          </cell>
          <cell r="E46">
            <v>60000</v>
          </cell>
        </row>
        <row r="47">
          <cell r="C47">
            <v>7</v>
          </cell>
          <cell r="D47" t="str">
            <v>13.8 kV Mississauga Road Feeder Tie</v>
          </cell>
          <cell r="E47">
            <v>150000</v>
          </cell>
        </row>
        <row r="48">
          <cell r="C48">
            <v>8</v>
          </cell>
          <cell r="D48" t="str">
            <v>4.16 kV Bromsgrove MS/Clarkson MS Tie</v>
          </cell>
          <cell r="E48">
            <v>0</v>
          </cell>
        </row>
        <row r="49">
          <cell r="C49">
            <v>9</v>
          </cell>
          <cell r="D49" t="str">
            <v>4.16 kV Atwater Feeder Tie</v>
          </cell>
          <cell r="E49">
            <v>0</v>
          </cell>
        </row>
        <row r="50">
          <cell r="C50">
            <v>10</v>
          </cell>
          <cell r="D50" t="str">
            <v>4.16 kV Pinetree MS/Melton MS Tie</v>
          </cell>
          <cell r="E50">
            <v>0</v>
          </cell>
        </row>
        <row r="51">
          <cell r="C51">
            <v>11</v>
          </cell>
          <cell r="D51" t="str">
            <v>4.16 kV Bromsgrove MS/Park West MS Tie</v>
          </cell>
          <cell r="E51">
            <v>0</v>
          </cell>
        </row>
        <row r="52">
          <cell r="C52">
            <v>12</v>
          </cell>
          <cell r="D52" t="str">
            <v>4.16 kV Bromsgrove MS/Robin MS Tie</v>
          </cell>
          <cell r="E52">
            <v>0</v>
          </cell>
        </row>
        <row r="53">
          <cell r="C53">
            <v>13</v>
          </cell>
          <cell r="D53" t="str">
            <v>4.16 kV Lakeshore Road Feeder Tie</v>
          </cell>
          <cell r="E53">
            <v>0</v>
          </cell>
        </row>
        <row r="54">
          <cell r="C54">
            <v>14</v>
          </cell>
          <cell r="D54" t="str">
            <v xml:space="preserve">4.16 kV Stanfield Road Feeder Tie </v>
          </cell>
          <cell r="E54">
            <v>0</v>
          </cell>
        </row>
        <row r="55">
          <cell r="C55">
            <v>15</v>
          </cell>
          <cell r="D55" t="str">
            <v xml:space="preserve">4.16 kV Clarkson/Lorne Park Feeder Tie </v>
          </cell>
          <cell r="E55">
            <v>0</v>
          </cell>
        </row>
        <row r="57">
          <cell r="D57" t="str">
            <v>TOTAL - DISTRIBUTION</v>
          </cell>
          <cell r="E57">
            <v>1210000</v>
          </cell>
        </row>
        <row r="62">
          <cell r="D62" t="str">
            <v>TABLE 1 (Cont'd)</v>
          </cell>
        </row>
        <row r="63">
          <cell r="D63" t="str">
            <v xml:space="preserve">SUMMARY OF </v>
          </cell>
        </row>
        <row r="64">
          <cell r="D64" t="str">
            <v>RECOMMENDED SYSTEM EXPANSION PROJECTS - 1997</v>
          </cell>
        </row>
        <row r="66">
          <cell r="E66">
            <v>1997</v>
          </cell>
        </row>
        <row r="67">
          <cell r="C67" t="str">
            <v>Item</v>
          </cell>
          <cell r="D67" t="str">
            <v>Description</v>
          </cell>
          <cell r="E67" t="str">
            <v>Budget</v>
          </cell>
        </row>
        <row r="68">
          <cell r="E68" t="str">
            <v>Estimate</v>
          </cell>
        </row>
        <row r="71">
          <cell r="D71" t="str">
            <v>MUNICIPAL SUBSTATIONS</v>
          </cell>
        </row>
        <row r="73">
          <cell r="C73">
            <v>1</v>
          </cell>
          <cell r="D73" t="str">
            <v>Lisgar M.S.</v>
          </cell>
          <cell r="E73">
            <v>1200000</v>
          </cell>
        </row>
        <row r="74">
          <cell r="C74">
            <v>2</v>
          </cell>
          <cell r="D74" t="str">
            <v xml:space="preserve">Sheridan Park System Rebuild  </v>
          </cell>
          <cell r="E74">
            <v>600000</v>
          </cell>
        </row>
        <row r="75">
          <cell r="C75">
            <v>3</v>
          </cell>
          <cell r="D75" t="str">
            <v>Orlando M.S.</v>
          </cell>
          <cell r="E75">
            <v>600000</v>
          </cell>
        </row>
        <row r="76">
          <cell r="C76">
            <v>4</v>
          </cell>
          <cell r="D76" t="str">
            <v>Chalkdene M.S.</v>
          </cell>
          <cell r="E76">
            <v>0</v>
          </cell>
        </row>
        <row r="77">
          <cell r="C77">
            <v>5</v>
          </cell>
          <cell r="D77" t="str">
            <v>Rockwood M.S.</v>
          </cell>
          <cell r="E77">
            <v>0</v>
          </cell>
        </row>
        <row r="78">
          <cell r="C78">
            <v>6</v>
          </cell>
          <cell r="D78" t="str">
            <v>Woodlake M.S. Rebuild</v>
          </cell>
          <cell r="E78">
            <v>50000</v>
          </cell>
        </row>
        <row r="79">
          <cell r="C79">
            <v>7</v>
          </cell>
          <cell r="D79" t="str">
            <v>Orchard Heights M.S.</v>
          </cell>
          <cell r="E79">
            <v>250000</v>
          </cell>
        </row>
        <row r="81">
          <cell r="D81" t="str">
            <v>TOTAL - SUBSTATION</v>
          </cell>
          <cell r="E81">
            <v>2700000</v>
          </cell>
        </row>
        <row r="84">
          <cell r="D84" t="str">
            <v>SUBDIVISION REBUILDS</v>
          </cell>
        </row>
        <row r="86">
          <cell r="C86">
            <v>1</v>
          </cell>
          <cell r="D86" t="str">
            <v>Sheridan Homelands - Phase V</v>
          </cell>
          <cell r="E86">
            <v>1200000</v>
          </cell>
        </row>
        <row r="87">
          <cell r="C87">
            <v>2</v>
          </cell>
          <cell r="D87" t="str">
            <v>Malton - Phase VI</v>
          </cell>
          <cell r="E87">
            <v>1000000</v>
          </cell>
        </row>
        <row r="88">
          <cell r="C88">
            <v>3</v>
          </cell>
          <cell r="D88" t="str">
            <v>Forest Glenn Area - Phase III</v>
          </cell>
          <cell r="E88">
            <v>1200000</v>
          </cell>
        </row>
        <row r="89">
          <cell r="C89">
            <v>4</v>
          </cell>
          <cell r="D89" t="str">
            <v>Meadowvale T.C. Main Feeders - Phase III</v>
          </cell>
          <cell r="E89">
            <v>600000</v>
          </cell>
        </row>
        <row r="90">
          <cell r="C90">
            <v>5</v>
          </cell>
          <cell r="D90" t="str">
            <v>Woodlands - Phase II</v>
          </cell>
          <cell r="E90">
            <v>1200000</v>
          </cell>
        </row>
        <row r="93">
          <cell r="D93" t="str">
            <v>TOTAL - SUBDIVISION REBUILDS</v>
          </cell>
          <cell r="E93">
            <v>5200000</v>
          </cell>
        </row>
        <row r="102">
          <cell r="D102" t="str">
            <v>TABLE 1 (Cont'd)</v>
          </cell>
        </row>
        <row r="103">
          <cell r="D103" t="str">
            <v xml:space="preserve">SUMMARY OF </v>
          </cell>
        </row>
        <row r="104">
          <cell r="D104" t="str">
            <v>RECOMMENDED SYSTEM EXPANSION PROJECTS - 1997</v>
          </cell>
        </row>
        <row r="106">
          <cell r="E106">
            <v>1997</v>
          </cell>
        </row>
        <row r="107">
          <cell r="C107" t="str">
            <v>Item</v>
          </cell>
          <cell r="D107" t="str">
            <v>Description</v>
          </cell>
          <cell r="E107" t="str">
            <v>Budget</v>
          </cell>
        </row>
        <row r="108">
          <cell r="E108" t="str">
            <v>Estimate</v>
          </cell>
        </row>
        <row r="111">
          <cell r="D111" t="str">
            <v>SYSTEM MAINTENANCE PROJECTS</v>
          </cell>
        </row>
        <row r="113">
          <cell r="C113">
            <v>1</v>
          </cell>
          <cell r="D113" t="str">
            <v>Wood &amp; Concrete Pole Replacements</v>
          </cell>
          <cell r="E113">
            <v>250000</v>
          </cell>
        </row>
        <row r="114">
          <cell r="C114">
            <v>2</v>
          </cell>
          <cell r="D114" t="str">
            <v>Overhead Switch Replacement</v>
          </cell>
          <cell r="E114">
            <v>300000</v>
          </cell>
        </row>
        <row r="115">
          <cell r="C115">
            <v>3</v>
          </cell>
          <cell r="D115" t="str">
            <v>Feeder Overhauls</v>
          </cell>
          <cell r="E115">
            <v>600000</v>
          </cell>
        </row>
        <row r="116">
          <cell r="C116">
            <v>4</v>
          </cell>
          <cell r="D116" t="str">
            <v>Overhead Rebuilds</v>
          </cell>
          <cell r="E116">
            <v>600000</v>
          </cell>
        </row>
        <row r="118">
          <cell r="D118" t="str">
            <v>O.H Distribution Maintenance - Total</v>
          </cell>
          <cell r="E118">
            <v>1750000</v>
          </cell>
        </row>
        <row r="120">
          <cell r="C120">
            <v>1</v>
          </cell>
          <cell r="D120" t="str">
            <v>Load Centre Replacement</v>
          </cell>
          <cell r="E120">
            <v>100000</v>
          </cell>
        </row>
        <row r="121">
          <cell r="C121">
            <v>2</v>
          </cell>
          <cell r="D121" t="str">
            <v>U/ground Cable and Splice Replacement</v>
          </cell>
          <cell r="E121">
            <v>1200000</v>
          </cell>
        </row>
        <row r="122">
          <cell r="C122">
            <v>3</v>
          </cell>
          <cell r="D122" t="str">
            <v>Meter Base Replacement</v>
          </cell>
          <cell r="E122">
            <v>40000</v>
          </cell>
        </row>
        <row r="123">
          <cell r="C123">
            <v>4</v>
          </cell>
          <cell r="D123" t="str">
            <v>Secondary Cable Replacement</v>
          </cell>
          <cell r="E123">
            <v>75000</v>
          </cell>
        </row>
        <row r="125">
          <cell r="D125" t="str">
            <v>U.G. Distribution Maintenance - Total</v>
          </cell>
          <cell r="E125">
            <v>1415000</v>
          </cell>
        </row>
        <row r="127">
          <cell r="C127">
            <v>1</v>
          </cell>
          <cell r="D127" t="str">
            <v>U/ground Transformer Replacement</v>
          </cell>
          <cell r="E127">
            <v>150000</v>
          </cell>
        </row>
        <row r="128">
          <cell r="C128">
            <v>2</v>
          </cell>
          <cell r="D128" t="str">
            <v>Overhead Transformer Replacement</v>
          </cell>
          <cell r="E128">
            <v>150000</v>
          </cell>
        </row>
        <row r="129">
          <cell r="C129">
            <v>3</v>
          </cell>
          <cell r="D129" t="str">
            <v>Power T/former O/H &amp;  StationUpgrade</v>
          </cell>
          <cell r="E129">
            <v>100000</v>
          </cell>
        </row>
        <row r="131">
          <cell r="D131" t="str">
            <v>Transformer Repalcement &amp; Overhauls - Total</v>
          </cell>
          <cell r="E131">
            <v>400000</v>
          </cell>
        </row>
        <row r="133">
          <cell r="D133" t="str">
            <v>Auto-Switches/SCADA</v>
          </cell>
          <cell r="E133">
            <v>1600000</v>
          </cell>
        </row>
        <row r="136">
          <cell r="D136" t="str">
            <v>TOTAL - SYSTEM MAINTENANCE</v>
          </cell>
          <cell r="E136">
            <v>5165000</v>
          </cell>
        </row>
        <row r="145">
          <cell r="D145" t="str">
            <v>TABLE 1 (Cont'd)</v>
          </cell>
        </row>
        <row r="146">
          <cell r="D146" t="str">
            <v xml:space="preserve">SUMMARY OF </v>
          </cell>
        </row>
        <row r="147">
          <cell r="D147" t="str">
            <v>RECOMMENDED SYSTEM EXPANSION PROJECTS - 1997</v>
          </cell>
        </row>
        <row r="150">
          <cell r="D150" t="str">
            <v>Road Relocations</v>
          </cell>
          <cell r="E150">
            <v>1500000</v>
          </cell>
        </row>
        <row r="152">
          <cell r="D152" t="str">
            <v>Industrial &amp; Commercail Services</v>
          </cell>
          <cell r="E152">
            <v>2500000</v>
          </cell>
        </row>
        <row r="154">
          <cell r="D154" t="str">
            <v>Land &amp; Easements</v>
          </cell>
          <cell r="E154">
            <v>50000</v>
          </cell>
        </row>
        <row r="156">
          <cell r="D156" t="str">
            <v>Major Tools</v>
          </cell>
          <cell r="E156">
            <v>140000</v>
          </cell>
        </row>
        <row r="158">
          <cell r="D158" t="str">
            <v xml:space="preserve">       Total - Subtransmission</v>
          </cell>
          <cell r="E158">
            <v>1460000</v>
          </cell>
        </row>
        <row r="159">
          <cell r="D159" t="str">
            <v xml:space="preserve">       Total - Distribution</v>
          </cell>
          <cell r="E159">
            <v>1210000</v>
          </cell>
        </row>
        <row r="160">
          <cell r="D160" t="str">
            <v xml:space="preserve">       Total - Substations</v>
          </cell>
          <cell r="E160">
            <v>2700000</v>
          </cell>
        </row>
        <row r="161">
          <cell r="D161" t="str">
            <v xml:space="preserve">       Total - Subdivision Rebuilds</v>
          </cell>
          <cell r="E161">
            <v>5200000</v>
          </cell>
        </row>
        <row r="162">
          <cell r="D162" t="str">
            <v xml:space="preserve">       Total - System Maintenance</v>
          </cell>
          <cell r="E162">
            <v>5165000</v>
          </cell>
        </row>
        <row r="163">
          <cell r="D163" t="str">
            <v xml:space="preserve">       Total - Road Relocations</v>
          </cell>
          <cell r="E163">
            <v>1500000</v>
          </cell>
        </row>
        <row r="164">
          <cell r="D164" t="str">
            <v xml:space="preserve">       Total - Industrial &amp; Commercial Serv.</v>
          </cell>
          <cell r="E164">
            <v>2500000</v>
          </cell>
        </row>
        <row r="165">
          <cell r="D165" t="str">
            <v xml:space="preserve">       Total - Land &amp; Easements</v>
          </cell>
          <cell r="E165">
            <v>50000</v>
          </cell>
        </row>
        <row r="166">
          <cell r="D166" t="str">
            <v xml:space="preserve">       Total - Major Tools</v>
          </cell>
          <cell r="E166">
            <v>140000</v>
          </cell>
        </row>
        <row r="168">
          <cell r="D168" t="str">
            <v xml:space="preserve">       GRAND TOTAL</v>
          </cell>
          <cell r="E168">
            <v>19925000</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v 2004 Overall Comparison"/>
      <sheetName val="Energy "/>
      <sheetName val="Nov DEGDAYS"/>
      <sheetName val="CustPT"/>
    </sheetNames>
    <sheetDataSet>
      <sheetData sheetId="0" refreshError="1"/>
      <sheetData sheetId="1" refreshError="1"/>
      <sheetData sheetId="2" refreshError="1">
        <row r="1">
          <cell r="A1" t="str">
            <v>ENVIRONMENT CANADA - MONTHLY METEROLOGICAL SUMMARY</v>
          </cell>
        </row>
        <row r="2">
          <cell r="A2" t="str">
            <v>HEATING DEGREE DAYS</v>
          </cell>
        </row>
        <row r="3">
          <cell r="B3" t="str">
            <v xml:space="preserve">       </v>
          </cell>
          <cell r="C3" t="str">
            <v>January</v>
          </cell>
          <cell r="D3" t="str">
            <v>February</v>
          </cell>
          <cell r="E3" t="str">
            <v>March</v>
          </cell>
          <cell r="F3" t="str">
            <v>April</v>
          </cell>
          <cell r="G3" t="str">
            <v>May</v>
          </cell>
          <cell r="H3" t="str">
            <v>June</v>
          </cell>
          <cell r="I3" t="str">
            <v>July</v>
          </cell>
          <cell r="J3" t="str">
            <v>August</v>
          </cell>
          <cell r="K3" t="str">
            <v>September</v>
          </cell>
          <cell r="L3" t="str">
            <v>October</v>
          </cell>
          <cell r="M3" t="str">
            <v>November</v>
          </cell>
          <cell r="N3" t="str">
            <v>December</v>
          </cell>
        </row>
        <row r="4">
          <cell r="B4">
            <v>1990</v>
          </cell>
          <cell r="C4">
            <v>582.79999999999995</v>
          </cell>
          <cell r="D4">
            <v>603.1</v>
          </cell>
          <cell r="E4">
            <v>539.29999999999995</v>
          </cell>
          <cell r="F4">
            <v>305</v>
          </cell>
          <cell r="G4">
            <v>198.9</v>
          </cell>
          <cell r="H4">
            <v>31.7</v>
          </cell>
          <cell r="I4">
            <v>3.8</v>
          </cell>
          <cell r="J4">
            <v>3.5</v>
          </cell>
          <cell r="K4">
            <v>310</v>
          </cell>
          <cell r="L4">
            <v>269</v>
          </cell>
          <cell r="M4">
            <v>403.2</v>
          </cell>
          <cell r="N4">
            <v>587.4</v>
          </cell>
        </row>
        <row r="5">
          <cell r="B5">
            <v>1991</v>
          </cell>
          <cell r="C5">
            <v>734.5</v>
          </cell>
          <cell r="D5">
            <v>571.79999999999995</v>
          </cell>
          <cell r="E5">
            <v>507.5</v>
          </cell>
          <cell r="F5">
            <v>283.39999999999998</v>
          </cell>
          <cell r="G5">
            <v>105.5</v>
          </cell>
          <cell r="H5">
            <v>17.8</v>
          </cell>
          <cell r="I5">
            <v>0.8</v>
          </cell>
          <cell r="J5">
            <v>2.5</v>
          </cell>
          <cell r="K5">
            <v>126.6</v>
          </cell>
          <cell r="L5">
            <v>237</v>
          </cell>
          <cell r="M5">
            <v>467.1</v>
          </cell>
          <cell r="N5">
            <v>631</v>
          </cell>
        </row>
        <row r="6">
          <cell r="B6">
            <v>1992</v>
          </cell>
          <cell r="C6">
            <v>688</v>
          </cell>
          <cell r="D6">
            <v>636</v>
          </cell>
          <cell r="E6">
            <v>593</v>
          </cell>
          <cell r="F6">
            <v>373</v>
          </cell>
          <cell r="G6">
            <v>179</v>
          </cell>
          <cell r="H6">
            <v>67</v>
          </cell>
          <cell r="I6">
            <v>24</v>
          </cell>
          <cell r="J6">
            <v>35</v>
          </cell>
          <cell r="K6">
            <v>102</v>
          </cell>
          <cell r="L6">
            <v>329</v>
          </cell>
          <cell r="M6">
            <v>456</v>
          </cell>
          <cell r="N6">
            <v>609</v>
          </cell>
        </row>
        <row r="7">
          <cell r="B7">
            <v>1993</v>
          </cell>
          <cell r="C7">
            <v>680.6</v>
          </cell>
          <cell r="D7">
            <v>738</v>
          </cell>
          <cell r="E7">
            <v>621</v>
          </cell>
          <cell r="F7">
            <v>344</v>
          </cell>
          <cell r="G7">
            <v>186</v>
          </cell>
          <cell r="H7">
            <v>48</v>
          </cell>
          <cell r="I7">
            <v>1</v>
          </cell>
          <cell r="J7">
            <v>9.6999999999999993</v>
          </cell>
          <cell r="K7">
            <v>146.6</v>
          </cell>
          <cell r="L7">
            <v>317</v>
          </cell>
          <cell r="M7">
            <v>448</v>
          </cell>
          <cell r="N7">
            <v>641</v>
          </cell>
        </row>
        <row r="8">
          <cell r="B8">
            <v>1994</v>
          </cell>
          <cell r="C8">
            <v>941.4</v>
          </cell>
          <cell r="D8">
            <v>738</v>
          </cell>
          <cell r="E8">
            <v>582</v>
          </cell>
          <cell r="F8">
            <v>325.5</v>
          </cell>
          <cell r="G8">
            <v>200</v>
          </cell>
          <cell r="H8">
            <v>36</v>
          </cell>
          <cell r="I8">
            <v>2</v>
          </cell>
          <cell r="J8">
            <v>25</v>
          </cell>
          <cell r="K8">
            <v>76</v>
          </cell>
          <cell r="L8">
            <v>249</v>
          </cell>
          <cell r="M8">
            <v>379</v>
          </cell>
          <cell r="N8">
            <v>563</v>
          </cell>
        </row>
        <row r="9">
          <cell r="B9">
            <v>1995</v>
          </cell>
          <cell r="C9">
            <v>653</v>
          </cell>
          <cell r="D9">
            <v>707.3</v>
          </cell>
          <cell r="E9">
            <v>498.1</v>
          </cell>
          <cell r="F9">
            <v>417.6</v>
          </cell>
          <cell r="G9">
            <v>149.19999999999999</v>
          </cell>
          <cell r="H9">
            <v>20</v>
          </cell>
          <cell r="I9">
            <v>10.3</v>
          </cell>
          <cell r="J9">
            <v>4.5999999999999996</v>
          </cell>
          <cell r="K9">
            <v>133.69999999999999</v>
          </cell>
          <cell r="L9">
            <v>219.4</v>
          </cell>
          <cell r="M9">
            <v>511.3</v>
          </cell>
          <cell r="N9">
            <v>714.8</v>
          </cell>
        </row>
        <row r="10">
          <cell r="B10">
            <v>1996</v>
          </cell>
          <cell r="C10">
            <v>765.2</v>
          </cell>
          <cell r="D10">
            <v>689.8</v>
          </cell>
          <cell r="E10">
            <v>645.6</v>
          </cell>
          <cell r="F10">
            <v>408</v>
          </cell>
          <cell r="G10">
            <v>205.9</v>
          </cell>
          <cell r="H10">
            <v>20.9</v>
          </cell>
          <cell r="I10">
            <v>10.3</v>
          </cell>
          <cell r="J10">
            <v>2.5</v>
          </cell>
          <cell r="K10">
            <v>71.7</v>
          </cell>
          <cell r="L10">
            <v>273.10000000000002</v>
          </cell>
          <cell r="M10">
            <v>512.1</v>
          </cell>
          <cell r="N10">
            <v>571.6</v>
          </cell>
        </row>
        <row r="11">
          <cell r="B11">
            <v>1997</v>
          </cell>
          <cell r="C11">
            <v>756.5</v>
          </cell>
          <cell r="D11">
            <v>593</v>
          </cell>
          <cell r="E11">
            <v>600</v>
          </cell>
          <cell r="F11">
            <v>366.8</v>
          </cell>
          <cell r="G11">
            <v>255.8</v>
          </cell>
          <cell r="H11">
            <v>17.7</v>
          </cell>
          <cell r="I11">
            <v>12.4</v>
          </cell>
          <cell r="J11">
            <v>17</v>
          </cell>
          <cell r="K11">
            <v>87.1</v>
          </cell>
          <cell r="L11">
            <v>266.89999999999998</v>
          </cell>
          <cell r="M11">
            <v>466.5</v>
          </cell>
          <cell r="N11">
            <v>586.29999999999995</v>
          </cell>
        </row>
        <row r="12">
          <cell r="B12">
            <v>1998</v>
          </cell>
          <cell r="C12">
            <v>624.79999999999995</v>
          </cell>
          <cell r="D12">
            <v>512.6</v>
          </cell>
          <cell r="E12">
            <v>492.3</v>
          </cell>
          <cell r="F12">
            <v>282</v>
          </cell>
          <cell r="G12">
            <v>59.1</v>
          </cell>
          <cell r="H12">
            <v>54.7</v>
          </cell>
          <cell r="I12">
            <v>1</v>
          </cell>
          <cell r="J12">
            <v>3.4</v>
          </cell>
          <cell r="K12">
            <v>39.700000000000003</v>
          </cell>
          <cell r="L12">
            <v>223.4</v>
          </cell>
          <cell r="M12">
            <v>391.5</v>
          </cell>
          <cell r="N12">
            <v>535.1</v>
          </cell>
        </row>
        <row r="13">
          <cell r="B13">
            <v>2003</v>
          </cell>
          <cell r="C13">
            <v>814.1</v>
          </cell>
          <cell r="D13">
            <v>698.5</v>
          </cell>
          <cell r="E13">
            <v>581</v>
          </cell>
          <cell r="F13">
            <v>356</v>
          </cell>
          <cell r="G13">
            <v>178.6</v>
          </cell>
          <cell r="H13">
            <v>43.6</v>
          </cell>
          <cell r="I13">
            <v>0.3</v>
          </cell>
          <cell r="J13">
            <v>2.1</v>
          </cell>
          <cell r="K13">
            <v>55.4</v>
          </cell>
          <cell r="L13">
            <v>276.3</v>
          </cell>
          <cell r="M13">
            <v>399.15</v>
          </cell>
          <cell r="N13">
            <v>561.45000000000005</v>
          </cell>
        </row>
        <row r="14">
          <cell r="B14">
            <v>2004</v>
          </cell>
          <cell r="C14">
            <v>849.1</v>
          </cell>
          <cell r="D14">
            <v>631.70000000000005</v>
          </cell>
          <cell r="E14">
            <v>487.3</v>
          </cell>
          <cell r="F14">
            <v>331.5</v>
          </cell>
          <cell r="G14">
            <v>158.9</v>
          </cell>
          <cell r="H14">
            <v>44.2</v>
          </cell>
          <cell r="I14">
            <v>3.6</v>
          </cell>
          <cell r="J14">
            <v>12.8</v>
          </cell>
          <cell r="K14">
            <v>30</v>
          </cell>
          <cell r="L14">
            <v>226.3</v>
          </cell>
          <cell r="M14">
            <v>380.3</v>
          </cell>
        </row>
        <row r="16">
          <cell r="B16" t="str">
            <v>NORMAL</v>
          </cell>
          <cell r="C16">
            <v>752.9</v>
          </cell>
          <cell r="D16">
            <v>662.1</v>
          </cell>
          <cell r="E16">
            <v>571.6</v>
          </cell>
          <cell r="F16">
            <v>353.3</v>
          </cell>
          <cell r="G16">
            <v>171.8</v>
          </cell>
          <cell r="H16">
            <v>49.4</v>
          </cell>
          <cell r="I16">
            <v>8.9</v>
          </cell>
          <cell r="J16">
            <v>17.8</v>
          </cell>
          <cell r="K16">
            <v>102.5</v>
          </cell>
          <cell r="L16">
            <v>282.60000000000002</v>
          </cell>
          <cell r="M16">
            <v>445.5</v>
          </cell>
          <cell r="N16">
            <v>647.4</v>
          </cell>
        </row>
        <row r="20">
          <cell r="A20" t="str">
            <v>ENVIRONMENT CANADA - MONTHLY METEROLOGICAL SUMMARY</v>
          </cell>
        </row>
        <row r="21">
          <cell r="A21" t="str">
            <v>COOLING DEGREE DAYS</v>
          </cell>
        </row>
        <row r="22">
          <cell r="C22" t="str">
            <v>January</v>
          </cell>
          <cell r="D22" t="str">
            <v>February</v>
          </cell>
          <cell r="E22" t="str">
            <v>March</v>
          </cell>
          <cell r="F22" t="str">
            <v>April</v>
          </cell>
          <cell r="G22" t="str">
            <v>May</v>
          </cell>
          <cell r="H22" t="str">
            <v>June</v>
          </cell>
          <cell r="I22" t="str">
            <v>July</v>
          </cell>
          <cell r="J22" t="str">
            <v>August</v>
          </cell>
          <cell r="K22" t="str">
            <v>September</v>
          </cell>
          <cell r="L22" t="str">
            <v>October</v>
          </cell>
          <cell r="M22" t="str">
            <v>November</v>
          </cell>
          <cell r="N22" t="str">
            <v>December</v>
          </cell>
        </row>
        <row r="23">
          <cell r="B23">
            <v>1990</v>
          </cell>
          <cell r="C23">
            <v>0</v>
          </cell>
          <cell r="D23">
            <v>0</v>
          </cell>
          <cell r="E23">
            <v>0</v>
          </cell>
          <cell r="F23">
            <v>17.8</v>
          </cell>
          <cell r="G23">
            <v>1.2</v>
          </cell>
          <cell r="H23">
            <v>52</v>
          </cell>
          <cell r="I23">
            <v>93</v>
          </cell>
          <cell r="J23">
            <v>75</v>
          </cell>
          <cell r="K23">
            <v>22</v>
          </cell>
          <cell r="L23">
            <v>4</v>
          </cell>
          <cell r="M23">
            <v>0</v>
          </cell>
          <cell r="N23">
            <v>0</v>
          </cell>
        </row>
        <row r="24">
          <cell r="B24">
            <v>1991</v>
          </cell>
          <cell r="C24">
            <v>0</v>
          </cell>
          <cell r="D24">
            <v>0</v>
          </cell>
          <cell r="E24">
            <v>0</v>
          </cell>
          <cell r="F24">
            <v>3.9</v>
          </cell>
          <cell r="G24">
            <v>54</v>
          </cell>
          <cell r="H24">
            <v>79</v>
          </cell>
          <cell r="I24">
            <v>115</v>
          </cell>
          <cell r="J24">
            <v>99</v>
          </cell>
          <cell r="K24">
            <v>33</v>
          </cell>
          <cell r="L24">
            <v>1.3</v>
          </cell>
          <cell r="M24">
            <v>0</v>
          </cell>
          <cell r="N24">
            <v>0</v>
          </cell>
        </row>
        <row r="25">
          <cell r="B25">
            <v>1992</v>
          </cell>
          <cell r="C25">
            <v>0</v>
          </cell>
          <cell r="D25">
            <v>0</v>
          </cell>
          <cell r="E25">
            <v>0</v>
          </cell>
          <cell r="F25">
            <v>0</v>
          </cell>
          <cell r="G25">
            <v>3</v>
          </cell>
          <cell r="H25">
            <v>19</v>
          </cell>
          <cell r="I25">
            <v>25</v>
          </cell>
          <cell r="J25">
            <v>33</v>
          </cell>
          <cell r="K25">
            <v>26</v>
          </cell>
          <cell r="L25">
            <v>0</v>
          </cell>
          <cell r="M25">
            <v>0</v>
          </cell>
          <cell r="N25">
            <v>0</v>
          </cell>
        </row>
        <row r="26">
          <cell r="B26">
            <v>1993</v>
          </cell>
          <cell r="C26">
            <v>0</v>
          </cell>
          <cell r="D26">
            <v>0</v>
          </cell>
          <cell r="E26">
            <v>0</v>
          </cell>
          <cell r="F26">
            <v>0</v>
          </cell>
          <cell r="G26">
            <v>4</v>
          </cell>
          <cell r="H26">
            <v>22</v>
          </cell>
          <cell r="I26">
            <v>114</v>
          </cell>
          <cell r="J26">
            <v>105.4</v>
          </cell>
          <cell r="K26">
            <v>15.7</v>
          </cell>
          <cell r="L26">
            <v>3</v>
          </cell>
          <cell r="M26">
            <v>0</v>
          </cell>
          <cell r="N26">
            <v>0</v>
          </cell>
        </row>
        <row r="27">
          <cell r="B27">
            <v>1994</v>
          </cell>
          <cell r="C27">
            <v>0</v>
          </cell>
          <cell r="D27">
            <v>0</v>
          </cell>
          <cell r="E27">
            <v>0</v>
          </cell>
          <cell r="F27">
            <v>0.5</v>
          </cell>
          <cell r="G27">
            <v>8</v>
          </cell>
          <cell r="H27">
            <v>68</v>
          </cell>
          <cell r="I27">
            <v>111</v>
          </cell>
          <cell r="J27">
            <v>46</v>
          </cell>
          <cell r="K27">
            <v>14</v>
          </cell>
          <cell r="L27">
            <v>0</v>
          </cell>
          <cell r="M27">
            <v>0</v>
          </cell>
          <cell r="N27">
            <v>0</v>
          </cell>
        </row>
        <row r="28">
          <cell r="B28">
            <v>1995</v>
          </cell>
          <cell r="C28">
            <v>0</v>
          </cell>
          <cell r="D28">
            <v>0</v>
          </cell>
          <cell r="E28">
            <v>0</v>
          </cell>
          <cell r="F28">
            <v>0</v>
          </cell>
          <cell r="G28">
            <v>3.5</v>
          </cell>
          <cell r="H28">
            <v>77.900000000000006</v>
          </cell>
          <cell r="I28">
            <v>130.9</v>
          </cell>
          <cell r="J28">
            <v>122.9</v>
          </cell>
          <cell r="K28">
            <v>12.7</v>
          </cell>
          <cell r="L28">
            <v>3.2</v>
          </cell>
          <cell r="M28">
            <v>0</v>
          </cell>
          <cell r="N28">
            <v>0</v>
          </cell>
        </row>
        <row r="29">
          <cell r="B29">
            <v>1996</v>
          </cell>
          <cell r="C29">
            <v>0</v>
          </cell>
          <cell r="D29">
            <v>0</v>
          </cell>
          <cell r="E29">
            <v>0</v>
          </cell>
          <cell r="F29">
            <v>0</v>
          </cell>
          <cell r="G29">
            <v>8.6</v>
          </cell>
          <cell r="H29">
            <v>38.299999999999997</v>
          </cell>
          <cell r="I29">
            <v>59.6</v>
          </cell>
          <cell r="J29">
            <v>87.1</v>
          </cell>
          <cell r="K29">
            <v>27.1</v>
          </cell>
          <cell r="L29">
            <v>0</v>
          </cell>
          <cell r="M29">
            <v>0</v>
          </cell>
          <cell r="N29">
            <v>0</v>
          </cell>
        </row>
        <row r="30">
          <cell r="B30">
            <v>1997</v>
          </cell>
          <cell r="C30">
            <v>0</v>
          </cell>
          <cell r="D30">
            <v>0</v>
          </cell>
          <cell r="E30">
            <v>0</v>
          </cell>
          <cell r="F30">
            <v>0</v>
          </cell>
          <cell r="G30">
            <v>0</v>
          </cell>
          <cell r="H30">
            <v>73.3</v>
          </cell>
          <cell r="I30">
            <v>103</v>
          </cell>
          <cell r="J30">
            <v>46.8</v>
          </cell>
          <cell r="K30">
            <v>11.7</v>
          </cell>
          <cell r="L30">
            <v>2.8</v>
          </cell>
          <cell r="M30">
            <v>0</v>
          </cell>
          <cell r="N30">
            <v>0</v>
          </cell>
        </row>
        <row r="31">
          <cell r="B31">
            <v>1998</v>
          </cell>
          <cell r="C31">
            <v>0</v>
          </cell>
          <cell r="D31">
            <v>0</v>
          </cell>
          <cell r="E31">
            <v>0</v>
          </cell>
          <cell r="F31">
            <v>0</v>
          </cell>
          <cell r="G31">
            <v>28.6</v>
          </cell>
          <cell r="H31">
            <v>82.4</v>
          </cell>
          <cell r="I31">
            <v>101.3</v>
          </cell>
          <cell r="J31">
            <v>117.7</v>
          </cell>
          <cell r="K31">
            <v>45</v>
          </cell>
          <cell r="L31">
            <v>0</v>
          </cell>
          <cell r="M31">
            <v>0</v>
          </cell>
          <cell r="N31">
            <v>0</v>
          </cell>
        </row>
        <row r="32">
          <cell r="B32">
            <v>2003</v>
          </cell>
          <cell r="C32">
            <v>0</v>
          </cell>
          <cell r="D32">
            <v>0</v>
          </cell>
          <cell r="E32">
            <v>0</v>
          </cell>
          <cell r="F32">
            <v>2.4</v>
          </cell>
          <cell r="G32">
            <v>0</v>
          </cell>
          <cell r="H32">
            <v>46.1</v>
          </cell>
          <cell r="I32">
            <v>117.6</v>
          </cell>
          <cell r="J32">
            <v>127.4</v>
          </cell>
          <cell r="K32">
            <v>23.8</v>
          </cell>
          <cell r="L32">
            <v>0</v>
          </cell>
          <cell r="M32">
            <v>0</v>
          </cell>
          <cell r="N32">
            <v>0</v>
          </cell>
        </row>
        <row r="33">
          <cell r="B33">
            <v>2004</v>
          </cell>
          <cell r="C33">
            <v>0</v>
          </cell>
          <cell r="D33">
            <v>0</v>
          </cell>
          <cell r="E33">
            <v>0</v>
          </cell>
          <cell r="F33">
            <v>0</v>
          </cell>
          <cell r="G33">
            <v>8.6</v>
          </cell>
          <cell r="H33">
            <v>31.6</v>
          </cell>
          <cell r="I33">
            <v>85.4</v>
          </cell>
          <cell r="J33">
            <v>59.6</v>
          </cell>
          <cell r="K33">
            <v>41.2</v>
          </cell>
          <cell r="L33">
            <v>1.5</v>
          </cell>
          <cell r="M33">
            <v>0</v>
          </cell>
        </row>
        <row r="35">
          <cell r="B35" t="str">
            <v>NORMAL</v>
          </cell>
          <cell r="C35">
            <v>0</v>
          </cell>
          <cell r="D35">
            <v>0</v>
          </cell>
          <cell r="E35">
            <v>0</v>
          </cell>
          <cell r="F35">
            <v>1.1000000000000001</v>
          </cell>
          <cell r="G35">
            <v>12</v>
          </cell>
          <cell r="H35">
            <v>44.2</v>
          </cell>
          <cell r="I35">
            <v>96.7</v>
          </cell>
          <cell r="J35">
            <v>75</v>
          </cell>
          <cell r="K35">
            <v>22.1</v>
          </cell>
          <cell r="L35">
            <v>1</v>
          </cell>
          <cell r="M35">
            <v>0</v>
          </cell>
          <cell r="N35">
            <v>0</v>
          </cell>
        </row>
      </sheetData>
      <sheetData sheetId="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SVA &amp; Other"/>
      <sheetName val="Carrying Charges"/>
      <sheetName val="1580"/>
      <sheetName val="1582"/>
      <sheetName val="1584"/>
      <sheetName val="1586"/>
      <sheetName val="1588"/>
      <sheetName val="1525"/>
      <sheetName val="1562"/>
      <sheetName val="1570"/>
      <sheetName val="1571"/>
      <sheetName val="1590"/>
      <sheetName val="JDE Quarter Change"/>
      <sheetName val="Sheet2"/>
      <sheetName val="Sheet1"/>
    </sheetNames>
    <sheetDataSet>
      <sheetData sheetId="0" refreshError="1">
        <row r="3">
          <cell r="A3" t="str">
            <v>Quarter ended June 30 2004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MUM"/>
      <sheetName val="OPTTABLE"/>
    </sheetNames>
    <sheetDataSet>
      <sheetData sheetId="0" refreshError="1"/>
      <sheetData sheetId="1" refreshError="1">
        <row r="2">
          <cell r="A2" t="str">
            <v>system</v>
          </cell>
          <cell r="B2" t="str">
            <v>44 kv</v>
          </cell>
          <cell r="Q2" t="str">
            <v>system</v>
          </cell>
          <cell r="R2" t="str">
            <v>m.s.-44 kv</v>
          </cell>
          <cell r="S2" t="str">
            <v>13.8 kv</v>
          </cell>
          <cell r="U2" t="str">
            <v>system</v>
          </cell>
          <cell r="V2" t="str">
            <v>27.6/16 kv</v>
          </cell>
          <cell r="AA2" t="str">
            <v>system</v>
          </cell>
          <cell r="AB2" t="str">
            <v>13.8 kv</v>
          </cell>
          <cell r="AG2" t="str">
            <v>system</v>
          </cell>
          <cell r="AH2" t="str">
            <v>27.6 kv</v>
          </cell>
          <cell r="AW2" t="str">
            <v>system</v>
          </cell>
          <cell r="AX2" t="str">
            <v>m.s.-27 kv</v>
          </cell>
          <cell r="AY2" t="str">
            <v>4.16 kv</v>
          </cell>
          <cell r="BB2" t="str">
            <v>system</v>
          </cell>
          <cell r="BC2" t="str">
            <v>4.16 kv</v>
          </cell>
          <cell r="BH2" t="str">
            <v>SYSTEM</v>
          </cell>
        </row>
        <row r="3">
          <cell r="B3" t="str">
            <v>total</v>
          </cell>
          <cell r="C3" t="str">
            <v>ann. cap</v>
          </cell>
          <cell r="D3" t="str">
            <v>loss</v>
          </cell>
          <cell r="E3" t="str">
            <v>penalty</v>
          </cell>
          <cell r="R3" t="str">
            <v>total</v>
          </cell>
          <cell r="S3" t="str">
            <v>total</v>
          </cell>
          <cell r="T3" t="str">
            <v>total</v>
          </cell>
          <cell r="V3" t="str">
            <v>total</v>
          </cell>
          <cell r="W3" t="str">
            <v>ann. cap</v>
          </cell>
          <cell r="X3" t="str">
            <v>loss</v>
          </cell>
          <cell r="Y3" t="str">
            <v>penalty</v>
          </cell>
          <cell r="AB3" t="str">
            <v>total</v>
          </cell>
          <cell r="AC3" t="str">
            <v>ann. cap</v>
          </cell>
          <cell r="AD3" t="str">
            <v>loss</v>
          </cell>
          <cell r="AE3" t="str">
            <v>penalty</v>
          </cell>
          <cell r="AH3" t="str">
            <v>total</v>
          </cell>
          <cell r="AI3" t="str">
            <v>ann. cap</v>
          </cell>
          <cell r="AJ3" t="str">
            <v>loss</v>
          </cell>
          <cell r="AK3" t="str">
            <v>penalty</v>
          </cell>
          <cell r="AX3" t="str">
            <v>total</v>
          </cell>
          <cell r="AY3" t="str">
            <v>total</v>
          </cell>
          <cell r="AZ3" t="str">
            <v>total</v>
          </cell>
          <cell r="BC3" t="str">
            <v>total</v>
          </cell>
          <cell r="BD3" t="str">
            <v>ann. cap</v>
          </cell>
          <cell r="BE3" t="str">
            <v>loss</v>
          </cell>
          <cell r="BF3" t="str">
            <v>penalty</v>
          </cell>
          <cell r="BH3" t="str">
            <v>total</v>
          </cell>
        </row>
        <row r="4">
          <cell r="A4" t="str">
            <v>u.f.</v>
          </cell>
          <cell r="B4" t="str">
            <v>p.w. cost</v>
          </cell>
          <cell r="C4" t="str">
            <v>p.w. cost</v>
          </cell>
          <cell r="D4" t="str">
            <v>p.w. cost</v>
          </cell>
          <cell r="E4" t="str">
            <v>p.w. cost</v>
          </cell>
          <cell r="Q4" t="str">
            <v>u.f.</v>
          </cell>
          <cell r="R4" t="str">
            <v>p.w. cost</v>
          </cell>
          <cell r="S4" t="str">
            <v>p.w. cost</v>
          </cell>
          <cell r="U4" t="str">
            <v>u.f.</v>
          </cell>
          <cell r="V4" t="str">
            <v>p.w. cost</v>
          </cell>
          <cell r="W4" t="str">
            <v>p.w. cost</v>
          </cell>
          <cell r="X4" t="str">
            <v>p.w. cost</v>
          </cell>
          <cell r="Y4" t="str">
            <v>p.w. cost</v>
          </cell>
          <cell r="AA4" t="str">
            <v>u.f.</v>
          </cell>
          <cell r="AB4" t="str">
            <v>p.w. cost</v>
          </cell>
          <cell r="AC4" t="str">
            <v>p.w. cost</v>
          </cell>
          <cell r="AD4" t="str">
            <v>p.w. cost</v>
          </cell>
          <cell r="AE4" t="str">
            <v>p.w. cost</v>
          </cell>
          <cell r="AG4" t="str">
            <v>u.f.</v>
          </cell>
          <cell r="AH4" t="str">
            <v>p.w. cost</v>
          </cell>
          <cell r="AI4" t="str">
            <v>p.w. cost</v>
          </cell>
          <cell r="AJ4" t="str">
            <v>p.w. cost</v>
          </cell>
          <cell r="AK4" t="str">
            <v>p.w. cost</v>
          </cell>
          <cell r="AW4" t="str">
            <v>u.f.</v>
          </cell>
          <cell r="AX4" t="str">
            <v>p.w. cost</v>
          </cell>
          <cell r="AY4" t="str">
            <v>p.w. cost</v>
          </cell>
          <cell r="BB4" t="str">
            <v>u.f.</v>
          </cell>
          <cell r="BC4" t="str">
            <v>p.w. cost</v>
          </cell>
          <cell r="BD4" t="str">
            <v>p.w. cost</v>
          </cell>
          <cell r="BE4" t="str">
            <v>p.w. cost</v>
          </cell>
          <cell r="BF4" t="str">
            <v>p.w. cost</v>
          </cell>
          <cell r="BH4" t="str">
            <v>p.w. cost</v>
          </cell>
        </row>
        <row r="5">
          <cell r="B5" t="str">
            <v>$,000</v>
          </cell>
          <cell r="C5" t="str">
            <v>$,000</v>
          </cell>
          <cell r="D5" t="str">
            <v>$,000</v>
          </cell>
          <cell r="E5" t="str">
            <v>$,000</v>
          </cell>
          <cell r="R5" t="str">
            <v>$,000</v>
          </cell>
          <cell r="S5" t="str">
            <v>$,000</v>
          </cell>
          <cell r="T5" t="str">
            <v>$,000</v>
          </cell>
          <cell r="V5" t="str">
            <v>$,000</v>
          </cell>
          <cell r="W5" t="str">
            <v>$,000</v>
          </cell>
          <cell r="X5" t="str">
            <v>$,000</v>
          </cell>
          <cell r="Y5" t="str">
            <v>$,000</v>
          </cell>
          <cell r="AB5" t="str">
            <v>$,000</v>
          </cell>
          <cell r="AC5" t="str">
            <v>$,000</v>
          </cell>
          <cell r="AD5" t="str">
            <v>$,000</v>
          </cell>
          <cell r="AE5" t="str">
            <v>$,000</v>
          </cell>
          <cell r="AH5" t="str">
            <v>$,000</v>
          </cell>
          <cell r="AI5" t="str">
            <v>$,000</v>
          </cell>
          <cell r="AJ5" t="str">
            <v>$,000</v>
          </cell>
          <cell r="AK5" t="str">
            <v>$,000</v>
          </cell>
          <cell r="AX5" t="str">
            <v>$,000</v>
          </cell>
          <cell r="AY5" t="str">
            <v>$,000</v>
          </cell>
          <cell r="AZ5" t="str">
            <v>$,000</v>
          </cell>
          <cell r="BC5" t="str">
            <v>$,000</v>
          </cell>
          <cell r="BD5" t="str">
            <v>$,000</v>
          </cell>
          <cell r="BE5" t="str">
            <v>$,000</v>
          </cell>
          <cell r="BF5" t="str">
            <v>$,000</v>
          </cell>
          <cell r="BH5" t="str">
            <v>$,000</v>
          </cell>
        </row>
        <row r="6">
          <cell r="A6">
            <v>0.1</v>
          </cell>
          <cell r="B6">
            <v>922949.3047409018</v>
          </cell>
          <cell r="C6">
            <v>828046.5026810366</v>
          </cell>
          <cell r="D6">
            <v>8086.9740055176917</v>
          </cell>
          <cell r="E6">
            <v>86815.828054347789</v>
          </cell>
          <cell r="Q6">
            <v>0.1</v>
          </cell>
          <cell r="R6">
            <v>1348662.7204959833</v>
          </cell>
          <cell r="S6">
            <v>198261.39107495613</v>
          </cell>
          <cell r="T6">
            <v>1546924.1115709394</v>
          </cell>
          <cell r="U6">
            <v>0.1</v>
          </cell>
          <cell r="V6">
            <v>316131.58230286697</v>
          </cell>
          <cell r="W6">
            <v>281297.09004733519</v>
          </cell>
          <cell r="X6">
            <v>1908.7962947781145</v>
          </cell>
          <cell r="Y6">
            <v>32925.695960753656</v>
          </cell>
          <cell r="AA6">
            <v>0.1</v>
          </cell>
          <cell r="AB6">
            <v>694983.76280573849</v>
          </cell>
          <cell r="AC6">
            <v>604731.47653816093</v>
          </cell>
          <cell r="AD6">
            <v>5113.5234880206945</v>
          </cell>
          <cell r="AE6">
            <v>85138.76277955687</v>
          </cell>
          <cell r="AG6">
            <v>0.1</v>
          </cell>
          <cell r="AH6">
            <v>345175.50503188343</v>
          </cell>
          <cell r="AI6">
            <v>309702.2219073273</v>
          </cell>
          <cell r="AJ6">
            <v>2222.036437461375</v>
          </cell>
          <cell r="AK6">
            <v>33251.24668709487</v>
          </cell>
          <cell r="AW6">
            <v>0.1</v>
          </cell>
          <cell r="AX6">
            <v>234399.08325525196</v>
          </cell>
          <cell r="AY6">
            <v>41390.633040980138</v>
          </cell>
          <cell r="AZ6">
            <v>275789.71629623207</v>
          </cell>
          <cell r="BB6">
            <v>0.1</v>
          </cell>
          <cell r="BC6">
            <v>184468.09132885834</v>
          </cell>
          <cell r="BD6">
            <v>168570.45945125411</v>
          </cell>
          <cell r="BE6">
            <v>1809.8875944724248</v>
          </cell>
          <cell r="BF6">
            <v>14087.744283131808</v>
          </cell>
          <cell r="BH6">
            <v>3406970.219942824</v>
          </cell>
        </row>
        <row r="7">
          <cell r="A7">
            <v>0.2</v>
          </cell>
          <cell r="B7">
            <v>508970.92210678861</v>
          </cell>
          <cell r="C7">
            <v>399303.00542184012</v>
          </cell>
          <cell r="D7">
            <v>16173.948011035383</v>
          </cell>
          <cell r="E7">
            <v>93493.968673912968</v>
          </cell>
          <cell r="Q7">
            <v>0.2</v>
          </cell>
          <cell r="R7">
            <v>657036.14716378215</v>
          </cell>
          <cell r="S7">
            <v>205094.62302368155</v>
          </cell>
          <cell r="T7">
            <v>862130.77018746373</v>
          </cell>
          <cell r="U7">
            <v>0.2</v>
          </cell>
          <cell r="V7">
            <v>176933.38926324897</v>
          </cell>
          <cell r="W7">
            <v>137657.35486980426</v>
          </cell>
          <cell r="X7">
            <v>3817.5925895562291</v>
          </cell>
          <cell r="Y7">
            <v>35458.441803888549</v>
          </cell>
          <cell r="AA7">
            <v>0.2</v>
          </cell>
          <cell r="AB7">
            <v>386020.52806598583</v>
          </cell>
          <cell r="AC7">
            <v>284105.58271196019</v>
          </cell>
          <cell r="AD7">
            <v>10227.046976041389</v>
          </cell>
          <cell r="AE7">
            <v>91687.898377984311</v>
          </cell>
          <cell r="AG7">
            <v>0.2</v>
          </cell>
          <cell r="AH7">
            <v>182882.93739482245</v>
          </cell>
          <cell r="AI7">
            <v>142629.82962610526</v>
          </cell>
          <cell r="AJ7">
            <v>4444.0728749227501</v>
          </cell>
          <cell r="AK7">
            <v>35809.034893794473</v>
          </cell>
          <cell r="AW7">
            <v>0.2</v>
          </cell>
          <cell r="AX7">
            <v>111418.49390603029</v>
          </cell>
          <cell r="AY7">
            <v>43077.655040047168</v>
          </cell>
          <cell r="AZ7">
            <v>154496.14894607745</v>
          </cell>
          <cell r="BB7">
            <v>0.2</v>
          </cell>
          <cell r="BC7">
            <v>96565.941327814377</v>
          </cell>
          <cell r="BD7">
            <v>77774.749218573736</v>
          </cell>
          <cell r="BE7">
            <v>3619.7751889448496</v>
          </cell>
          <cell r="BF7">
            <v>15171.416920295791</v>
          </cell>
          <cell r="BH7">
            <v>1885414.1678984012</v>
          </cell>
        </row>
        <row r="8">
          <cell r="A8">
            <v>0.3</v>
          </cell>
          <cell r="B8">
            <v>382204.2341498608</v>
          </cell>
          <cell r="C8">
            <v>256658.1794032355</v>
          </cell>
          <cell r="D8">
            <v>24260.922016553028</v>
          </cell>
          <cell r="E8">
            <v>101285.13273007241</v>
          </cell>
          <cell r="Q8">
            <v>0.3</v>
          </cell>
          <cell r="R8">
            <v>428354.96221811778</v>
          </cell>
          <cell r="S8">
            <v>213066.72696386129</v>
          </cell>
          <cell r="T8">
            <v>641421.68918197905</v>
          </cell>
          <cell r="U8">
            <v>0.3</v>
          </cell>
          <cell r="V8">
            <v>133942.12240919005</v>
          </cell>
          <cell r="W8">
            <v>89802.421570643113</v>
          </cell>
          <cell r="X8">
            <v>5726.3888843343448</v>
          </cell>
          <cell r="Y8">
            <v>38413.311954212601</v>
          </cell>
          <cell r="AA8">
            <v>0.3</v>
          </cell>
          <cell r="AB8">
            <v>291914.37397302949</v>
          </cell>
          <cell r="AC8">
            <v>177245.24693281783</v>
          </cell>
          <cell r="AD8">
            <v>15340.570464062093</v>
          </cell>
          <cell r="AE8">
            <v>99328.556576149538</v>
          </cell>
          <cell r="AG8">
            <v>0.3</v>
          </cell>
          <cell r="AH8">
            <v>132297.75599372905</v>
          </cell>
          <cell r="AI8">
            <v>86838.525546400895</v>
          </cell>
          <cell r="AJ8">
            <v>6666.1093123841283</v>
          </cell>
          <cell r="AK8">
            <v>38793.121134943984</v>
          </cell>
          <cell r="AW8">
            <v>0.3</v>
          </cell>
          <cell r="AX8">
            <v>70750.717256227799</v>
          </cell>
          <cell r="AY8">
            <v>45045.847372292053</v>
          </cell>
          <cell r="AZ8">
            <v>115796.56462851985</v>
          </cell>
          <cell r="BB8">
            <v>0.3</v>
          </cell>
          <cell r="BC8">
            <v>69376.893559029908</v>
          </cell>
          <cell r="BD8">
            <v>47511.529111958866</v>
          </cell>
          <cell r="BE8">
            <v>5429.6627834172732</v>
          </cell>
          <cell r="BF8">
            <v>16435.701663653774</v>
          </cell>
          <cell r="BH8">
            <v>1405662.3663632788</v>
          </cell>
        </row>
        <row r="9">
          <cell r="A9">
            <v>0.4</v>
          </cell>
          <cell r="B9">
            <v>327876.98906728532</v>
          </cell>
          <cell r="C9">
            <v>185036.22097604471</v>
          </cell>
          <cell r="D9">
            <v>32347.896022070767</v>
          </cell>
          <cell r="E9">
            <v>110492.87206916987</v>
          </cell>
          <cell r="Q9">
            <v>0.4</v>
          </cell>
          <cell r="R9">
            <v>315422.2521280573</v>
          </cell>
          <cell r="S9">
            <v>222488.30434770975</v>
          </cell>
          <cell r="T9">
            <v>537910.55647576705</v>
          </cell>
          <cell r="U9">
            <v>0.4</v>
          </cell>
          <cell r="V9">
            <v>115409.82774485175</v>
          </cell>
          <cell r="W9">
            <v>65869.21134296192</v>
          </cell>
          <cell r="X9">
            <v>7635.1851791124582</v>
          </cell>
          <cell r="Y9">
            <v>41905.431222777384</v>
          </cell>
          <cell r="AA9">
            <v>0.4</v>
          </cell>
          <cell r="AB9">
            <v>252602.80981642244</v>
          </cell>
          <cell r="AC9">
            <v>123790.29050854001</v>
          </cell>
          <cell r="AD9">
            <v>20454.093952082778</v>
          </cell>
          <cell r="AE9">
            <v>108358.42535579958</v>
          </cell>
          <cell r="AG9">
            <v>0.4</v>
          </cell>
          <cell r="AH9">
            <v>110223.81908653272</v>
          </cell>
          <cell r="AI9">
            <v>59015.904825839229</v>
          </cell>
          <cell r="AJ9">
            <v>8888.1457498455002</v>
          </cell>
          <cell r="AK9">
            <v>42319.768510848022</v>
          </cell>
          <cell r="AW9">
            <v>0.4</v>
          </cell>
          <cell r="AX9">
            <v>50665.995249082604</v>
          </cell>
          <cell r="AY9">
            <v>47371.892855854167</v>
          </cell>
          <cell r="AZ9">
            <v>98037.888104936777</v>
          </cell>
          <cell r="BB9">
            <v>0.4</v>
          </cell>
          <cell r="BC9">
            <v>57565.409019868792</v>
          </cell>
          <cell r="BD9">
            <v>32396.002281629539</v>
          </cell>
          <cell r="BE9">
            <v>7239.5503778896991</v>
          </cell>
          <cell r="BF9">
            <v>17929.856360349564</v>
          </cell>
          <cell r="BH9">
            <v>1189459.0804793737</v>
          </cell>
        </row>
        <row r="10">
          <cell r="A10">
            <v>0.5</v>
          </cell>
          <cell r="B10">
            <v>304090.02808955958</v>
          </cell>
          <cell r="C10">
            <v>142112.99878588427</v>
          </cell>
          <cell r="D10">
            <v>40434.870027588418</v>
          </cell>
          <cell r="E10">
            <v>121542.15927608694</v>
          </cell>
          <cell r="Q10">
            <v>0.5</v>
          </cell>
          <cell r="R10">
            <v>248805.02564199359</v>
          </cell>
          <cell r="S10">
            <v>233794.19720832826</v>
          </cell>
          <cell r="T10">
            <v>482599.22285032185</v>
          </cell>
          <cell r="U10">
            <v>0.5</v>
          </cell>
          <cell r="V10">
            <v>107180.97692365406</v>
          </cell>
          <cell r="W10">
            <v>51541.021104708387</v>
          </cell>
          <cell r="X10">
            <v>9543.9814738905807</v>
          </cell>
          <cell r="Y10">
            <v>46095.974345055125</v>
          </cell>
          <cell r="AA10">
            <v>0.5</v>
          </cell>
          <cell r="AB10">
            <v>236484.26856581122</v>
          </cell>
          <cell r="AC10">
            <v>91722.383234328125</v>
          </cell>
          <cell r="AD10">
            <v>25567.617440103444</v>
          </cell>
          <cell r="AE10">
            <v>119194.26789137945</v>
          </cell>
          <cell r="AG10">
            <v>0.5</v>
          </cell>
          <cell r="AH10">
            <v>99907.625773478823</v>
          </cell>
          <cell r="AI10">
            <v>42245.698224239168</v>
          </cell>
          <cell r="AJ10">
            <v>11110.182187306877</v>
          </cell>
          <cell r="AK10">
            <v>46551.745361932808</v>
          </cell>
          <cell r="AW10">
            <v>0.5</v>
          </cell>
          <cell r="AX10">
            <v>38819.417064218869</v>
          </cell>
          <cell r="AY10">
            <v>50163.147436128726</v>
          </cell>
          <cell r="AZ10">
            <v>88982.564500347595</v>
          </cell>
          <cell r="BB10">
            <v>0.5</v>
          </cell>
          <cell r="BC10">
            <v>52083.803821111236</v>
          </cell>
          <cell r="BD10">
            <v>23311.523852364604</v>
          </cell>
          <cell r="BE10">
            <v>9049.4379723621187</v>
          </cell>
          <cell r="BF10">
            <v>19722.841996384515</v>
          </cell>
          <cell r="BH10">
            <v>1082760.418137362</v>
          </cell>
        </row>
        <row r="11">
          <cell r="A11">
            <v>0.6</v>
          </cell>
          <cell r="B11">
            <v>297130.20813775389</v>
          </cell>
          <cell r="C11">
            <v>113561.52046455137</v>
          </cell>
          <cell r="D11">
            <v>48521.844033106056</v>
          </cell>
          <cell r="E11">
            <v>135046.84364009643</v>
          </cell>
          <cell r="Q11">
            <v>0.6</v>
          </cell>
          <cell r="R11">
            <v>205369.95101710732</v>
          </cell>
          <cell r="S11">
            <v>247612.51070463972</v>
          </cell>
          <cell r="T11">
            <v>452982.46172174707</v>
          </cell>
          <cell r="U11">
            <v>0.6</v>
          </cell>
          <cell r="V11">
            <v>104561.66270684738</v>
          </cell>
          <cell r="W11">
            <v>41891.135665895192</v>
          </cell>
          <cell r="X11">
            <v>11452.77776866869</v>
          </cell>
          <cell r="Y11">
            <v>51217.749272283494</v>
          </cell>
          <cell r="AA11">
            <v>0.6</v>
          </cell>
          <cell r="AB11">
            <v>233794.19720832826</v>
          </cell>
          <cell r="AC11">
            <v>70791.422600519523</v>
          </cell>
          <cell r="AD11">
            <v>30564.69917294259</v>
          </cell>
          <cell r="AE11">
            <v>132438.0754348661</v>
          </cell>
          <cell r="AG11">
            <v>0.6</v>
          </cell>
          <cell r="AH11">
            <v>96649.543329795953</v>
          </cell>
          <cell r="AI11">
            <v>31703.803893485478</v>
          </cell>
          <cell r="AJ11">
            <v>13221.5779230518</v>
          </cell>
          <cell r="AK11">
            <v>51724.161513258674</v>
          </cell>
          <cell r="AW11">
            <v>0.6</v>
          </cell>
          <cell r="AX11">
            <v>31103.51108070714</v>
          </cell>
          <cell r="AY11">
            <v>53574.680812019862</v>
          </cell>
          <cell r="AZ11">
            <v>84678.191892727002</v>
          </cell>
          <cell r="BB11">
            <v>0.6</v>
          </cell>
          <cell r="BC11">
            <v>50163.147436128726</v>
          </cell>
          <cell r="BD11">
            <v>17456.059754762133</v>
          </cell>
          <cell r="BE11">
            <v>10792.818796494921</v>
          </cell>
          <cell r="BF11">
            <v>21914.268884871668</v>
          </cell>
          <cell r="BH11">
            <v>1036002.0677888712</v>
          </cell>
        </row>
        <row r="12">
          <cell r="A12">
            <v>0.7</v>
          </cell>
          <cell r="B12">
            <v>301720.63328759768</v>
          </cell>
          <cell r="C12">
            <v>93184.11615386534</v>
          </cell>
          <cell r="D12">
            <v>56608.818038623831</v>
          </cell>
          <cell r="E12">
            <v>151927.6990951086</v>
          </cell>
          <cell r="Q12">
            <v>0.7</v>
          </cell>
          <cell r="R12">
            <v>175200.12254690594</v>
          </cell>
          <cell r="S12">
            <v>264885.40257502883</v>
          </cell>
          <cell r="T12">
            <v>440085.52512193477</v>
          </cell>
          <cell r="U12">
            <v>0.7</v>
          </cell>
          <cell r="V12">
            <v>105972.86080516109</v>
          </cell>
          <cell r="W12">
            <v>34991.318810395387</v>
          </cell>
          <cell r="X12">
            <v>13361.57406344682</v>
          </cell>
          <cell r="Y12">
            <v>57619.967931318883</v>
          </cell>
          <cell r="AA12">
            <v>0.7</v>
          </cell>
          <cell r="AB12">
            <v>241004.5464143593</v>
          </cell>
          <cell r="AC12">
            <v>56752.518023521661</v>
          </cell>
          <cell r="AD12">
            <v>35259.193526613126</v>
          </cell>
          <cell r="AE12">
            <v>148992.83486422431</v>
          </cell>
          <cell r="AG12">
            <v>0.7</v>
          </cell>
          <cell r="AH12">
            <v>98054.447951919778</v>
          </cell>
          <cell r="AI12">
            <v>24704.184197531144</v>
          </cell>
          <cell r="AJ12">
            <v>15160.582051972684</v>
          </cell>
          <cell r="AK12">
            <v>58189.681702416034</v>
          </cell>
          <cell r="AW12">
            <v>0.7</v>
          </cell>
          <cell r="AX12">
            <v>25814.009463950322</v>
          </cell>
          <cell r="AY12">
            <v>57839.097531883759</v>
          </cell>
          <cell r="AZ12">
            <v>83653.106995834081</v>
          </cell>
          <cell r="BB12">
            <v>0.7</v>
          </cell>
          <cell r="BC12">
            <v>50686.741092661803</v>
          </cell>
          <cell r="BD12">
            <v>13641.9276215179</v>
          </cell>
          <cell r="BE12">
            <v>12391.26097566325</v>
          </cell>
          <cell r="BF12">
            <v>24653.552495480668</v>
          </cell>
          <cell r="BH12">
            <v>1029486.5741624474</v>
          </cell>
        </row>
        <row r="13">
          <cell r="A13">
            <v>0.8</v>
          </cell>
          <cell r="B13">
            <v>316376.41454475507</v>
          </cell>
          <cell r="C13">
            <v>78048.966391918031</v>
          </cell>
          <cell r="D13">
            <v>64695.792044141534</v>
          </cell>
          <cell r="E13">
            <v>173631.65610869558</v>
          </cell>
          <cell r="Q13">
            <v>0.8</v>
          </cell>
          <cell r="R13">
            <v>153355.26361588342</v>
          </cell>
          <cell r="S13">
            <v>287093.40640838642</v>
          </cell>
          <cell r="T13">
            <v>440448.67002426984</v>
          </cell>
          <cell r="U13">
            <v>0.8</v>
          </cell>
          <cell r="V13">
            <v>111133.73823969868</v>
          </cell>
          <cell r="W13">
            <v>30011.975959966458</v>
          </cell>
          <cell r="X13">
            <v>15270.370358224916</v>
          </cell>
          <cell r="Y13">
            <v>65851.391921507311</v>
          </cell>
          <cell r="AA13">
            <v>0.8</v>
          </cell>
          <cell r="AB13">
            <v>256760.59814395377</v>
          </cell>
          <cell r="AC13">
            <v>46758.211854944864</v>
          </cell>
          <cell r="AD13">
            <v>39724.860729895234</v>
          </cell>
          <cell r="AE13">
            <v>170277.52555911374</v>
          </cell>
          <cell r="AG13">
            <v>0.8</v>
          </cell>
          <cell r="AH13">
            <v>103373.56592608859</v>
          </cell>
          <cell r="AI13">
            <v>19939.898227969301</v>
          </cell>
          <cell r="AJ13">
            <v>16931.174323929576</v>
          </cell>
          <cell r="AK13">
            <v>66502.49337418974</v>
          </cell>
          <cell r="AW13">
            <v>0.8</v>
          </cell>
          <cell r="AX13">
            <v>22252.80736953735</v>
          </cell>
          <cell r="AY13">
            <v>63321.919028851626</v>
          </cell>
          <cell r="AZ13">
            <v>85574.726398388972</v>
          </cell>
          <cell r="BB13">
            <v>0.8</v>
          </cell>
          <cell r="BC13">
            <v>53020.363000725454</v>
          </cell>
          <cell r="BD13">
            <v>10977.795081859878</v>
          </cell>
          <cell r="BE13">
            <v>13867.07935260199</v>
          </cell>
          <cell r="BF13">
            <v>28175.488566263615</v>
          </cell>
          <cell r="BH13">
            <v>1056907.1151332012</v>
          </cell>
        </row>
        <row r="14">
          <cell r="A14">
            <v>0.9</v>
          </cell>
          <cell r="B14">
            <v>341351.83806057554</v>
          </cell>
          <cell r="C14">
            <v>66007.519583615169</v>
          </cell>
          <cell r="D14">
            <v>72774.053016815596</v>
          </cell>
          <cell r="E14">
            <v>202570.26546014482</v>
          </cell>
          <cell r="Q14">
            <v>0.9</v>
          </cell>
          <cell r="R14">
            <v>137123.78439090759</v>
          </cell>
          <cell r="S14">
            <v>316704.07818619645</v>
          </cell>
          <cell r="T14">
            <v>453827.86257710401</v>
          </cell>
          <cell r="U14">
            <v>0.9</v>
          </cell>
          <cell r="V14">
            <v>119915.35134603207</v>
          </cell>
          <cell r="W14">
            <v>25909.560784603829</v>
          </cell>
          <cell r="X14">
            <v>17179.16665300306</v>
          </cell>
          <cell r="Y14">
            <v>76826.623908425201</v>
          </cell>
          <cell r="AA14">
            <v>0.9</v>
          </cell>
          <cell r="AB14">
            <v>281950.13558575616</v>
          </cell>
          <cell r="AC14">
            <v>39299.028711797226</v>
          </cell>
          <cell r="AD14">
            <v>43993.993721659695</v>
          </cell>
          <cell r="AE14">
            <v>198657.11315229911</v>
          </cell>
          <cell r="AG14">
            <v>0.9</v>
          </cell>
          <cell r="AH14">
            <v>112655.38207310592</v>
          </cell>
          <cell r="AI14">
            <v>16510.071331623356</v>
          </cell>
          <cell r="AJ14">
            <v>18559.068471594546</v>
          </cell>
          <cell r="AK14">
            <v>77586.242269887967</v>
          </cell>
          <cell r="AW14">
            <v>0.9</v>
          </cell>
          <cell r="AX14">
            <v>19776.560154010291</v>
          </cell>
          <cell r="AY14">
            <v>70632.347691475486</v>
          </cell>
          <cell r="AZ14">
            <v>90408.907845485781</v>
          </cell>
          <cell r="BB14">
            <v>0.9</v>
          </cell>
          <cell r="BC14">
            <v>57192.850501174136</v>
          </cell>
          <cell r="BD14">
            <v>9114.8512985919206</v>
          </cell>
          <cell r="BE14">
            <v>15206.595875274696</v>
          </cell>
          <cell r="BF14">
            <v>32871.403327307547</v>
          </cell>
          <cell r="BH14">
            <v>1118159.3419023033</v>
          </cell>
        </row>
        <row r="15">
          <cell r="A15">
            <v>1</v>
          </cell>
          <cell r="B15">
            <v>380501.68220830237</v>
          </cell>
          <cell r="C15">
            <v>56841.519704149076</v>
          </cell>
          <cell r="D15">
            <v>80575.843951979594</v>
          </cell>
          <cell r="E15">
            <v>243084.31855217388</v>
          </cell>
          <cell r="Q15">
            <v>1</v>
          </cell>
          <cell r="R15">
            <v>125314.23756276586</v>
          </cell>
          <cell r="S15">
            <v>358159.0186751305</v>
          </cell>
          <cell r="T15">
            <v>483473.25623789639</v>
          </cell>
          <cell r="U15">
            <v>1</v>
          </cell>
          <cell r="V15">
            <v>134064.32200451518</v>
          </cell>
          <cell r="W15">
            <v>22784.410366623782</v>
          </cell>
          <cell r="X15">
            <v>19087.962947781161</v>
          </cell>
          <cell r="Y15">
            <v>92191.94869011025</v>
          </cell>
          <cell r="AA15">
            <v>1</v>
          </cell>
          <cell r="AB15">
            <v>320049.80487828789</v>
          </cell>
          <cell r="AC15">
            <v>33470.69154232509</v>
          </cell>
          <cell r="AD15">
            <v>48190.577553203642</v>
          </cell>
          <cell r="AE15">
            <v>238388.5357827589</v>
          </cell>
          <cell r="AG15">
            <v>1</v>
          </cell>
          <cell r="AH15">
            <v>127119.00488272836</v>
          </cell>
          <cell r="AI15">
            <v>13906.091742020366</v>
          </cell>
          <cell r="AJ15">
            <v>20109.42241684235</v>
          </cell>
          <cell r="AK15">
            <v>93103.490723865616</v>
          </cell>
          <cell r="AW15">
            <v>1</v>
          </cell>
          <cell r="AX15">
            <v>18040.051194102347</v>
          </cell>
          <cell r="AY15">
            <v>80866.94781914886</v>
          </cell>
          <cell r="AZ15">
            <v>98906.999013251203</v>
          </cell>
          <cell r="BB15">
            <v>1</v>
          </cell>
          <cell r="BC15">
            <v>63623.677879035647</v>
          </cell>
          <cell r="BD15">
            <v>7690.2276540477405</v>
          </cell>
          <cell r="BE15">
            <v>16487.766232218873</v>
          </cell>
          <cell r="BF15">
            <v>39445.683992769031</v>
          </cell>
          <cell r="BH15">
            <v>1224065.2643466934</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MODEL OVERVIEW"/>
      <sheetName val="1-1 GENERAL (Input)"/>
      <sheetName val="2-1 TRIAL BALANCE DATA (Input)"/>
      <sheetName val="2-2 UNADJUSTED ACCOUNTING DATA"/>
      <sheetName val="ADJ 1 (Rate Base -Tier 1)"/>
      <sheetName val="ADJ 1a (Rate Base -Tier 1)"/>
      <sheetName val="ADJ 2 (Rate Base -Tier 2)"/>
      <sheetName val="ADJ 3 (Distrib Exp -Tier 1)"/>
      <sheetName val="ADJ 3a (Distrib Exp -Tier 1)"/>
      <sheetName val="ADJ 3b (Tier 1 Amortization)"/>
      <sheetName val="ADJ 4 (Distrib Exp -Tier 2)"/>
      <sheetName val="ADJ 5 (Specific Distrib Exp)"/>
      <sheetName val="ADJ 6 (Revenue -Tier 1)"/>
      <sheetName val="2-4 ADJUSTED ACCOUNTING DATA"/>
      <sheetName val="2-5 Capital Expnditures Sch 4-1"/>
      <sheetName val="2-6 OTH (Employee Compensation"/>
      <sheetName val="3-1 RATE BASE"/>
      <sheetName val="3-2 COST OF CAPITAL (Input)"/>
      <sheetName val="3-3  CAPITAL STRUCTURE (Input)"/>
      <sheetName val="3-4 WEIGHTED DEBT COST (Input)"/>
      <sheetName val="4-1 DATA for PILS MODEL"/>
      <sheetName val="4-2 OUTPUT from PILS MODEL"/>
      <sheetName val="5-1 SERVICE REVENUE REQUIREMENT"/>
      <sheetName val="5-2 SPECIFIC SERV CHRGS (Input)"/>
      <sheetName val="5-3 OTHER REGULTD CHRGS (Input)"/>
      <sheetName val="5-4 CDM (Input)"/>
      <sheetName val="5-5 BASE REVENUE REQUIREMENT"/>
      <sheetName val="6-1 CUSTOMER CLASSES (Input)"/>
      <sheetName val="6-2 DEMAND, RATES (Input)"/>
      <sheetName val="6-3 Trfmr Ownership (Input)"/>
      <sheetName val="7-1 ALLOCATION - Base Rev. Req."/>
      <sheetName val="7-2 ALLOCATION - LV-Wheeling"/>
      <sheetName val="7-3 ALLOCATION - CDM (Input)"/>
      <sheetName val="8-1 RATES - BASE REV. REQ."/>
      <sheetName val="8-2 RATES - LV-Wheeling"/>
      <sheetName val="8-3 RATES - CDM"/>
      <sheetName val="8-4 RATE RIDERS -Reg. Assets"/>
      <sheetName val="8-5 DISTRIBUTION RATES"/>
      <sheetName val="8-6 RETAIL TRANSM RATES (Input)"/>
      <sheetName val="8-7 OTHER CHGS, COMMOD (Input)"/>
      <sheetName val="9-1 BILL IMPACTS"/>
      <sheetName val="9-2 BILL IMPACTS %"/>
      <sheetName val="9-1ALT BILL IMPACTS"/>
      <sheetName val="9-2ALT BILL IMPACTS %"/>
      <sheetName val="10-1 RATES SCHEDULE (Part 1)"/>
      <sheetName val="10-2 RATES SCHEDULE (Part 2)"/>
      <sheetName val="10-3 RATES SCHEDULE (Part 3)"/>
      <sheetName val="10-4 DISTR. RATES - RECONCILED"/>
      <sheetName val="HB Appendix A.1"/>
      <sheetName val="HB Appendix A.2"/>
      <sheetName val="HB Appendix A.3"/>
      <sheetName val="HB Appendix A.4"/>
      <sheetName val="Navigation Macro Values"/>
      <sheetName val="Filters"/>
    </sheetNames>
    <sheetDataSet>
      <sheetData sheetId="0" refreshError="1"/>
      <sheetData sheetId="1" refreshError="1"/>
      <sheetData sheetId="2" refreshError="1">
        <row r="56">
          <cell r="C56" t="str">
            <v>A</v>
          </cell>
          <cell r="D56" t="str">
            <v>Territory "A"</v>
          </cell>
        </row>
        <row r="57">
          <cell r="C57" t="str">
            <v>B</v>
          </cell>
          <cell r="D57" t="str">
            <v>Territory "B"</v>
          </cell>
        </row>
        <row r="58">
          <cell r="C58" t="str">
            <v>C</v>
          </cell>
          <cell r="D58" t="str">
            <v>Territory "C"</v>
          </cell>
        </row>
        <row r="59">
          <cell r="C59" t="str">
            <v>D</v>
          </cell>
          <cell r="D59" t="str">
            <v>Territory "D"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refreshError="1"/>
      <sheetData sheetId="1" refreshError="1"/>
      <sheetData sheetId="2" refreshError="1">
        <row r="1">
          <cell r="A1" t="str">
            <v>LDC Name</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oup 1 Clearing plus Power_All"/>
      <sheetName val="Bill Impacts Group1 &amp; Power_All"/>
      <sheetName val="1588 GA Cont. Sch_YTD Sep 09"/>
      <sheetName val="Calc_Rate Rider GA_NonRPP"/>
      <sheetName val="Bill Impact Group1_NonRPP"/>
      <sheetName val="Cost Alloc Non-RPP kWh_Sep "/>
      <sheetName val="GA Threshold Test"/>
      <sheetName val="Summary Bill Impacts"/>
      <sheetName val="Bill Impacts GA_only_NonRPP"/>
    </sheetNames>
    <sheetDataSet>
      <sheetData sheetId="0" refreshError="1"/>
      <sheetData sheetId="1" refreshError="1"/>
      <sheetData sheetId="2">
        <row r="18">
          <cell r="Q18">
            <v>41787640.733557574</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99"/>
      <sheetName val="List 2001"/>
      <sheetName val="Projects"/>
      <sheetName val="SUM2001"/>
      <sheetName val="Budget 2001"/>
      <sheetName val="Budget Forecast"/>
      <sheetName val="Sheet1"/>
      <sheetName val="Sheet2"/>
      <sheetName val="Sheet3"/>
      <sheetName val="Global"/>
    </sheetNames>
    <sheetDataSet>
      <sheetData sheetId="0" refreshError="1">
        <row r="1">
          <cell r="B1" t="str">
            <v>POSSIBLE  SYSTEM   CAPITAL PROJECTS  -  2000</v>
          </cell>
        </row>
        <row r="3">
          <cell r="A3" t="str">
            <v>SUBTRANSMISSION</v>
          </cell>
          <cell r="D3" t="str">
            <v>Date:</v>
          </cell>
          <cell r="F3">
            <v>37118.646983796294</v>
          </cell>
        </row>
        <row r="5">
          <cell r="A5" t="str">
            <v>ITEM</v>
          </cell>
          <cell r="B5" t="str">
            <v>DESCRIPTION</v>
          </cell>
          <cell r="C5" t="str">
            <v>TYPE</v>
          </cell>
          <cell r="D5" t="str">
            <v>ESTIMATE</v>
          </cell>
          <cell r="E5" t="str">
            <v>ZONE</v>
          </cell>
          <cell r="F5" t="str">
            <v>PRIORITY</v>
          </cell>
        </row>
        <row r="6">
          <cell r="C6" t="str">
            <v>(km)</v>
          </cell>
        </row>
        <row r="8">
          <cell r="B8" t="str">
            <v>44 kV - TOMKEN T.S.</v>
          </cell>
        </row>
        <row r="11">
          <cell r="A11" t="str">
            <v>1*</v>
          </cell>
          <cell r="B11" t="str">
            <v>44 kV Dixie/Hwy 401- Feeder Tie</v>
          </cell>
          <cell r="C11" t="str">
            <v>U/G (F)</v>
          </cell>
          <cell r="D11">
            <v>330000</v>
          </cell>
          <cell r="F11">
            <v>1</v>
          </cell>
        </row>
        <row r="12">
          <cell r="B12" t="str">
            <v xml:space="preserve">          From Shawson M.S. south along Dixie on</v>
          </cell>
          <cell r="C12">
            <v>0.4</v>
          </cell>
        </row>
        <row r="13">
          <cell r="B13" t="str">
            <v xml:space="preserve">         existing poleline and U/G under Hwy 401  </v>
          </cell>
        </row>
        <row r="16">
          <cell r="A16">
            <v>2</v>
          </cell>
          <cell r="B16" t="str">
            <v>44 kV Eglinton Feeders</v>
          </cell>
          <cell r="C16" t="str">
            <v>NEW</v>
          </cell>
          <cell r="D16">
            <v>530000</v>
          </cell>
          <cell r="F16">
            <v>2</v>
          </cell>
        </row>
        <row r="17">
          <cell r="B17" t="str">
            <v xml:space="preserve">          Along Ontario Hyd.R.O.W. to Dixie Rd. and</v>
          </cell>
          <cell r="C17">
            <v>3</v>
          </cell>
        </row>
        <row r="18">
          <cell r="B18" t="str">
            <v xml:space="preserve">         north to Eglinton Av. (new Tomken TS feeders)</v>
          </cell>
        </row>
        <row r="21">
          <cell r="A21">
            <v>3</v>
          </cell>
          <cell r="B21" t="str">
            <v>44 kV Dundas/Dixie- Feeder Tie</v>
          </cell>
          <cell r="C21" t="str">
            <v>REBUILD</v>
          </cell>
          <cell r="D21">
            <v>420000</v>
          </cell>
          <cell r="F21">
            <v>3</v>
          </cell>
        </row>
        <row r="22">
          <cell r="B22" t="str">
            <v xml:space="preserve">          On existing poleline  along  Dundas from Cawthra</v>
          </cell>
          <cell r="C22">
            <v>1.7</v>
          </cell>
        </row>
        <row r="23">
          <cell r="B23" t="str">
            <v xml:space="preserve">          to Dixie to Ont.Hyd. ROW at Summerville MS</v>
          </cell>
        </row>
        <row r="26">
          <cell r="A26">
            <v>4</v>
          </cell>
          <cell r="B26" t="str">
            <v>44 kV Matheson Rd. - Dixie to Tomken - Feeder Tie</v>
          </cell>
          <cell r="C26" t="str">
            <v>REBUILD</v>
          </cell>
          <cell r="D26">
            <v>420000</v>
          </cell>
          <cell r="F26">
            <v>4</v>
          </cell>
        </row>
        <row r="27">
          <cell r="B27" t="str">
            <v xml:space="preserve">          On existing poleline  along  Matheson Blvd. from</v>
          </cell>
          <cell r="C27">
            <v>1.7</v>
          </cell>
        </row>
        <row r="28">
          <cell r="B28" t="str">
            <v xml:space="preserve">          Dixie to Tomken Rd.</v>
          </cell>
        </row>
        <row r="31">
          <cell r="A31">
            <v>5</v>
          </cell>
          <cell r="B31" t="str">
            <v>44 kV Tomken TS - ROW to City Centre- Feeder Tie</v>
          </cell>
          <cell r="C31" t="str">
            <v>NEW</v>
          </cell>
          <cell r="D31">
            <v>305000</v>
          </cell>
          <cell r="F31">
            <v>5</v>
          </cell>
        </row>
        <row r="32">
          <cell r="B32" t="str">
            <v xml:space="preserve">          On new poleline  along  Ont. Hyd. ROW from</v>
          </cell>
          <cell r="C32">
            <v>1.5</v>
          </cell>
        </row>
        <row r="33">
          <cell r="B33" t="str">
            <v xml:space="preserve">          Tomken TS to City Centre along Eastgate Dr.</v>
          </cell>
        </row>
        <row r="36">
          <cell r="A36">
            <v>6</v>
          </cell>
          <cell r="B36" t="str">
            <v>44 kV Chalkdene - ROW to Chalkdene MS</v>
          </cell>
          <cell r="C36" t="str">
            <v>REBUILD</v>
          </cell>
          <cell r="D36">
            <v>420000</v>
          </cell>
          <cell r="F36">
            <v>6</v>
          </cell>
        </row>
        <row r="37">
          <cell r="B37" t="str">
            <v xml:space="preserve">          On existing poleline  along  Ont. Hyd. ROW</v>
          </cell>
          <cell r="C37">
            <v>1.7</v>
          </cell>
        </row>
        <row r="38">
          <cell r="B38" t="str">
            <v xml:space="preserve">          to Chalkdene MS</v>
          </cell>
        </row>
        <row r="41">
          <cell r="A41">
            <v>7</v>
          </cell>
          <cell r="B41" t="str">
            <v>44 kV Dixie/Burnhamthorpe/Dundas- Feeder Tie</v>
          </cell>
          <cell r="C41" t="str">
            <v>REBUILD</v>
          </cell>
          <cell r="D41">
            <v>580000</v>
          </cell>
          <cell r="F41">
            <v>7</v>
          </cell>
        </row>
        <row r="42">
          <cell r="B42" t="str">
            <v xml:space="preserve">          On existing poleline  along  Dixie  Rd.  from</v>
          </cell>
          <cell r="C42">
            <v>2.5</v>
          </cell>
        </row>
        <row r="43">
          <cell r="B43" t="str">
            <v xml:space="preserve">          Burnhamthorpe  Rd.   to  Dundas St.</v>
          </cell>
        </row>
        <row r="46">
          <cell r="A46">
            <v>8</v>
          </cell>
          <cell r="B46" t="str">
            <v>44 kV Burnhamthorpe Feeders</v>
          </cell>
          <cell r="C46" t="str">
            <v>REBUILD</v>
          </cell>
          <cell r="D46">
            <v>520000.00000000006</v>
          </cell>
          <cell r="F46">
            <v>8</v>
          </cell>
        </row>
        <row r="47">
          <cell r="B47" t="str">
            <v xml:space="preserve">          Along Ontario Hyd.R.O.W. to Dixie Rd. and</v>
          </cell>
          <cell r="C47">
            <v>2.2000000000000002</v>
          </cell>
        </row>
        <row r="48">
          <cell r="B48" t="str">
            <v xml:space="preserve">         south to Burnhamthorpe Rd. (new feeders)</v>
          </cell>
        </row>
        <row r="51">
          <cell r="A51">
            <v>9</v>
          </cell>
          <cell r="B51" t="str">
            <v>44 kV Tomken Rd. - ROW to Burnhamthorpe - Feeder Tie</v>
          </cell>
          <cell r="C51" t="str">
            <v>REBUILD</v>
          </cell>
          <cell r="D51">
            <v>280000</v>
          </cell>
          <cell r="F51">
            <v>9</v>
          </cell>
        </row>
        <row r="52">
          <cell r="B52" t="str">
            <v xml:space="preserve">          Rebuild poleline  along Tomken Rd.</v>
          </cell>
          <cell r="C52">
            <v>1</v>
          </cell>
        </row>
        <row r="53">
          <cell r="B53" t="str">
            <v xml:space="preserve">          from Ont. Hyd. ROW to Burnhamthorpe Rd.</v>
          </cell>
        </row>
        <row r="56">
          <cell r="B56" t="str">
            <v>SUB-TOTAL</v>
          </cell>
          <cell r="D56">
            <v>3805000</v>
          </cell>
        </row>
        <row r="58">
          <cell r="A58" t="str">
            <v>(*)  Included  in  1999  Capital  Budget.</v>
          </cell>
        </row>
        <row r="62">
          <cell r="B62" t="str">
            <v>POSSIBLE  SYSTEM   CAPITAL PROJECTS  -  2000</v>
          </cell>
        </row>
        <row r="64">
          <cell r="A64" t="str">
            <v>SUBTRANSMISSION</v>
          </cell>
          <cell r="D64" t="str">
            <v>Date:</v>
          </cell>
          <cell r="F64">
            <v>37118.646983796294</v>
          </cell>
        </row>
        <row r="67">
          <cell r="A67" t="str">
            <v>ITEM</v>
          </cell>
          <cell r="B67" t="str">
            <v>DESCRIPTION</v>
          </cell>
          <cell r="C67" t="str">
            <v>TYPE</v>
          </cell>
          <cell r="D67" t="str">
            <v>ESTIMATE</v>
          </cell>
          <cell r="E67" t="str">
            <v>ZONE</v>
          </cell>
          <cell r="F67" t="str">
            <v>PRIORITY</v>
          </cell>
        </row>
        <row r="68">
          <cell r="C68" t="str">
            <v>(km)</v>
          </cell>
        </row>
        <row r="70">
          <cell r="B70" t="str">
            <v>44 kV - MEADOWVALE TS</v>
          </cell>
        </row>
        <row r="73">
          <cell r="A73" t="str">
            <v>1*</v>
          </cell>
          <cell r="B73" t="str">
            <v>44 kV - Meadowvale Feeder - Fifth Line to Mississauga - Feede Tie</v>
          </cell>
          <cell r="C73" t="str">
            <v>ADD (F)</v>
          </cell>
          <cell r="D73">
            <v>230000</v>
          </cell>
          <cell r="F73">
            <v>1</v>
          </cell>
        </row>
        <row r="74">
          <cell r="B74" t="str">
            <v xml:space="preserve">          On existing poleline along Utility Corridor from Meadowvale TS </v>
          </cell>
          <cell r="C74">
            <v>4.5</v>
          </cell>
        </row>
        <row r="75">
          <cell r="B75" t="str">
            <v xml:space="preserve">          to Fifth Line to Mississuga Rd and south to Hwy 401 at CIBC</v>
          </cell>
        </row>
        <row r="76">
          <cell r="B76" t="str">
            <v xml:space="preserve">         (Phase I - Fifth LIne to Mississauga Rd)</v>
          </cell>
        </row>
        <row r="78">
          <cell r="A78">
            <v>2</v>
          </cell>
          <cell r="B78" t="str">
            <v>44 kV Britannia Rd. - Mississauga Rd. to Creditview</v>
          </cell>
          <cell r="C78" t="str">
            <v>REBUILD</v>
          </cell>
          <cell r="D78">
            <v>280000</v>
          </cell>
          <cell r="F78">
            <v>2</v>
          </cell>
        </row>
        <row r="79">
          <cell r="B79" t="str">
            <v xml:space="preserve">          On existing poleline along Britannia Rd. from Mississauga Rd. </v>
          </cell>
          <cell r="C79">
            <v>1</v>
          </cell>
        </row>
        <row r="80">
          <cell r="B80" t="str">
            <v xml:space="preserve">          to Creditview  Rd.</v>
          </cell>
        </row>
        <row r="83">
          <cell r="A83">
            <v>3</v>
          </cell>
          <cell r="B83" t="str">
            <v>44 kV Derry Rd - Mississauga/Creditview to Britannia- Feeder Tie</v>
          </cell>
          <cell r="C83" t="str">
            <v>REBUILD</v>
          </cell>
          <cell r="D83">
            <v>480000</v>
          </cell>
          <cell r="F83">
            <v>3</v>
          </cell>
        </row>
        <row r="84">
          <cell r="B84" t="str">
            <v xml:space="preserve">          On existing poleline along Derry Rd. from Mississauga Rd. </v>
          </cell>
          <cell r="C84">
            <v>2</v>
          </cell>
        </row>
        <row r="85">
          <cell r="B85" t="str">
            <v xml:space="preserve">          to Creditview  Rd. to Britannia Rd.</v>
          </cell>
        </row>
        <row r="88">
          <cell r="A88">
            <v>4</v>
          </cell>
          <cell r="B88" t="str">
            <v>44 kV Ninth Line/Britannia Feeders</v>
          </cell>
          <cell r="C88" t="str">
            <v>ADD</v>
          </cell>
          <cell r="D88">
            <v>330000</v>
          </cell>
        </row>
        <row r="89">
          <cell r="B89" t="str">
            <v xml:space="preserve">          Along Ninth Line from Derry Rd. to Britannia Rd. to Winston Churchill</v>
          </cell>
          <cell r="C89">
            <v>5</v>
          </cell>
        </row>
        <row r="90">
          <cell r="B90" t="str">
            <v xml:space="preserve">         on existing poleline.</v>
          </cell>
        </row>
        <row r="93">
          <cell r="A93">
            <v>5</v>
          </cell>
        </row>
        <row r="98">
          <cell r="A98">
            <v>6</v>
          </cell>
        </row>
        <row r="103">
          <cell r="A103">
            <v>7</v>
          </cell>
        </row>
        <row r="108">
          <cell r="A108">
            <v>8</v>
          </cell>
        </row>
        <row r="113">
          <cell r="A113">
            <v>9</v>
          </cell>
        </row>
        <row r="118">
          <cell r="B118" t="str">
            <v>SUB-TOTAL</v>
          </cell>
          <cell r="D118">
            <v>1320000</v>
          </cell>
        </row>
        <row r="120">
          <cell r="A120" t="str">
            <v>(*)  Included  in  1999  Capital  Budget.</v>
          </cell>
        </row>
        <row r="123">
          <cell r="B123" t="str">
            <v>POSSIBLE  SYSTEM   CAPITAL PROJECTS  -  2000</v>
          </cell>
        </row>
        <row r="125">
          <cell r="A125" t="str">
            <v>SUBTRANSMISSION</v>
          </cell>
          <cell r="D125" t="str">
            <v>Date:</v>
          </cell>
          <cell r="F125">
            <v>37118.646983796294</v>
          </cell>
        </row>
        <row r="128">
          <cell r="A128" t="str">
            <v>ITEM</v>
          </cell>
          <cell r="B128" t="str">
            <v>DESCRIPTION</v>
          </cell>
          <cell r="C128" t="str">
            <v>TYPE</v>
          </cell>
          <cell r="D128" t="str">
            <v>ESTIMATE</v>
          </cell>
          <cell r="E128" t="str">
            <v>ZONE</v>
          </cell>
          <cell r="F128" t="str">
            <v>PRIORITY</v>
          </cell>
        </row>
        <row r="129">
          <cell r="C129" t="str">
            <v>(km)</v>
          </cell>
        </row>
        <row r="131">
          <cell r="B131" t="str">
            <v>44 kV - ERINDALE TS</v>
          </cell>
        </row>
        <row r="134">
          <cell r="A134" t="str">
            <v>1**</v>
          </cell>
          <cell r="B134" t="str">
            <v>44 kV Glen Erin Dr. - Burnhamthorpe to Eglinton - Feeder Tie</v>
          </cell>
          <cell r="C134" t="str">
            <v>ADD (F)</v>
          </cell>
          <cell r="D134">
            <v>175000</v>
          </cell>
          <cell r="E134" t="str">
            <v>R</v>
          </cell>
          <cell r="F134">
            <v>1</v>
          </cell>
        </row>
        <row r="135">
          <cell r="B135" t="str">
            <v xml:space="preserve">          On existing poleline along Glen Erin Dr. from </v>
          </cell>
          <cell r="C135">
            <v>3</v>
          </cell>
        </row>
        <row r="136">
          <cell r="B136" t="str">
            <v xml:space="preserve">          Burnhamthorpe Dr. to Eglinton Av. (including 13.8 kV cct)</v>
          </cell>
        </row>
        <row r="139">
          <cell r="A139">
            <v>2</v>
          </cell>
          <cell r="B139" t="str">
            <v>44 kV Dundas - Hwy 10 to Mavis - Feeder Tie</v>
          </cell>
          <cell r="C139" t="str">
            <v>REBUILD</v>
          </cell>
          <cell r="D139">
            <v>380000</v>
          </cell>
          <cell r="F139">
            <v>2</v>
          </cell>
        </row>
        <row r="140">
          <cell r="B140" t="str">
            <v xml:space="preserve">          On existing poleline along Dundas St. from Hwy 10 to</v>
          </cell>
          <cell r="C140">
            <v>1.5</v>
          </cell>
        </row>
        <row r="141">
          <cell r="B141" t="str">
            <v xml:space="preserve">          Mavis Rd - Second cct to John MS</v>
          </cell>
        </row>
        <row r="144">
          <cell r="A144">
            <v>3</v>
          </cell>
          <cell r="B144" t="str">
            <v>44 kV Mavis - Burnhamthorpe Rd. to Dundas</v>
          </cell>
          <cell r="C144" t="str">
            <v>ADD</v>
          </cell>
          <cell r="D144">
            <v>270000</v>
          </cell>
          <cell r="F144">
            <v>3</v>
          </cell>
        </row>
        <row r="145">
          <cell r="B145" t="str">
            <v xml:space="preserve">          On existing poleline along Mavis from Burnhamthorpe Rd. to</v>
          </cell>
          <cell r="C145">
            <v>3</v>
          </cell>
        </row>
        <row r="146">
          <cell r="B146" t="str">
            <v xml:space="preserve">          Dundas St.</v>
          </cell>
        </row>
        <row r="149">
          <cell r="A149">
            <v>4</v>
          </cell>
          <cell r="B149" t="str">
            <v>44 kV Winston Churchill - Eglinton to Dundas</v>
          </cell>
          <cell r="C149" t="str">
            <v>ADD</v>
          </cell>
          <cell r="D149">
            <v>345000</v>
          </cell>
          <cell r="F149">
            <v>4</v>
          </cell>
        </row>
        <row r="150">
          <cell r="B150" t="str">
            <v xml:space="preserve">          On existing poleline along Winston Churchill Blvd. from Eglinton Ave.</v>
          </cell>
          <cell r="C150">
            <v>4.5</v>
          </cell>
        </row>
        <row r="151">
          <cell r="B151" t="str">
            <v xml:space="preserve">          to Dundas St.</v>
          </cell>
        </row>
        <row r="154">
          <cell r="A154">
            <v>5</v>
          </cell>
          <cell r="B154" t="str">
            <v>44 kV Mississauga Rd. - Burnhamthorpe to Dundas</v>
          </cell>
          <cell r="C154" t="str">
            <v>REBUILD</v>
          </cell>
          <cell r="D154">
            <v>580000</v>
          </cell>
          <cell r="F154">
            <v>5</v>
          </cell>
        </row>
        <row r="155">
          <cell r="B155" t="str">
            <v xml:space="preserve">          On existing poleline along Mississauga Rd from </v>
          </cell>
          <cell r="C155">
            <v>2.5</v>
          </cell>
        </row>
        <row r="156">
          <cell r="B156" t="str">
            <v xml:space="preserve">          Burnhamthorpe Rd. to Dundas St.</v>
          </cell>
        </row>
        <row r="159">
          <cell r="A159">
            <v>6</v>
          </cell>
          <cell r="B159" t="str">
            <v>44 kV Dundas St. - Erindale Station Rd, to Erin Mills Pkwy.</v>
          </cell>
          <cell r="C159" t="str">
            <v>REBUILD</v>
          </cell>
          <cell r="D159">
            <v>1080000</v>
          </cell>
          <cell r="F159">
            <v>6</v>
          </cell>
        </row>
        <row r="160">
          <cell r="B160" t="str">
            <v xml:space="preserve">          On existing poleline along Dundas St from Erindale sation Rd. </v>
          </cell>
          <cell r="C160">
            <v>5</v>
          </cell>
        </row>
        <row r="161">
          <cell r="B161" t="str">
            <v xml:space="preserve">          to Erin Mills Pkwy.</v>
          </cell>
        </row>
        <row r="164">
          <cell r="A164" t="str">
            <v>7*</v>
          </cell>
          <cell r="B164" t="str">
            <v>44 kV Erin Mills Pkwy - Britannia to Eglinton.</v>
          </cell>
          <cell r="C164" t="str">
            <v>ADD</v>
          </cell>
          <cell r="D164">
            <v>285000</v>
          </cell>
          <cell r="F164">
            <v>7</v>
          </cell>
        </row>
        <row r="165">
          <cell r="B165" t="str">
            <v xml:space="preserve">          On existing poleline along Erin Mills Pkwy from Britannia </v>
          </cell>
          <cell r="C165">
            <v>3.3</v>
          </cell>
        </row>
        <row r="166">
          <cell r="B166" t="str">
            <v xml:space="preserve">          to Eglinton Avenue</v>
          </cell>
        </row>
        <row r="169">
          <cell r="A169">
            <v>8</v>
          </cell>
          <cell r="B169" t="str">
            <v>44 kV Mississauga Rd. - Britannia to Eglinton - Feeder Tie</v>
          </cell>
          <cell r="C169" t="str">
            <v>REBUILD</v>
          </cell>
          <cell r="D169">
            <v>740000</v>
          </cell>
          <cell r="F169">
            <v>8</v>
          </cell>
        </row>
        <row r="170">
          <cell r="B170" t="str">
            <v xml:space="preserve">          On existing poleline along Mississauga Rd from </v>
          </cell>
          <cell r="C170">
            <v>3.3</v>
          </cell>
        </row>
        <row r="171">
          <cell r="B171" t="str">
            <v xml:space="preserve">          Britannia Rd. to Eglinton Ave.</v>
          </cell>
        </row>
        <row r="174">
          <cell r="A174">
            <v>9</v>
          </cell>
          <cell r="B174" t="str">
            <v>44 kV Burnhamthorpe Rd.- Glen Erin to WCB</v>
          </cell>
          <cell r="C174" t="str">
            <v>ADD</v>
          </cell>
          <cell r="D174">
            <v>115000</v>
          </cell>
          <cell r="F174">
            <v>9</v>
          </cell>
        </row>
        <row r="175">
          <cell r="B175" t="str">
            <v xml:space="preserve">          On existing poleline along Burnhamthorpe Rd. from Glen Erin</v>
          </cell>
          <cell r="C175">
            <v>1.5</v>
          </cell>
        </row>
        <row r="176">
          <cell r="B176" t="str">
            <v xml:space="preserve">          to Winston Churchill Blvd.</v>
          </cell>
        </row>
        <row r="179">
          <cell r="A179">
            <v>10</v>
          </cell>
          <cell r="B179" t="str">
            <v>44 kV Glengarry Rd - Dundas St. to Queensway</v>
          </cell>
          <cell r="C179" t="str">
            <v>REBUILD</v>
          </cell>
          <cell r="D179">
            <v>280000</v>
          </cell>
          <cell r="F179">
            <v>9</v>
          </cell>
        </row>
        <row r="180">
          <cell r="B180" t="str">
            <v xml:space="preserve">          On rebuild poleline along Glengarry Rd. from Dundas St.</v>
          </cell>
          <cell r="C180">
            <v>1</v>
          </cell>
        </row>
        <row r="181">
          <cell r="B181" t="str">
            <v xml:space="preserve">          to Queensway to the South.</v>
          </cell>
        </row>
        <row r="184">
          <cell r="B184" t="str">
            <v>SUB-TOTAL</v>
          </cell>
          <cell r="D184">
            <v>4250000</v>
          </cell>
        </row>
        <row r="186">
          <cell r="A186" t="str">
            <v>(*)  Included  in  1999  Capital  Budget.</v>
          </cell>
        </row>
        <row r="189">
          <cell r="B189" t="str">
            <v>POSSIBLE  SYSTEM   CAPITAL PROJECTS  -  2000</v>
          </cell>
        </row>
        <row r="191">
          <cell r="A191" t="str">
            <v>SUBTRANSMISSION</v>
          </cell>
          <cell r="D191" t="str">
            <v>Date:</v>
          </cell>
          <cell r="F191">
            <v>35627.357684374998</v>
          </cell>
        </row>
        <row r="194">
          <cell r="A194" t="str">
            <v>ITEM</v>
          </cell>
          <cell r="B194" t="str">
            <v>DESCRIPTION</v>
          </cell>
          <cell r="C194" t="str">
            <v>TYPE</v>
          </cell>
          <cell r="D194" t="str">
            <v>ESTIMATE</v>
          </cell>
          <cell r="E194" t="str">
            <v>ZONE</v>
          </cell>
          <cell r="F194" t="str">
            <v>PRIORITY</v>
          </cell>
        </row>
        <row r="195">
          <cell r="C195" t="str">
            <v>(km)</v>
          </cell>
        </row>
        <row r="197">
          <cell r="B197" t="str">
            <v>44 kV - BRAMALEA TS</v>
          </cell>
        </row>
        <row r="200">
          <cell r="A200">
            <v>1</v>
          </cell>
          <cell r="B200" t="str">
            <v>44 kV Drew Rd. Feeder Tie</v>
          </cell>
          <cell r="C200" t="str">
            <v>ADD</v>
          </cell>
          <cell r="D200">
            <v>205000</v>
          </cell>
          <cell r="F200">
            <v>1</v>
          </cell>
        </row>
        <row r="201">
          <cell r="B201" t="str">
            <v xml:space="preserve">          Along Drew Rd. from Tobram Rd. to </v>
          </cell>
          <cell r="C201">
            <v>2.5</v>
          </cell>
        </row>
        <row r="202">
          <cell r="B202" t="str">
            <v xml:space="preserve">          Airport Rd.</v>
          </cell>
        </row>
        <row r="205">
          <cell r="A205">
            <v>2</v>
          </cell>
          <cell r="B205" t="str">
            <v>44 kV Goreway Dr. - City Bounary to Derry - Feeder Tie</v>
          </cell>
          <cell r="C205" t="str">
            <v>REBUILD</v>
          </cell>
          <cell r="D205">
            <v>580000</v>
          </cell>
          <cell r="F205">
            <v>2</v>
          </cell>
        </row>
        <row r="206">
          <cell r="B206" t="str">
            <v xml:space="preserve">          Rebuild of poleline along Goreway Drive from City Boundary</v>
          </cell>
          <cell r="C206">
            <v>2.5</v>
          </cell>
        </row>
        <row r="207">
          <cell r="B207" t="str">
            <v xml:space="preserve">          to Orlando MS near American Dr.</v>
          </cell>
        </row>
        <row r="210">
          <cell r="A210">
            <v>3</v>
          </cell>
          <cell r="B210" t="str">
            <v>44 kV CN Tracks - City Bounary to Derry - Feeder Tie</v>
          </cell>
          <cell r="C210" t="str">
            <v>ADD</v>
          </cell>
          <cell r="D210">
            <v>370000</v>
          </cell>
          <cell r="F210">
            <v>3</v>
          </cell>
        </row>
        <row r="211">
          <cell r="B211" t="str">
            <v xml:space="preserve">          On existing poleline along CN tracks from City Boundary</v>
          </cell>
          <cell r="C211">
            <v>5</v>
          </cell>
        </row>
        <row r="212">
          <cell r="B212" t="str">
            <v xml:space="preserve">          to Derry Rd.</v>
          </cell>
        </row>
        <row r="215">
          <cell r="A215">
            <v>4</v>
          </cell>
          <cell r="B215" t="str">
            <v xml:space="preserve">44 kV Orlando MS to Northwest to Malton MS </v>
          </cell>
          <cell r="C215" t="str">
            <v>REBUILD</v>
          </cell>
          <cell r="D215">
            <v>580000</v>
          </cell>
          <cell r="F215">
            <v>4</v>
          </cell>
        </row>
        <row r="216">
          <cell r="B216" t="str">
            <v xml:space="preserve">          On rebuild poleline along Nortwest Dr.</v>
          </cell>
          <cell r="C216">
            <v>2.5</v>
          </cell>
        </row>
        <row r="217">
          <cell r="B217" t="str">
            <v xml:space="preserve">          to Derry Rd. (to Malton MS)</v>
          </cell>
        </row>
        <row r="220">
          <cell r="A220" t="str">
            <v>5??</v>
          </cell>
          <cell r="B220" t="str">
            <v>44 kV Goreway Dr. - Derry to Orlando MS - Feeder Tie</v>
          </cell>
          <cell r="C220" t="str">
            <v>REBUILD</v>
          </cell>
          <cell r="D220">
            <v>420000</v>
          </cell>
          <cell r="F220">
            <v>5</v>
          </cell>
        </row>
        <row r="221">
          <cell r="B221" t="str">
            <v xml:space="preserve">          On existing poleline along Goreway Drive from Derry Rd.</v>
          </cell>
          <cell r="C221">
            <v>1.7</v>
          </cell>
        </row>
        <row r="222">
          <cell r="B222" t="str">
            <v xml:space="preserve">          to Orlando MS near American Dr.</v>
          </cell>
        </row>
        <row r="225">
          <cell r="A225">
            <v>6</v>
          </cell>
        </row>
        <row r="230">
          <cell r="A230">
            <v>7</v>
          </cell>
        </row>
        <row r="235">
          <cell r="A235">
            <v>8</v>
          </cell>
        </row>
        <row r="240">
          <cell r="A240">
            <v>9</v>
          </cell>
        </row>
        <row r="245">
          <cell r="B245" t="str">
            <v>SUB-TOTAL</v>
          </cell>
          <cell r="D245">
            <v>2155000</v>
          </cell>
        </row>
        <row r="247">
          <cell r="A247" t="str">
            <v>(*)  Included  in  1999  Capital  Budget.</v>
          </cell>
        </row>
        <row r="250">
          <cell r="B250" t="str">
            <v>POSSIBLE  SYSTEM   CAPITAL PROJECTS  -  2000</v>
          </cell>
        </row>
        <row r="252">
          <cell r="A252" t="str">
            <v>SUBTRANSMISSION</v>
          </cell>
          <cell r="D252" t="str">
            <v>Date:</v>
          </cell>
          <cell r="F252">
            <v>37118.646983796294</v>
          </cell>
        </row>
        <row r="255">
          <cell r="A255" t="str">
            <v>ITEM</v>
          </cell>
          <cell r="B255" t="str">
            <v>DESCRIPTION</v>
          </cell>
          <cell r="C255" t="str">
            <v>TYPE</v>
          </cell>
          <cell r="D255" t="str">
            <v>ESTIMATE</v>
          </cell>
          <cell r="E255" t="str">
            <v>ZONE</v>
          </cell>
          <cell r="F255" t="str">
            <v>PRIORITY</v>
          </cell>
        </row>
        <row r="256">
          <cell r="C256" t="str">
            <v>(km)</v>
          </cell>
        </row>
        <row r="258">
          <cell r="B258" t="str">
            <v>27.6 kV SOUTH SYSTEM</v>
          </cell>
        </row>
        <row r="261">
          <cell r="A261">
            <v>1</v>
          </cell>
          <cell r="B261" t="str">
            <v>27.6 kV Cliff Rd. - ROW to Queensway</v>
          </cell>
          <cell r="C261" t="str">
            <v>REBUILD</v>
          </cell>
          <cell r="D261">
            <v>290000</v>
          </cell>
          <cell r="F261">
            <v>1</v>
          </cell>
        </row>
        <row r="262">
          <cell r="B262" t="str">
            <v xml:space="preserve">          On rebuild poleline along Cliff Rd. east of Hwy 10</v>
          </cell>
          <cell r="C262">
            <v>1.2</v>
          </cell>
        </row>
        <row r="263">
          <cell r="B263" t="str">
            <v xml:space="preserve">          from O.H. ROW to Queensway</v>
          </cell>
        </row>
        <row r="266">
          <cell r="A266">
            <v>2</v>
          </cell>
          <cell r="B266" t="str">
            <v>27.6 kV Lakeshore Rd -  Cawthra and Dixie</v>
          </cell>
          <cell r="C266" t="str">
            <v>REBUILD</v>
          </cell>
          <cell r="D266">
            <v>280000</v>
          </cell>
          <cell r="F266">
            <v>2</v>
          </cell>
        </row>
        <row r="267">
          <cell r="B267" t="str">
            <v xml:space="preserve">          On rebuild poleline along Lakeshore Rd.</v>
          </cell>
          <cell r="C267">
            <v>1</v>
          </cell>
        </row>
        <row r="268">
          <cell r="B268" t="str">
            <v xml:space="preserve">          between Cawthra and Dixie</v>
          </cell>
        </row>
        <row r="271">
          <cell r="A271">
            <v>3</v>
          </cell>
          <cell r="B271" t="str">
            <v>27.6 kV Stanfield - ROW to Queensway</v>
          </cell>
          <cell r="C271" t="str">
            <v>NEW</v>
          </cell>
          <cell r="D271">
            <v>305000</v>
          </cell>
          <cell r="F271">
            <v>3</v>
          </cell>
        </row>
        <row r="272">
          <cell r="B272" t="str">
            <v xml:space="preserve">          On existing poleline along Stanfield Rd. east of Hwy 10</v>
          </cell>
          <cell r="C272">
            <v>1.5</v>
          </cell>
        </row>
        <row r="273">
          <cell r="B273" t="str">
            <v xml:space="preserve">          from O.H. ROW to Queensway</v>
          </cell>
        </row>
        <row r="276">
          <cell r="A276">
            <v>4</v>
          </cell>
          <cell r="B276" t="str">
            <v>27.6 kV Indian Grove  - Lorne Park TS to Lakeshore</v>
          </cell>
          <cell r="C276" t="str">
            <v>REBUILD</v>
          </cell>
          <cell r="D276">
            <v>560000</v>
          </cell>
          <cell r="F276">
            <v>4</v>
          </cell>
        </row>
        <row r="277">
          <cell r="B277" t="str">
            <v xml:space="preserve">          On existing poleline along Indian Grove and Kane Rd. west of</v>
          </cell>
          <cell r="C277">
            <v>2.4</v>
          </cell>
        </row>
        <row r="278">
          <cell r="B278" t="str">
            <v xml:space="preserve">          Mississauga Rd. from O.H. ROW to Lakeshore</v>
          </cell>
        </row>
        <row r="281">
          <cell r="A281">
            <v>5</v>
          </cell>
          <cell r="B281" t="str">
            <v>27.6 KV Highway 10 - Lakeshore to Queensway</v>
          </cell>
          <cell r="C281" t="str">
            <v>REBUILD</v>
          </cell>
          <cell r="D281">
            <v>780000</v>
          </cell>
          <cell r="F281">
            <v>5</v>
          </cell>
        </row>
        <row r="282">
          <cell r="B282" t="str">
            <v xml:space="preserve">          On existing poleline along Hwy 10</v>
          </cell>
          <cell r="C282">
            <v>3.5</v>
          </cell>
        </row>
        <row r="283">
          <cell r="B283" t="str">
            <v xml:space="preserve">          between Lakeshore and Queensway</v>
          </cell>
        </row>
        <row r="286">
          <cell r="A286">
            <v>6</v>
          </cell>
          <cell r="B286" t="str">
            <v>27.6 KV Winston C.Blvd. -  St. Lawrence Cement Plant</v>
          </cell>
          <cell r="C286" t="str">
            <v>REBUILD</v>
          </cell>
          <cell r="D286">
            <v>780000</v>
          </cell>
        </row>
        <row r="287">
          <cell r="B287" t="str">
            <v xml:space="preserve">          On existing poleline along WCB south to Lakeshore</v>
          </cell>
          <cell r="C287">
            <v>3.5</v>
          </cell>
        </row>
        <row r="288">
          <cell r="B288" t="str">
            <v xml:space="preserve">          to St. Lawrence Cemnet  Plant</v>
          </cell>
        </row>
        <row r="291">
          <cell r="A291">
            <v>7</v>
          </cell>
        </row>
        <row r="296">
          <cell r="A296">
            <v>8</v>
          </cell>
        </row>
        <row r="301">
          <cell r="A301">
            <v>9</v>
          </cell>
        </row>
        <row r="306">
          <cell r="B306" t="str">
            <v>SUB-TOTAL</v>
          </cell>
          <cell r="D306">
            <v>2995000</v>
          </cell>
        </row>
        <row r="308">
          <cell r="A308" t="str">
            <v>(*)  Included  in  1999  Capital  Budget.</v>
          </cell>
        </row>
        <row r="311">
          <cell r="B311" t="str">
            <v>POSSIBLE  SYSTEM   CAPITAL PROJECTS  -  2000</v>
          </cell>
        </row>
        <row r="313">
          <cell r="A313" t="str">
            <v>SUBTRANSMISSION</v>
          </cell>
          <cell r="D313" t="str">
            <v>Date:</v>
          </cell>
          <cell r="F313">
            <v>37118.646983796294</v>
          </cell>
        </row>
        <row r="316">
          <cell r="A316" t="str">
            <v>ITEM</v>
          </cell>
          <cell r="B316" t="str">
            <v>DESCRIPTION</v>
          </cell>
          <cell r="C316" t="str">
            <v>TYPE</v>
          </cell>
          <cell r="D316" t="str">
            <v>ESTIMATE</v>
          </cell>
          <cell r="E316" t="str">
            <v>ZONE</v>
          </cell>
          <cell r="F316" t="str">
            <v>PRIORITY</v>
          </cell>
        </row>
        <row r="317">
          <cell r="C317" t="str">
            <v>(km)</v>
          </cell>
        </row>
        <row r="319">
          <cell r="B319" t="str">
            <v>27.6 kV NORTH SYSTEM</v>
          </cell>
        </row>
        <row r="322">
          <cell r="A322" t="str">
            <v>1*</v>
          </cell>
          <cell r="B322" t="str">
            <v>27.6 kV Mavis - Erindale TS to Brittannia Rd.</v>
          </cell>
          <cell r="C322" t="str">
            <v>ADD (F)</v>
          </cell>
          <cell r="D322">
            <v>870000</v>
          </cell>
          <cell r="F322">
            <v>1</v>
          </cell>
        </row>
        <row r="323">
          <cell r="B323" t="str">
            <v xml:space="preserve">          New underground feeders from Erindale TS to Mavis Rd. and</v>
          </cell>
          <cell r="C323">
            <v>3</v>
          </cell>
        </row>
        <row r="324">
          <cell r="B324" t="str">
            <v xml:space="preserve">          additional cct on exiting poleline along Mavis Rd. to Eglinton</v>
          </cell>
        </row>
        <row r="325">
          <cell r="B325" t="str">
            <v xml:space="preserve">          and north to Britannia Rd.</v>
          </cell>
        </row>
        <row r="327">
          <cell r="A327">
            <v>2</v>
          </cell>
          <cell r="B327" t="str">
            <v>27.6 kV /44 kV- Intertie Substation.</v>
          </cell>
          <cell r="C327" t="str">
            <v>ADD (F)</v>
          </cell>
          <cell r="D327">
            <v>375000</v>
          </cell>
          <cell r="E327" t="str">
            <v>R</v>
          </cell>
          <cell r="F327">
            <v>2</v>
          </cell>
        </row>
        <row r="328">
          <cell r="B328" t="str">
            <v xml:space="preserve">          Along Tomken Rd at a suitable location (at Derry MS?)</v>
          </cell>
          <cell r="C328">
            <v>0.7</v>
          </cell>
        </row>
        <row r="329">
          <cell r="B329" t="str">
            <v xml:space="preserve">          between Britannia and Derry Rd.</v>
          </cell>
        </row>
        <row r="332">
          <cell r="A332">
            <v>3</v>
          </cell>
          <cell r="B332" t="str">
            <v>27.6 kV - Hwy 10  - From ROW to Eglinton</v>
          </cell>
          <cell r="C332" t="str">
            <v>NEW (F)</v>
          </cell>
          <cell r="D332">
            <v>30050</v>
          </cell>
          <cell r="F332">
            <v>3</v>
          </cell>
        </row>
        <row r="333">
          <cell r="B333" t="str">
            <v xml:space="preserve">          Create a tie between two polelines</v>
          </cell>
          <cell r="C333">
            <v>6.7000000000000004E-2</v>
          </cell>
        </row>
        <row r="334">
          <cell r="B334" t="str">
            <v xml:space="preserve">          at north-east corner of Hwys10 and 403</v>
          </cell>
        </row>
        <row r="337">
          <cell r="A337">
            <v>4</v>
          </cell>
          <cell r="B337" t="str">
            <v>27.6 kV - Kennedy Rd.</v>
          </cell>
          <cell r="C337" t="str">
            <v>REBUILD (F)</v>
          </cell>
          <cell r="D337">
            <v>450000</v>
          </cell>
          <cell r="F337">
            <v>4</v>
          </cell>
        </row>
        <row r="338">
          <cell r="B338" t="str">
            <v xml:space="preserve">          On existing poleline along Kennedy Rd. from</v>
          </cell>
          <cell r="C338">
            <v>2</v>
          </cell>
        </row>
        <row r="339">
          <cell r="B339" t="str">
            <v xml:space="preserve">          Eglinton Av. To Britannia</v>
          </cell>
        </row>
        <row r="342">
          <cell r="A342">
            <v>5</v>
          </cell>
          <cell r="B342" t="str">
            <v>27.6 kV Bramalea TS Feeder Ties</v>
          </cell>
          <cell r="C342" t="str">
            <v>NEW</v>
          </cell>
          <cell r="D342">
            <v>300000</v>
          </cell>
          <cell r="F342">
            <v>5</v>
          </cell>
        </row>
        <row r="343">
          <cell r="B343" t="str">
            <v xml:space="preserve">          New poleline from Bramalea T.S. along</v>
          </cell>
          <cell r="C343">
            <v>5</v>
          </cell>
        </row>
        <row r="344">
          <cell r="B344" t="str">
            <v xml:space="preserve">          Utility Corridor to Dixie/Tomken/Kennedy</v>
          </cell>
        </row>
        <row r="345">
          <cell r="B345" t="str">
            <v xml:space="preserve">           OR  along Bramalea Rd &amp; Drew Rd.</v>
          </cell>
        </row>
        <row r="347">
          <cell r="A347">
            <v>6</v>
          </cell>
          <cell r="B347" t="str">
            <v xml:space="preserve">27.6 kV - Hwy 10  - From Eglinton to Bristol </v>
          </cell>
          <cell r="C347" t="str">
            <v>ADD (F)</v>
          </cell>
          <cell r="D347">
            <v>100000</v>
          </cell>
          <cell r="F347">
            <v>6</v>
          </cell>
        </row>
        <row r="348">
          <cell r="B348" t="str">
            <v xml:space="preserve">          On existing poleline along Hurontario St. from</v>
          </cell>
          <cell r="C348">
            <v>1.2</v>
          </cell>
        </row>
        <row r="349">
          <cell r="B349" t="str">
            <v xml:space="preserve">          Eglinton to Bristol Rd.</v>
          </cell>
        </row>
        <row r="352">
          <cell r="A352" t="str">
            <v>7*</v>
          </cell>
          <cell r="B352" t="str">
            <v>27.6 kV - Traders Area</v>
          </cell>
          <cell r="D352">
            <v>350000</v>
          </cell>
          <cell r="F352">
            <v>7</v>
          </cell>
        </row>
        <row r="353">
          <cell r="B353" t="str">
            <v xml:space="preserve">          Build additional U/G main feeder ties</v>
          </cell>
        </row>
        <row r="354">
          <cell r="B354" t="str">
            <v xml:space="preserve">          between Hwy 10 and Kennedy and create additional 1/0 taps from </v>
          </cell>
        </row>
        <row r="355">
          <cell r="B355" t="str">
            <v xml:space="preserve">          main feeders.</v>
          </cell>
        </row>
        <row r="357">
          <cell r="A357">
            <v>8</v>
          </cell>
          <cell r="B357" t="str">
            <v>27.6 kV - Derry/Ambassedor Area</v>
          </cell>
          <cell r="D357">
            <v>250000</v>
          </cell>
          <cell r="F357">
            <v>8</v>
          </cell>
        </row>
        <row r="358">
          <cell r="B358" t="str">
            <v xml:space="preserve">          Build additional U/G  ties from OH circuits</v>
          </cell>
        </row>
        <row r="359">
          <cell r="B359" t="str">
            <v xml:space="preserve">          between Hwy 10 and Kennedy north of Hwy 401</v>
          </cell>
        </row>
        <row r="362">
          <cell r="A362">
            <v>9</v>
          </cell>
          <cell r="B362" t="str">
            <v>27.6 kV - Hwy 10  - From Britannia to Derry</v>
          </cell>
          <cell r="C362" t="str">
            <v>ADD (F)</v>
          </cell>
          <cell r="D362">
            <v>250000</v>
          </cell>
          <cell r="F362">
            <v>9</v>
          </cell>
        </row>
        <row r="363">
          <cell r="B363" t="str">
            <v xml:space="preserve">          On existing poleline along Hurontario St. from</v>
          </cell>
          <cell r="C363">
            <v>3.4</v>
          </cell>
        </row>
        <row r="364">
          <cell r="B364" t="str">
            <v xml:space="preserve">          Britannia Rd. to Derry Rd.</v>
          </cell>
        </row>
        <row r="368">
          <cell r="B368" t="str">
            <v>SUB-TOTAL</v>
          </cell>
          <cell r="D368">
            <v>2975050</v>
          </cell>
        </row>
        <row r="370">
          <cell r="A370" t="str">
            <v>(*)  Included  in  1999  Capital  Budget.</v>
          </cell>
        </row>
        <row r="373">
          <cell r="B373" t="str">
            <v>POSSIBLE  SYSTEM   CAPITAL PROJECTS  -  2000</v>
          </cell>
        </row>
        <row r="375">
          <cell r="A375" t="str">
            <v>SUBTRANSMISSION</v>
          </cell>
          <cell r="D375" t="str">
            <v>Date:</v>
          </cell>
          <cell r="F375">
            <v>0</v>
          </cell>
        </row>
        <row r="378">
          <cell r="A378" t="str">
            <v>ITEM</v>
          </cell>
          <cell r="B378" t="str">
            <v>DESCRIPTION</v>
          </cell>
          <cell r="C378" t="str">
            <v>TYPE</v>
          </cell>
          <cell r="D378" t="str">
            <v>ESTIMATE</v>
          </cell>
          <cell r="E378" t="str">
            <v>ZONE</v>
          </cell>
          <cell r="F378" t="str">
            <v>PRIORITY</v>
          </cell>
        </row>
        <row r="379">
          <cell r="C379" t="str">
            <v>(km)</v>
          </cell>
        </row>
        <row r="381">
          <cell r="B381" t="str">
            <v>27.6 kV NORTH SYSTEM (Cont'd)</v>
          </cell>
        </row>
        <row r="384">
          <cell r="A384">
            <v>10</v>
          </cell>
          <cell r="B384" t="str">
            <v>27.6 kV - 4th cct on Britannia Rd.</v>
          </cell>
          <cell r="C384" t="str">
            <v>ADD (F)</v>
          </cell>
          <cell r="D384">
            <v>330000</v>
          </cell>
          <cell r="F384">
            <v>9</v>
          </cell>
        </row>
        <row r="385">
          <cell r="B385" t="str">
            <v xml:space="preserve">          On existing poleline along Britannia Rd. from Mavis</v>
          </cell>
          <cell r="C385">
            <v>5</v>
          </cell>
        </row>
        <row r="386">
          <cell r="B386" t="str">
            <v xml:space="preserve">          to Kennedy Rd.</v>
          </cell>
        </row>
        <row r="389">
          <cell r="A389" t="str">
            <v>11*</v>
          </cell>
          <cell r="B389" t="str">
            <v>27.6 kV - New Airport Feeder</v>
          </cell>
          <cell r="C389" t="str">
            <v>ADD (F)</v>
          </cell>
          <cell r="D389">
            <v>330000</v>
          </cell>
        </row>
        <row r="390">
          <cell r="B390" t="str">
            <v xml:space="preserve">          On existing poleline along Bramalea Rd to Derry Rd.</v>
          </cell>
          <cell r="C390">
            <v>5</v>
          </cell>
        </row>
        <row r="391">
          <cell r="B391" t="str">
            <v xml:space="preserve">          and south U/G to Airport to New West SU.</v>
          </cell>
        </row>
        <row r="394">
          <cell r="A394">
            <v>12</v>
          </cell>
          <cell r="B394" t="str">
            <v>27.6 kV - Courtneypark</v>
          </cell>
          <cell r="C394" t="str">
            <v>New</v>
          </cell>
          <cell r="D394">
            <v>380000</v>
          </cell>
        </row>
        <row r="395">
          <cell r="B395" t="str">
            <v xml:space="preserve">          On new pole line from Kennedy easterly to</v>
          </cell>
          <cell r="C395">
            <v>2</v>
          </cell>
        </row>
        <row r="396">
          <cell r="B396" t="str">
            <v xml:space="preserve">          Shawson Dr.</v>
          </cell>
        </row>
        <row r="399">
          <cell r="A399">
            <v>13</v>
          </cell>
          <cell r="B399" t="str">
            <v>27.6 kV - Derry T.S.</v>
          </cell>
          <cell r="C399" t="str">
            <v>New</v>
          </cell>
          <cell r="D399">
            <v>2500000</v>
          </cell>
        </row>
        <row r="400">
          <cell r="B400" t="str">
            <v xml:space="preserve">          Phase I of Derry TS </v>
          </cell>
        </row>
        <row r="425">
          <cell r="B425" t="str">
            <v>SUB-TOTAL</v>
          </cell>
          <cell r="D425">
            <v>6515050</v>
          </cell>
        </row>
        <row r="427">
          <cell r="A427" t="str">
            <v>(*)  Included  in  1999  Capital  Budget.</v>
          </cell>
        </row>
        <row r="430">
          <cell r="B430" t="str">
            <v>POSSIBLE  SYSTEM   CAPITAL PROJECTS  -  2000</v>
          </cell>
        </row>
        <row r="432">
          <cell r="A432" t="str">
            <v>DISTRIBUTION</v>
          </cell>
          <cell r="D432" t="str">
            <v>Date:</v>
          </cell>
          <cell r="F432">
            <v>37118.646983796294</v>
          </cell>
        </row>
        <row r="435">
          <cell r="A435" t="str">
            <v>ITEM</v>
          </cell>
          <cell r="B435" t="str">
            <v>DESCRIPTION</v>
          </cell>
          <cell r="C435" t="str">
            <v>TYPE</v>
          </cell>
          <cell r="D435" t="str">
            <v>ESTIMATE</v>
          </cell>
          <cell r="E435" t="str">
            <v>ZONE</v>
          </cell>
          <cell r="F435" t="str">
            <v>PRIORITY</v>
          </cell>
        </row>
        <row r="436">
          <cell r="C436" t="str">
            <v>(km)</v>
          </cell>
        </row>
        <row r="438">
          <cell r="B438" t="str">
            <v>13.8 kV SYSTEM</v>
          </cell>
        </row>
        <row r="441">
          <cell r="A441" t="str">
            <v>1*</v>
          </cell>
          <cell r="B441" t="str">
            <v>13.8 kV Burnhamthorpe- Tomken to Dixie</v>
          </cell>
          <cell r="C441" t="str">
            <v>ADD (F)</v>
          </cell>
          <cell r="D441">
            <v>95000</v>
          </cell>
          <cell r="F441">
            <v>1</v>
          </cell>
        </row>
        <row r="442">
          <cell r="B442" t="str">
            <v xml:space="preserve">         Add cct on rebuild poleline along Burnhamthorpe Rd. from Tomken Rd.</v>
          </cell>
          <cell r="C442">
            <v>1.74</v>
          </cell>
        </row>
        <row r="443">
          <cell r="B443" t="str">
            <v xml:space="preserve">          to Dixie Rd. </v>
          </cell>
        </row>
        <row r="446">
          <cell r="A446" t="str">
            <v>2*</v>
          </cell>
          <cell r="B446" t="str">
            <v>13.8 kV Dixie Rd. - Burnhamtorpe to Eglinton and Eastgate Dr.</v>
          </cell>
          <cell r="C446" t="str">
            <v>ADD (F)</v>
          </cell>
          <cell r="D446">
            <v>240000</v>
          </cell>
          <cell r="F446">
            <v>2</v>
          </cell>
        </row>
        <row r="447">
          <cell r="B447" t="str">
            <v xml:space="preserve">          On existing poleline along Dixie Rd. and Eastgate Dr.</v>
          </cell>
          <cell r="C447">
            <v>2.5</v>
          </cell>
        </row>
        <row r="448">
          <cell r="B448" t="str">
            <v xml:space="preserve">          North of Burnhamthorpe Rd.</v>
          </cell>
        </row>
        <row r="451">
          <cell r="A451" t="str">
            <v>3*</v>
          </cell>
          <cell r="B451" t="str">
            <v>13.8 kV Winston Churchill Blvd. - Closing the "gaps"</v>
          </cell>
          <cell r="C451" t="str">
            <v>ADD (F)</v>
          </cell>
          <cell r="D451">
            <v>235000</v>
          </cell>
          <cell r="F451">
            <v>3</v>
          </cell>
        </row>
        <row r="452">
          <cell r="B452" t="str">
            <v xml:space="preserve">          On existing poleline along Winston Churchill Blvd. Britannia Rd</v>
          </cell>
          <cell r="C452">
            <v>4.4000000000000004</v>
          </cell>
        </row>
        <row r="453">
          <cell r="B453" t="str">
            <v xml:space="preserve">          to Derry Rd. and north to the Tracks south of Hwy 401 and connect</v>
          </cell>
        </row>
        <row r="454">
          <cell r="B454" t="str">
            <v xml:space="preserve">          U/G taps to the Overhead circuits</v>
          </cell>
        </row>
        <row r="456">
          <cell r="A456" t="str">
            <v>4*</v>
          </cell>
          <cell r="B456" t="str">
            <v>13.8 kV Glen Erin - Dundas</v>
          </cell>
          <cell r="C456" t="str">
            <v>REBUILD (F)</v>
          </cell>
          <cell r="D456">
            <v>140000</v>
          </cell>
          <cell r="F456">
            <v>4</v>
          </cell>
        </row>
        <row r="457">
          <cell r="B457" t="str">
            <v xml:space="preserve">          On rebuild poleline along Glen Erin Dr. from Dundas</v>
          </cell>
          <cell r="C457">
            <v>1</v>
          </cell>
        </row>
        <row r="458">
          <cell r="B458" t="str">
            <v xml:space="preserve">          south to Sheridan Homelands</v>
          </cell>
        </row>
        <row r="461">
          <cell r="A461">
            <v>5</v>
          </cell>
          <cell r="B461" t="str">
            <v>13.8 kV Glen Erin - Hwy 403 to Eglinton</v>
          </cell>
          <cell r="C461" t="str">
            <v>ADD (F)</v>
          </cell>
          <cell r="D461">
            <v>120000</v>
          </cell>
          <cell r="E461" t="str">
            <v>R</v>
          </cell>
          <cell r="F461">
            <v>5</v>
          </cell>
        </row>
        <row r="462">
          <cell r="B462" t="str">
            <v xml:space="preserve">          On existing poleline along Glen Erin Dr. from </v>
          </cell>
          <cell r="C462">
            <v>1.5</v>
          </cell>
        </row>
        <row r="463">
          <cell r="B463" t="str">
            <v xml:space="preserve">          Hwy. 403 to Eglinton Av. (including 44 kV cct)</v>
          </cell>
        </row>
        <row r="466">
          <cell r="A466">
            <v>6</v>
          </cell>
          <cell r="B466" t="str">
            <v>13.8 kV Burnhamthorpe Rd. - Mississauga Rd to Winston Churchill Blvd.</v>
          </cell>
          <cell r="C466" t="str">
            <v>ADD</v>
          </cell>
          <cell r="D466">
            <v>258000</v>
          </cell>
          <cell r="F466">
            <v>6</v>
          </cell>
        </row>
        <row r="467">
          <cell r="B467" t="str">
            <v xml:space="preserve">          On existing poleline along Burnhamthorpe from Glen Erin Dr. to</v>
          </cell>
          <cell r="C467">
            <v>4</v>
          </cell>
        </row>
        <row r="468">
          <cell r="B468" t="str">
            <v xml:space="preserve">          Winston Churchill Blvd. and from Rogers MS to Mississauga Rd.</v>
          </cell>
        </row>
        <row r="469">
          <cell r="B469" t="str">
            <v xml:space="preserve">          and connect F6 CB to the feeder</v>
          </cell>
        </row>
        <row r="471">
          <cell r="A471">
            <v>7</v>
          </cell>
          <cell r="B471" t="str">
            <v>13.8 kV Matheson Blvd. - Tomken to Dixie</v>
          </cell>
          <cell r="C471" t="str">
            <v>ADD</v>
          </cell>
          <cell r="D471">
            <v>123000</v>
          </cell>
          <cell r="F471">
            <v>7</v>
          </cell>
        </row>
        <row r="472">
          <cell r="B472" t="str">
            <v xml:space="preserve">          On existing poleline along Matheson Blvd.</v>
          </cell>
          <cell r="C472">
            <v>1.3</v>
          </cell>
        </row>
        <row r="473">
          <cell r="B473" t="str">
            <v xml:space="preserve">          between Tomken Rd. and Dixie Rd. (including 44 kV cct)</v>
          </cell>
        </row>
        <row r="476">
          <cell r="A476">
            <v>8</v>
          </cell>
          <cell r="B476" t="str">
            <v>13. 8 kV Queen St/ Britannia</v>
          </cell>
          <cell r="C476" t="str">
            <v>REBUILD</v>
          </cell>
          <cell r="D476">
            <v>195500</v>
          </cell>
          <cell r="F476">
            <v>8</v>
          </cell>
        </row>
        <row r="477">
          <cell r="B477" t="str">
            <v xml:space="preserve">          On existing poleline along Britannia Rd east of Erin Mills Pkwy</v>
          </cell>
          <cell r="C477">
            <v>1.5</v>
          </cell>
        </row>
        <row r="478">
          <cell r="B478" t="str">
            <v xml:space="preserve">          and along Queens Street north of Britannia Rd. and south</v>
          </cell>
        </row>
        <row r="479">
          <cell r="B479" t="str">
            <v xml:space="preserve">          to Alpha Mills MS</v>
          </cell>
        </row>
        <row r="481">
          <cell r="A481" t="str">
            <v>9*</v>
          </cell>
          <cell r="B481" t="str">
            <v>13.8 kV Derry/Mississauga  - Argentia  to Old Derry &amp; along Derry</v>
          </cell>
          <cell r="C481" t="str">
            <v>REBUILD</v>
          </cell>
          <cell r="D481">
            <v>165000</v>
          </cell>
          <cell r="E481" t="str">
            <v>R</v>
          </cell>
          <cell r="F481">
            <v>9</v>
          </cell>
        </row>
        <row r="482">
          <cell r="B482" t="str">
            <v xml:space="preserve">          On existing poleline along Mississauga Rd. from Argentia Rd</v>
          </cell>
          <cell r="C482">
            <v>2</v>
          </cell>
        </row>
        <row r="483">
          <cell r="B483" t="str">
            <v xml:space="preserve">          to Derry Rd. and east along Derry Rd. to Old Derry Rd. and south</v>
          </cell>
        </row>
        <row r="484">
          <cell r="B484" t="str">
            <v xml:space="preserve">          to CIBC (Including 44kV)</v>
          </cell>
        </row>
        <row r="486">
          <cell r="B486" t="str">
            <v>SUB-TOTAL</v>
          </cell>
          <cell r="D486">
            <v>1571500</v>
          </cell>
        </row>
        <row r="488">
          <cell r="A488" t="str">
            <v>(*)  Included  in  1999  Capital  Budget.</v>
          </cell>
        </row>
        <row r="491">
          <cell r="B491" t="str">
            <v>POSSIBLE  SYSTEM   CAPITAL PROJECTS  -  2000</v>
          </cell>
        </row>
        <row r="493">
          <cell r="A493" t="str">
            <v>DISTRIBUTION</v>
          </cell>
          <cell r="D493" t="str">
            <v>Date:</v>
          </cell>
          <cell r="F493">
            <v>37118.646983796294</v>
          </cell>
        </row>
        <row r="496">
          <cell r="A496" t="str">
            <v>ITEM</v>
          </cell>
          <cell r="B496" t="str">
            <v>DESCRIPTION</v>
          </cell>
          <cell r="C496" t="str">
            <v>TYPE</v>
          </cell>
          <cell r="D496" t="str">
            <v>ESTIMATE</v>
          </cell>
          <cell r="E496" t="str">
            <v>ZONE</v>
          </cell>
          <cell r="F496" t="str">
            <v>PRIORITY</v>
          </cell>
        </row>
        <row r="497">
          <cell r="C497" t="str">
            <v>(km)</v>
          </cell>
        </row>
        <row r="499">
          <cell r="B499" t="str">
            <v>13.8 kV SYSTEM (Cont'd)</v>
          </cell>
        </row>
        <row r="502">
          <cell r="A502" t="str">
            <v>10*</v>
          </cell>
          <cell r="B502" t="str">
            <v>13.8 kV American/Elmbank Drive Feeder Tie</v>
          </cell>
          <cell r="C502" t="str">
            <v>REBUILD (F)</v>
          </cell>
          <cell r="D502">
            <v>258000</v>
          </cell>
          <cell r="F502">
            <v>10</v>
          </cell>
        </row>
        <row r="503">
          <cell r="B503" t="str">
            <v xml:space="preserve">           From Orlando MS to Elmbank and American Dr.</v>
          </cell>
          <cell r="C503">
            <v>2</v>
          </cell>
        </row>
        <row r="504">
          <cell r="B504" t="str">
            <v xml:space="preserve">           From Goreway to Viscount</v>
          </cell>
        </row>
        <row r="507">
          <cell r="A507" t="str">
            <v>11*</v>
          </cell>
          <cell r="B507" t="str">
            <v>Streetsville Conversion (URGENT)</v>
          </cell>
          <cell r="D507">
            <v>100000</v>
          </cell>
          <cell r="F507">
            <v>11</v>
          </cell>
        </row>
        <row r="508">
          <cell r="B508" t="str">
            <v xml:space="preserve">           Convert 4.16 kV to 13.8 kV in area SE  of</v>
          </cell>
        </row>
        <row r="509">
          <cell r="B509" t="str">
            <v xml:space="preserve">           Britannia Rd. and Queen St. and reconductor</v>
          </cell>
        </row>
        <row r="510">
          <cell r="B510" t="str">
            <v xml:space="preserve">           to 556 kcmil circuit along Britannia Rd.</v>
          </cell>
        </row>
        <row r="512">
          <cell r="A512" t="str">
            <v>12*</v>
          </cell>
          <cell r="B512" t="str">
            <v>600 V.Secondary Busses - Sectionalizing</v>
          </cell>
          <cell r="D512">
            <v>100000</v>
          </cell>
        </row>
        <row r="513">
          <cell r="B513" t="str">
            <v xml:space="preserve">           Various locations</v>
          </cell>
        </row>
        <row r="517">
          <cell r="A517">
            <v>13</v>
          </cell>
          <cell r="B517" t="str">
            <v>13.8 kV Thomas St</v>
          </cell>
          <cell r="C517" t="str">
            <v>Add</v>
          </cell>
          <cell r="D517">
            <v>258000</v>
          </cell>
          <cell r="F517">
            <v>10</v>
          </cell>
        </row>
        <row r="518">
          <cell r="B518" t="str">
            <v xml:space="preserve">           On exsiting poleline from Erin Mills Pkwy westerly to</v>
          </cell>
          <cell r="C518">
            <v>2</v>
          </cell>
        </row>
        <row r="519">
          <cell r="B519" t="str">
            <v xml:space="preserve">           WCB.</v>
          </cell>
        </row>
        <row r="522">
          <cell r="A522">
            <v>14</v>
          </cell>
          <cell r="B522" t="str">
            <v>13.8 kV Britannia RD.</v>
          </cell>
          <cell r="C522" t="str">
            <v>Add</v>
          </cell>
          <cell r="D522">
            <v>258000</v>
          </cell>
        </row>
        <row r="523">
          <cell r="B523" t="str">
            <v xml:space="preserve">           On exsiting poleline from WCB westerly to</v>
          </cell>
          <cell r="C523">
            <v>2</v>
          </cell>
        </row>
        <row r="524">
          <cell r="B524" t="str">
            <v xml:space="preserve">           Ninth Line.</v>
          </cell>
        </row>
        <row r="527">
          <cell r="A527">
            <v>15</v>
          </cell>
        </row>
        <row r="532">
          <cell r="A532">
            <v>16</v>
          </cell>
        </row>
        <row r="537">
          <cell r="A537">
            <v>17</v>
          </cell>
        </row>
        <row r="542">
          <cell r="A542">
            <v>18</v>
          </cell>
        </row>
        <row r="547">
          <cell r="B547" t="str">
            <v>SUB-TOTAL</v>
          </cell>
          <cell r="D547">
            <v>974000</v>
          </cell>
        </row>
        <row r="549">
          <cell r="A549" t="str">
            <v>(*)  Included  in  1999  Capital  Budget.</v>
          </cell>
        </row>
        <row r="552">
          <cell r="A552" t="str">
            <v>DISTRIBUTION (Cont'd)</v>
          </cell>
        </row>
        <row r="555">
          <cell r="A555" t="str">
            <v>ITEM</v>
          </cell>
          <cell r="B555" t="str">
            <v>DESCRIPTION</v>
          </cell>
          <cell r="C555" t="str">
            <v>TYPE</v>
          </cell>
          <cell r="D555" t="str">
            <v>ESTIMATE</v>
          </cell>
          <cell r="E555" t="str">
            <v>ZONE</v>
          </cell>
          <cell r="F555" t="str">
            <v>PRIORITY</v>
          </cell>
        </row>
        <row r="556">
          <cell r="C556" t="str">
            <v>(km)</v>
          </cell>
        </row>
        <row r="558">
          <cell r="B558" t="str">
            <v>4.16  KV   SYSTEM</v>
          </cell>
        </row>
        <row r="561">
          <cell r="A561">
            <v>1</v>
          </cell>
          <cell r="B561" t="str">
            <v>4.16 kV Bromsgrove MS/Clarkson MS Tie</v>
          </cell>
          <cell r="C561" t="str">
            <v>REBUILD</v>
          </cell>
          <cell r="D561">
            <v>50000</v>
          </cell>
          <cell r="F561">
            <v>1</v>
          </cell>
        </row>
        <row r="562">
          <cell r="B562" t="str">
            <v xml:space="preserve">          on existing poles between  Clarkson M.S.</v>
          </cell>
          <cell r="C562">
            <v>0.7</v>
          </cell>
        </row>
        <row r="563">
          <cell r="B563" t="str">
            <v xml:space="preserve">           and Bromsgrove  M.S.</v>
          </cell>
        </row>
        <row r="565">
          <cell r="A565">
            <v>2</v>
          </cell>
          <cell r="B565" t="str">
            <v>4.16 kV Atwater Feeder Tie</v>
          </cell>
          <cell r="C565" t="str">
            <v>REBUILD</v>
          </cell>
          <cell r="D565">
            <v>295000</v>
          </cell>
        </row>
        <row r="566">
          <cell r="B566" t="str">
            <v xml:space="preserve">          along Atwater from Cawthra MS  to off load</v>
          </cell>
          <cell r="C566">
            <v>0.8</v>
          </cell>
          <cell r="F566">
            <v>2</v>
          </cell>
        </row>
        <row r="567">
          <cell r="B567" t="str">
            <v xml:space="preserve">          9F4</v>
          </cell>
        </row>
        <row r="570">
          <cell r="A570">
            <v>3</v>
          </cell>
          <cell r="B570" t="str">
            <v>4.16 kV Pinetree MS/Melton MS Tie</v>
          </cell>
          <cell r="C570" t="str">
            <v>REBUILD</v>
          </cell>
          <cell r="D570">
            <v>120000</v>
          </cell>
          <cell r="F570">
            <v>3</v>
          </cell>
        </row>
        <row r="571">
          <cell r="B571" t="str">
            <v xml:space="preserve">          on existing poles between  Pinetree M.S.</v>
          </cell>
          <cell r="C571">
            <v>0.5</v>
          </cell>
        </row>
        <row r="572">
          <cell r="B572" t="str">
            <v xml:space="preserve">           and Melton  M.S.</v>
          </cell>
        </row>
        <row r="575">
          <cell r="A575">
            <v>4</v>
          </cell>
          <cell r="B575" t="str">
            <v>4.16 kV Bromsgrove MS/Park West MS Tie</v>
          </cell>
          <cell r="C575" t="str">
            <v>ADD</v>
          </cell>
          <cell r="D575">
            <v>75000</v>
          </cell>
          <cell r="F575">
            <v>4</v>
          </cell>
        </row>
        <row r="576">
          <cell r="B576" t="str">
            <v xml:space="preserve">          on existing poles between  Bromsgrove M.S.</v>
          </cell>
          <cell r="C576">
            <v>0.8</v>
          </cell>
        </row>
        <row r="577">
          <cell r="B577" t="str">
            <v xml:space="preserve">           and Park West M.S.</v>
          </cell>
        </row>
        <row r="580">
          <cell r="A580">
            <v>5</v>
          </cell>
          <cell r="B580" t="str">
            <v>4.16 kV Bromsgrove MS/Robin MS Tie</v>
          </cell>
          <cell r="C580" t="str">
            <v>ADD</v>
          </cell>
          <cell r="D580">
            <v>140000</v>
          </cell>
          <cell r="F580">
            <v>5</v>
          </cell>
        </row>
        <row r="581">
          <cell r="B581" t="str">
            <v xml:space="preserve">          on existing poles between  Bromsgrove M.S.</v>
          </cell>
          <cell r="C581">
            <v>1.4</v>
          </cell>
        </row>
        <row r="582">
          <cell r="B582" t="str">
            <v xml:space="preserve">           and Robin M.S.</v>
          </cell>
        </row>
        <row r="585">
          <cell r="A585">
            <v>6</v>
          </cell>
          <cell r="B585" t="str">
            <v>4.16 kV Park Royal MS/Park West MS Tie</v>
          </cell>
          <cell r="C585" t="str">
            <v>REBUILD</v>
          </cell>
          <cell r="D585">
            <v>130000</v>
          </cell>
          <cell r="F585">
            <v>6</v>
          </cell>
        </row>
        <row r="586">
          <cell r="B586" t="str">
            <v xml:space="preserve">          on existing poles between  Park Royal M.S.</v>
          </cell>
          <cell r="C586">
            <v>1</v>
          </cell>
        </row>
        <row r="587">
          <cell r="B587" t="str">
            <v xml:space="preserve">           and Park West M.S.</v>
          </cell>
        </row>
        <row r="590">
          <cell r="A590">
            <v>7</v>
          </cell>
          <cell r="B590" t="str">
            <v>4.16 kV Lakeshore Road Feeder Tie</v>
          </cell>
          <cell r="C590" t="str">
            <v>REBUILD</v>
          </cell>
          <cell r="D590">
            <v>50000</v>
          </cell>
          <cell r="F590">
            <v>7</v>
          </cell>
        </row>
        <row r="591">
          <cell r="B591" t="str">
            <v xml:space="preserve">          Lakeshore/Dennison/Lornepark</v>
          </cell>
          <cell r="C591">
            <v>0.6</v>
          </cell>
        </row>
        <row r="592">
          <cell r="B592" t="str">
            <v xml:space="preserve">           Parkland M.S. #26 and reconductor</v>
          </cell>
        </row>
        <row r="595">
          <cell r="A595">
            <v>8</v>
          </cell>
          <cell r="B595" t="str">
            <v xml:space="preserve">4.16 kV Stanfield Road Feeder Tie </v>
          </cell>
          <cell r="C595" t="str">
            <v>REBUILD</v>
          </cell>
          <cell r="D595">
            <v>265000</v>
          </cell>
          <cell r="F595">
            <v>8</v>
          </cell>
        </row>
        <row r="596">
          <cell r="B596" t="str">
            <v xml:space="preserve">          Along Ontario Hydro ROW From Cawthra</v>
          </cell>
          <cell r="C596">
            <v>1.2</v>
          </cell>
        </row>
        <row r="597">
          <cell r="B597" t="str">
            <v xml:space="preserve">          to Stanfield</v>
          </cell>
        </row>
        <row r="598">
          <cell r="B598" t="str">
            <v xml:space="preserve">       (See also 27.6 kV South)</v>
          </cell>
        </row>
        <row r="600">
          <cell r="A600">
            <v>9</v>
          </cell>
          <cell r="B600" t="str">
            <v xml:space="preserve">4.16 kV Clarkson/Lorne Park Feeder Tie </v>
          </cell>
          <cell r="C600" t="str">
            <v>ADD</v>
          </cell>
          <cell r="D600">
            <v>110000</v>
          </cell>
          <cell r="F600">
            <v>9</v>
          </cell>
        </row>
        <row r="601">
          <cell r="B601" t="str">
            <v xml:space="preserve">           Along Ontario hydro ROW</v>
          </cell>
          <cell r="C601">
            <v>2</v>
          </cell>
        </row>
        <row r="606">
          <cell r="B606" t="str">
            <v>SUB-TOTAL</v>
          </cell>
          <cell r="D606">
            <v>1235000</v>
          </cell>
        </row>
        <row r="608">
          <cell r="A608" t="str">
            <v>(*)  Included  in  1999  Capital  Budget.</v>
          </cell>
        </row>
        <row r="611">
          <cell r="A611" t="str">
            <v>MUNICIPAL STATIONS</v>
          </cell>
        </row>
        <row r="614">
          <cell r="A614" t="str">
            <v>ITEM</v>
          </cell>
          <cell r="B614" t="str">
            <v>DESCRIPTION</v>
          </cell>
          <cell r="C614" t="str">
            <v>TYPE</v>
          </cell>
          <cell r="D614" t="str">
            <v>ESTIMATE</v>
          </cell>
          <cell r="E614" t="str">
            <v>ZONE</v>
          </cell>
          <cell r="F614" t="str">
            <v>PRIORITY</v>
          </cell>
        </row>
        <row r="617">
          <cell r="A617" t="str">
            <v>1*</v>
          </cell>
          <cell r="B617" t="str">
            <v>Replacement M.S. feeder egress cables.</v>
          </cell>
          <cell r="D617">
            <v>200000</v>
          </cell>
        </row>
        <row r="622">
          <cell r="A622" t="str">
            <v>2*</v>
          </cell>
          <cell r="B622" t="str">
            <v>Stillmeadow M.S.</v>
          </cell>
          <cell r="D622">
            <v>800000</v>
          </cell>
        </row>
        <row r="623">
          <cell r="B623" t="str">
            <v xml:space="preserve">            Change 10 MVA Tx to 20 MVA Tx with</v>
          </cell>
        </row>
        <row r="624">
          <cell r="B624" t="str">
            <v xml:space="preserve">            6 feeders</v>
          </cell>
        </row>
        <row r="627">
          <cell r="A627" t="str">
            <v>3*</v>
          </cell>
          <cell r="B627" t="str">
            <v xml:space="preserve">Sheridan Park System Rebuild  </v>
          </cell>
          <cell r="D627">
            <v>800000</v>
          </cell>
        </row>
        <row r="628">
          <cell r="B628" t="str">
            <v xml:space="preserve">           Phase II - Sheridan Park  M.S. at 44 kV</v>
          </cell>
        </row>
        <row r="631">
          <cell r="A631" t="str">
            <v>4*</v>
          </cell>
          <cell r="B631" t="str">
            <v>Orlando M.S.</v>
          </cell>
          <cell r="D631">
            <v>500000</v>
          </cell>
        </row>
        <row r="632">
          <cell r="B632" t="str">
            <v xml:space="preserve">            2 x 20 MVA Tx Incl. Building, 44 kV and</v>
          </cell>
        </row>
        <row r="633">
          <cell r="B633" t="str">
            <v xml:space="preserve">            13.8  kV circuits - 6 feeders plus SCADA </v>
          </cell>
        </row>
        <row r="636">
          <cell r="A636">
            <v>5</v>
          </cell>
          <cell r="B636" t="str">
            <v>Chalkdene M.S.</v>
          </cell>
        </row>
        <row r="637">
          <cell r="B637" t="str">
            <v xml:space="preserve">            Add 2 Feeder CBs with additional feeders</v>
          </cell>
        </row>
        <row r="638">
          <cell r="B638" t="str">
            <v xml:space="preserve">           north and south</v>
          </cell>
        </row>
        <row r="641">
          <cell r="A641">
            <v>6</v>
          </cell>
          <cell r="B641" t="str">
            <v>Rockwood M.S.</v>
          </cell>
        </row>
        <row r="642">
          <cell r="B642" t="str">
            <v xml:space="preserve">            2 x 20 MVA Tx Incl. Building, 44 kV and</v>
          </cell>
        </row>
        <row r="643">
          <cell r="B643" t="str">
            <v xml:space="preserve">            13.8  kV circuits - 6 feeders plus SCADA </v>
          </cell>
        </row>
        <row r="646">
          <cell r="A646">
            <v>7</v>
          </cell>
          <cell r="B646" t="str">
            <v>New Substation at Summersite #88</v>
          </cell>
          <cell r="D646">
            <v>800000</v>
          </cell>
        </row>
        <row r="647">
          <cell r="B647" t="str">
            <v xml:space="preserve">           Build a new full size substation at Britannia Rd and</v>
          </cell>
        </row>
        <row r="648">
          <cell r="B648" t="str">
            <v xml:space="preserve">          Grossbeak west of Tenth Line</v>
          </cell>
        </row>
        <row r="650">
          <cell r="A650">
            <v>8</v>
          </cell>
          <cell r="B650" t="str">
            <v>M.S. Rebuilds</v>
          </cell>
        </row>
        <row r="651">
          <cell r="B651" t="str">
            <v xml:space="preserve">        Orchard Heights M.S.</v>
          </cell>
        </row>
        <row r="652">
          <cell r="B652" t="str">
            <v xml:space="preserve">           Mineola M.S.</v>
          </cell>
        </row>
        <row r="653">
          <cell r="B653" t="str">
            <v xml:space="preserve">           Clarkson M.S.</v>
          </cell>
        </row>
        <row r="654">
          <cell r="B654" t="str">
            <v xml:space="preserve">           Bromsgrove M.S.</v>
          </cell>
        </row>
        <row r="656">
          <cell r="A656">
            <v>9</v>
          </cell>
          <cell r="B656" t="str">
            <v>Thomas  M.S.</v>
          </cell>
        </row>
        <row r="657">
          <cell r="B657" t="str">
            <v xml:space="preserve">            Add 2nd 20 MVA Tx including additional</v>
          </cell>
        </row>
        <row r="658">
          <cell r="B658" t="str">
            <v xml:space="preserve">            44 kV circuit and 44 kV MOCB</v>
          </cell>
        </row>
        <row r="661">
          <cell r="A661">
            <v>10</v>
          </cell>
          <cell r="B661" t="str">
            <v>Desboro  M.S.</v>
          </cell>
        </row>
        <row r="662">
          <cell r="B662" t="str">
            <v xml:space="preserve">            Add 2nd 20 MVA Tx including additional</v>
          </cell>
        </row>
        <row r="663">
          <cell r="B663" t="str">
            <v xml:space="preserve">            44 kV circuit and 44 kV MOCB</v>
          </cell>
        </row>
        <row r="665">
          <cell r="B665" t="str">
            <v>SUB-TOTAL</v>
          </cell>
          <cell r="D665">
            <v>3100000</v>
          </cell>
        </row>
        <row r="667">
          <cell r="A667" t="str">
            <v>(*)  Included  in  1999  Capital  Budget.</v>
          </cell>
        </row>
        <row r="670">
          <cell r="A670" t="str">
            <v>SUBDIVISION REBUILDS</v>
          </cell>
        </row>
        <row r="673">
          <cell r="A673" t="str">
            <v>ITEM</v>
          </cell>
          <cell r="B673" t="str">
            <v>DESCRIPTION</v>
          </cell>
          <cell r="C673" t="str">
            <v>TYPE</v>
          </cell>
          <cell r="D673" t="str">
            <v>ESTIMATE</v>
          </cell>
          <cell r="E673" t="str">
            <v>ZONE</v>
          </cell>
          <cell r="F673" t="str">
            <v>PRIORITY</v>
          </cell>
        </row>
        <row r="674">
          <cell r="C674" t="str">
            <v>(km)</v>
          </cell>
        </row>
        <row r="676">
          <cell r="B676" t="str">
            <v>Subdivision Rebuilds*</v>
          </cell>
        </row>
        <row r="679">
          <cell r="A679" t="str">
            <v>1*</v>
          </cell>
          <cell r="B679" t="str">
            <v>Malton - Phase VI</v>
          </cell>
          <cell r="D679">
            <v>1000000</v>
          </cell>
          <cell r="E679">
            <v>7</v>
          </cell>
          <cell r="F679">
            <v>1</v>
          </cell>
        </row>
        <row r="680">
          <cell r="B680" t="str">
            <v xml:space="preserve">          NE of Derry/Airport Rd.</v>
          </cell>
        </row>
        <row r="681">
          <cell r="B681" t="str">
            <v xml:space="preserve">          plus east of Goreway at Darcel/Monica</v>
          </cell>
        </row>
        <row r="683">
          <cell r="A683" t="str">
            <v>2*</v>
          </cell>
          <cell r="B683" t="str">
            <v xml:space="preserve"> Forest Glen Area east and west of Dixie Rd.</v>
          </cell>
          <cell r="D683">
            <v>1000000</v>
          </cell>
          <cell r="E683">
            <v>5</v>
          </cell>
          <cell r="F683">
            <v>1</v>
          </cell>
        </row>
        <row r="685">
          <cell r="A685" t="str">
            <v>3*</v>
          </cell>
          <cell r="B685" t="str">
            <v>Meadowvale T.C. Mainfeeders - Phase II</v>
          </cell>
          <cell r="D685">
            <v>1000000</v>
          </cell>
          <cell r="E685">
            <v>1</v>
          </cell>
          <cell r="F685">
            <v>1</v>
          </cell>
        </row>
        <row r="687">
          <cell r="A687" t="str">
            <v>4*</v>
          </cell>
          <cell r="B687" t="str">
            <v>Woodlands Area</v>
          </cell>
          <cell r="D687">
            <v>1000000</v>
          </cell>
          <cell r="E687">
            <v>2</v>
          </cell>
          <cell r="F687">
            <v>1</v>
          </cell>
        </row>
        <row r="718">
          <cell r="B718" t="str">
            <v>TOTAL REBUILDS</v>
          </cell>
          <cell r="D718">
            <v>4000000</v>
          </cell>
        </row>
        <row r="720">
          <cell r="A720" t="str">
            <v>(*)  Included  in  1999  Capital  Budget.</v>
          </cell>
        </row>
        <row r="723">
          <cell r="A723" t="str">
            <v/>
          </cell>
        </row>
        <row r="725">
          <cell r="A725" t="str">
            <v>SYSTEM MAINTENANCE PROJECTS</v>
          </cell>
        </row>
        <row r="728">
          <cell r="A728" t="str">
            <v>ITEM</v>
          </cell>
          <cell r="B728" t="str">
            <v>DESCRIPTION</v>
          </cell>
          <cell r="C728" t="str">
            <v>TYPE</v>
          </cell>
          <cell r="D728" t="str">
            <v>ESTIMATE</v>
          </cell>
          <cell r="F728" t="str">
            <v>PRIORITY</v>
          </cell>
        </row>
        <row r="729">
          <cell r="C729" t="str">
            <v>(km)</v>
          </cell>
        </row>
        <row r="731">
          <cell r="A731" t="str">
            <v>1*</v>
          </cell>
          <cell r="B731" t="str">
            <v>Wood Pole Replacement</v>
          </cell>
          <cell r="D731">
            <v>250000</v>
          </cell>
        </row>
        <row r="735">
          <cell r="A735" t="str">
            <v>2*</v>
          </cell>
          <cell r="B735" t="str">
            <v>Overhead Switch Replacement</v>
          </cell>
          <cell r="D735">
            <v>300000</v>
          </cell>
        </row>
        <row r="739">
          <cell r="A739" t="str">
            <v>3*</v>
          </cell>
          <cell r="B739" t="str">
            <v>Feeder Overhauls</v>
          </cell>
          <cell r="D739">
            <v>600000</v>
          </cell>
        </row>
        <row r="743">
          <cell r="A743" t="str">
            <v>4*</v>
          </cell>
          <cell r="B743" t="str">
            <v>Overhead Rebuilds</v>
          </cell>
          <cell r="D743">
            <v>600000</v>
          </cell>
        </row>
        <row r="747">
          <cell r="A747" t="str">
            <v>5*</v>
          </cell>
          <cell r="B747" t="str">
            <v>Load Centre Replacement</v>
          </cell>
          <cell r="D747">
            <v>100000</v>
          </cell>
        </row>
        <row r="751">
          <cell r="A751" t="str">
            <v>6*</v>
          </cell>
          <cell r="B751" t="str">
            <v>Underground Cable Replacement</v>
          </cell>
          <cell r="D751">
            <v>1200000</v>
          </cell>
        </row>
        <row r="755">
          <cell r="A755" t="str">
            <v>7*</v>
          </cell>
          <cell r="B755" t="str">
            <v>Meter Base Replacement</v>
          </cell>
          <cell r="D755">
            <v>40000</v>
          </cell>
        </row>
        <row r="759">
          <cell r="A759" t="str">
            <v>8*</v>
          </cell>
          <cell r="B759" t="str">
            <v>Secondary Cable Replacement</v>
          </cell>
          <cell r="D759">
            <v>60000</v>
          </cell>
        </row>
        <row r="763">
          <cell r="A763" t="str">
            <v>9*</v>
          </cell>
          <cell r="B763" t="str">
            <v>Underground Transformer Replacements</v>
          </cell>
          <cell r="D763">
            <v>150000</v>
          </cell>
        </row>
        <row r="767">
          <cell r="A767" t="str">
            <v>10*</v>
          </cell>
          <cell r="B767" t="str">
            <v>Overhead Transformer Replacement</v>
          </cell>
          <cell r="D767">
            <v>150000</v>
          </cell>
        </row>
        <row r="771">
          <cell r="A771" t="str">
            <v>11*</v>
          </cell>
          <cell r="B771" t="str">
            <v>PowerT/former O/H &amp; Station Upgrade</v>
          </cell>
          <cell r="D771">
            <v>100000</v>
          </cell>
        </row>
        <row r="775">
          <cell r="A775" t="str">
            <v>12*</v>
          </cell>
          <cell r="B775" t="str">
            <v>Auto-Switches/SCADA</v>
          </cell>
          <cell r="D775">
            <v>1200000</v>
          </cell>
        </row>
        <row r="777">
          <cell r="B777" t="str">
            <v>TOTAL MAINTENANCE</v>
          </cell>
          <cell r="D777">
            <v>4750000</v>
          </cell>
        </row>
        <row r="779">
          <cell r="A779" t="str">
            <v>(*)  Included  in  1999  Capital  Budget.</v>
          </cell>
        </row>
      </sheetData>
      <sheetData sheetId="1" refreshError="1">
        <row r="1">
          <cell r="B1" t="str">
            <v>POSSIBLE  SYSTEM   CAPITAL PROJECTS  -  2001</v>
          </cell>
        </row>
        <row r="3">
          <cell r="A3" t="str">
            <v>SUBTRANSMISSION</v>
          </cell>
          <cell r="D3" t="str">
            <v>Date:</v>
          </cell>
          <cell r="F3">
            <v>37141.565146875</v>
          </cell>
        </row>
        <row r="5">
          <cell r="A5" t="str">
            <v>ITEM</v>
          </cell>
          <cell r="B5" t="str">
            <v>DESCRIPTION</v>
          </cell>
          <cell r="C5" t="str">
            <v>TYPE</v>
          </cell>
          <cell r="D5" t="str">
            <v>ESTIMATE</v>
          </cell>
          <cell r="E5" t="str">
            <v>ZONE</v>
          </cell>
          <cell r="F5" t="str">
            <v>PRIORITY</v>
          </cell>
        </row>
        <row r="6">
          <cell r="C6" t="str">
            <v>(km)</v>
          </cell>
        </row>
        <row r="8">
          <cell r="B8" t="str">
            <v>44 kV - ERINDALE TS/ MEADOWVALE TS</v>
          </cell>
        </row>
        <row r="11">
          <cell r="A11">
            <v>1</v>
          </cell>
          <cell r="B11" t="str">
            <v>44 kV Dundas St - Mavis Rd. to Erindale Stn. Rd. to Mississauga Rd.</v>
          </cell>
          <cell r="C11" t="str">
            <v>ADD</v>
          </cell>
          <cell r="D11">
            <v>300000</v>
          </cell>
          <cell r="F11">
            <v>1</v>
          </cell>
        </row>
        <row r="12">
          <cell r="B12" t="str">
            <v xml:space="preserve">            A second circuit on existing poleline along Dundas St. from Mavis to Erindale station Rd.</v>
          </cell>
          <cell r="C12">
            <v>3.5</v>
          </cell>
        </row>
        <row r="13">
          <cell r="B13" t="str">
            <v xml:space="preserve">         Erindale station Rd. and continue to Mississauga Rd.</v>
          </cell>
        </row>
        <row r="14">
          <cell r="B14" t="str">
            <v xml:space="preserve"> </v>
          </cell>
        </row>
        <row r="16">
          <cell r="A16">
            <v>2</v>
          </cell>
          <cell r="B16" t="str">
            <v>44 kV Mavis Rd. - Burnhamthorpe to Dundas</v>
          </cell>
          <cell r="C16" t="str">
            <v>ADD</v>
          </cell>
          <cell r="D16">
            <v>225000</v>
          </cell>
          <cell r="F16">
            <v>2</v>
          </cell>
        </row>
        <row r="17">
          <cell r="B17" t="str">
            <v xml:space="preserve">          On existing poleline along Mavis from Burnhamthorpe Rd. to Dundas St.</v>
          </cell>
          <cell r="C17">
            <v>2.1</v>
          </cell>
        </row>
        <row r="18">
          <cell r="B18" t="str">
            <v xml:space="preserve"> </v>
          </cell>
        </row>
        <row r="21">
          <cell r="A21">
            <v>3</v>
          </cell>
          <cell r="B21" t="str">
            <v>44 kV Britannia Rd. - Mississauga Rd to Creditview</v>
          </cell>
          <cell r="C21" t="str">
            <v>REBUILD</v>
          </cell>
          <cell r="D21">
            <v>325000</v>
          </cell>
          <cell r="F21">
            <v>3</v>
          </cell>
        </row>
        <row r="22">
          <cell r="B22" t="str">
            <v xml:space="preserve">         Along Britania Rd. from Mississauga Rd. to Creditview on existing poleline.</v>
          </cell>
          <cell r="C22">
            <v>1.2</v>
          </cell>
        </row>
        <row r="23">
          <cell r="B23" t="str">
            <v xml:space="preserve"> </v>
          </cell>
        </row>
        <row r="26">
          <cell r="A26">
            <v>4</v>
          </cell>
          <cell r="B26" t="str">
            <v>44 kV Thomas St. - Erin Mills Pkwy to Winston Churchill Blvd.</v>
          </cell>
          <cell r="C26" t="str">
            <v>ADD</v>
          </cell>
          <cell r="D26">
            <v>190000</v>
          </cell>
          <cell r="F26">
            <v>4</v>
          </cell>
        </row>
        <row r="27">
          <cell r="B27" t="str">
            <v xml:space="preserve">          On existing poleline along Thomas St. from Erin Mills Pkwy </v>
          </cell>
          <cell r="C27">
            <v>1.3</v>
          </cell>
        </row>
        <row r="28">
          <cell r="B28" t="str">
            <v xml:space="preserve">          to Winston Churchill </v>
          </cell>
        </row>
        <row r="31">
          <cell r="A31">
            <v>5</v>
          </cell>
          <cell r="B31" t="str">
            <v>44 kV Thomas St. - Erin Mills Pkwy to Mississauga Rd. (Queen St.)</v>
          </cell>
          <cell r="C31" t="str">
            <v>ADD</v>
          </cell>
          <cell r="D31">
            <v>220000</v>
          </cell>
          <cell r="F31">
            <v>5</v>
          </cell>
        </row>
        <row r="32">
          <cell r="B32" t="str">
            <v xml:space="preserve">          On existing poleline along Thomas St. from Erin Mills Pkwy </v>
          </cell>
          <cell r="C32">
            <v>1.4</v>
          </cell>
        </row>
        <row r="33">
          <cell r="B33" t="str">
            <v xml:space="preserve">          to Mississauga Rd. feeder tie</v>
          </cell>
        </row>
        <row r="36">
          <cell r="A36">
            <v>6</v>
          </cell>
          <cell r="B36" t="str">
            <v>44 kV Central Pkwy - Erindale Stn. Rd. to Wolfedale</v>
          </cell>
          <cell r="C36" t="str">
            <v>ADD</v>
          </cell>
          <cell r="D36">
            <v>145000</v>
          </cell>
          <cell r="F36">
            <v>6</v>
          </cell>
        </row>
        <row r="37">
          <cell r="B37" t="str">
            <v xml:space="preserve">          On existing poleline Central Pkwy from Erindale Stn Rd. to midway</v>
          </cell>
          <cell r="C37">
            <v>0.4</v>
          </cell>
        </row>
        <row r="38">
          <cell r="B38" t="str">
            <v xml:space="preserve">           towards Wolfedale</v>
          </cell>
        </row>
        <row r="41">
          <cell r="A41">
            <v>7</v>
          </cell>
          <cell r="B41" t="str">
            <v>44 kV Dundas St. - Stillmeadow to John M.S.</v>
          </cell>
          <cell r="C41" t="str">
            <v>ADD</v>
          </cell>
          <cell r="D41">
            <v>190000</v>
          </cell>
          <cell r="F41">
            <v>7</v>
          </cell>
        </row>
        <row r="42">
          <cell r="B42" t="str">
            <v xml:space="preserve">         On existing poleline along Dundas from Stillmeadow to Confederation </v>
          </cell>
          <cell r="C42">
            <v>1.3</v>
          </cell>
        </row>
        <row r="43">
          <cell r="B43" t="str">
            <v xml:space="preserve">         Pkwy. and north to Agnes and east to Hwy 10.  Continue north on </v>
          </cell>
        </row>
        <row r="44">
          <cell r="B44" t="str">
            <v xml:space="preserve">          Hwy 10 to John MS.</v>
          </cell>
        </row>
        <row r="47">
          <cell r="B47" t="str">
            <v xml:space="preserve"> </v>
          </cell>
        </row>
        <row r="48">
          <cell r="B48" t="str">
            <v xml:space="preserve"> </v>
          </cell>
        </row>
        <row r="52">
          <cell r="B52" t="str">
            <v xml:space="preserve"> </v>
          </cell>
        </row>
        <row r="53">
          <cell r="B53" t="str">
            <v xml:space="preserve"> </v>
          </cell>
        </row>
        <row r="56">
          <cell r="B56" t="str">
            <v>SUB-TOTAL</v>
          </cell>
          <cell r="D56">
            <v>1595000</v>
          </cell>
        </row>
        <row r="58">
          <cell r="A58" t="str">
            <v>(*)  Included  in  1999  Capital  Budget.</v>
          </cell>
        </row>
        <row r="62">
          <cell r="B62" t="str">
            <v>POSSIBLE  SYSTEM   CAPITAL PROJECTS  -  2001</v>
          </cell>
        </row>
        <row r="64">
          <cell r="A64" t="str">
            <v>SUBTRANSMISSION</v>
          </cell>
          <cell r="D64" t="str">
            <v>Date:</v>
          </cell>
          <cell r="F64">
            <v>37141.565146875</v>
          </cell>
        </row>
        <row r="67">
          <cell r="A67" t="str">
            <v>ITEM</v>
          </cell>
          <cell r="B67" t="str">
            <v>DESCRIPTION</v>
          </cell>
          <cell r="C67" t="str">
            <v>TYPE</v>
          </cell>
          <cell r="D67" t="str">
            <v>ESTIMATE</v>
          </cell>
          <cell r="E67" t="str">
            <v>ZONE</v>
          </cell>
          <cell r="F67" t="str">
            <v>PRIORITY</v>
          </cell>
        </row>
        <row r="68">
          <cell r="C68" t="str">
            <v>(km)</v>
          </cell>
        </row>
        <row r="70">
          <cell r="B70" t="str">
            <v>44 kV - TOMKEN T.S.</v>
          </cell>
        </row>
        <row r="73">
          <cell r="A73">
            <v>1</v>
          </cell>
          <cell r="B73" t="str">
            <v>44 kV - Dundas St. - Cawthra to Dixie to ROW at Summerville</v>
          </cell>
          <cell r="C73" t="str">
            <v>ADD</v>
          </cell>
          <cell r="D73">
            <v>310000</v>
          </cell>
          <cell r="F73">
            <v>1</v>
          </cell>
        </row>
        <row r="74">
          <cell r="B74" t="str">
            <v xml:space="preserve">          On existing poleline along Dundas from Cawthra to Dixie </v>
          </cell>
          <cell r="C74">
            <v>3.6</v>
          </cell>
        </row>
        <row r="75">
          <cell r="B75" t="str">
            <v xml:space="preserve">          to Ont. Hyd. ROW at Summerville MS</v>
          </cell>
        </row>
        <row r="78">
          <cell r="A78">
            <v>2</v>
          </cell>
          <cell r="B78" t="str">
            <v>44kV - Eastgate - Dixie to Fieldgate/ROW</v>
          </cell>
          <cell r="C78" t="str">
            <v>NEW</v>
          </cell>
          <cell r="D78">
            <v>235000</v>
          </cell>
          <cell r="F78">
            <v>2</v>
          </cell>
        </row>
        <row r="79">
          <cell r="B79" t="str">
            <v xml:space="preserve">          On new poleline along Eastgate from Dixie to Fieldgate to Ont. Hyd. ROW </v>
          </cell>
          <cell r="C79">
            <v>1</v>
          </cell>
        </row>
        <row r="80">
          <cell r="B80" t="str">
            <v xml:space="preserve"> </v>
          </cell>
        </row>
        <row r="83">
          <cell r="A83">
            <v>3</v>
          </cell>
          <cell r="B83" t="str">
            <v>44kV - Eglinton Ave - Spectrum to Rubin M.S.</v>
          </cell>
          <cell r="C83" t="str">
            <v>NEW</v>
          </cell>
          <cell r="D83">
            <v>425000</v>
          </cell>
          <cell r="F83">
            <v>3</v>
          </cell>
        </row>
        <row r="84">
          <cell r="B84" t="str">
            <v xml:space="preserve">          On new poleline along Eglinton from Spectrum to Rubin M.S.</v>
          </cell>
          <cell r="C84">
            <v>1.7</v>
          </cell>
        </row>
        <row r="109">
          <cell r="B109" t="str">
            <v>SUB-TOTAL</v>
          </cell>
          <cell r="D109">
            <v>970000</v>
          </cell>
        </row>
        <row r="111">
          <cell r="A111" t="str">
            <v>(*)  Included  in  1999  Capital  Budget.</v>
          </cell>
        </row>
        <row r="115">
          <cell r="B115" t="str">
            <v>POSSIBLE  SYSTEM   CAPITAL PROJECTS  -  2001</v>
          </cell>
        </row>
        <row r="117">
          <cell r="A117" t="str">
            <v>SUBTRANSMISSION</v>
          </cell>
          <cell r="D117" t="str">
            <v>Date:</v>
          </cell>
          <cell r="F117">
            <v>35627.357684374998</v>
          </cell>
        </row>
        <row r="120">
          <cell r="A120" t="str">
            <v>ITEM</v>
          </cell>
          <cell r="B120" t="str">
            <v>DESCRIPTION</v>
          </cell>
          <cell r="C120" t="str">
            <v>TYPE</v>
          </cell>
          <cell r="D120" t="str">
            <v>ESTIMATE</v>
          </cell>
          <cell r="E120" t="str">
            <v>ZONE</v>
          </cell>
          <cell r="F120" t="str">
            <v>PRIORITY</v>
          </cell>
        </row>
        <row r="121">
          <cell r="C121" t="str">
            <v>(km)</v>
          </cell>
        </row>
        <row r="123">
          <cell r="B123" t="str">
            <v>44 kV - BRAMALEA TS</v>
          </cell>
        </row>
        <row r="126">
          <cell r="A126">
            <v>1</v>
          </cell>
          <cell r="B126" t="str">
            <v>44kV - Orlando M.S. to Northwest to Malton M.S. Feeder Tie</v>
          </cell>
          <cell r="C126" t="str">
            <v>REBUILD</v>
          </cell>
          <cell r="D126">
            <v>620000</v>
          </cell>
          <cell r="F126">
            <v>1</v>
          </cell>
        </row>
        <row r="127">
          <cell r="B127" t="str">
            <v xml:space="preserve">          On rebuild poleline along Northwest Drive to Derry Rd. to Malton MS</v>
          </cell>
          <cell r="C127">
            <v>2.5</v>
          </cell>
        </row>
        <row r="128">
          <cell r="B128" t="str">
            <v xml:space="preserve"> </v>
          </cell>
        </row>
        <row r="131">
          <cell r="A131">
            <v>2</v>
          </cell>
          <cell r="B131" t="str">
            <v>44kV - Derry Rd. - Close gap between Dixie and Tomken</v>
          </cell>
          <cell r="C131" t="str">
            <v>ADD</v>
          </cell>
          <cell r="D131">
            <v>160000</v>
          </cell>
          <cell r="F131">
            <v>2</v>
          </cell>
        </row>
        <row r="132">
          <cell r="B132" t="str">
            <v xml:space="preserve">          On existing poleline along Derry Rd from Dixie mid-way toward Tomken</v>
          </cell>
          <cell r="C132">
            <v>0.8</v>
          </cell>
        </row>
        <row r="133">
          <cell r="B133" t="str">
            <v xml:space="preserve"> </v>
          </cell>
        </row>
        <row r="171">
          <cell r="B171" t="str">
            <v>SUB-TOTAL</v>
          </cell>
          <cell r="D171">
            <v>780000</v>
          </cell>
        </row>
        <row r="173">
          <cell r="A173" t="str">
            <v>(*)  Included  in  1999  Capital  Budget.</v>
          </cell>
        </row>
        <row r="176">
          <cell r="B176" t="str">
            <v>POSSIBLE  SYSTEM   CAPITAL PROJECTS  -  2001</v>
          </cell>
        </row>
        <row r="178">
          <cell r="A178" t="str">
            <v>SUBTRANSMISSION</v>
          </cell>
          <cell r="D178" t="str">
            <v>Date:</v>
          </cell>
          <cell r="F178">
            <v>37141.565146875</v>
          </cell>
        </row>
        <row r="181">
          <cell r="A181" t="str">
            <v>ITEM</v>
          </cell>
          <cell r="B181" t="str">
            <v>DESCRIPTION</v>
          </cell>
          <cell r="C181" t="str">
            <v>TYPE</v>
          </cell>
          <cell r="D181" t="str">
            <v>ESTIMATE</v>
          </cell>
          <cell r="E181" t="str">
            <v>ZONE</v>
          </cell>
          <cell r="F181" t="str">
            <v>PRIORITY</v>
          </cell>
        </row>
        <row r="182">
          <cell r="C182" t="str">
            <v>(km)</v>
          </cell>
        </row>
        <row r="184">
          <cell r="B184" t="str">
            <v>27.6 kV SOUTH SYSTEM</v>
          </cell>
        </row>
        <row r="187">
          <cell r="A187">
            <v>1</v>
          </cell>
          <cell r="B187" t="str">
            <v>27.6 kV Stanfield Rd. - ROW to Queensway</v>
          </cell>
          <cell r="C187" t="str">
            <v>NEW</v>
          </cell>
          <cell r="D187">
            <v>315000</v>
          </cell>
          <cell r="F187">
            <v>1</v>
          </cell>
        </row>
        <row r="188">
          <cell r="B188" t="str">
            <v xml:space="preserve">          On existing poleline along Stanfield Rd. east of Hwy 10</v>
          </cell>
          <cell r="C188">
            <v>1.5</v>
          </cell>
        </row>
        <row r="189">
          <cell r="B189" t="str">
            <v xml:space="preserve">          from O.H. ROW to Queensway</v>
          </cell>
        </row>
        <row r="232">
          <cell r="B232" t="str">
            <v>SUB-TOTAL</v>
          </cell>
          <cell r="D232">
            <v>315000</v>
          </cell>
        </row>
        <row r="234">
          <cell r="A234" t="str">
            <v>(*)  Included  in  1999  Capital  Budget.</v>
          </cell>
        </row>
        <row r="237">
          <cell r="B237" t="str">
            <v>POSSIBLE  SYSTEM   CAPITAL PROJECTS  -  2001</v>
          </cell>
        </row>
        <row r="239">
          <cell r="A239" t="str">
            <v>SUBTRANSMISSION</v>
          </cell>
          <cell r="D239" t="str">
            <v>Date:</v>
          </cell>
          <cell r="F239">
            <v>37141.565146875</v>
          </cell>
        </row>
        <row r="242">
          <cell r="A242" t="str">
            <v>ITEM</v>
          </cell>
          <cell r="B242" t="str">
            <v>DESCRIPTION</v>
          </cell>
          <cell r="C242" t="str">
            <v>TYPE</v>
          </cell>
          <cell r="D242" t="str">
            <v>ESTIMATE</v>
          </cell>
          <cell r="E242" t="str">
            <v>ZONE</v>
          </cell>
          <cell r="F242" t="str">
            <v>PRIORITY</v>
          </cell>
        </row>
        <row r="243">
          <cell r="C243" t="str">
            <v>(km)</v>
          </cell>
        </row>
        <row r="245">
          <cell r="B245" t="str">
            <v>27.6 kV NORTH SYSTEM</v>
          </cell>
        </row>
        <row r="248">
          <cell r="A248">
            <v>1</v>
          </cell>
          <cell r="B248" t="str">
            <v>27.6 kV - Britannia Rd. - East of Hwy 10 to Kennedy</v>
          </cell>
          <cell r="C248" t="str">
            <v>ADD</v>
          </cell>
          <cell r="D248">
            <v>175000</v>
          </cell>
          <cell r="F248">
            <v>1</v>
          </cell>
        </row>
        <row r="249">
          <cell r="B249" t="str">
            <v xml:space="preserve">         On existing poleline along Britannia Rd. East from Hwy 10 to Kennedy</v>
          </cell>
          <cell r="C249">
            <v>1.1000000000000001</v>
          </cell>
        </row>
        <row r="250">
          <cell r="B250" t="str">
            <v xml:space="preserve"> </v>
          </cell>
        </row>
        <row r="251">
          <cell r="B251" t="str">
            <v xml:space="preserve"> </v>
          </cell>
        </row>
        <row r="253">
          <cell r="A253">
            <v>2</v>
          </cell>
          <cell r="B253" t="str">
            <v>27.6 kV - Hwy 10 - Britannia to Derry Feeder Tie</v>
          </cell>
          <cell r="C253" t="str">
            <v xml:space="preserve">ADD </v>
          </cell>
          <cell r="D253">
            <v>195000</v>
          </cell>
          <cell r="F253">
            <v>2</v>
          </cell>
        </row>
        <row r="254">
          <cell r="B254" t="str">
            <v xml:space="preserve">         Along Hwy 10 from Derry to Britania</v>
          </cell>
          <cell r="C254">
            <v>3.1</v>
          </cell>
        </row>
        <row r="258">
          <cell r="A258">
            <v>3</v>
          </cell>
          <cell r="B258" t="str">
            <v>27.6 kV - Reclosures at various locaitons</v>
          </cell>
          <cell r="C258" t="str">
            <v>NEW (F)</v>
          </cell>
          <cell r="D258">
            <v>450000</v>
          </cell>
          <cell r="F258">
            <v>3</v>
          </cell>
        </row>
        <row r="259">
          <cell r="B259" t="str">
            <v>Reclosers in the North 27.6 kV Area</v>
          </cell>
        </row>
        <row r="260">
          <cell r="B260" t="str">
            <v xml:space="preserve"> </v>
          </cell>
        </row>
        <row r="263">
          <cell r="A263">
            <v>4</v>
          </cell>
          <cell r="B263" t="str">
            <v>27.6 kV -  Hwy 10 - From Eglinton to Bristol Drive</v>
          </cell>
          <cell r="C263" t="str">
            <v>ADD</v>
          </cell>
          <cell r="D263">
            <v>110000</v>
          </cell>
          <cell r="F263">
            <v>4</v>
          </cell>
        </row>
        <row r="264">
          <cell r="B264" t="str">
            <v xml:space="preserve">         On existing poleline on Hwy 10 from Eglinton to Bristol</v>
          </cell>
          <cell r="C264">
            <v>1.2</v>
          </cell>
        </row>
        <row r="265">
          <cell r="B265" t="str">
            <v xml:space="preserve"> </v>
          </cell>
        </row>
        <row r="268">
          <cell r="A268">
            <v>5</v>
          </cell>
          <cell r="B268" t="str">
            <v xml:space="preserve">27.6kV - Derry TS </v>
          </cell>
          <cell r="C268" t="str">
            <v>NEW</v>
          </cell>
          <cell r="D268">
            <v>2500000</v>
          </cell>
          <cell r="F268">
            <v>5</v>
          </cell>
        </row>
        <row r="269">
          <cell r="B269" t="str">
            <v>Phase 1 of Derry TS</v>
          </cell>
        </row>
        <row r="270">
          <cell r="B270" t="str">
            <v xml:space="preserve"> </v>
          </cell>
        </row>
        <row r="271">
          <cell r="B271" t="str">
            <v xml:space="preserve"> </v>
          </cell>
        </row>
        <row r="290">
          <cell r="B290" t="str">
            <v xml:space="preserve"> </v>
          </cell>
        </row>
        <row r="294">
          <cell r="B294" t="str">
            <v>SUB-TOTAL</v>
          </cell>
          <cell r="D294">
            <v>3430000</v>
          </cell>
        </row>
        <row r="296">
          <cell r="A296" t="str">
            <v>(*)  Included  in  1999  Capital  Budget.</v>
          </cell>
        </row>
        <row r="299">
          <cell r="B299" t="str">
            <v>POSSIBLE  SYSTEM   CAPITAL PROJECTS  -  2001</v>
          </cell>
        </row>
        <row r="301">
          <cell r="A301" t="str">
            <v>DISTRIBUTION</v>
          </cell>
          <cell r="D301" t="str">
            <v>Date:</v>
          </cell>
          <cell r="F301">
            <v>37141.565146875</v>
          </cell>
        </row>
        <row r="304">
          <cell r="A304" t="str">
            <v>ITEM</v>
          </cell>
          <cell r="B304" t="str">
            <v>DESCRIPTION</v>
          </cell>
          <cell r="C304" t="str">
            <v>TYPE</v>
          </cell>
          <cell r="D304" t="str">
            <v>ESTIMATE</v>
          </cell>
          <cell r="E304" t="str">
            <v>ZONE</v>
          </cell>
          <cell r="F304" t="str">
            <v>PRIORITY</v>
          </cell>
        </row>
        <row r="305">
          <cell r="C305" t="str">
            <v>(km)</v>
          </cell>
        </row>
        <row r="307">
          <cell r="B307" t="str">
            <v>13.8 kV SYSTEM</v>
          </cell>
        </row>
        <row r="310">
          <cell r="A310" t="str">
            <v>1*</v>
          </cell>
          <cell r="B310" t="str">
            <v>13.8 kV Matheson Blvd - Tomken to Dixie</v>
          </cell>
          <cell r="C310" t="str">
            <v>REBUILD</v>
          </cell>
          <cell r="D310">
            <v>183000</v>
          </cell>
          <cell r="F310">
            <v>1</v>
          </cell>
        </row>
        <row r="311">
          <cell r="B311" t="str">
            <v xml:space="preserve">          On rebuild poleline along Matheson Blvd from Tomken Rd. to Dixie Rd.</v>
          </cell>
          <cell r="C311">
            <v>1.4</v>
          </cell>
        </row>
        <row r="312">
          <cell r="B312" t="str">
            <v xml:space="preserve"> </v>
          </cell>
        </row>
        <row r="315">
          <cell r="A315" t="str">
            <v>2*</v>
          </cell>
          <cell r="B315" t="str">
            <v>13.8 kV  Glen Erin - 403 to Eglinton</v>
          </cell>
          <cell r="C315" t="str">
            <v>ADD</v>
          </cell>
          <cell r="D315">
            <v>83000</v>
          </cell>
          <cell r="F315">
            <v>2</v>
          </cell>
        </row>
        <row r="316">
          <cell r="B316" t="str">
            <v xml:space="preserve">          On existing poleline along Glen Erin from 403 to Eglinton</v>
          </cell>
          <cell r="C316">
            <v>1.5</v>
          </cell>
        </row>
        <row r="317">
          <cell r="B317" t="str">
            <v xml:space="preserve"> </v>
          </cell>
        </row>
        <row r="320">
          <cell r="A320" t="str">
            <v>3*</v>
          </cell>
          <cell r="B320" t="str">
            <v>13.8 kV Eastgate Pkwy., Dixie Rd</v>
          </cell>
          <cell r="C320" t="str">
            <v>ADD</v>
          </cell>
          <cell r="D320">
            <v>118000.00000000001</v>
          </cell>
          <cell r="F320">
            <v>3</v>
          </cell>
        </row>
        <row r="321">
          <cell r="B321" t="str">
            <v xml:space="preserve">          On existing poleline along Dixie Rd. and Eastgate Dr. north of  </v>
          </cell>
          <cell r="C321">
            <v>2.2000000000000002</v>
          </cell>
        </row>
        <row r="322">
          <cell r="B322" t="str">
            <v xml:space="preserve">          Burnhamthorpe Rd.</v>
          </cell>
        </row>
        <row r="323">
          <cell r="B323" t="str">
            <v xml:space="preserve"> </v>
          </cell>
        </row>
        <row r="325">
          <cell r="A325" t="str">
            <v>4*</v>
          </cell>
          <cell r="B325" t="str">
            <v>13.8 kV Winston Churchill Blvd. to Sheridan Park ROW</v>
          </cell>
          <cell r="C325" t="str">
            <v>REBUILD</v>
          </cell>
          <cell r="D325">
            <v>54000</v>
          </cell>
          <cell r="F325">
            <v>4</v>
          </cell>
        </row>
        <row r="326">
          <cell r="B326" t="str">
            <v xml:space="preserve">          On rebuild poleline from Sheridan Park to Winston Churchill and </v>
          </cell>
          <cell r="C326">
            <v>0.4</v>
          </cell>
        </row>
        <row r="327">
          <cell r="B327" t="str">
            <v xml:space="preserve">          North along existing poleline</v>
          </cell>
        </row>
        <row r="355">
          <cell r="B355" t="str">
            <v>SUB-TOTAL</v>
          </cell>
          <cell r="D355">
            <v>438000</v>
          </cell>
        </row>
        <row r="357">
          <cell r="A357" t="str">
            <v>(*)  Included  in  1999  Capital  Budget.</v>
          </cell>
        </row>
        <row r="360">
          <cell r="A360" t="str">
            <v>DISTRIBUTION (Cont'd)</v>
          </cell>
        </row>
        <row r="363">
          <cell r="A363" t="str">
            <v>ITEM</v>
          </cell>
          <cell r="B363" t="str">
            <v>DESCRIPTION</v>
          </cell>
          <cell r="C363" t="str">
            <v>TYPE</v>
          </cell>
          <cell r="D363" t="str">
            <v>ESTIMATE</v>
          </cell>
          <cell r="E363" t="str">
            <v>ZONE</v>
          </cell>
          <cell r="F363" t="str">
            <v>PRIORITY</v>
          </cell>
        </row>
        <row r="364">
          <cell r="C364" t="str">
            <v>(km)</v>
          </cell>
        </row>
        <row r="366">
          <cell r="B366" t="str">
            <v>4.16  KV   SYSTEM</v>
          </cell>
        </row>
        <row r="369">
          <cell r="A369">
            <v>1</v>
          </cell>
          <cell r="B369" t="str">
            <v xml:space="preserve"> </v>
          </cell>
          <cell r="C369" t="str">
            <v>REBUILD</v>
          </cell>
          <cell r="D369">
            <v>50000</v>
          </cell>
          <cell r="F369">
            <v>1</v>
          </cell>
        </row>
        <row r="370">
          <cell r="B370" t="str">
            <v xml:space="preserve"> </v>
          </cell>
          <cell r="C370">
            <v>0.7</v>
          </cell>
        </row>
        <row r="371">
          <cell r="B371" t="str">
            <v xml:space="preserve"> </v>
          </cell>
        </row>
        <row r="372">
          <cell r="B372" t="str">
            <v xml:space="preserve"> </v>
          </cell>
        </row>
        <row r="373">
          <cell r="A373">
            <v>2</v>
          </cell>
          <cell r="B373" t="str">
            <v xml:space="preserve"> </v>
          </cell>
          <cell r="C373" t="str">
            <v>REBUILD</v>
          </cell>
          <cell r="D373">
            <v>295000</v>
          </cell>
        </row>
        <row r="374">
          <cell r="B374" t="str">
            <v xml:space="preserve"> </v>
          </cell>
          <cell r="C374">
            <v>0.8</v>
          </cell>
          <cell r="F374">
            <v>2</v>
          </cell>
        </row>
        <row r="375">
          <cell r="B375" t="str">
            <v xml:space="preserve"> </v>
          </cell>
        </row>
        <row r="376">
          <cell r="B376" t="str">
            <v xml:space="preserve"> </v>
          </cell>
        </row>
        <row r="378">
          <cell r="A378">
            <v>3</v>
          </cell>
          <cell r="B378" t="str">
            <v xml:space="preserve"> </v>
          </cell>
          <cell r="C378" t="str">
            <v>REBUILD</v>
          </cell>
          <cell r="D378">
            <v>120000</v>
          </cell>
          <cell r="F378">
            <v>3</v>
          </cell>
        </row>
        <row r="379">
          <cell r="B379" t="str">
            <v xml:space="preserve"> </v>
          </cell>
          <cell r="C379">
            <v>0.5</v>
          </cell>
        </row>
        <row r="380">
          <cell r="B380" t="str">
            <v xml:space="preserve"> </v>
          </cell>
        </row>
        <row r="383">
          <cell r="A383">
            <v>4</v>
          </cell>
          <cell r="B383" t="str">
            <v xml:space="preserve"> </v>
          </cell>
          <cell r="C383" t="str">
            <v>ADD</v>
          </cell>
          <cell r="D383">
            <v>75000</v>
          </cell>
          <cell r="F383">
            <v>4</v>
          </cell>
        </row>
        <row r="384">
          <cell r="B384" t="str">
            <v xml:space="preserve"> </v>
          </cell>
          <cell r="C384">
            <v>0.8</v>
          </cell>
        </row>
        <row r="385">
          <cell r="B385" t="str">
            <v xml:space="preserve"> </v>
          </cell>
        </row>
        <row r="410">
          <cell r="B410" t="str">
            <v xml:space="preserve"> </v>
          </cell>
        </row>
        <row r="414">
          <cell r="B414" t="str">
            <v>SUB-TOTAL</v>
          </cell>
          <cell r="D414">
            <v>540000</v>
          </cell>
        </row>
        <row r="416">
          <cell r="A416" t="str">
            <v>(*)  Included  in  1999  Capital  Budget.</v>
          </cell>
        </row>
        <row r="419">
          <cell r="A419" t="str">
            <v>MUNICIPAL STATIONS</v>
          </cell>
        </row>
        <row r="422">
          <cell r="A422" t="str">
            <v>ITEM</v>
          </cell>
          <cell r="B422" t="str">
            <v>DESCRIPTION</v>
          </cell>
          <cell r="C422" t="str">
            <v>TYPE</v>
          </cell>
          <cell r="D422" t="str">
            <v>ESTIMATE</v>
          </cell>
          <cell r="E422" t="str">
            <v>ZONE</v>
          </cell>
          <cell r="F422" t="str">
            <v>PRIORITY</v>
          </cell>
        </row>
        <row r="425">
          <cell r="A425" t="str">
            <v>1*</v>
          </cell>
          <cell r="B425" t="str">
            <v>Clarkdene M.S.</v>
          </cell>
          <cell r="D425">
            <v>200000</v>
          </cell>
        </row>
        <row r="430">
          <cell r="A430" t="str">
            <v>2*</v>
          </cell>
          <cell r="B430" t="str">
            <v>Summersite M.S.</v>
          </cell>
          <cell r="D430">
            <v>800000</v>
          </cell>
        </row>
        <row r="431">
          <cell r="B431" t="str">
            <v xml:space="preserve"> </v>
          </cell>
        </row>
        <row r="432">
          <cell r="B432" t="str">
            <v xml:space="preserve"> </v>
          </cell>
        </row>
        <row r="435">
          <cell r="A435" t="str">
            <v>3*</v>
          </cell>
          <cell r="B435" t="str">
            <v>Rubin M.S.</v>
          </cell>
          <cell r="D435">
            <v>800000</v>
          </cell>
        </row>
        <row r="436">
          <cell r="B436" t="str">
            <v xml:space="preserve"> </v>
          </cell>
        </row>
        <row r="437">
          <cell r="B437" t="str">
            <v xml:space="preserve"> </v>
          </cell>
        </row>
        <row r="439">
          <cell r="A439" t="str">
            <v>4*</v>
          </cell>
          <cell r="B439" t="str">
            <v>Derry T.S.</v>
          </cell>
          <cell r="D439">
            <v>500000</v>
          </cell>
        </row>
        <row r="440">
          <cell r="B440" t="str">
            <v xml:space="preserve"> </v>
          </cell>
        </row>
        <row r="441">
          <cell r="B441" t="str">
            <v xml:space="preserve"> </v>
          </cell>
        </row>
        <row r="444">
          <cell r="A444">
            <v>5</v>
          </cell>
          <cell r="B444" t="str">
            <v xml:space="preserve"> </v>
          </cell>
        </row>
        <row r="445">
          <cell r="B445" t="str">
            <v xml:space="preserve"> </v>
          </cell>
        </row>
        <row r="446">
          <cell r="B446" t="str">
            <v xml:space="preserve"> </v>
          </cell>
        </row>
        <row r="449">
          <cell r="A449">
            <v>6</v>
          </cell>
          <cell r="B449" t="str">
            <v xml:space="preserve"> </v>
          </cell>
        </row>
        <row r="450">
          <cell r="B450" t="str">
            <v xml:space="preserve"> </v>
          </cell>
        </row>
        <row r="451">
          <cell r="B451" t="str">
            <v xml:space="preserve"> </v>
          </cell>
        </row>
        <row r="454">
          <cell r="A454">
            <v>7</v>
          </cell>
          <cell r="B454" t="str">
            <v xml:space="preserve"> </v>
          </cell>
        </row>
        <row r="455">
          <cell r="B455" t="str">
            <v xml:space="preserve"> </v>
          </cell>
        </row>
        <row r="456">
          <cell r="B456" t="str">
            <v xml:space="preserve"> </v>
          </cell>
        </row>
        <row r="458">
          <cell r="A458">
            <v>8</v>
          </cell>
          <cell r="B458" t="str">
            <v xml:space="preserve"> </v>
          </cell>
        </row>
        <row r="459">
          <cell r="B459" t="str">
            <v xml:space="preserve"> </v>
          </cell>
        </row>
        <row r="460">
          <cell r="B460" t="str">
            <v xml:space="preserve"> </v>
          </cell>
        </row>
        <row r="461">
          <cell r="B461" t="str">
            <v xml:space="preserve"> </v>
          </cell>
        </row>
        <row r="462">
          <cell r="B462" t="str">
            <v xml:space="preserve"> </v>
          </cell>
        </row>
        <row r="464">
          <cell r="A464">
            <v>9</v>
          </cell>
          <cell r="B464" t="str">
            <v xml:space="preserve"> </v>
          </cell>
        </row>
        <row r="465">
          <cell r="B465" t="str">
            <v xml:space="preserve"> </v>
          </cell>
        </row>
        <row r="466">
          <cell r="B466" t="str">
            <v xml:space="preserve"> </v>
          </cell>
        </row>
        <row r="469">
          <cell r="A469">
            <v>10</v>
          </cell>
          <cell r="B469" t="str">
            <v xml:space="preserve"> </v>
          </cell>
        </row>
        <row r="470">
          <cell r="B470" t="str">
            <v xml:space="preserve"> </v>
          </cell>
        </row>
        <row r="471">
          <cell r="B471" t="str">
            <v xml:space="preserve"> </v>
          </cell>
        </row>
        <row r="473">
          <cell r="B473" t="str">
            <v>SUB-TOTAL</v>
          </cell>
          <cell r="D473">
            <v>2300000</v>
          </cell>
        </row>
        <row r="475">
          <cell r="A475" t="str">
            <v>(*)  Included  in  1999  Capital  Budget.</v>
          </cell>
        </row>
        <row r="478">
          <cell r="A478" t="str">
            <v>SUBDIVISION REBUILDS</v>
          </cell>
        </row>
        <row r="481">
          <cell r="A481" t="str">
            <v>ITEM</v>
          </cell>
          <cell r="B481" t="str">
            <v>DESCRIPTION</v>
          </cell>
          <cell r="C481" t="str">
            <v>TYPE</v>
          </cell>
          <cell r="D481" t="str">
            <v>ESTIMATE</v>
          </cell>
          <cell r="E481" t="str">
            <v>ZONE</v>
          </cell>
          <cell r="F481" t="str">
            <v>PRIORITY</v>
          </cell>
        </row>
        <row r="482">
          <cell r="C482" t="str">
            <v>(km)</v>
          </cell>
        </row>
        <row r="484">
          <cell r="B484" t="str">
            <v>Substation Rehabilitation*</v>
          </cell>
        </row>
        <row r="487">
          <cell r="A487" t="str">
            <v>1*</v>
          </cell>
          <cell r="B487" t="str">
            <v>Bexhill M.S.</v>
          </cell>
          <cell r="D487">
            <v>1000000</v>
          </cell>
          <cell r="E487">
            <v>7</v>
          </cell>
          <cell r="F487">
            <v>1</v>
          </cell>
        </row>
        <row r="488">
          <cell r="B488" t="str">
            <v xml:space="preserve"> </v>
          </cell>
        </row>
        <row r="489">
          <cell r="B489" t="str">
            <v xml:space="preserve"> </v>
          </cell>
        </row>
        <row r="491">
          <cell r="A491" t="str">
            <v>2*</v>
          </cell>
          <cell r="B491" t="str">
            <v>Park West M.S.</v>
          </cell>
          <cell r="D491">
            <v>1000000</v>
          </cell>
          <cell r="E491">
            <v>5</v>
          </cell>
          <cell r="F491">
            <v>1</v>
          </cell>
        </row>
        <row r="492">
          <cell r="B492" t="str">
            <v xml:space="preserve"> </v>
          </cell>
        </row>
        <row r="493">
          <cell r="A493" t="str">
            <v>3*</v>
          </cell>
          <cell r="B493" t="str">
            <v>Dixie M.S.</v>
          </cell>
          <cell r="D493">
            <v>1000000</v>
          </cell>
          <cell r="E493">
            <v>1</v>
          </cell>
          <cell r="F493">
            <v>1</v>
          </cell>
        </row>
        <row r="495">
          <cell r="A495" t="str">
            <v>4*</v>
          </cell>
          <cell r="B495" t="str">
            <v xml:space="preserve"> </v>
          </cell>
          <cell r="D495">
            <v>1000000</v>
          </cell>
          <cell r="E495">
            <v>2</v>
          </cell>
          <cell r="F495">
            <v>1</v>
          </cell>
        </row>
        <row r="526">
          <cell r="B526" t="str">
            <v>TOTAL REHABILITATION</v>
          </cell>
          <cell r="D526">
            <v>4000000</v>
          </cell>
        </row>
        <row r="528">
          <cell r="A528" t="str">
            <v>(*)  Included  in  1999  Capital  Budget.</v>
          </cell>
        </row>
        <row r="533">
          <cell r="A533" t="str">
            <v>SYSTEM MAINTENANCE PROJECTS</v>
          </cell>
        </row>
        <row r="536">
          <cell r="A536" t="str">
            <v>ITEM</v>
          </cell>
          <cell r="B536" t="str">
            <v>DESCRIPTION</v>
          </cell>
          <cell r="C536" t="str">
            <v>TYPE</v>
          </cell>
          <cell r="D536" t="str">
            <v>ESTIMATE</v>
          </cell>
          <cell r="F536" t="str">
            <v>PRIORITY</v>
          </cell>
        </row>
        <row r="537">
          <cell r="C537" t="str">
            <v>(km)</v>
          </cell>
        </row>
        <row r="539">
          <cell r="A539" t="str">
            <v>1*</v>
          </cell>
          <cell r="B539" t="str">
            <v>Wood Pole Replacement</v>
          </cell>
          <cell r="D539">
            <v>250000</v>
          </cell>
        </row>
        <row r="543">
          <cell r="A543" t="str">
            <v>2*</v>
          </cell>
          <cell r="B543" t="str">
            <v>Overhead Switch Replacement</v>
          </cell>
          <cell r="D543">
            <v>300000</v>
          </cell>
        </row>
        <row r="547">
          <cell r="A547" t="str">
            <v>3*</v>
          </cell>
          <cell r="B547" t="str">
            <v>Feeder Overhauls</v>
          </cell>
          <cell r="D547">
            <v>600000</v>
          </cell>
        </row>
        <row r="551">
          <cell r="A551" t="str">
            <v>4*</v>
          </cell>
          <cell r="B551" t="str">
            <v>Overhead Rebuilds</v>
          </cell>
          <cell r="D551">
            <v>600000</v>
          </cell>
        </row>
        <row r="555">
          <cell r="A555" t="str">
            <v>5*</v>
          </cell>
          <cell r="B555" t="str">
            <v>Load Centre Replacement</v>
          </cell>
          <cell r="D555">
            <v>100000</v>
          </cell>
        </row>
        <row r="559">
          <cell r="A559" t="str">
            <v>6*</v>
          </cell>
          <cell r="B559" t="str">
            <v>Underground Cable Replacement</v>
          </cell>
          <cell r="D559">
            <v>1200000</v>
          </cell>
        </row>
        <row r="563">
          <cell r="A563" t="str">
            <v>7*</v>
          </cell>
          <cell r="B563" t="str">
            <v>Meter Base Replacement</v>
          </cell>
          <cell r="D563">
            <v>40000</v>
          </cell>
        </row>
        <row r="567">
          <cell r="A567" t="str">
            <v>8*</v>
          </cell>
          <cell r="B567" t="str">
            <v>Secondary Cable Replacement</v>
          </cell>
          <cell r="D567">
            <v>60000</v>
          </cell>
        </row>
        <row r="571">
          <cell r="A571" t="str">
            <v>9*</v>
          </cell>
          <cell r="B571" t="str">
            <v>Underground Transformer Replacements</v>
          </cell>
          <cell r="D571">
            <v>150000</v>
          </cell>
        </row>
        <row r="575">
          <cell r="A575" t="str">
            <v>10*</v>
          </cell>
          <cell r="B575" t="str">
            <v>Overhead Transformer Replacement</v>
          </cell>
          <cell r="D575">
            <v>150000</v>
          </cell>
        </row>
        <row r="579">
          <cell r="A579" t="str">
            <v>11*</v>
          </cell>
          <cell r="B579" t="str">
            <v>PowerT/former O/H &amp; Station Upgrade</v>
          </cell>
          <cell r="D579">
            <v>100000</v>
          </cell>
        </row>
        <row r="583">
          <cell r="A583" t="str">
            <v>12*</v>
          </cell>
          <cell r="B583" t="str">
            <v>Auto-Switches/SCADA</v>
          </cell>
          <cell r="D583">
            <v>1200000</v>
          </cell>
        </row>
        <row r="585">
          <cell r="B585" t="str">
            <v>TOTAL MAINTENANCE</v>
          </cell>
          <cell r="D585">
            <v>4750000</v>
          </cell>
        </row>
        <row r="587">
          <cell r="A587" t="str">
            <v>(*)  Included  in  1999  Capital  Budget.</v>
          </cell>
        </row>
      </sheetData>
      <sheetData sheetId="2" refreshError="1"/>
      <sheetData sheetId="3"/>
      <sheetData sheetId="4"/>
      <sheetData sheetId="5" refreshError="1"/>
      <sheetData sheetId="6" refreshError="1"/>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Reg Asset_Liability Summary"/>
      <sheetName val="Net 1588 Balance"/>
      <sheetName val="2.Reg Asset_Liability Details"/>
      <sheetName val="Global Adj Analysis 2009_10"/>
      <sheetName val="Summary GA Jan &amp; Feb"/>
      <sheetName val="GLI"/>
      <sheetName val="3.Avg_Spot$ &amp; GA Est vs Fixed"/>
      <sheetName val="4. PCB Costs"/>
      <sheetName val="4.Retail Variances (1580-1588)"/>
      <sheetName val="2009 EDDVAR Decision"/>
    </sheetNames>
    <sheetDataSet>
      <sheetData sheetId="0" refreshError="1"/>
      <sheetData sheetId="1" refreshError="1"/>
      <sheetData sheetId="2" refreshError="1">
        <row r="57">
          <cell r="L57">
            <v>-147787.39000000013</v>
          </cell>
        </row>
        <row r="58">
          <cell r="L58">
            <v>-133198.29999999999</v>
          </cell>
        </row>
        <row r="60">
          <cell r="L60">
            <v>4303847.08</v>
          </cell>
        </row>
        <row r="61">
          <cell r="L61">
            <v>-793730.91</v>
          </cell>
        </row>
        <row r="62">
          <cell r="L62">
            <v>89765.47</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Reg Asset_Liability Detai (2)"/>
      <sheetName val="1.Reg Asset_Liability Summary"/>
      <sheetName val="Net 1588 Balance"/>
      <sheetName val="2.Reg Asset_Liability Details"/>
      <sheetName val="Global Adj Analysis 2009_10"/>
      <sheetName val="Summary GA Jan &amp; Feb"/>
      <sheetName val="GLI"/>
      <sheetName val="3.Avg_Spot$ &amp; GA Est vs Fixed"/>
      <sheetName val="4. PCB Costs"/>
      <sheetName val="4.Retail Variances (1580-1588)"/>
      <sheetName val="2009 EDDVAR Decision"/>
    </sheetNames>
    <sheetDataSet>
      <sheetData sheetId="0" refreshError="1"/>
      <sheetData sheetId="1" refreshError="1"/>
      <sheetData sheetId="2" refreshError="1"/>
      <sheetData sheetId="3" refreshError="1">
        <row r="60">
          <cell r="N60">
            <v>3633632.56</v>
          </cell>
        </row>
        <row r="61">
          <cell r="N61">
            <v>-742185.53</v>
          </cell>
        </row>
        <row r="62">
          <cell r="N62">
            <v>95037.68</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Reg Asset_Liability Detai (2)"/>
      <sheetName val="1.Reg Asset_Liability Summary"/>
      <sheetName val="Net 1588 Balance"/>
      <sheetName val="2.Reg Asset_Liability Details"/>
      <sheetName val="Global Adj Analysis 2009_10"/>
      <sheetName val="Summary GA Jan &amp; Feb"/>
      <sheetName val="GLI"/>
      <sheetName val="3.Avg_Spot$ &amp; GA Est vs Fixed"/>
      <sheetName val="4. PCB Costs"/>
      <sheetName val="4.Retail Variances (1580-1588)"/>
      <sheetName val="2009 EDDVAR Decision"/>
      <sheetName val="3. PCB Costs"/>
    </sheetNames>
    <sheetDataSet>
      <sheetData sheetId="0" refreshError="1"/>
      <sheetData sheetId="1" refreshError="1"/>
      <sheetData sheetId="2" refreshError="1"/>
      <sheetData sheetId="3" refreshError="1">
        <row r="61">
          <cell r="R61">
            <v>2122964.5</v>
          </cell>
        </row>
        <row r="62">
          <cell r="R62">
            <v>-630120.18999999994</v>
          </cell>
        </row>
        <row r="63">
          <cell r="R63">
            <v>103088.06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Reg Asset_Liability Detai (2)"/>
      <sheetName val="1.Reg Asset_Liability Summary"/>
      <sheetName val="Net 1588 Balance"/>
      <sheetName val="Global Adj Analysis 2009_10"/>
      <sheetName val="Summary GA Jan &amp; Feb"/>
      <sheetName val="GLI"/>
      <sheetName val="3.Avg_Spot$ &amp; GA Est vs Fixed"/>
      <sheetName val="2.Reg Asset_Liability Details"/>
      <sheetName val="3. PCB Costs"/>
      <sheetName val="4.Retail Variances (1580-1588)"/>
      <sheetName val="2009 EDDVAR Decision"/>
    </sheetNames>
    <sheetDataSet>
      <sheetData sheetId="0"/>
      <sheetData sheetId="1"/>
      <sheetData sheetId="2"/>
      <sheetData sheetId="3"/>
      <sheetData sheetId="4"/>
      <sheetData sheetId="5"/>
      <sheetData sheetId="6"/>
      <sheetData sheetId="7" refreshError="1">
        <row r="61">
          <cell r="T61">
            <v>1297251.3999999999</v>
          </cell>
        </row>
        <row r="62">
          <cell r="T62">
            <v>-562373.34</v>
          </cell>
        </row>
        <row r="63">
          <cell r="T63">
            <v>105688.69</v>
          </cell>
        </row>
      </sheetData>
      <sheetData sheetId="8"/>
      <sheetData sheetId="9"/>
      <sheetData sheetId="10"/>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Reg Asset_Liability Detai (2)"/>
      <sheetName val="1.Reg Asset_Liability Summary"/>
      <sheetName val="Net 1588 Balance"/>
      <sheetName val="Global Adj Analysis 2009_10"/>
      <sheetName val="Summary GA Jan &amp; Feb"/>
      <sheetName val="GLI"/>
      <sheetName val="3.Avg_Spot$ &amp; GA Est vs Fixed"/>
      <sheetName val="3. PCB Costs"/>
      <sheetName val="2.Reg Asset_Liability Details"/>
      <sheetName val="4.Retail Variances (1580-1588)"/>
      <sheetName val="2009 EDDVAR Decision"/>
    </sheetNames>
    <sheetDataSet>
      <sheetData sheetId="0"/>
      <sheetData sheetId="1"/>
      <sheetData sheetId="2"/>
      <sheetData sheetId="3"/>
      <sheetData sheetId="4"/>
      <sheetData sheetId="5"/>
      <sheetData sheetId="6"/>
      <sheetData sheetId="7"/>
      <sheetData sheetId="8" refreshError="1">
        <row r="61">
          <cell r="V61">
            <v>723410.15</v>
          </cell>
        </row>
        <row r="62">
          <cell r="V62">
            <v>-495783.24</v>
          </cell>
        </row>
        <row r="63">
          <cell r="V63">
            <v>107277.82</v>
          </cell>
        </row>
      </sheetData>
      <sheetData sheetId="9"/>
      <sheetData sheetId="10"/>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Reg Asset_Liability Detai (2)"/>
      <sheetName val="1.Reg Asset_Liability Summary"/>
      <sheetName val="Net 1588 Balance"/>
      <sheetName val="Global Adj Analysis 2009_10"/>
      <sheetName val="Summary GA Jan &amp; Feb"/>
      <sheetName val="GLI"/>
      <sheetName val="3.Avg_Spot$ &amp; GA Est vs Fixed"/>
      <sheetName val="3. PCB Costs"/>
      <sheetName val="2.Reg Asset_Liability Details"/>
      <sheetName val="4.Retail Variances (1580-1588)"/>
      <sheetName val="2009 EDDVAR Decision"/>
    </sheetNames>
    <sheetDataSet>
      <sheetData sheetId="0"/>
      <sheetData sheetId="1"/>
      <sheetData sheetId="2"/>
      <sheetData sheetId="3"/>
      <sheetData sheetId="4"/>
      <sheetData sheetId="5"/>
      <sheetData sheetId="6"/>
      <sheetData sheetId="7"/>
      <sheetData sheetId="8">
        <row r="61">
          <cell r="X61">
            <v>157990.07999999999</v>
          </cell>
        </row>
        <row r="62">
          <cell r="X62">
            <v>-433543.2</v>
          </cell>
        </row>
        <row r="63">
          <cell r="X63">
            <v>108164</v>
          </cell>
        </row>
      </sheetData>
      <sheetData sheetId="9"/>
      <sheetData sheetId="10"/>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67">
          <cell r="H67">
            <v>-380846.37</v>
          </cell>
        </row>
        <row r="68">
          <cell r="H68">
            <v>-683275.08</v>
          </cell>
        </row>
        <row r="69">
          <cell r="H69">
            <v>108357.54</v>
          </cell>
        </row>
      </sheetData>
      <sheetData sheetId="1"/>
      <sheetData sheetId="2"/>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Reg Asset_Liability Detai (2)"/>
      <sheetName val="1.Reg Asset_Liability Summary"/>
      <sheetName val="Net 1588 Balance"/>
      <sheetName val="Global Adj Analysis 2009_10"/>
      <sheetName val="Summary GA Jan &amp; Feb"/>
      <sheetName val="GLI"/>
      <sheetName val="3.Avg_Spot$ &amp; GA Est vs Fixed"/>
      <sheetName val="2.Reg Asset_Liability Details"/>
      <sheetName val="3. PCB Costs"/>
      <sheetName val="4.Retail Variances (1580-1588)"/>
      <sheetName val="2009 EDDVAR Decision"/>
    </sheetNames>
    <sheetDataSet>
      <sheetData sheetId="0"/>
      <sheetData sheetId="1"/>
      <sheetData sheetId="2"/>
      <sheetData sheetId="3"/>
      <sheetData sheetId="4"/>
      <sheetData sheetId="5"/>
      <sheetData sheetId="6"/>
      <sheetData sheetId="7">
        <row r="61">
          <cell r="AC61">
            <v>-331112.03999999998</v>
          </cell>
        </row>
        <row r="62">
          <cell r="AC62">
            <v>-1465999.57</v>
          </cell>
        </row>
        <row r="63">
          <cell r="AC63">
            <v>107520.53</v>
          </cell>
        </row>
      </sheetData>
      <sheetData sheetId="8"/>
      <sheetData sheetId="9"/>
      <sheetData sheetId="10"/>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E"/>
      <sheetName val="Reg Assets Recovered"/>
    </sheetNames>
    <sheetDataSet>
      <sheetData sheetId="0" refreshError="1">
        <row r="12">
          <cell r="B12">
            <v>-115982.20891087576</v>
          </cell>
        </row>
        <row r="13">
          <cell r="B13">
            <v>894920.5372248037</v>
          </cell>
        </row>
        <row r="14">
          <cell r="B14">
            <v>-1835.434254090776</v>
          </cell>
        </row>
        <row r="15">
          <cell r="B15">
            <v>2416.6643522670142</v>
          </cell>
        </row>
        <row r="16">
          <cell r="B16">
            <v>-127909.47599824122</v>
          </cell>
        </row>
        <row r="17">
          <cell r="B17">
            <v>-88944.619022372703</v>
          </cell>
        </row>
      </sheetData>
      <sheetData sheetId="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sheetName val="17"/>
      <sheetName val="12"/>
      <sheetName val="JE Reclass of Recoveries"/>
      <sheetName val="13"/>
      <sheetName val="1590 (2)"/>
      <sheetName val="Reg Assets Dec. 2007"/>
      <sheetName val="Reg Liab Dec. 2007"/>
      <sheetName val="1580"/>
      <sheetName val="1582"/>
      <sheetName val="1584"/>
      <sheetName val="1586"/>
      <sheetName val="1508"/>
      <sheetName val="1595 May 1, 2008 "/>
      <sheetName val="1590 May 1, 2008"/>
      <sheetName val="1590 to April 30, 2008"/>
      <sheetName val="1550"/>
      <sheetName val="1518"/>
      <sheetName val="1548"/>
      <sheetName val="Sum 1562_63"/>
      <sheetName val="Jan JE CC to Finance"/>
      <sheetName val="Mar JE CC to Finance"/>
      <sheetName val="Summary 1518 and 1548"/>
      <sheetName val="1562_1563"/>
      <sheetName val="Sum 1562_63 Oct 07"/>
      <sheetName val="MAY JE CC to Finance"/>
      <sheetName val="Feb JE CC to Finance"/>
      <sheetName val="A 1565"/>
      <sheetName val="1595 May 1, 2008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68">
          <cell r="F268">
            <v>942687.88</v>
          </cell>
        </row>
        <row r="278">
          <cell r="F278">
            <v>161215.56292841668</v>
          </cell>
        </row>
        <row r="285">
          <cell r="F285">
            <v>1371964.0430512857</v>
          </cell>
        </row>
        <row r="295">
          <cell r="F295">
            <v>205303.78992235818</v>
          </cell>
        </row>
      </sheetData>
      <sheetData sheetId="13" refreshError="1"/>
      <sheetData sheetId="14" refreshError="1"/>
      <sheetData sheetId="15" refreshError="1">
        <row r="229">
          <cell r="F229">
            <v>-124737.3804473792</v>
          </cell>
        </row>
        <row r="242">
          <cell r="F242">
            <v>-63546.950000000186</v>
          </cell>
        </row>
        <row r="249">
          <cell r="F249">
            <v>1490.8800000000047</v>
          </cell>
        </row>
        <row r="254">
          <cell r="F254">
            <v>3241.5999999998603</v>
          </cell>
        </row>
        <row r="264">
          <cell r="G264">
            <v>-227.82539952109005</v>
          </cell>
        </row>
        <row r="267">
          <cell r="F267">
            <v>1748845.1325205632</v>
          </cell>
        </row>
        <row r="272">
          <cell r="F272">
            <v>1565293.32</v>
          </cell>
        </row>
        <row r="323">
          <cell r="D323" t="str">
            <v>June 30,08</v>
          </cell>
        </row>
        <row r="324">
          <cell r="D324" t="str">
            <v>Q2</v>
          </cell>
        </row>
        <row r="325">
          <cell r="D325">
            <v>-386476.29999999993</v>
          </cell>
        </row>
        <row r="326">
          <cell r="D326">
            <v>-0.48953582352260128</v>
          </cell>
        </row>
        <row r="327">
          <cell r="D327">
            <v>1158.8436209578201</v>
          </cell>
        </row>
        <row r="328">
          <cell r="D328">
            <v>0</v>
          </cell>
        </row>
        <row r="329">
          <cell r="C329">
            <v>1950382.4235168812</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2001"/>
      <sheetName val="SUM2001 (2)"/>
      <sheetName val="SUM2001 (3)"/>
      <sheetName val="Sheet1"/>
      <sheetName val="Sheet2"/>
      <sheetName val="Sheet3"/>
    </sheetNames>
    <sheetDataSet>
      <sheetData sheetId="0" refreshError="1">
        <row r="6">
          <cell r="C6" t="str">
            <v>TABLE 1</v>
          </cell>
        </row>
        <row r="7">
          <cell r="C7" t="str">
            <v xml:space="preserve">SUMMARY OF </v>
          </cell>
        </row>
        <row r="8">
          <cell r="C8" t="str">
            <v>RECOMMENDED OPERATION'S CAPITAL PROJECTS - 2002</v>
          </cell>
        </row>
        <row r="10">
          <cell r="C10">
            <v>2002</v>
          </cell>
          <cell r="D10" t="str">
            <v>BENEFITS (1)</v>
          </cell>
          <cell r="I10" t="str">
            <v>BENEFITS (2)</v>
          </cell>
        </row>
        <row r="11">
          <cell r="A11" t="str">
            <v>Item</v>
          </cell>
          <cell r="B11" t="str">
            <v>Description</v>
          </cell>
          <cell r="C11" t="str">
            <v>Budget</v>
          </cell>
          <cell r="D11" t="str">
            <v>Capcity</v>
          </cell>
          <cell r="F11" t="str">
            <v>SAVINGS (p.a)</v>
          </cell>
          <cell r="H11" t="str">
            <v>Payback</v>
          </cell>
          <cell r="I11" t="str">
            <v>SAVINGS (p.a)</v>
          </cell>
          <cell r="K11" t="str">
            <v>Payback</v>
          </cell>
        </row>
        <row r="12">
          <cell r="C12" t="str">
            <v>Amount</v>
          </cell>
          <cell r="D12" t="str">
            <v>(MW)</v>
          </cell>
          <cell r="E12" t="str">
            <v>Losses</v>
          </cell>
          <cell r="F12" t="str">
            <v>Cust-min.</v>
          </cell>
          <cell r="G12" t="str">
            <v>Out. Costs*</v>
          </cell>
          <cell r="H12" t="str">
            <v>Yrs</v>
          </cell>
          <cell r="I12" t="str">
            <v>Eff. MW-Min.</v>
          </cell>
          <cell r="J12" t="str">
            <v>Out. Costs*</v>
          </cell>
          <cell r="K12" t="str">
            <v>Yrs</v>
          </cell>
        </row>
        <row r="14">
          <cell r="B14" t="str">
            <v>SUBTRANSMISSION</v>
          </cell>
        </row>
        <row r="17">
          <cell r="A17">
            <v>1</v>
          </cell>
          <cell r="B17" t="str">
            <v>44 kV Winston Churchill Blvd. - Britannia Rd to Eglinton Av.</v>
          </cell>
          <cell r="C17">
            <v>150000</v>
          </cell>
          <cell r="D17">
            <v>3</v>
          </cell>
          <cell r="E17">
            <v>8000</v>
          </cell>
          <cell r="F17">
            <v>20000</v>
          </cell>
          <cell r="G17">
            <v>100000</v>
          </cell>
          <cell r="H17">
            <v>1.3888888888888888</v>
          </cell>
          <cell r="I17">
            <v>543</v>
          </cell>
          <cell r="J17">
            <v>81450</v>
          </cell>
          <cell r="K17">
            <v>1.6769144773616547</v>
          </cell>
        </row>
        <row r="18">
          <cell r="A18">
            <v>2</v>
          </cell>
          <cell r="B18" t="str">
            <v>44 kV Thomas St. - Ninth Line to Mississauga Rd. (Queen St.)</v>
          </cell>
          <cell r="C18">
            <v>220000</v>
          </cell>
          <cell r="D18">
            <v>3</v>
          </cell>
          <cell r="E18">
            <v>7500</v>
          </cell>
          <cell r="F18">
            <v>20000</v>
          </cell>
          <cell r="G18">
            <v>100000</v>
          </cell>
          <cell r="H18">
            <v>2.0465116279069768</v>
          </cell>
        </row>
        <row r="19">
          <cell r="A19">
            <v>3</v>
          </cell>
          <cell r="B19" t="str">
            <v>44 kV Dundas St - Erindale Stn. Rd. to Mississauga Rd.</v>
          </cell>
          <cell r="C19">
            <v>50000</v>
          </cell>
          <cell r="D19">
            <v>2</v>
          </cell>
          <cell r="E19">
            <v>3000</v>
          </cell>
          <cell r="F19">
            <v>8000</v>
          </cell>
          <cell r="G19">
            <v>40000</v>
          </cell>
          <cell r="H19">
            <v>1.1627906976744187</v>
          </cell>
          <cell r="I19">
            <v>270</v>
          </cell>
          <cell r="J19">
            <v>40500</v>
          </cell>
          <cell r="K19">
            <v>1.1494252873563218</v>
          </cell>
        </row>
        <row r="20">
          <cell r="A20">
            <v>4</v>
          </cell>
          <cell r="B20" t="str">
            <v>44 kV Dundas St. - Stillmeadow Rd.to John M.S.</v>
          </cell>
          <cell r="C20">
            <v>190000</v>
          </cell>
          <cell r="D20">
            <v>5</v>
          </cell>
          <cell r="E20">
            <v>10000</v>
          </cell>
          <cell r="F20">
            <v>25000</v>
          </cell>
          <cell r="G20">
            <v>125000</v>
          </cell>
          <cell r="H20">
            <v>1.4074074074074074</v>
          </cell>
          <cell r="I20">
            <v>931</v>
          </cell>
          <cell r="J20">
            <v>139650</v>
          </cell>
          <cell r="K20">
            <v>1.2696291346475108</v>
          </cell>
        </row>
        <row r="21">
          <cell r="A21">
            <v>5</v>
          </cell>
          <cell r="B21" t="str">
            <v>44 kV Mavis Rd. - Burnhamthorpe Rd. to Dundas St.</v>
          </cell>
          <cell r="C21">
            <v>310000</v>
          </cell>
          <cell r="D21">
            <v>3</v>
          </cell>
          <cell r="E21">
            <v>10000</v>
          </cell>
          <cell r="F21">
            <v>25000</v>
          </cell>
          <cell r="G21">
            <v>125000</v>
          </cell>
          <cell r="H21">
            <v>2.2962962962962963</v>
          </cell>
          <cell r="I21">
            <v>761</v>
          </cell>
          <cell r="J21">
            <v>114150</v>
          </cell>
          <cell r="K21">
            <v>2.4969794603302455</v>
          </cell>
        </row>
        <row r="22">
          <cell r="A22">
            <v>6</v>
          </cell>
          <cell r="B22" t="str">
            <v>44kV - Eastgate - Dixie Rd. to Fieldgate Dr./ROW</v>
          </cell>
          <cell r="C22">
            <v>235000</v>
          </cell>
          <cell r="D22">
            <v>5</v>
          </cell>
          <cell r="E22">
            <v>8000</v>
          </cell>
          <cell r="F22">
            <v>20000</v>
          </cell>
          <cell r="G22">
            <v>100000</v>
          </cell>
          <cell r="H22">
            <v>2.175925925925926</v>
          </cell>
        </row>
        <row r="23">
          <cell r="A23">
            <v>7</v>
          </cell>
          <cell r="B23" t="str">
            <v>44kV - Eglinton Ave - Eastgate to Spectrum Way</v>
          </cell>
          <cell r="C23">
            <v>320000</v>
          </cell>
          <cell r="D23">
            <v>5</v>
          </cell>
          <cell r="E23">
            <v>10000</v>
          </cell>
          <cell r="F23">
            <v>25000</v>
          </cell>
          <cell r="G23">
            <v>125000</v>
          </cell>
          <cell r="H23">
            <v>2.3703703703703702</v>
          </cell>
        </row>
        <row r="24">
          <cell r="A24">
            <v>8</v>
          </cell>
          <cell r="B24" t="str">
            <v>44kV - Orlando M.S. to Northwest to Malton M.S. Feeder Tie</v>
          </cell>
          <cell r="C24">
            <v>320000</v>
          </cell>
          <cell r="D24">
            <v>5</v>
          </cell>
          <cell r="E24">
            <v>10000</v>
          </cell>
          <cell r="F24">
            <v>25000</v>
          </cell>
          <cell r="G24">
            <v>125000</v>
          </cell>
          <cell r="H24">
            <v>2.3703703703703702</v>
          </cell>
        </row>
        <row r="25">
          <cell r="A25">
            <v>9</v>
          </cell>
          <cell r="B25" t="str">
            <v>44kV - Derry Rd. - Close gap between Dixie Rd. and Tomken Rd.</v>
          </cell>
          <cell r="C25">
            <v>160000</v>
          </cell>
          <cell r="D25">
            <v>3</v>
          </cell>
          <cell r="E25">
            <v>6500</v>
          </cell>
          <cell r="F25">
            <v>17500</v>
          </cell>
          <cell r="G25">
            <v>87500</v>
          </cell>
          <cell r="H25">
            <v>1.7021276595744681</v>
          </cell>
        </row>
        <row r="26">
          <cell r="A26">
            <v>10</v>
          </cell>
          <cell r="B26" t="str">
            <v>27.6 kV Stanfield Rd. - ROW to Queensway</v>
          </cell>
          <cell r="C26">
            <v>315000</v>
          </cell>
          <cell r="D26">
            <v>3</v>
          </cell>
          <cell r="E26">
            <v>6000</v>
          </cell>
          <cell r="F26">
            <v>16000</v>
          </cell>
          <cell r="G26">
            <v>80000</v>
          </cell>
          <cell r="H26">
            <v>3.6627906976744184</v>
          </cell>
        </row>
        <row r="27">
          <cell r="A27">
            <v>11</v>
          </cell>
          <cell r="B27" t="str">
            <v xml:space="preserve">27.6 kV- Mavis Rd.- Britannia Rd. to Derry Rd.. </v>
          </cell>
          <cell r="C27">
            <v>295000</v>
          </cell>
          <cell r="D27">
            <v>3</v>
          </cell>
          <cell r="E27">
            <v>5000</v>
          </cell>
          <cell r="F27">
            <v>13000</v>
          </cell>
          <cell r="G27">
            <v>65000</v>
          </cell>
          <cell r="H27">
            <v>4.2142857142857144</v>
          </cell>
        </row>
        <row r="28">
          <cell r="A28">
            <v>12</v>
          </cell>
          <cell r="B28" t="str">
            <v>27.6 kV -  Hwy 10 - From Eglinton Rd. to Bristol Dr.</v>
          </cell>
          <cell r="C28">
            <v>185000</v>
          </cell>
          <cell r="D28">
            <v>3</v>
          </cell>
          <cell r="E28">
            <v>6000</v>
          </cell>
          <cell r="F28">
            <v>16000</v>
          </cell>
          <cell r="G28">
            <v>80000</v>
          </cell>
          <cell r="H28">
            <v>2.1511627906976742</v>
          </cell>
        </row>
        <row r="29">
          <cell r="A29">
            <v>13</v>
          </cell>
          <cell r="B29" t="str">
            <v>44 kV Relocation - Ontario Hydro Tower Removals</v>
          </cell>
          <cell r="C29">
            <v>200000</v>
          </cell>
          <cell r="D29" t="str">
            <v>-</v>
          </cell>
          <cell r="E29">
            <v>0</v>
          </cell>
          <cell r="F29">
            <v>0</v>
          </cell>
          <cell r="G29">
            <v>0</v>
          </cell>
          <cell r="H29" t="str">
            <v>-</v>
          </cell>
        </row>
        <row r="31">
          <cell r="B31" t="str">
            <v xml:space="preserve">      TOTAL - SUBTRANSMISSION</v>
          </cell>
          <cell r="C31">
            <v>2950000</v>
          </cell>
          <cell r="D31">
            <v>43</v>
          </cell>
          <cell r="E31">
            <v>90000</v>
          </cell>
          <cell r="F31">
            <v>230500</v>
          </cell>
          <cell r="G31">
            <v>1152500</v>
          </cell>
          <cell r="H31">
            <v>2.3742454728370221</v>
          </cell>
          <cell r="I31">
            <v>2505</v>
          </cell>
          <cell r="J31">
            <v>375750</v>
          </cell>
          <cell r="K31">
            <v>6.3338701019860437</v>
          </cell>
        </row>
        <row r="33">
          <cell r="B33" t="str">
            <v>DISTRIBUTION</v>
          </cell>
        </row>
        <row r="35">
          <cell r="A35">
            <v>1</v>
          </cell>
          <cell r="B35" t="str">
            <v>13.8 kV Eastgate Pkwy., Dixie Rd</v>
          </cell>
          <cell r="C35">
            <v>175000</v>
          </cell>
          <cell r="D35">
            <v>2</v>
          </cell>
          <cell r="E35">
            <v>3000</v>
          </cell>
          <cell r="F35">
            <v>14000</v>
          </cell>
          <cell r="G35">
            <v>70000</v>
          </cell>
          <cell r="H35">
            <v>2.3972602739726026</v>
          </cell>
          <cell r="I35">
            <v>370</v>
          </cell>
          <cell r="J35">
            <v>55500</v>
          </cell>
          <cell r="K35">
            <v>2.9914529914529915</v>
          </cell>
        </row>
        <row r="36">
          <cell r="A36">
            <v>2</v>
          </cell>
          <cell r="B36" t="str">
            <v>13.8 kV Argentia Rd.- Creditview Rd.</v>
          </cell>
          <cell r="C36">
            <v>135000</v>
          </cell>
          <cell r="D36">
            <v>2</v>
          </cell>
          <cell r="E36">
            <v>3000</v>
          </cell>
          <cell r="F36">
            <v>10000</v>
          </cell>
          <cell r="G36">
            <v>50000</v>
          </cell>
          <cell r="H36">
            <v>2.5471698113207548</v>
          </cell>
          <cell r="I36">
            <v>854</v>
          </cell>
          <cell r="J36">
            <v>128100</v>
          </cell>
          <cell r="K36">
            <v>1.0297482837528604</v>
          </cell>
        </row>
        <row r="37">
          <cell r="A37">
            <v>3</v>
          </cell>
          <cell r="B37" t="str">
            <v>13.8 kV Matheson Blvd. - Tomken Rd. to Dixie Rd.</v>
          </cell>
          <cell r="C37">
            <v>150000</v>
          </cell>
          <cell r="D37">
            <v>2</v>
          </cell>
          <cell r="E37">
            <v>5000</v>
          </cell>
          <cell r="F37">
            <v>10000</v>
          </cell>
          <cell r="G37">
            <v>50000</v>
          </cell>
          <cell r="H37">
            <v>2.7272727272727271</v>
          </cell>
          <cell r="I37">
            <v>734</v>
          </cell>
          <cell r="J37">
            <v>110100</v>
          </cell>
          <cell r="K37">
            <v>1.3032145960034753</v>
          </cell>
        </row>
        <row r="38">
          <cell r="A38">
            <v>4</v>
          </cell>
          <cell r="B38" t="str">
            <v>13.8 kV Queen St./Britannia Rd.</v>
          </cell>
          <cell r="C38">
            <v>150000</v>
          </cell>
          <cell r="D38">
            <v>2</v>
          </cell>
          <cell r="E38">
            <v>3000</v>
          </cell>
          <cell r="F38">
            <v>12000</v>
          </cell>
          <cell r="G38">
            <v>60000</v>
          </cell>
          <cell r="H38">
            <v>2.3809523809523809</v>
          </cell>
        </row>
        <row r="39">
          <cell r="A39">
            <v>5</v>
          </cell>
          <cell r="B39" t="str">
            <v>Streetsville Conversion</v>
          </cell>
          <cell r="C39">
            <v>150000</v>
          </cell>
          <cell r="D39">
            <v>1</v>
          </cell>
          <cell r="E39">
            <v>2000</v>
          </cell>
          <cell r="F39">
            <v>10000</v>
          </cell>
          <cell r="G39">
            <v>50000</v>
          </cell>
          <cell r="H39">
            <v>2.8846153846153846</v>
          </cell>
          <cell r="I39">
            <v>364</v>
          </cell>
          <cell r="J39">
            <v>54600</v>
          </cell>
          <cell r="K39">
            <v>2.6501766784452299</v>
          </cell>
        </row>
        <row r="40">
          <cell r="A40">
            <v>6</v>
          </cell>
          <cell r="B40" t="str">
            <v>600 V.Secondary Busses - Sectionalizing</v>
          </cell>
          <cell r="C40">
            <v>100000</v>
          </cell>
          <cell r="D40">
            <v>1</v>
          </cell>
          <cell r="E40">
            <v>1000</v>
          </cell>
          <cell r="F40">
            <v>6000</v>
          </cell>
          <cell r="G40">
            <v>30000</v>
          </cell>
          <cell r="H40">
            <v>3.225806451612903</v>
          </cell>
          <cell r="I40">
            <v>864</v>
          </cell>
          <cell r="J40">
            <v>129600</v>
          </cell>
          <cell r="K40">
            <v>0.76569678407350694</v>
          </cell>
        </row>
        <row r="42">
          <cell r="B42" t="str">
            <v xml:space="preserve">     TOTAL - DISTRIBUTION</v>
          </cell>
          <cell r="C42">
            <v>860000</v>
          </cell>
          <cell r="D42">
            <v>10</v>
          </cell>
          <cell r="E42">
            <v>17000</v>
          </cell>
          <cell r="F42">
            <v>62000</v>
          </cell>
          <cell r="G42">
            <v>310000</v>
          </cell>
          <cell r="H42">
            <v>2.6299694189602447</v>
          </cell>
          <cell r="I42">
            <v>3186</v>
          </cell>
          <cell r="J42">
            <v>477900</v>
          </cell>
          <cell r="K42">
            <v>1.737724792887452</v>
          </cell>
        </row>
        <row r="44">
          <cell r="A44" t="str">
            <v>(1)</v>
          </cell>
          <cell r="B44" t="str">
            <v>Analysis based on "Cutomer-Minutes" of Outages</v>
          </cell>
        </row>
        <row r="45">
          <cell r="A45" t="str">
            <v>*</v>
          </cell>
          <cell r="B45" t="str">
            <v>Savings p.a. to the community</v>
          </cell>
        </row>
        <row r="46">
          <cell r="C46" t="str">
            <v>TABLE 1 (Cont'd)</v>
          </cell>
        </row>
        <row r="47">
          <cell r="C47" t="str">
            <v xml:space="preserve">SUMMARY OF </v>
          </cell>
        </row>
        <row r="48">
          <cell r="C48" t="str">
            <v>RECOMMENDED OPERATION'S CAPITAL PROJECTS - 2002</v>
          </cell>
        </row>
        <row r="50">
          <cell r="C50">
            <v>2002</v>
          </cell>
          <cell r="D50" t="str">
            <v>BENEFITS (1)</v>
          </cell>
          <cell r="I50" t="str">
            <v>BENEFITS (2)</v>
          </cell>
        </row>
        <row r="51">
          <cell r="A51" t="str">
            <v>Item</v>
          </cell>
          <cell r="B51" t="str">
            <v>Description</v>
          </cell>
          <cell r="C51" t="str">
            <v>Budget</v>
          </cell>
          <cell r="D51" t="str">
            <v>Capcity</v>
          </cell>
          <cell r="F51" t="str">
            <v>SAVINGS (p.a)</v>
          </cell>
          <cell r="H51" t="str">
            <v>Payback</v>
          </cell>
          <cell r="I51" t="str">
            <v>SAVINGS (p.a)</v>
          </cell>
          <cell r="K51" t="str">
            <v>Payback</v>
          </cell>
        </row>
        <row r="52">
          <cell r="C52" t="str">
            <v>Amount</v>
          </cell>
          <cell r="D52" t="str">
            <v>(MW)</v>
          </cell>
          <cell r="E52" t="str">
            <v>Losses</v>
          </cell>
          <cell r="F52" t="str">
            <v>Cust-min.</v>
          </cell>
          <cell r="G52" t="str">
            <v>Out. Costs*</v>
          </cell>
          <cell r="H52" t="str">
            <v>Yrs</v>
          </cell>
          <cell r="I52" t="str">
            <v>Eff. MW-Min.</v>
          </cell>
          <cell r="J52" t="str">
            <v>Out. Costs*</v>
          </cell>
          <cell r="K52" t="str">
            <v>Yrs</v>
          </cell>
        </row>
        <row r="55">
          <cell r="B55" t="str">
            <v>SUBSTATIONS</v>
          </cell>
        </row>
        <row r="57">
          <cell r="A57">
            <v>1</v>
          </cell>
          <cell r="B57" t="str">
            <v>Chalkdene M.S.</v>
          </cell>
          <cell r="C57">
            <v>700000</v>
          </cell>
          <cell r="D57">
            <v>20</v>
          </cell>
          <cell r="E57">
            <v>10000</v>
          </cell>
          <cell r="F57">
            <v>65000</v>
          </cell>
          <cell r="G57">
            <v>325000</v>
          </cell>
          <cell r="H57">
            <v>2.08955223880597</v>
          </cell>
          <cell r="I57">
            <v>1513</v>
          </cell>
          <cell r="J57">
            <v>226950</v>
          </cell>
          <cell r="K57">
            <v>2.9542097488921715</v>
          </cell>
        </row>
        <row r="58">
          <cell r="A58">
            <v>2</v>
          </cell>
          <cell r="B58" t="str">
            <v>Summersite M.S.</v>
          </cell>
          <cell r="C58">
            <v>700000</v>
          </cell>
          <cell r="D58">
            <v>20</v>
          </cell>
          <cell r="E58">
            <v>10000</v>
          </cell>
          <cell r="F58">
            <v>50000</v>
          </cell>
          <cell r="G58">
            <v>250000</v>
          </cell>
          <cell r="H58">
            <v>2.6923076923076925</v>
          </cell>
          <cell r="I58">
            <v>2453</v>
          </cell>
          <cell r="J58">
            <v>367950</v>
          </cell>
          <cell r="K58">
            <v>1.8520968382061118</v>
          </cell>
        </row>
        <row r="59">
          <cell r="A59">
            <v>3</v>
          </cell>
          <cell r="B59" t="str">
            <v>Lisgar M.S.</v>
          </cell>
          <cell r="C59">
            <v>250000</v>
          </cell>
          <cell r="D59">
            <v>20</v>
          </cell>
          <cell r="E59">
            <v>10000</v>
          </cell>
          <cell r="F59">
            <v>60000</v>
          </cell>
          <cell r="G59">
            <v>300000</v>
          </cell>
          <cell r="H59">
            <v>0.80645161290322576</v>
          </cell>
          <cell r="I59">
            <v>1763</v>
          </cell>
          <cell r="J59">
            <v>264450</v>
          </cell>
          <cell r="K59">
            <v>0.91091273456002919</v>
          </cell>
        </row>
        <row r="60">
          <cell r="A60">
            <v>4</v>
          </cell>
          <cell r="B60" t="str">
            <v>27.6 kV Reclosers</v>
          </cell>
          <cell r="C60">
            <v>200000</v>
          </cell>
          <cell r="D60" t="str">
            <v>-</v>
          </cell>
          <cell r="E60">
            <v>6000</v>
          </cell>
          <cell r="F60">
            <v>45000</v>
          </cell>
          <cell r="G60">
            <v>225000</v>
          </cell>
          <cell r="H60">
            <v>0.86580086580086579</v>
          </cell>
          <cell r="I60">
            <v>1990</v>
          </cell>
          <cell r="J60">
            <v>298500</v>
          </cell>
          <cell r="K60">
            <v>0.65681444991789817</v>
          </cell>
        </row>
        <row r="61">
          <cell r="A61">
            <v>5</v>
          </cell>
          <cell r="B61" t="str">
            <v>Bexhill M.S.</v>
          </cell>
          <cell r="C61">
            <v>300000</v>
          </cell>
          <cell r="E61">
            <v>0</v>
          </cell>
          <cell r="F61">
            <v>15000</v>
          </cell>
          <cell r="G61">
            <v>75000</v>
          </cell>
          <cell r="H61">
            <v>4</v>
          </cell>
        </row>
        <row r="62">
          <cell r="A62">
            <v>6</v>
          </cell>
          <cell r="B62" t="str">
            <v>Park West M.S.</v>
          </cell>
          <cell r="C62">
            <v>300000</v>
          </cell>
          <cell r="E62">
            <v>0</v>
          </cell>
          <cell r="F62">
            <v>15000</v>
          </cell>
          <cell r="G62">
            <v>75000</v>
          </cell>
          <cell r="H62">
            <v>4</v>
          </cell>
        </row>
        <row r="63">
          <cell r="A63">
            <v>7</v>
          </cell>
          <cell r="B63" t="str">
            <v>Dixie M.S.</v>
          </cell>
          <cell r="C63">
            <v>300000</v>
          </cell>
          <cell r="E63">
            <v>0</v>
          </cell>
          <cell r="F63">
            <v>15000</v>
          </cell>
          <cell r="G63">
            <v>75000</v>
          </cell>
          <cell r="H63">
            <v>4</v>
          </cell>
        </row>
        <row r="64">
          <cell r="A64">
            <v>8</v>
          </cell>
          <cell r="B64" t="str">
            <v>Derry T.S.</v>
          </cell>
          <cell r="C64">
            <v>1000000</v>
          </cell>
          <cell r="D64" t="str">
            <v>-</v>
          </cell>
          <cell r="E64">
            <v>0</v>
          </cell>
          <cell r="F64">
            <v>0</v>
          </cell>
          <cell r="G64">
            <v>0</v>
          </cell>
          <cell r="H64">
            <v>2.2222222222222223</v>
          </cell>
        </row>
        <row r="66">
          <cell r="B66" t="str">
            <v xml:space="preserve">     TOTAL - SUBSTATION</v>
          </cell>
          <cell r="C66">
            <v>3750000</v>
          </cell>
          <cell r="D66">
            <v>60</v>
          </cell>
          <cell r="E66">
            <v>36000</v>
          </cell>
          <cell r="F66">
            <v>265000</v>
          </cell>
          <cell r="G66">
            <v>1325000</v>
          </cell>
          <cell r="H66">
            <v>2.7553269654665686</v>
          </cell>
          <cell r="I66">
            <v>7719</v>
          </cell>
          <cell r="J66">
            <v>1157850</v>
          </cell>
          <cell r="K66">
            <v>3.1410981279055159</v>
          </cell>
        </row>
        <row r="68">
          <cell r="B68" t="str">
            <v>SUBDIVISION REBUILDS</v>
          </cell>
        </row>
        <row r="70">
          <cell r="A70">
            <v>1</v>
          </cell>
          <cell r="B70" t="str">
            <v>The Collegeway</v>
          </cell>
          <cell r="C70">
            <v>310000</v>
          </cell>
          <cell r="D70">
            <v>1</v>
          </cell>
          <cell r="E70">
            <v>1500</v>
          </cell>
          <cell r="F70">
            <v>22500</v>
          </cell>
          <cell r="G70">
            <v>112500</v>
          </cell>
          <cell r="H70">
            <v>2.7192982456140351</v>
          </cell>
          <cell r="I70">
            <v>2341</v>
          </cell>
          <cell r="J70">
            <v>351150</v>
          </cell>
          <cell r="K70">
            <v>0.87905855664256349</v>
          </cell>
        </row>
        <row r="71">
          <cell r="A71">
            <v>2</v>
          </cell>
          <cell r="B71" t="str">
            <v>Woodlands</v>
          </cell>
          <cell r="C71">
            <v>350000</v>
          </cell>
          <cell r="D71">
            <v>1</v>
          </cell>
          <cell r="E71">
            <v>1500</v>
          </cell>
          <cell r="F71">
            <v>22500</v>
          </cell>
          <cell r="G71">
            <v>112500</v>
          </cell>
          <cell r="H71">
            <v>3.0701754385964914</v>
          </cell>
          <cell r="I71">
            <v>2689</v>
          </cell>
          <cell r="J71">
            <v>403350</v>
          </cell>
          <cell r="K71">
            <v>0.86451772261331361</v>
          </cell>
        </row>
        <row r="72">
          <cell r="A72">
            <v>3</v>
          </cell>
          <cell r="B72" t="str">
            <v>Roche Crt/Fowler</v>
          </cell>
          <cell r="C72">
            <v>270000</v>
          </cell>
          <cell r="D72">
            <v>1</v>
          </cell>
          <cell r="E72">
            <v>1500</v>
          </cell>
          <cell r="F72">
            <v>22500</v>
          </cell>
          <cell r="G72">
            <v>112500</v>
          </cell>
          <cell r="H72">
            <v>2.3684210526315788</v>
          </cell>
          <cell r="I72">
            <v>1339</v>
          </cell>
          <cell r="J72">
            <v>200850</v>
          </cell>
          <cell r="K72">
            <v>1.3343217197924389</v>
          </cell>
        </row>
        <row r="73">
          <cell r="A73">
            <v>4</v>
          </cell>
          <cell r="B73" t="str">
            <v>Sherwood Forest</v>
          </cell>
          <cell r="C73">
            <v>450000</v>
          </cell>
          <cell r="D73">
            <v>1</v>
          </cell>
          <cell r="E73">
            <v>3000</v>
          </cell>
          <cell r="F73">
            <v>21000</v>
          </cell>
          <cell r="G73">
            <v>105000</v>
          </cell>
          <cell r="H73">
            <v>4.166666666666667</v>
          </cell>
          <cell r="I73">
            <v>2169</v>
          </cell>
          <cell r="J73">
            <v>325350</v>
          </cell>
          <cell r="K73">
            <v>1.3704888076747372</v>
          </cell>
        </row>
        <row r="74">
          <cell r="A74">
            <v>5</v>
          </cell>
          <cell r="B74" t="str">
            <v>Malton West Phase VI</v>
          </cell>
          <cell r="C74">
            <v>380000</v>
          </cell>
          <cell r="D74">
            <v>1</v>
          </cell>
          <cell r="E74">
            <v>1500</v>
          </cell>
          <cell r="F74">
            <v>22500</v>
          </cell>
          <cell r="G74">
            <v>112500</v>
          </cell>
          <cell r="H74">
            <v>3.3333333333333335</v>
          </cell>
        </row>
        <row r="75">
          <cell r="A75">
            <v>6</v>
          </cell>
          <cell r="B75" t="str">
            <v>Applewood</v>
          </cell>
          <cell r="C75">
            <v>600000</v>
          </cell>
          <cell r="D75">
            <v>1</v>
          </cell>
          <cell r="E75">
            <v>2500</v>
          </cell>
          <cell r="F75">
            <v>28000</v>
          </cell>
          <cell r="G75">
            <v>140000</v>
          </cell>
          <cell r="H75">
            <v>4.2105263157894735</v>
          </cell>
        </row>
        <row r="76">
          <cell r="A76">
            <v>7</v>
          </cell>
          <cell r="B76" t="str">
            <v>Mavis/Queensway</v>
          </cell>
          <cell r="C76">
            <v>310000</v>
          </cell>
          <cell r="D76">
            <v>1</v>
          </cell>
          <cell r="E76">
            <v>1500</v>
          </cell>
          <cell r="F76">
            <v>22500</v>
          </cell>
          <cell r="G76">
            <v>112500</v>
          </cell>
          <cell r="H76">
            <v>2.7192982456140351</v>
          </cell>
          <cell r="I76">
            <v>8538</v>
          </cell>
          <cell r="J76">
            <v>1280700</v>
          </cell>
          <cell r="K76">
            <v>3.4810860988628454</v>
          </cell>
        </row>
        <row r="77">
          <cell r="A77">
            <v>8</v>
          </cell>
          <cell r="B77" t="str">
            <v>Meadowvale</v>
          </cell>
          <cell r="C77">
            <v>420000</v>
          </cell>
          <cell r="D77">
            <v>1</v>
          </cell>
          <cell r="E77">
            <v>2000</v>
          </cell>
          <cell r="F77">
            <v>24000</v>
          </cell>
          <cell r="G77">
            <v>120000</v>
          </cell>
          <cell r="H77">
            <v>3.442622950819672</v>
          </cell>
        </row>
        <row r="78">
          <cell r="A78">
            <v>9</v>
          </cell>
          <cell r="B78" t="str">
            <v>Copenhagen</v>
          </cell>
          <cell r="C78">
            <v>350000</v>
          </cell>
          <cell r="D78">
            <v>1</v>
          </cell>
          <cell r="E78">
            <v>1500</v>
          </cell>
          <cell r="F78">
            <v>22500</v>
          </cell>
          <cell r="G78">
            <v>112500</v>
          </cell>
          <cell r="H78">
            <v>3.0701754385964914</v>
          </cell>
        </row>
        <row r="79">
          <cell r="A79">
            <v>10</v>
          </cell>
          <cell r="B79" t="str">
            <v>Malton - Dooley</v>
          </cell>
          <cell r="C79">
            <v>130000</v>
          </cell>
          <cell r="D79">
            <v>1</v>
          </cell>
          <cell r="E79">
            <v>750</v>
          </cell>
          <cell r="F79">
            <v>11250</v>
          </cell>
          <cell r="G79">
            <v>56250</v>
          </cell>
          <cell r="H79">
            <v>2.2807017543859649</v>
          </cell>
        </row>
        <row r="80">
          <cell r="A80">
            <v>11</v>
          </cell>
          <cell r="B80" t="str">
            <v>Grand Forks</v>
          </cell>
          <cell r="C80">
            <v>430000</v>
          </cell>
          <cell r="D80">
            <v>1</v>
          </cell>
          <cell r="E80">
            <v>2000</v>
          </cell>
          <cell r="F80">
            <v>20500</v>
          </cell>
          <cell r="G80">
            <v>102500</v>
          </cell>
          <cell r="H80">
            <v>4.1148325358851672</v>
          </cell>
        </row>
        <row r="81">
          <cell r="C81" t="str">
            <v xml:space="preserve">SUMMARY OF </v>
          </cell>
        </row>
        <row r="82">
          <cell r="B82" t="str">
            <v xml:space="preserve">     TOTAL - SUBDIVISION REBUILDS</v>
          </cell>
          <cell r="C82">
            <v>4000000</v>
          </cell>
          <cell r="D82">
            <v>11</v>
          </cell>
          <cell r="E82">
            <v>19250</v>
          </cell>
          <cell r="F82">
            <v>239750</v>
          </cell>
          <cell r="G82">
            <v>1198750</v>
          </cell>
          <cell r="H82">
            <v>3.284072249589491</v>
          </cell>
          <cell r="I82">
            <v>8538</v>
          </cell>
          <cell r="J82">
            <v>1280700</v>
          </cell>
          <cell r="K82">
            <v>3.0770414246701798</v>
          </cell>
        </row>
        <row r="84">
          <cell r="A84" t="str">
            <v>(1)</v>
          </cell>
          <cell r="B84" t="str">
            <v>Analysis based on "Cutomer-Minutes" of Outages</v>
          </cell>
          <cell r="C84">
            <v>2002</v>
          </cell>
          <cell r="D84" t="str">
            <v>BENEFITS (1)</v>
          </cell>
          <cell r="I84" t="str">
            <v>BENEFITS (2)</v>
          </cell>
        </row>
        <row r="85">
          <cell r="A85" t="str">
            <v>*</v>
          </cell>
          <cell r="B85" t="str">
            <v>Savings p.a. to the community</v>
          </cell>
          <cell r="C85" t="str">
            <v>Budget</v>
          </cell>
          <cell r="D85" t="str">
            <v>Capcity</v>
          </cell>
          <cell r="F85" t="str">
            <v>SAVINGS (p.a)</v>
          </cell>
          <cell r="H85" t="str">
            <v>Payback</v>
          </cell>
          <cell r="I85" t="str">
            <v>SAVINGS (p.a)</v>
          </cell>
          <cell r="K85" t="str">
            <v>Payback</v>
          </cell>
        </row>
        <row r="86">
          <cell r="C86" t="str">
            <v>TABLE 1 (Cont'd)</v>
          </cell>
          <cell r="D86" t="str">
            <v>(MW)</v>
          </cell>
          <cell r="E86" t="str">
            <v>Losses</v>
          </cell>
          <cell r="F86" t="str">
            <v>Cust-min.</v>
          </cell>
          <cell r="G86" t="str">
            <v>Out. Costs*</v>
          </cell>
          <cell r="H86" t="str">
            <v>Yrs</v>
          </cell>
          <cell r="I86" t="str">
            <v>Eff. MW-Min.</v>
          </cell>
          <cell r="J86" t="str">
            <v>Out. Costs*</v>
          </cell>
          <cell r="K86" t="str">
            <v>Yrs</v>
          </cell>
        </row>
        <row r="87">
          <cell r="C87" t="str">
            <v xml:space="preserve">SUMMARY OF </v>
          </cell>
        </row>
        <row r="88">
          <cell r="C88" t="str">
            <v>RECOMMENDED OPERATION'S CAPITAL PROJECTS - 2002</v>
          </cell>
        </row>
        <row r="89">
          <cell r="B89" t="str">
            <v>SYSTEM MAINTENANCE PROJECTS</v>
          </cell>
        </row>
        <row r="90">
          <cell r="C90">
            <v>2002</v>
          </cell>
          <cell r="D90" t="str">
            <v>BENEFITS (1)</v>
          </cell>
          <cell r="I90" t="str">
            <v>BENEFITS (2)</v>
          </cell>
        </row>
        <row r="91">
          <cell r="A91" t="str">
            <v>Item</v>
          </cell>
          <cell r="B91" t="str">
            <v>Description</v>
          </cell>
          <cell r="C91" t="str">
            <v>Budget</v>
          </cell>
          <cell r="D91" t="str">
            <v>Capcity</v>
          </cell>
          <cell r="E91">
            <v>0</v>
          </cell>
          <cell r="F91" t="str">
            <v>SAVINGS (p.a)</v>
          </cell>
          <cell r="G91">
            <v>300000</v>
          </cell>
          <cell r="H91" t="str">
            <v>Payback</v>
          </cell>
          <cell r="I91" t="str">
            <v>SAVINGS (p.a)</v>
          </cell>
          <cell r="J91">
            <v>170100</v>
          </cell>
          <cell r="K91" t="str">
            <v>Payback</v>
          </cell>
        </row>
        <row r="92">
          <cell r="A92">
            <v>2</v>
          </cell>
          <cell r="B92" t="str">
            <v>Overhead Switch/Insulator Replacements</v>
          </cell>
          <cell r="C92" t="str">
            <v>Amount</v>
          </cell>
          <cell r="D92" t="str">
            <v>(MW)</v>
          </cell>
          <cell r="E92" t="str">
            <v>Losses</v>
          </cell>
          <cell r="F92" t="str">
            <v>Cust-min.</v>
          </cell>
          <cell r="G92" t="str">
            <v>Out. Costs*</v>
          </cell>
          <cell r="H92" t="str">
            <v>Yrs</v>
          </cell>
          <cell r="I92" t="str">
            <v>Eff. MW-Min.</v>
          </cell>
          <cell r="J92" t="str">
            <v>Out. Costs*</v>
          </cell>
          <cell r="K92" t="str">
            <v>Yrs</v>
          </cell>
        </row>
        <row r="93">
          <cell r="A93">
            <v>3</v>
          </cell>
          <cell r="B93" t="str">
            <v>Feeder Overhauls</v>
          </cell>
          <cell r="C93">
            <v>350000</v>
          </cell>
          <cell r="D93" t="str">
            <v>-</v>
          </cell>
          <cell r="E93">
            <v>5000</v>
          </cell>
          <cell r="F93">
            <v>40000</v>
          </cell>
          <cell r="G93">
            <v>200000</v>
          </cell>
          <cell r="H93">
            <v>1.7073170731707317</v>
          </cell>
          <cell r="I93">
            <v>1600</v>
          </cell>
          <cell r="J93">
            <v>240000</v>
          </cell>
          <cell r="K93">
            <v>1.4285714285714286</v>
          </cell>
        </row>
        <row r="94">
          <cell r="A94">
            <v>4</v>
          </cell>
          <cell r="B94" t="str">
            <v>Overhead Rebuilds</v>
          </cell>
          <cell r="C94">
            <v>650000</v>
          </cell>
          <cell r="D94" t="str">
            <v>-</v>
          </cell>
          <cell r="E94">
            <v>1500</v>
          </cell>
          <cell r="F94">
            <v>60000</v>
          </cell>
          <cell r="G94">
            <v>300000</v>
          </cell>
          <cell r="H94">
            <v>2.1558872305140961</v>
          </cell>
          <cell r="I94">
            <v>2115</v>
          </cell>
          <cell r="J94">
            <v>317250</v>
          </cell>
          <cell r="K94">
            <v>2.0392156862745097</v>
          </cell>
        </row>
        <row r="95">
          <cell r="A95">
            <v>5</v>
          </cell>
          <cell r="B95" t="str">
            <v>SYSTEM UPGRADE PROJECTS</v>
          </cell>
          <cell r="C95">
            <v>600000</v>
          </cell>
          <cell r="D95" t="str">
            <v>-</v>
          </cell>
          <cell r="E95">
            <v>0</v>
          </cell>
          <cell r="F95">
            <v>75000</v>
          </cell>
          <cell r="G95">
            <v>375000</v>
          </cell>
          <cell r="H95">
            <v>1.6</v>
          </cell>
          <cell r="I95">
            <v>1054</v>
          </cell>
          <cell r="J95">
            <v>158100</v>
          </cell>
          <cell r="K95">
            <v>3.795066413662239</v>
          </cell>
        </row>
        <row r="96">
          <cell r="A96">
            <v>6</v>
          </cell>
          <cell r="B96" t="str">
            <v>U/ground Cable and Splice Replacement</v>
          </cell>
          <cell r="C96">
            <v>1225000</v>
          </cell>
          <cell r="D96" t="str">
            <v>-</v>
          </cell>
          <cell r="E96">
            <v>5000</v>
          </cell>
          <cell r="F96">
            <v>80000</v>
          </cell>
          <cell r="G96">
            <v>400000</v>
          </cell>
          <cell r="H96">
            <v>3.0246913580246915</v>
          </cell>
          <cell r="I96">
            <v>2084</v>
          </cell>
          <cell r="J96">
            <v>312600</v>
          </cell>
          <cell r="K96">
            <v>3.8570528967254409</v>
          </cell>
        </row>
        <row r="97">
          <cell r="A97">
            <v>1</v>
          </cell>
          <cell r="B97" t="str">
            <v>Wood &amp; Concrete Pole Replacement</v>
          </cell>
          <cell r="C97">
            <v>900000</v>
          </cell>
          <cell r="D97" t="str">
            <v>-</v>
          </cell>
          <cell r="E97">
            <v>0</v>
          </cell>
          <cell r="F97">
            <v>60000</v>
          </cell>
          <cell r="G97">
            <v>300000</v>
          </cell>
          <cell r="H97">
            <v>3</v>
          </cell>
          <cell r="I97">
            <v>1134</v>
          </cell>
          <cell r="J97">
            <v>170100</v>
          </cell>
          <cell r="K97">
            <v>5.2910052910052912</v>
          </cell>
        </row>
        <row r="98">
          <cell r="A98">
            <v>2</v>
          </cell>
          <cell r="B98" t="str">
            <v>Overhead Switch/Insulator Replacement</v>
          </cell>
          <cell r="C98">
            <v>600000</v>
          </cell>
          <cell r="D98" t="str">
            <v>-</v>
          </cell>
          <cell r="E98">
            <v>0</v>
          </cell>
          <cell r="F98">
            <v>25000</v>
          </cell>
          <cell r="G98">
            <v>125000</v>
          </cell>
          <cell r="H98">
            <v>4.8</v>
          </cell>
          <cell r="I98">
            <v>1320</v>
          </cell>
          <cell r="J98">
            <v>198000</v>
          </cell>
          <cell r="K98">
            <v>3.0303030303030303</v>
          </cell>
        </row>
        <row r="99">
          <cell r="A99">
            <v>3</v>
          </cell>
          <cell r="B99" t="str">
            <v>Feeder Overhaul</v>
          </cell>
          <cell r="C99">
            <v>350000</v>
          </cell>
          <cell r="D99" t="str">
            <v>-</v>
          </cell>
          <cell r="E99">
            <v>5000</v>
          </cell>
          <cell r="F99">
            <v>40000</v>
          </cell>
          <cell r="G99">
            <v>200000</v>
          </cell>
          <cell r="H99">
            <v>1.7073170731707317</v>
          </cell>
          <cell r="I99">
            <v>1600</v>
          </cell>
          <cell r="J99">
            <v>240000</v>
          </cell>
          <cell r="K99">
            <v>1.4285714285714286</v>
          </cell>
        </row>
        <row r="100">
          <cell r="A100">
            <v>4</v>
          </cell>
          <cell r="B100" t="str">
            <v>Overhead Rebuild</v>
          </cell>
          <cell r="C100">
            <v>650000</v>
          </cell>
          <cell r="D100" t="str">
            <v>-</v>
          </cell>
          <cell r="E100">
            <v>1500</v>
          </cell>
          <cell r="F100">
            <v>60000</v>
          </cell>
          <cell r="G100">
            <v>300000</v>
          </cell>
          <cell r="H100">
            <v>2.1558872305140961</v>
          </cell>
          <cell r="I100">
            <v>2115</v>
          </cell>
          <cell r="J100">
            <v>317250</v>
          </cell>
          <cell r="K100">
            <v>2.0392156862745097</v>
          </cell>
        </row>
        <row r="101">
          <cell r="A101">
            <v>5</v>
          </cell>
          <cell r="B101" t="str">
            <v>Primary Distribution Equipment Replacement</v>
          </cell>
          <cell r="C101">
            <v>600000</v>
          </cell>
          <cell r="D101" t="str">
            <v>-</v>
          </cell>
          <cell r="E101">
            <v>0</v>
          </cell>
          <cell r="F101">
            <v>75000</v>
          </cell>
          <cell r="G101">
            <v>375000</v>
          </cell>
          <cell r="H101">
            <v>1.6</v>
          </cell>
          <cell r="I101">
            <v>1054</v>
          </cell>
          <cell r="J101">
            <v>158100</v>
          </cell>
          <cell r="K101">
            <v>3.795066413662239</v>
          </cell>
        </row>
        <row r="102">
          <cell r="A102">
            <v>6</v>
          </cell>
          <cell r="B102" t="str">
            <v>U/ground Cable and Splice Replacement</v>
          </cell>
          <cell r="C102">
            <v>1225000</v>
          </cell>
          <cell r="D102" t="str">
            <v>-</v>
          </cell>
          <cell r="E102">
            <v>5000</v>
          </cell>
          <cell r="F102">
            <v>80000</v>
          </cell>
          <cell r="G102">
            <v>400000</v>
          </cell>
          <cell r="H102">
            <v>3.0246913580246915</v>
          </cell>
          <cell r="I102">
            <v>2084</v>
          </cell>
          <cell r="J102">
            <v>312600</v>
          </cell>
          <cell r="K102">
            <v>3.8570528967254409</v>
          </cell>
        </row>
        <row r="103">
          <cell r="A103">
            <v>7</v>
          </cell>
          <cell r="B103" t="str">
            <v>Meter Base Replacement</v>
          </cell>
          <cell r="C103">
            <v>45000</v>
          </cell>
          <cell r="D103" t="str">
            <v>-</v>
          </cell>
          <cell r="E103">
            <v>0</v>
          </cell>
          <cell r="F103">
            <v>10000</v>
          </cell>
          <cell r="G103">
            <v>50000</v>
          </cell>
          <cell r="H103">
            <v>0.9</v>
          </cell>
          <cell r="I103">
            <v>152</v>
          </cell>
          <cell r="J103">
            <v>22800</v>
          </cell>
          <cell r="K103">
            <v>1.9736842105263157</v>
          </cell>
        </row>
        <row r="104">
          <cell r="A104">
            <v>8</v>
          </cell>
          <cell r="B104" t="str">
            <v>Secondary Cable Replacement</v>
          </cell>
          <cell r="C104">
            <v>30000</v>
          </cell>
          <cell r="D104" t="str">
            <v>-</v>
          </cell>
          <cell r="E104">
            <v>0</v>
          </cell>
          <cell r="F104">
            <v>7500</v>
          </cell>
          <cell r="G104">
            <v>37500</v>
          </cell>
          <cell r="H104">
            <v>0.8</v>
          </cell>
          <cell r="I104">
            <v>156</v>
          </cell>
          <cell r="J104">
            <v>23400</v>
          </cell>
          <cell r="K104">
            <v>1.2820512820512822</v>
          </cell>
        </row>
        <row r="105">
          <cell r="A105">
            <v>9</v>
          </cell>
          <cell r="B105" t="str">
            <v>U/ground Transformer Replacement</v>
          </cell>
          <cell r="C105">
            <v>375000</v>
          </cell>
          <cell r="D105" t="str">
            <v>-</v>
          </cell>
          <cell r="E105">
            <v>1500</v>
          </cell>
          <cell r="F105">
            <v>30000</v>
          </cell>
          <cell r="G105">
            <v>150000</v>
          </cell>
          <cell r="H105">
            <v>2.4752475247524752</v>
          </cell>
          <cell r="I105">
            <v>517</v>
          </cell>
          <cell r="J105">
            <v>77550</v>
          </cell>
          <cell r="K105">
            <v>4.7438330170777991</v>
          </cell>
        </row>
        <row r="106">
          <cell r="A106">
            <v>10</v>
          </cell>
          <cell r="B106" t="str">
            <v>Overhead Transformer Replacement</v>
          </cell>
          <cell r="C106">
            <v>225000</v>
          </cell>
          <cell r="D106" t="str">
            <v>-</v>
          </cell>
          <cell r="E106">
            <v>2000</v>
          </cell>
          <cell r="F106">
            <v>20000</v>
          </cell>
          <cell r="G106">
            <v>100000</v>
          </cell>
          <cell r="H106">
            <v>2.2058823529411766</v>
          </cell>
          <cell r="I106">
            <v>376</v>
          </cell>
          <cell r="J106">
            <v>56400</v>
          </cell>
          <cell r="K106">
            <v>3.8527397260273974</v>
          </cell>
        </row>
        <row r="107">
          <cell r="A107">
            <v>11</v>
          </cell>
          <cell r="B107" t="str">
            <v>Auto-Switches/SCADA</v>
          </cell>
          <cell r="C107">
            <v>1800000</v>
          </cell>
          <cell r="D107" t="str">
            <v>-</v>
          </cell>
          <cell r="E107">
            <v>75000</v>
          </cell>
          <cell r="F107">
            <v>300000</v>
          </cell>
          <cell r="G107">
            <v>1500000</v>
          </cell>
          <cell r="H107">
            <v>1.1428571428571428</v>
          </cell>
          <cell r="I107">
            <v>7800</v>
          </cell>
          <cell r="J107">
            <v>1170000</v>
          </cell>
          <cell r="K107">
            <v>1.4457831325301205</v>
          </cell>
        </row>
        <row r="109">
          <cell r="B109" t="str">
            <v xml:space="preserve">      TOTAL - SYSTEM UPGRADE</v>
          </cell>
          <cell r="C109">
            <v>6800000</v>
          </cell>
          <cell r="D109">
            <v>0</v>
          </cell>
          <cell r="E109">
            <v>90000</v>
          </cell>
          <cell r="F109">
            <v>707500</v>
          </cell>
          <cell r="G109">
            <v>3537500</v>
          </cell>
          <cell r="H109">
            <v>1.8745692625775328</v>
          </cell>
          <cell r="I109">
            <v>18308</v>
          </cell>
          <cell r="J109">
            <v>2746200</v>
          </cell>
          <cell r="K109">
            <v>2.3975742190254565</v>
          </cell>
        </row>
        <row r="110">
          <cell r="A110" t="str">
            <v>Item</v>
          </cell>
          <cell r="B110" t="str">
            <v>Description</v>
          </cell>
          <cell r="C110" t="str">
            <v>Budget</v>
          </cell>
          <cell r="D110" t="str">
            <v>Add.</v>
          </cell>
          <cell r="F110" t="str">
            <v>SAVINGS (p.a)</v>
          </cell>
          <cell r="H110" t="str">
            <v>Payback</v>
          </cell>
        </row>
        <row r="111">
          <cell r="C111" t="str">
            <v>TABLE 1 (Cont'd)</v>
          </cell>
          <cell r="D111" t="str">
            <v>Capacity(MW)</v>
          </cell>
          <cell r="E111" t="str">
            <v>Losses</v>
          </cell>
          <cell r="F111" t="str">
            <v>Cust-min.</v>
          </cell>
          <cell r="G111" t="str">
            <v>Out. Costs*</v>
          </cell>
          <cell r="H111" t="str">
            <v>Yrs</v>
          </cell>
        </row>
        <row r="112">
          <cell r="C112" t="str">
            <v xml:space="preserve">SUMMARY OF </v>
          </cell>
        </row>
        <row r="113">
          <cell r="C113" t="str">
            <v>RECOMMENDED SYSTEM EXPANSION PROJECTS - 1998</v>
          </cell>
        </row>
        <row r="114">
          <cell r="B114" t="str">
            <v xml:space="preserve">       Total - Subtransmission</v>
          </cell>
          <cell r="C114">
            <v>2950000</v>
          </cell>
          <cell r="D114">
            <v>43</v>
          </cell>
          <cell r="E114">
            <v>90000</v>
          </cell>
          <cell r="F114">
            <v>230500</v>
          </cell>
          <cell r="G114">
            <v>1152500</v>
          </cell>
          <cell r="H114">
            <v>2.3742454728370221</v>
          </cell>
          <cell r="I114">
            <v>3780</v>
          </cell>
          <cell r="J114">
            <v>567000</v>
          </cell>
          <cell r="K114">
            <v>4.4901065449010655</v>
          </cell>
        </row>
        <row r="115">
          <cell r="B115" t="str">
            <v xml:space="preserve">       Total - Distribution</v>
          </cell>
          <cell r="C115">
            <v>1998</v>
          </cell>
          <cell r="D115">
            <v>10</v>
          </cell>
          <cell r="E115" t="str">
            <v xml:space="preserve">        BENEFITS</v>
          </cell>
          <cell r="F115">
            <v>62000</v>
          </cell>
          <cell r="G115">
            <v>310000</v>
          </cell>
          <cell r="H115">
            <v>2.6299694189602447</v>
          </cell>
          <cell r="I115">
            <v>4298</v>
          </cell>
          <cell r="J115">
            <v>644700</v>
          </cell>
          <cell r="K115">
            <v>1.2996826356354843</v>
          </cell>
        </row>
        <row r="116">
          <cell r="A116" t="str">
            <v>Item</v>
          </cell>
          <cell r="B116" t="str">
            <v>Description</v>
          </cell>
          <cell r="C116" t="str">
            <v>Budget</v>
          </cell>
          <cell r="D116" t="str">
            <v>Add.</v>
          </cell>
          <cell r="E116">
            <v>48500</v>
          </cell>
          <cell r="F116" t="str">
            <v>SAVINGS (p.a)</v>
          </cell>
          <cell r="G116">
            <v>1762500</v>
          </cell>
          <cell r="H116" t="str">
            <v>Payback</v>
          </cell>
          <cell r="I116">
            <v>6700</v>
          </cell>
          <cell r="J116">
            <v>1005000</v>
          </cell>
          <cell r="K116">
            <v>3.5595633602278118</v>
          </cell>
        </row>
        <row r="117">
          <cell r="B117" t="str">
            <v xml:space="preserve">       Total - Subdivision Rebuilds</v>
          </cell>
          <cell r="C117" t="str">
            <v>Amount</v>
          </cell>
          <cell r="D117" t="str">
            <v>Capacity(MW)</v>
          </cell>
          <cell r="E117" t="str">
            <v>Losses</v>
          </cell>
          <cell r="F117" t="str">
            <v>Cust-min.</v>
          </cell>
          <cell r="G117" t="str">
            <v>Out. Costs*</v>
          </cell>
          <cell r="H117" t="str">
            <v>Yrs</v>
          </cell>
          <cell r="I117">
            <v>8400</v>
          </cell>
          <cell r="J117">
            <v>1260000</v>
          </cell>
          <cell r="K117">
            <v>3.5377358490566038</v>
          </cell>
        </row>
        <row r="118">
          <cell r="B118" t="str">
            <v xml:space="preserve">       Total - System Maintenance</v>
          </cell>
          <cell r="C118">
            <v>6800000</v>
          </cell>
          <cell r="D118">
            <v>0</v>
          </cell>
          <cell r="E118">
            <v>90000</v>
          </cell>
          <cell r="F118">
            <v>707500</v>
          </cell>
          <cell r="G118">
            <v>3537500</v>
          </cell>
          <cell r="H118">
            <v>1.8745692625775328</v>
          </cell>
          <cell r="I118">
            <v>16500</v>
          </cell>
          <cell r="J118">
            <v>2475000</v>
          </cell>
          <cell r="K118">
            <v>2.6510721247563351</v>
          </cell>
        </row>
        <row r="120">
          <cell r="B120" t="str">
            <v xml:space="preserve">       Total - Subtransmission</v>
          </cell>
          <cell r="C120">
            <v>2950000</v>
          </cell>
          <cell r="D120">
            <v>43</v>
          </cell>
          <cell r="E120">
            <v>90000</v>
          </cell>
          <cell r="F120">
            <v>230500</v>
          </cell>
          <cell r="G120">
            <v>1152500</v>
          </cell>
          <cell r="H120">
            <v>2.3742454728370221</v>
          </cell>
          <cell r="I120">
            <v>3780</v>
          </cell>
          <cell r="J120">
            <v>567000</v>
          </cell>
          <cell r="K120">
            <v>4.4901065449010655</v>
          </cell>
        </row>
        <row r="121">
          <cell r="B121" t="str">
            <v xml:space="preserve">       Total - Distribution</v>
          </cell>
          <cell r="C121">
            <v>860000</v>
          </cell>
          <cell r="D121">
            <v>10</v>
          </cell>
          <cell r="E121">
            <v>17000</v>
          </cell>
          <cell r="F121">
            <v>62000</v>
          </cell>
          <cell r="G121">
            <v>310000</v>
          </cell>
          <cell r="H121">
            <v>2.6299694189602447</v>
          </cell>
          <cell r="I121">
            <v>4298</v>
          </cell>
          <cell r="J121">
            <v>644700</v>
          </cell>
          <cell r="K121">
            <v>1.2996826356354843</v>
          </cell>
        </row>
        <row r="122">
          <cell r="B122" t="str">
            <v xml:space="preserve">       Total - Substations</v>
          </cell>
          <cell r="C122">
            <v>3750000</v>
          </cell>
          <cell r="D122">
            <v>60</v>
          </cell>
          <cell r="E122">
            <v>36000</v>
          </cell>
          <cell r="F122">
            <v>265000</v>
          </cell>
          <cell r="G122">
            <v>1325000</v>
          </cell>
          <cell r="H122">
            <v>2.7553269654665686</v>
          </cell>
          <cell r="I122">
            <v>6700</v>
          </cell>
          <cell r="J122">
            <v>1005000</v>
          </cell>
          <cell r="K122">
            <v>3.6023054755043229</v>
          </cell>
        </row>
        <row r="123">
          <cell r="B123" t="str">
            <v xml:space="preserve">       Total - Subdivision Rebuilds</v>
          </cell>
          <cell r="C123">
            <v>4000000</v>
          </cell>
          <cell r="D123">
            <v>11</v>
          </cell>
          <cell r="E123">
            <v>19250</v>
          </cell>
          <cell r="F123">
            <v>239750</v>
          </cell>
          <cell r="G123">
            <v>1198750</v>
          </cell>
          <cell r="H123">
            <v>3.284072249589491</v>
          </cell>
          <cell r="I123">
            <v>8400</v>
          </cell>
          <cell r="J123">
            <v>1260000</v>
          </cell>
          <cell r="K123">
            <v>3.1268321282001175</v>
          </cell>
        </row>
        <row r="124">
          <cell r="A124">
            <v>1</v>
          </cell>
          <cell r="B124" t="str">
            <v xml:space="preserve">       Total - System Upgrade</v>
          </cell>
          <cell r="C124">
            <v>6800000</v>
          </cell>
          <cell r="D124">
            <v>0</v>
          </cell>
          <cell r="E124">
            <v>90000</v>
          </cell>
          <cell r="F124">
            <v>707500</v>
          </cell>
          <cell r="G124">
            <v>3537500</v>
          </cell>
          <cell r="H124">
            <v>1.8745692625775328</v>
          </cell>
          <cell r="I124">
            <v>16500</v>
          </cell>
          <cell r="J124">
            <v>2475000</v>
          </cell>
          <cell r="K124">
            <v>2.6510721247563351</v>
          </cell>
        </row>
        <row r="125">
          <cell r="A125">
            <v>2</v>
          </cell>
          <cell r="B125" t="str">
            <v>New Customer Services</v>
          </cell>
          <cell r="C125">
            <v>5000000</v>
          </cell>
        </row>
        <row r="126">
          <cell r="A126">
            <v>3</v>
          </cell>
          <cell r="B126" t="str">
            <v xml:space="preserve">       TOTAL - SYSTEM EXPANSION</v>
          </cell>
          <cell r="C126">
            <v>18360000</v>
          </cell>
          <cell r="D126">
            <v>124</v>
          </cell>
          <cell r="E126">
            <v>252250</v>
          </cell>
          <cell r="F126">
            <v>1504750</v>
          </cell>
          <cell r="G126">
            <v>7523750</v>
          </cell>
          <cell r="H126">
            <v>2.3611111111111112</v>
          </cell>
          <cell r="I126">
            <v>39678</v>
          </cell>
          <cell r="J126">
            <v>5951700</v>
          </cell>
          <cell r="K126">
            <v>2.9594048952683369</v>
          </cell>
        </row>
        <row r="127">
          <cell r="A127">
            <v>4</v>
          </cell>
          <cell r="B127" t="str">
            <v>Major Tools</v>
          </cell>
          <cell r="C127">
            <v>150000</v>
          </cell>
        </row>
        <row r="128">
          <cell r="A128">
            <v>5</v>
          </cell>
          <cell r="B128" t="str">
            <v>OTHER CAPITAL</v>
          </cell>
          <cell r="C128">
            <v>1800000</v>
          </cell>
        </row>
        <row r="130">
          <cell r="A130">
            <v>1</v>
          </cell>
          <cell r="B130" t="str">
            <v>Road Projects</v>
          </cell>
          <cell r="C130">
            <v>1800000</v>
          </cell>
        </row>
        <row r="131">
          <cell r="A131">
            <v>2</v>
          </cell>
          <cell r="B131" t="str">
            <v>New Customer Services</v>
          </cell>
          <cell r="C131">
            <v>5000000</v>
          </cell>
        </row>
        <row r="132">
          <cell r="A132">
            <v>3</v>
          </cell>
          <cell r="B132" t="str">
            <v>New Subdivisions</v>
          </cell>
          <cell r="C132">
            <v>1600000</v>
          </cell>
        </row>
        <row r="133">
          <cell r="A133">
            <v>4</v>
          </cell>
          <cell r="B133" t="str">
            <v>Metering Equipment</v>
          </cell>
          <cell r="C133">
            <v>1000000</v>
          </cell>
        </row>
        <row r="134">
          <cell r="A134">
            <v>5</v>
          </cell>
          <cell r="B134" t="str">
            <v>Major Tools</v>
          </cell>
          <cell r="C134">
            <v>150000</v>
          </cell>
        </row>
        <row r="135">
          <cell r="A135">
            <v>6</v>
          </cell>
          <cell r="B135" t="str">
            <v>Rolling Stock</v>
          </cell>
          <cell r="C135">
            <v>900000</v>
          </cell>
        </row>
      </sheetData>
      <sheetData sheetId="1"/>
      <sheetData sheetId="2"/>
      <sheetData sheetId="3"/>
      <sheetData sheetId="4"/>
      <sheetData sheetId="5"/>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E"/>
      <sheetName val="Summ Acc. 1590"/>
      <sheetName val="1. 2008 Rate Schedule "/>
      <sheetName val="2. 2008 Rate Riders TOTAL"/>
      <sheetName val="3. 2008 Revenue Requirement"/>
      <sheetName val="4. Board Staff TCQ #29 (b-j)"/>
      <sheetName val="5. Reg Assets request 1yr after"/>
      <sheetName val="Rates Model"/>
    </sheetNames>
    <sheetDataSet>
      <sheetData sheetId="0" refreshError="1">
        <row r="33">
          <cell r="B33">
            <v>-21094.560000000001</v>
          </cell>
        </row>
        <row r="34">
          <cell r="B34">
            <v>-2101.3039799999997</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Reg Asset_Liability Summary"/>
      <sheetName val="2.Reg Asset_Liability Details"/>
      <sheetName val="Global Adj Analysis 2009_10"/>
      <sheetName val="Summary GA Jan &amp; Feb"/>
      <sheetName val="3.Avg_Spot$ &amp; GA Est vs Fixed"/>
      <sheetName val="4. PCB Costs"/>
      <sheetName val="4.Retail Variances (1580-1588)"/>
      <sheetName val="2009 EDDVAR Decision"/>
    </sheetNames>
    <sheetDataSet>
      <sheetData sheetId="0"/>
      <sheetData sheetId="1">
        <row r="49">
          <cell r="AC49">
            <v>-147787.3899999999</v>
          </cell>
        </row>
        <row r="50">
          <cell r="AC50">
            <v>-132509.29999999999</v>
          </cell>
        </row>
      </sheetData>
      <sheetData sheetId="2"/>
      <sheetData sheetId="3"/>
      <sheetData sheetId="4"/>
      <sheetData sheetId="5"/>
      <sheetData sheetId="6"/>
      <sheetData sheetId="7"/>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Reg Asset_Liability Summary"/>
      <sheetName val="2.Reg Asset_Liability Details"/>
      <sheetName val="Global Adj Analysis 2009_10"/>
      <sheetName val="Summary GA Jan &amp; Feb"/>
      <sheetName val="3.Avg_Spot$ &amp; GA Est vs Fixed"/>
      <sheetName val="4. PCB Costs"/>
      <sheetName val="4.Retail Variances (1580-1588)"/>
      <sheetName val="2009 EDDVAR Decision"/>
      <sheetName val="Avg_Spot$ &amp; GA Est vs Fixed"/>
      <sheetName val="3. PCB Costs"/>
    </sheetNames>
    <sheetDataSet>
      <sheetData sheetId="0" refreshError="1"/>
      <sheetData sheetId="1" refreshError="1">
        <row r="45">
          <cell r="P45">
            <v>-147787.39000000001</v>
          </cell>
        </row>
        <row r="46">
          <cell r="P46">
            <v>-131815.29999999999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Reg Asset_Liability Summary"/>
      <sheetName val="2.Reg Asset_Liability Details"/>
      <sheetName val="Global Adj Analysis 2009_10"/>
      <sheetName val="Summary GA Jan &amp; Feb"/>
      <sheetName val="3.Avg_Spot$ &amp; GA Est vs Fixed"/>
      <sheetName val="4. PCB Costs"/>
      <sheetName val="4.Retail Variances (1580-1588)"/>
      <sheetName val="2009 EDDVAR Decision"/>
    </sheetNames>
    <sheetDataSet>
      <sheetData sheetId="0"/>
      <sheetData sheetId="1">
        <row r="49">
          <cell r="R49">
            <v>-147787.39000000013</v>
          </cell>
        </row>
        <row r="50">
          <cell r="R50">
            <v>-131883.29999999999</v>
          </cell>
        </row>
      </sheetData>
      <sheetData sheetId="2"/>
      <sheetData sheetId="3"/>
      <sheetData sheetId="4"/>
      <sheetData sheetId="5"/>
      <sheetData sheetId="6"/>
      <sheetData sheetId="7"/>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Reg Asset_Liability Summary"/>
      <sheetName val="2.Reg Asset_Liability Details"/>
      <sheetName val="Global Adj Analysis 2009_10"/>
      <sheetName val="Summary GA Jan &amp; Feb"/>
      <sheetName val="3.Avg_Spot$ &amp; GA Est vs Fixed"/>
      <sheetName val="4. PCB Costs"/>
      <sheetName val="4.Retail Variances (1580-1588)"/>
      <sheetName val="2009 EDDVAR Decision"/>
    </sheetNames>
    <sheetDataSet>
      <sheetData sheetId="0"/>
      <sheetData sheetId="1" refreshError="1">
        <row r="49">
          <cell r="U49">
            <v>-147787.39000000013</v>
          </cell>
        </row>
        <row r="50">
          <cell r="U50">
            <v>-131993.29999999999</v>
          </cell>
        </row>
      </sheetData>
      <sheetData sheetId="2"/>
      <sheetData sheetId="3"/>
      <sheetData sheetId="4"/>
      <sheetData sheetId="5"/>
      <sheetData sheetId="6"/>
      <sheetData sheetId="7"/>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Reg Asset_Liability Summary"/>
      <sheetName val="2.Reg Asset_Liability Details"/>
      <sheetName val="Global Adj Analysis 2009_10"/>
      <sheetName val="Summary GA Jan &amp; Feb"/>
      <sheetName val="3.Avg_Spot$ &amp; GA Est vs Fixed"/>
      <sheetName val="4. PCB Costs"/>
      <sheetName val="4.Retail Variances (1580-1588)"/>
      <sheetName val="2009 EDDVAR Decision"/>
    </sheetNames>
    <sheetDataSet>
      <sheetData sheetId="0"/>
      <sheetData sheetId="1">
        <row r="49">
          <cell r="W49">
            <v>-147787.39000000001</v>
          </cell>
          <cell r="Y49">
            <v>-147787.3899999999</v>
          </cell>
        </row>
        <row r="50">
          <cell r="W50">
            <v>-132103.29999999999</v>
          </cell>
          <cell r="Y50">
            <v>-132213.29999999999</v>
          </cell>
        </row>
      </sheetData>
      <sheetData sheetId="2"/>
      <sheetData sheetId="3"/>
      <sheetData sheetId="4"/>
      <sheetData sheetId="5"/>
      <sheetData sheetId="6"/>
      <sheetData sheetId="7"/>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Reg Asset_Liability Summary"/>
      <sheetName val="2.Reg Asset_Liability Details"/>
      <sheetName val="Global Adj Analysis 2009_10"/>
      <sheetName val="Summary GA Jan &amp; Feb"/>
      <sheetName val="3.Avg_Spot$ &amp; GA Est vs Fixed"/>
      <sheetName val="4. PCB Costs"/>
      <sheetName val="4.Retail Variances (1580-1588)"/>
      <sheetName val="2009 EDDVAR Decision"/>
    </sheetNames>
    <sheetDataSet>
      <sheetData sheetId="0"/>
      <sheetData sheetId="1">
        <row r="49">
          <cell r="AA49">
            <v>-147787.3899999999</v>
          </cell>
        </row>
        <row r="50">
          <cell r="AA50">
            <v>-132361.29999999999</v>
          </cell>
        </row>
      </sheetData>
      <sheetData sheetId="2"/>
      <sheetData sheetId="3"/>
      <sheetData sheetId="4"/>
      <sheetData sheetId="5"/>
      <sheetData sheetId="6"/>
      <sheetData sheetId="7"/>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Reg Asset_Liability Summary"/>
      <sheetName val="Net 1588 Balance"/>
      <sheetName val="2.Reg Asset_Liability Details"/>
      <sheetName val="Global Adj Analysis 2009_10"/>
      <sheetName val="Summary GA Jan &amp; Feb"/>
      <sheetName val="3.Avg_Spot$ &amp; GA Est vs Fixed"/>
      <sheetName val="4. PCB Costs"/>
      <sheetName val="4.Retail Variances (1580-1588)"/>
      <sheetName val="2009 EDDVAR Decision"/>
    </sheetNames>
    <sheetDataSet>
      <sheetData sheetId="0"/>
      <sheetData sheetId="1"/>
      <sheetData sheetId="2">
        <row r="51">
          <cell r="O51">
            <v>-147787.3899999999</v>
          </cell>
        </row>
        <row r="52">
          <cell r="O52">
            <v>-132657.29999999999</v>
          </cell>
        </row>
      </sheetData>
      <sheetData sheetId="3"/>
      <sheetData sheetId="4"/>
      <sheetData sheetId="5"/>
      <sheetData sheetId="6"/>
      <sheetData sheetId="7"/>
      <sheetData sheetId="8"/>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dure"/>
      <sheetName val="Sheet6"/>
      <sheetName val="Sheet1"/>
      <sheetName val="2. Energy Var (Only) Chk to No4"/>
      <sheetName val="GA reconciliation"/>
      <sheetName val="Revenue Rollforward"/>
      <sheetName val="1. Hydro Report"/>
      <sheetName val="2. Fixed  Variable Split"/>
      <sheetName val="1. High Level Revenue AnalysisP"/>
      <sheetName val="3. kWh &amp; kW analysis"/>
      <sheetName val="Price Volume Analysis"/>
      <sheetName val="Price Volume Var. YTD Sep 07 "/>
      <sheetName val="Dist Rev Analysis (PV Analysis)"/>
      <sheetName val="2005 Units Analysis"/>
      <sheetName val="Data &gt;&gt;&gt;"/>
      <sheetName val="2005 Monthly Budgeted Revenue"/>
      <sheetName val="KPI"/>
      <sheetName val="4. Exec report"/>
      <sheetName val="5. Revenue Seasonality"/>
      <sheetName val="6.Revenue Reconciliation"/>
      <sheetName val="7.RTL Energy"/>
      <sheetName val="8.Budget summarized"/>
      <sheetName val="9.Bill Units"/>
      <sheetName val="10.Actuals"/>
      <sheetName val="May 1 2011 Rates vs Feb 1 (RR)"/>
      <sheetName val="14.May 1, 2011 Rates"/>
      <sheetName val="11.Budget to Fin"/>
      <sheetName val="12.Revenue by Component"/>
      <sheetName val="13.Rate Riders "/>
      <sheetName val="May 1, 2008 Rates"/>
      <sheetName val="Corp Tax Adj"/>
      <sheetName val="Cap Tax Adj"/>
      <sheetName val="2007 Component Breakdown"/>
      <sheetName val="15.Smart Meters"/>
      <sheetName val="Budget Rates"/>
      <sheetName val="May 1, 2007 Rates "/>
      <sheetName val="May 1, 2007 Rates"/>
      <sheetName val="New Rates Nov-Apr"/>
      <sheetName val="LV Rate Computation by JB"/>
      <sheetName val="16.JDE summarized"/>
      <sheetName val="17.JDE data"/>
      <sheetName val="18.GL ref"/>
      <sheetName val="For Investigation - TA"/>
      <sheetName val="For investigation - Demand"/>
      <sheetName val="xxBudget"/>
      <sheetName val="xxSplit"/>
      <sheetName val="Sheet3"/>
      <sheetName val="1.2KPI MS"/>
    </sheetNames>
    <sheetDataSet>
      <sheetData sheetId="0"/>
      <sheetData sheetId="1"/>
      <sheetData sheetId="2"/>
      <sheetData sheetId="3"/>
      <sheetData sheetId="4"/>
      <sheetData sheetId="5"/>
      <sheetData sheetId="6">
        <row r="14">
          <cell r="L14">
            <v>-12737145.989340305</v>
          </cell>
        </row>
        <row r="18">
          <cell r="L18">
            <v>20509387.390000001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dure"/>
      <sheetName val="Sheet6"/>
      <sheetName val="Sheet1"/>
      <sheetName val="2. Energy Var (Only) Chk to No4"/>
      <sheetName val="GA reconciliation"/>
      <sheetName val="Revenue Reconciliation"/>
      <sheetName val="Regulatory Adjustments"/>
      <sheetName val="Amortization"/>
      <sheetName val="1. Hydro Report"/>
      <sheetName val="1.2KPI MS"/>
      <sheetName val="2. Fixed  Variable Split"/>
      <sheetName val="1. High Level Revenue AnalysisP"/>
      <sheetName val="3. kWh &amp; kW analysis"/>
      <sheetName val="Price Volume Analysis"/>
      <sheetName val="Price Volume Var. YTD Sep 07 "/>
      <sheetName val="Dist Rev Analysis (PV Analysis)"/>
      <sheetName val="2005 Units Analysis"/>
      <sheetName val="Data &gt;&gt;&gt;"/>
      <sheetName val="2005 Monthly Budgeted Revenue"/>
      <sheetName val="KPI"/>
      <sheetName val="4. Exec report"/>
      <sheetName val="5. Revenue Seasonality"/>
      <sheetName val="6.Revenue Reconciliation"/>
      <sheetName val="7.RTL Energy"/>
      <sheetName val="8.Budget summarized"/>
      <sheetName val="5.12011-2014 Forecast"/>
      <sheetName val="9.Bill Units"/>
      <sheetName val="10.Actuals"/>
      <sheetName val="May 1 2011 Rates vs Feb 1 (RR)"/>
      <sheetName val="14.May 1, 2011 Rates"/>
      <sheetName val="11.Budget to Fin"/>
      <sheetName val="12.Revenue by Component"/>
      <sheetName val="13.Rate Riders "/>
      <sheetName val="May 1, 2008 Rates"/>
      <sheetName val="Corp Tax Adj"/>
      <sheetName val="Cap Tax Adj"/>
      <sheetName val="2007 Component Breakdown"/>
      <sheetName val="15.Smart Meters"/>
      <sheetName val="Budget Rates"/>
      <sheetName val="May 1, 2007 Rates "/>
      <sheetName val="May 1, 2007 Rates"/>
      <sheetName val="New Rates Nov-Apr"/>
      <sheetName val="LV Rate Computation by JB"/>
      <sheetName val="16.JDE summarized"/>
      <sheetName val="17.JDE data"/>
      <sheetName val="18.GL ref"/>
      <sheetName val="For Investigation - TA"/>
      <sheetName val="For investigation - Demand"/>
      <sheetName val="xxBudget"/>
      <sheetName val="xxSplit"/>
      <sheetName val="Sheet3"/>
      <sheetName val="Revenue Rollforward"/>
    </sheetNames>
    <sheetDataSet>
      <sheetData sheetId="0"/>
      <sheetData sheetId="1"/>
      <sheetData sheetId="2"/>
      <sheetData sheetId="3"/>
      <sheetData sheetId="4"/>
      <sheetData sheetId="5"/>
      <sheetData sheetId="6"/>
      <sheetData sheetId="7"/>
      <sheetData sheetId="8">
        <row r="18">
          <cell r="C18">
            <v>-970769.90999999992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414">
          <cell r="C414">
            <v>-1706864.6407103227</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ow r="492">
          <cell r="E492">
            <v>0</v>
          </cell>
        </row>
      </sheetData>
      <sheetData sheetId="44"/>
      <sheetData sheetId="45"/>
      <sheetData sheetId="46"/>
      <sheetData sheetId="47"/>
      <sheetData sheetId="48"/>
      <sheetData sheetId="49"/>
      <sheetData sheetId="50"/>
      <sheetData sheetId="5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T95"/>
      <sheetName val="Sheet1 (2)"/>
      <sheetName val="Sheet1"/>
      <sheetName val="Global"/>
      <sheetName val="CALC1"/>
    </sheetNames>
    <sheetDataSet>
      <sheetData sheetId="0"/>
      <sheetData sheetId="1"/>
      <sheetData sheetId="2"/>
      <sheetData sheetId="3"/>
      <sheetData sheetId="4" refreshError="1">
        <row r="1">
          <cell r="W1" t="str">
            <v>Supply  to  City  of  Mississauga</v>
          </cell>
          <cell r="AK1" t="str">
            <v>HYDRO   MISSISSAUGA</v>
          </cell>
          <cell r="AR1" t="str">
            <v>AVAILABLE  TRANSFORMER  STATION CAPACITY</v>
          </cell>
          <cell r="AU1" t="str">
            <v>P.F.</v>
          </cell>
          <cell r="AV1">
            <v>0.85</v>
          </cell>
          <cell r="AW1">
            <v>0.97</v>
          </cell>
          <cell r="BC1" t="str">
            <v>Hydro   Mississauga  Load  Forecast</v>
          </cell>
          <cell r="BN1" t="str">
            <v>Hydro   Mississauga  Load  Forecast</v>
          </cell>
          <cell r="BX1" t="str">
            <v>Supply  to  City  of  Mississauga</v>
          </cell>
          <cell r="CF1" t="str">
            <v>Hydro   Mississauga  Load  Forecast</v>
          </cell>
        </row>
        <row r="2">
          <cell r="W2" t="str">
            <v>Summer  Peak  Load  Forecast  (MW)</v>
          </cell>
          <cell r="AK2" t="str">
            <v>Historical   Load Growth   and</v>
          </cell>
          <cell r="BC2" t="str">
            <v>Base  Case</v>
          </cell>
          <cell r="BN2" t="str">
            <v>Base  Case</v>
          </cell>
          <cell r="BX2" t="str">
            <v>Summer  Peak  Load  Forecast  (MW)</v>
          </cell>
          <cell r="CF2" t="str">
            <v>Base  Case</v>
          </cell>
        </row>
        <row r="3">
          <cell r="W3" t="str">
            <v>Per  Area  of  Supply  and  Voltage  Level</v>
          </cell>
          <cell r="Z3">
            <v>34939.600539699073</v>
          </cell>
          <cell r="AK3" t="str">
            <v>Most  Probable  Load Growth  Forecast</v>
          </cell>
          <cell r="AO3">
            <v>34939.600539699073</v>
          </cell>
          <cell r="AR3" t="str">
            <v>STATION</v>
          </cell>
          <cell r="AS3" t="str">
            <v>VOLT.</v>
          </cell>
          <cell r="AT3" t="str">
            <v>TX.RATE.</v>
          </cell>
          <cell r="AU3" t="str">
            <v>SUM.LTR</v>
          </cell>
          <cell r="BC3" t="str">
            <v>Erindale  &amp;  Tomken  44  kV    Area (No Capacitors)</v>
          </cell>
          <cell r="BN3" t="str">
            <v>North   27.6   kV  Area (No Capacitors)</v>
          </cell>
          <cell r="BX3" t="str">
            <v>Erindale &amp; Tomken  44 kV  Area</v>
          </cell>
          <cell r="CF3" t="str">
            <v>Erindale  &amp;  Tomken  44  kV    Area</v>
          </cell>
        </row>
        <row r="4">
          <cell r="AS4" t="str">
            <v>KV</v>
          </cell>
          <cell r="AT4" t="str">
            <v>MVA</v>
          </cell>
          <cell r="AU4" t="str">
            <v>MVA</v>
          </cell>
          <cell r="AV4" t="str">
            <v>MW</v>
          </cell>
        </row>
        <row r="5">
          <cell r="T5" t="str">
            <v>North</v>
          </cell>
          <cell r="U5" t="str">
            <v>South</v>
          </cell>
          <cell r="V5" t="str">
            <v>Richview</v>
          </cell>
          <cell r="W5" t="str">
            <v>Erin. &amp; Tomk.</v>
          </cell>
          <cell r="X5" t="str">
            <v>Bram. &amp; Wood'g</v>
          </cell>
          <cell r="Y5" t="str">
            <v>Noncoincident</v>
          </cell>
          <cell r="Z5" t="str">
            <v>Coincident*</v>
          </cell>
          <cell r="BW5" t="str">
            <v>Erindale</v>
          </cell>
          <cell r="BX5" t="str">
            <v>Tomken</v>
          </cell>
          <cell r="BY5" t="str">
            <v>Total</v>
          </cell>
        </row>
        <row r="6">
          <cell r="S6" t="str">
            <v>Year</v>
          </cell>
          <cell r="T6" t="str">
            <v>27.6  KV  Area</v>
          </cell>
          <cell r="U6" t="str">
            <v>27.6  KV  Area</v>
          </cell>
          <cell r="V6" t="str">
            <v>27.6  KV  Area</v>
          </cell>
          <cell r="W6" t="str">
            <v>44 KV  Area</v>
          </cell>
          <cell r="X6" t="str">
            <v>44 KV  Area</v>
          </cell>
          <cell r="Y6" t="str">
            <v>Peak Load  (TS)</v>
          </cell>
          <cell r="Z6" t="str">
            <v>Peak Load</v>
          </cell>
          <cell r="AI6" t="str">
            <v>Year</v>
          </cell>
          <cell r="AK6" t="str">
            <v>Summer  Peak</v>
          </cell>
          <cell r="AN6" t="str">
            <v xml:space="preserve">%    Growth </v>
          </cell>
          <cell r="AR6" t="str">
            <v>ERINDALE       T5/T6</v>
          </cell>
          <cell r="AS6" t="str">
            <v>44  KV</v>
          </cell>
          <cell r="AT6" t="str">
            <v>2-75/125</v>
          </cell>
          <cell r="AU6">
            <v>156</v>
          </cell>
          <cell r="AV6">
            <v>132.6</v>
          </cell>
          <cell r="AW6">
            <v>151.32</v>
          </cell>
          <cell r="BV6" t="str">
            <v>Year</v>
          </cell>
          <cell r="BW6" t="str">
            <v>44  KV  Area</v>
          </cell>
          <cell r="BX6" t="str">
            <v>44  KV  Area</v>
          </cell>
          <cell r="BY6" t="str">
            <v>Erin &amp; Tomk</v>
          </cell>
        </row>
        <row r="7">
          <cell r="AK7" t="str">
            <v>Load  (MW)</v>
          </cell>
          <cell r="AN7" t="str">
            <v>Rate  Per  Year</v>
          </cell>
          <cell r="AR7" t="str">
            <v>ERINDALE       T3/T4</v>
          </cell>
          <cell r="AS7" t="str">
            <v>44  KV</v>
          </cell>
          <cell r="AT7" t="str">
            <v>2-75/125</v>
          </cell>
          <cell r="AU7">
            <v>209</v>
          </cell>
          <cell r="AV7">
            <v>177.65</v>
          </cell>
          <cell r="AW7">
            <v>202.73</v>
          </cell>
          <cell r="AZ7" t="str">
            <v>Year</v>
          </cell>
          <cell r="BB7" t="str">
            <v>Load (MW)</v>
          </cell>
          <cell r="BD7" t="str">
            <v>Available  LTR</v>
          </cell>
          <cell r="BG7" t="str">
            <v>Difference (1)</v>
          </cell>
          <cell r="BK7" t="str">
            <v>Year</v>
          </cell>
          <cell r="BM7" t="str">
            <v>Load (MW)</v>
          </cell>
          <cell r="BO7" t="str">
            <v>Available  LTR</v>
          </cell>
          <cell r="BR7" t="str">
            <v>Difference (1)</v>
          </cell>
          <cell r="CC7" t="str">
            <v>Year</v>
          </cell>
          <cell r="CE7" t="str">
            <v>Load (MW)</v>
          </cell>
          <cell r="CG7" t="str">
            <v>Available  LTR</v>
          </cell>
        </row>
        <row r="8">
          <cell r="S8">
            <v>1991</v>
          </cell>
          <cell r="T8">
            <v>147.43584352164999</v>
          </cell>
          <cell r="U8">
            <v>245.8871827675101</v>
          </cell>
          <cell r="V8">
            <v>44.556697762924067</v>
          </cell>
          <cell r="W8">
            <v>557.55484047645677</v>
          </cell>
          <cell r="X8">
            <v>108.23782075369071</v>
          </cell>
          <cell r="Y8">
            <v>1103.6723852822317</v>
          </cell>
          <cell r="Z8">
            <v>1051.7997831739667</v>
          </cell>
          <cell r="BV8">
            <v>1991</v>
          </cell>
          <cell r="BW8">
            <v>304.73447515987442</v>
          </cell>
          <cell r="BX8">
            <v>252.8203653165823</v>
          </cell>
          <cell r="BY8">
            <v>557.55484047645677</v>
          </cell>
        </row>
        <row r="9">
          <cell r="AR9" t="str">
            <v>TOTAL  ERINDALE</v>
          </cell>
          <cell r="AS9" t="str">
            <v>44  KV</v>
          </cell>
          <cell r="AU9">
            <v>365</v>
          </cell>
          <cell r="AV9">
            <v>310.25</v>
          </cell>
          <cell r="AW9">
            <v>354.04999999999995</v>
          </cell>
        </row>
        <row r="10">
          <cell r="S10">
            <v>1992</v>
          </cell>
          <cell r="T10">
            <v>180.89904932814056</v>
          </cell>
          <cell r="U10">
            <v>255.32314558364271</v>
          </cell>
          <cell r="V10">
            <v>52.591276347365259</v>
          </cell>
          <cell r="W10">
            <v>588.24626053339966</v>
          </cell>
          <cell r="X10">
            <v>112.88611530409567</v>
          </cell>
          <cell r="Y10">
            <v>1189.9458470966438</v>
          </cell>
          <cell r="Z10">
            <v>1134.0183922831015</v>
          </cell>
          <cell r="AH10" t="str">
            <v>-</v>
          </cell>
          <cell r="AI10">
            <v>1980</v>
          </cell>
          <cell r="AK10">
            <v>510</v>
          </cell>
          <cell r="AN10" t="str">
            <v>-</v>
          </cell>
          <cell r="AZ10">
            <v>1990</v>
          </cell>
          <cell r="BB10">
            <v>548.5</v>
          </cell>
          <cell r="BD10">
            <v>466</v>
          </cell>
          <cell r="BG10">
            <v>-82.5</v>
          </cell>
          <cell r="BK10">
            <v>1990</v>
          </cell>
          <cell r="BM10">
            <v>139.19999999999999</v>
          </cell>
          <cell r="BO10">
            <v>210</v>
          </cell>
          <cell r="BR10">
            <v>70.800000000000011</v>
          </cell>
          <cell r="BV10">
            <v>1992</v>
          </cell>
          <cell r="BW10">
            <v>325.39595079838045</v>
          </cell>
          <cell r="BX10">
            <v>262.85030973501915</v>
          </cell>
          <cell r="BY10">
            <v>588.24626053339966</v>
          </cell>
          <cell r="CC10">
            <v>1991</v>
          </cell>
          <cell r="CE10">
            <v>557.55484047645677</v>
          </cell>
          <cell r="CG10">
            <v>610</v>
          </cell>
          <cell r="CH10" t="str">
            <v>.(2)</v>
          </cell>
        </row>
        <row r="11">
          <cell r="AH11" t="str">
            <v>|</v>
          </cell>
          <cell r="AN11" t="str">
            <v>|</v>
          </cell>
          <cell r="AR11" t="str">
            <v>TOMKEN         T1/T2</v>
          </cell>
          <cell r="AS11" t="str">
            <v>44  KV</v>
          </cell>
          <cell r="AT11" t="str">
            <v>2-75/125</v>
          </cell>
          <cell r="AU11">
            <v>183</v>
          </cell>
          <cell r="AV11">
            <v>155.54999999999998</v>
          </cell>
          <cell r="AW11">
            <v>177.51</v>
          </cell>
        </row>
        <row r="12">
          <cell r="S12">
            <v>1993</v>
          </cell>
          <cell r="T12">
            <v>219.7081847430689</v>
          </cell>
          <cell r="U12">
            <v>274.6368327253964</v>
          </cell>
          <cell r="V12">
            <v>57.275045087054039</v>
          </cell>
          <cell r="W12">
            <v>630.97518552557381</v>
          </cell>
          <cell r="X12">
            <v>120.67825820922195</v>
          </cell>
          <cell r="Y12">
            <v>1303.273506290315</v>
          </cell>
          <cell r="Z12">
            <v>1242.0196514946701</v>
          </cell>
          <cell r="AH12" t="str">
            <v>|</v>
          </cell>
          <cell r="AI12">
            <v>1981</v>
          </cell>
          <cell r="AK12">
            <v>556</v>
          </cell>
          <cell r="AN12" t="str">
            <v>|</v>
          </cell>
          <cell r="AR12" t="str">
            <v>TOMKEN        T3/T4</v>
          </cell>
          <cell r="AS12" t="str">
            <v>44   KV</v>
          </cell>
          <cell r="AT12" t="str">
            <v>2-75/125</v>
          </cell>
          <cell r="AU12">
            <v>170</v>
          </cell>
          <cell r="AV12">
            <v>144.5</v>
          </cell>
          <cell r="AW12">
            <v>164.9</v>
          </cell>
          <cell r="AZ12">
            <v>1991</v>
          </cell>
          <cell r="BB12">
            <v>558.32174108851029</v>
          </cell>
          <cell r="BD12">
            <v>610</v>
          </cell>
          <cell r="BE12" t="str">
            <v>.(2)</v>
          </cell>
          <cell r="BG12">
            <v>51.678258911489706</v>
          </cell>
          <cell r="BK12">
            <v>1991</v>
          </cell>
          <cell r="BM12">
            <v>165.91008991212027</v>
          </cell>
          <cell r="BO12">
            <v>210</v>
          </cell>
          <cell r="BR12">
            <v>44.08991008787973</v>
          </cell>
          <cell r="BV12">
            <v>1993</v>
          </cell>
          <cell r="BW12">
            <v>356.55351887996346</v>
          </cell>
          <cell r="BX12">
            <v>274.4216666456104</v>
          </cell>
          <cell r="BY12">
            <v>630.97518552557381</v>
          </cell>
          <cell r="CC12">
            <v>1992</v>
          </cell>
          <cell r="CE12">
            <v>588.24626053339966</v>
          </cell>
          <cell r="CG12">
            <v>610</v>
          </cell>
        </row>
        <row r="13">
          <cell r="AH13" t="str">
            <v>|</v>
          </cell>
          <cell r="AN13" t="str">
            <v>|</v>
          </cell>
        </row>
        <row r="14">
          <cell r="S14">
            <v>1994</v>
          </cell>
          <cell r="T14">
            <v>256.92486624071876</v>
          </cell>
          <cell r="U14">
            <v>280.86231424518019</v>
          </cell>
          <cell r="V14">
            <v>61.041665859024455</v>
          </cell>
          <cell r="W14">
            <v>672.09696506882665</v>
          </cell>
          <cell r="X14">
            <v>125.73784526860348</v>
          </cell>
          <cell r="Y14">
            <v>1396.6636566823536</v>
          </cell>
          <cell r="Z14">
            <v>1331.0204648182828</v>
          </cell>
          <cell r="AH14" t="str">
            <v>|</v>
          </cell>
          <cell r="AI14">
            <v>1982</v>
          </cell>
          <cell r="AK14">
            <v>560</v>
          </cell>
          <cell r="AN14" t="str">
            <v>|</v>
          </cell>
          <cell r="AR14" t="str">
            <v>TOTAL   TOMKEN</v>
          </cell>
          <cell r="AS14" t="str">
            <v>44  KV</v>
          </cell>
          <cell r="AU14">
            <v>353</v>
          </cell>
          <cell r="AV14">
            <v>300.04999999999995</v>
          </cell>
          <cell r="AW14">
            <v>342.40999999999997</v>
          </cell>
          <cell r="AZ14">
            <v>1992</v>
          </cell>
          <cell r="BB14">
            <v>585.4</v>
          </cell>
          <cell r="BD14">
            <v>610</v>
          </cell>
          <cell r="BG14">
            <v>24.600000000000023</v>
          </cell>
          <cell r="BK14">
            <v>1992</v>
          </cell>
          <cell r="BM14">
            <v>194.1</v>
          </cell>
          <cell r="BO14">
            <v>210</v>
          </cell>
          <cell r="BR14">
            <v>15.900000000000006</v>
          </cell>
          <cell r="BV14">
            <v>1994</v>
          </cell>
          <cell r="BW14">
            <v>383.77376254490662</v>
          </cell>
          <cell r="BX14">
            <v>288.32320252392003</v>
          </cell>
          <cell r="BY14">
            <v>672.09696506882665</v>
          </cell>
          <cell r="CC14">
            <v>1993</v>
          </cell>
          <cell r="CE14">
            <v>630.97518552557381</v>
          </cell>
          <cell r="CG14">
            <v>682</v>
          </cell>
          <cell r="CH14" t="str">
            <v>.(3)</v>
          </cell>
        </row>
        <row r="15">
          <cell r="AH15" t="str">
            <v>|</v>
          </cell>
          <cell r="AN15">
            <v>5.291848906511043E-2</v>
          </cell>
        </row>
        <row r="16">
          <cell r="S16">
            <v>1995</v>
          </cell>
          <cell r="T16">
            <v>303.31836321687103</v>
          </cell>
          <cell r="U16">
            <v>289.39169676007549</v>
          </cell>
          <cell r="V16">
            <v>65.101076549152083</v>
          </cell>
          <cell r="W16">
            <v>707.79578371759862</v>
          </cell>
          <cell r="X16">
            <v>131.79222227347196</v>
          </cell>
          <cell r="Y16">
            <v>1497.3991425171691</v>
          </cell>
          <cell r="Z16">
            <v>1427.0213828188621</v>
          </cell>
          <cell r="AH16" t="str">
            <v>|</v>
          </cell>
          <cell r="AI16">
            <v>1983</v>
          </cell>
          <cell r="AK16">
            <v>617</v>
          </cell>
          <cell r="AN16" t="str">
            <v>|</v>
          </cell>
          <cell r="AR16" t="str">
            <v>TOTAL   ERIN/TOMK</v>
          </cell>
          <cell r="AS16" t="str">
            <v>44  KV</v>
          </cell>
          <cell r="AU16">
            <v>718</v>
          </cell>
          <cell r="AV16">
            <v>610.29999999999995</v>
          </cell>
          <cell r="AW16">
            <v>696.45999999999992</v>
          </cell>
          <cell r="AZ16">
            <v>1993</v>
          </cell>
          <cell r="BB16">
            <v>639.5</v>
          </cell>
          <cell r="BD16">
            <v>755</v>
          </cell>
          <cell r="BE16" t="str">
            <v>.(3)</v>
          </cell>
          <cell r="BG16">
            <v>115.5</v>
          </cell>
          <cell r="BK16">
            <v>1993</v>
          </cell>
          <cell r="BM16">
            <v>223.2</v>
          </cell>
          <cell r="BO16">
            <v>355</v>
          </cell>
          <cell r="BP16" t="str">
            <v>.(2)</v>
          </cell>
          <cell r="BR16">
            <v>131.80000000000001</v>
          </cell>
          <cell r="BV16">
            <v>1995</v>
          </cell>
          <cell r="BW16">
            <v>402.93024031925762</v>
          </cell>
          <cell r="BX16">
            <v>304.86554339834106</v>
          </cell>
          <cell r="BY16">
            <v>707.79578371759862</v>
          </cell>
          <cell r="CC16">
            <v>1994</v>
          </cell>
          <cell r="CE16">
            <v>672.09696506882665</v>
          </cell>
          <cell r="CG16">
            <v>682</v>
          </cell>
        </row>
        <row r="17">
          <cell r="AH17" t="str">
            <v>|</v>
          </cell>
          <cell r="AN17" t="str">
            <v>|</v>
          </cell>
        </row>
        <row r="18">
          <cell r="S18">
            <v>1996</v>
          </cell>
          <cell r="T18">
            <v>335.84545948786297</v>
          </cell>
          <cell r="U18">
            <v>305.30225450503383</v>
          </cell>
          <cell r="V18">
            <v>69.547408585814509</v>
          </cell>
          <cell r="W18">
            <v>755.84045958794582</v>
          </cell>
          <cell r="X18">
            <v>138.944358488906</v>
          </cell>
          <cell r="Y18">
            <v>1605.479940655563</v>
          </cell>
          <cell r="Z18">
            <v>1530.0223834447515</v>
          </cell>
          <cell r="AH18" t="str">
            <v>|</v>
          </cell>
          <cell r="AI18">
            <v>1984</v>
          </cell>
          <cell r="AK18">
            <v>630</v>
          </cell>
          <cell r="AN18" t="str">
            <v>|</v>
          </cell>
          <cell r="AR18" t="str">
            <v xml:space="preserve">LORNE  PARK </v>
          </cell>
          <cell r="AS18" t="str">
            <v>27.6KV</v>
          </cell>
          <cell r="AT18" t="str">
            <v>2-75/125</v>
          </cell>
          <cell r="AU18">
            <v>190</v>
          </cell>
          <cell r="AV18">
            <v>161.5</v>
          </cell>
          <cell r="AW18">
            <v>184.29999999999998</v>
          </cell>
          <cell r="AZ18">
            <v>1994</v>
          </cell>
          <cell r="BB18">
            <v>657.30504836137845</v>
          </cell>
          <cell r="BD18">
            <v>755</v>
          </cell>
          <cell r="BG18">
            <v>97.694951638621546</v>
          </cell>
          <cell r="BK18">
            <v>1994</v>
          </cell>
          <cell r="BM18">
            <v>278.4377000951506</v>
          </cell>
          <cell r="BO18">
            <v>355</v>
          </cell>
          <cell r="BR18">
            <v>76.562299904849397</v>
          </cell>
          <cell r="BV18">
            <v>1996</v>
          </cell>
          <cell r="BW18">
            <v>432.71889012228638</v>
          </cell>
          <cell r="BX18">
            <v>323.12156946565938</v>
          </cell>
          <cell r="BY18">
            <v>755.84045958794582</v>
          </cell>
          <cell r="CC18">
            <v>1995</v>
          </cell>
          <cell r="CE18">
            <v>707.79578371759862</v>
          </cell>
          <cell r="CG18">
            <v>844</v>
          </cell>
          <cell r="CH18" t="str">
            <v>.(4)</v>
          </cell>
        </row>
        <row r="19">
          <cell r="AH19" t="str">
            <v>|</v>
          </cell>
          <cell r="AN19" t="str">
            <v>|</v>
          </cell>
        </row>
        <row r="20">
          <cell r="S20">
            <v>1997</v>
          </cell>
          <cell r="T20">
            <v>363.96490268707407</v>
          </cell>
          <cell r="U20">
            <v>321.40558028829753</v>
          </cell>
          <cell r="V20">
            <v>74.223675701390476</v>
          </cell>
          <cell r="W20">
            <v>816.00112510996269</v>
          </cell>
          <cell r="X20">
            <v>145.31071284507502</v>
          </cell>
          <cell r="Y20">
            <v>1720.9059966317998</v>
          </cell>
          <cell r="Z20">
            <v>1640.0234147901051</v>
          </cell>
          <cell r="AH20" t="str">
            <v>Actual</v>
          </cell>
          <cell r="AI20">
            <v>1985</v>
          </cell>
          <cell r="AK20">
            <v>660</v>
          </cell>
          <cell r="AN20" t="str">
            <v>-</v>
          </cell>
          <cell r="AR20" t="str">
            <v>COOKSVILLE</v>
          </cell>
          <cell r="AS20" t="str">
            <v>27.6KV</v>
          </cell>
          <cell r="AT20" t="str">
            <v>4-50/83</v>
          </cell>
          <cell r="AU20">
            <v>101</v>
          </cell>
          <cell r="AV20">
            <v>85.85</v>
          </cell>
          <cell r="AW20">
            <v>97.97</v>
          </cell>
          <cell r="AZ20">
            <v>1995</v>
          </cell>
          <cell r="BB20">
            <v>699.87117660652814</v>
          </cell>
          <cell r="BD20">
            <v>755</v>
          </cell>
          <cell r="BG20">
            <v>55.128823393471862</v>
          </cell>
          <cell r="BK20">
            <v>1995</v>
          </cell>
          <cell r="BM20">
            <v>311.24297032794163</v>
          </cell>
          <cell r="BO20">
            <v>355</v>
          </cell>
          <cell r="BR20">
            <v>43.757029672058366</v>
          </cell>
          <cell r="BV20">
            <v>1997</v>
          </cell>
          <cell r="BW20">
            <v>472.91943347576535</v>
          </cell>
          <cell r="BX20">
            <v>343.08169163419728</v>
          </cell>
          <cell r="BY20">
            <v>816.00112510996269</v>
          </cell>
          <cell r="CC20">
            <v>1996</v>
          </cell>
          <cell r="CE20">
            <v>755.84045958794582</v>
          </cell>
          <cell r="CG20">
            <v>844</v>
          </cell>
        </row>
        <row r="21">
          <cell r="AH21" t="str">
            <v>|</v>
          </cell>
          <cell r="AN21" t="str">
            <v>|</v>
          </cell>
        </row>
        <row r="22">
          <cell r="S22">
            <v>1998</v>
          </cell>
          <cell r="T22">
            <v>394.15107878677941</v>
          </cell>
          <cell r="U22">
            <v>338.67633663848005</v>
          </cell>
          <cell r="V22">
            <v>79.247231681694771</v>
          </cell>
          <cell r="W22">
            <v>880.49034301447762</v>
          </cell>
          <cell r="X22">
            <v>152.16164596133103</v>
          </cell>
          <cell r="Y22">
            <v>1844.726636082763</v>
          </cell>
          <cell r="Z22">
            <v>1758.024484186873</v>
          </cell>
          <cell r="AH22" t="str">
            <v>|</v>
          </cell>
          <cell r="AI22">
            <v>1986</v>
          </cell>
          <cell r="AK22">
            <v>723</v>
          </cell>
          <cell r="AN22" t="str">
            <v>|</v>
          </cell>
          <cell r="AR22" t="str">
            <v>WOODBRIGE*</v>
          </cell>
          <cell r="AS22" t="str">
            <v>44   KV</v>
          </cell>
          <cell r="AT22" t="str">
            <v>2-75/125</v>
          </cell>
          <cell r="AU22">
            <v>46</v>
          </cell>
          <cell r="AV22">
            <v>39.1</v>
          </cell>
          <cell r="AW22">
            <v>44.62</v>
          </cell>
          <cell r="AZ22">
            <v>1996</v>
          </cell>
          <cell r="BB22">
            <v>744.04500761978852</v>
          </cell>
          <cell r="BD22">
            <v>755</v>
          </cell>
          <cell r="BG22">
            <v>10.954992380211479</v>
          </cell>
          <cell r="BK22">
            <v>1996</v>
          </cell>
          <cell r="BM22">
            <v>347.64091145602009</v>
          </cell>
          <cell r="BO22">
            <v>355</v>
          </cell>
          <cell r="BR22">
            <v>7.3590885439799081</v>
          </cell>
          <cell r="BV22">
            <v>1998</v>
          </cell>
          <cell r="BW22">
            <v>523.85037390320531</v>
          </cell>
          <cell r="BX22">
            <v>356.63996911127231</v>
          </cell>
          <cell r="BY22">
            <v>880.49034301447762</v>
          </cell>
          <cell r="CC22">
            <v>1997</v>
          </cell>
          <cell r="CE22">
            <v>816.00112510996269</v>
          </cell>
          <cell r="CG22">
            <v>844</v>
          </cell>
        </row>
        <row r="23">
          <cell r="AH23" t="str">
            <v>|</v>
          </cell>
          <cell r="AN23" t="str">
            <v>|</v>
          </cell>
        </row>
        <row r="24">
          <cell r="S24">
            <v>1999</v>
          </cell>
          <cell r="T24">
            <v>426.66117722759986</v>
          </cell>
          <cell r="U24">
            <v>357.26546312107064</v>
          </cell>
          <cell r="V24">
            <v>84.661197701254224</v>
          </cell>
          <cell r="W24">
            <v>949.84491075445339</v>
          </cell>
          <cell r="X24">
            <v>159.55843449438956</v>
          </cell>
          <cell r="Y24">
            <v>1977.9911832987677</v>
          </cell>
          <cell r="Z24">
            <v>1885.0255976837257</v>
          </cell>
          <cell r="AH24" t="str">
            <v>|</v>
          </cell>
          <cell r="AI24">
            <v>1987</v>
          </cell>
          <cell r="AK24">
            <v>814</v>
          </cell>
          <cell r="AN24" t="str">
            <v>|</v>
          </cell>
          <cell r="AR24" t="str">
            <v>BRAMALEA*      ( 117 MVA)</v>
          </cell>
          <cell r="AS24" t="str">
            <v>44  KV</v>
          </cell>
          <cell r="AT24" t="str">
            <v>2-50/83</v>
          </cell>
          <cell r="AU24">
            <v>56</v>
          </cell>
          <cell r="AV24">
            <v>47.6</v>
          </cell>
          <cell r="AW24">
            <v>54.32</v>
          </cell>
          <cell r="AZ24">
            <v>1997</v>
          </cell>
          <cell r="BB24">
            <v>802.7109153995093</v>
          </cell>
          <cell r="BD24">
            <v>900</v>
          </cell>
          <cell r="BE24" t="str">
            <v>.(3)</v>
          </cell>
          <cell r="BG24">
            <v>97.289084600490696</v>
          </cell>
          <cell r="BK24">
            <v>1997</v>
          </cell>
          <cell r="BM24">
            <v>377.25511239752745</v>
          </cell>
          <cell r="BO24">
            <v>500</v>
          </cell>
          <cell r="BP24" t="str">
            <v>.(2)</v>
          </cell>
          <cell r="BR24">
            <v>122.74488760247255</v>
          </cell>
          <cell r="BV24">
            <v>1999</v>
          </cell>
          <cell r="BW24">
            <v>576.24305927159651</v>
          </cell>
          <cell r="BX24">
            <v>373.60185148285689</v>
          </cell>
          <cell r="BY24">
            <v>949.84491075445339</v>
          </cell>
        </row>
        <row r="25">
          <cell r="AH25" t="str">
            <v>|</v>
          </cell>
          <cell r="AN25">
            <v>9.2672054122554748E-2</v>
          </cell>
        </row>
        <row r="26">
          <cell r="S26">
            <v>2000</v>
          </cell>
          <cell r="T26">
            <v>461.54245265434321</v>
          </cell>
          <cell r="U26">
            <v>377.06314692083544</v>
          </cell>
          <cell r="V26">
            <v>90.463670964526557</v>
          </cell>
          <cell r="W26">
            <v>1024.1503487307477</v>
          </cell>
          <cell r="X26">
            <v>167.48001014672866</v>
          </cell>
          <cell r="Y26">
            <v>2120.6996294171818</v>
          </cell>
          <cell r="Z26">
            <v>2021.0267468345742</v>
          </cell>
          <cell r="AH26" t="str">
            <v>|</v>
          </cell>
          <cell r="AI26">
            <v>1988</v>
          </cell>
          <cell r="AK26">
            <v>904</v>
          </cell>
          <cell r="AN26" t="str">
            <v>|</v>
          </cell>
          <cell r="AR26" t="str">
            <v>BRAMALEA  *</v>
          </cell>
          <cell r="AS26" t="str">
            <v>27.6KV</v>
          </cell>
          <cell r="AT26" t="str">
            <v>2-75/125</v>
          </cell>
          <cell r="AU26">
            <v>77</v>
          </cell>
          <cell r="AV26">
            <v>65.45</v>
          </cell>
          <cell r="AW26">
            <v>74.69</v>
          </cell>
          <cell r="AZ26">
            <v>1998</v>
          </cell>
          <cell r="BB26">
            <v>865.54763122412146</v>
          </cell>
          <cell r="BD26">
            <v>900</v>
          </cell>
          <cell r="BG26">
            <v>34.45236877587854</v>
          </cell>
          <cell r="BK26">
            <v>1998</v>
          </cell>
          <cell r="BM26">
            <v>409.09379057713539</v>
          </cell>
          <cell r="BO26">
            <v>500</v>
          </cell>
          <cell r="BR26">
            <v>90.906209422864606</v>
          </cell>
          <cell r="BV26">
            <v>2000</v>
          </cell>
          <cell r="BW26">
            <v>626.74369703577236</v>
          </cell>
          <cell r="BX26">
            <v>397.40665169497549</v>
          </cell>
          <cell r="BY26">
            <v>1024.1503487307477</v>
          </cell>
        </row>
        <row r="27">
          <cell r="AH27" t="str">
            <v>|</v>
          </cell>
          <cell r="AN27" t="str">
            <v>|</v>
          </cell>
        </row>
        <row r="28">
          <cell r="AH28" t="str">
            <v>|</v>
          </cell>
          <cell r="AI28">
            <v>1989</v>
          </cell>
          <cell r="AK28">
            <v>1011</v>
          </cell>
          <cell r="AN28" t="str">
            <v>|</v>
          </cell>
          <cell r="AR28" t="str">
            <v>OAKVILLE*</v>
          </cell>
          <cell r="AS28" t="str">
            <v>27.6KV</v>
          </cell>
          <cell r="AT28" t="str">
            <v>2-50/83</v>
          </cell>
          <cell r="AU28">
            <v>57</v>
          </cell>
          <cell r="AV28">
            <v>48.449999999999996</v>
          </cell>
          <cell r="AW28">
            <v>55.29</v>
          </cell>
          <cell r="AZ28">
            <v>1999</v>
          </cell>
          <cell r="BB28">
            <v>935.04124260731157</v>
          </cell>
          <cell r="BD28">
            <v>1045</v>
          </cell>
          <cell r="BE28" t="str">
            <v>.(3)</v>
          </cell>
          <cell r="BG28">
            <v>109.95875739268843</v>
          </cell>
          <cell r="BK28">
            <v>1999</v>
          </cell>
          <cell r="BM28">
            <v>441.46484537474169</v>
          </cell>
          <cell r="BO28">
            <v>500</v>
          </cell>
          <cell r="BR28">
            <v>58.535154625258315</v>
          </cell>
        </row>
        <row r="29">
          <cell r="AH29" t="str">
            <v>|</v>
          </cell>
          <cell r="AN29" t="str">
            <v>|</v>
          </cell>
          <cell r="AS29" t="str">
            <v>27.6KV</v>
          </cell>
          <cell r="AT29" t="str">
            <v>2-75/125</v>
          </cell>
          <cell r="AU29">
            <v>125</v>
          </cell>
          <cell r="AV29">
            <v>106.25</v>
          </cell>
          <cell r="AW29">
            <v>121.25</v>
          </cell>
        </row>
        <row r="30">
          <cell r="S30" t="str">
            <v xml:space="preserve">*     Coincident  factor  between  Hydro  Mississauga's  summer  peak  load  </v>
          </cell>
          <cell r="AH30" t="str">
            <v>|</v>
          </cell>
          <cell r="AI30">
            <v>1990</v>
          </cell>
          <cell r="AK30">
            <v>1028</v>
          </cell>
          <cell r="AN30" t="str">
            <v>-</v>
          </cell>
        </row>
        <row r="31">
          <cell r="S31" t="str">
            <v xml:space="preserve">      and the sum  of  its  five  load  areas  summer  peak  loads  is  approximately  0.953</v>
          </cell>
          <cell r="AH31" t="str">
            <v>|</v>
          </cell>
          <cell r="AN31" t="str">
            <v>|</v>
          </cell>
          <cell r="AR31" t="str">
            <v>RICHVIEW*</v>
          </cell>
          <cell r="AS31" t="str">
            <v>27.6KV</v>
          </cell>
          <cell r="AT31" t="str">
            <v>2-50/83</v>
          </cell>
          <cell r="AU31">
            <v>75</v>
          </cell>
          <cell r="AV31">
            <v>63.75</v>
          </cell>
          <cell r="AW31">
            <v>72.75</v>
          </cell>
        </row>
        <row r="32">
          <cell r="AH32" t="str">
            <v>|</v>
          </cell>
          <cell r="AI32">
            <v>1991</v>
          </cell>
          <cell r="AK32">
            <v>1064</v>
          </cell>
          <cell r="AN32" t="str">
            <v>|</v>
          </cell>
          <cell r="AZ32" t="str">
            <v>.(1)</v>
          </cell>
          <cell r="BA32" t="str">
            <v>(Available   LTR   minus   Load)</v>
          </cell>
          <cell r="BK32" t="str">
            <v>.(1)</v>
          </cell>
          <cell r="BL32" t="str">
            <v>(Available   LTR   minus   Load)</v>
          </cell>
        </row>
        <row r="33">
          <cell r="W33" t="str">
            <v>Table     1</v>
          </cell>
          <cell r="AH33" t="str">
            <v>|</v>
          </cell>
          <cell r="AN33" t="str">
            <v>|</v>
          </cell>
          <cell r="AR33" t="str">
            <v>ERINDALE     T!/T2</v>
          </cell>
          <cell r="AS33" t="str">
            <v>27.6KV</v>
          </cell>
          <cell r="AT33" t="str">
            <v>2-75/125</v>
          </cell>
          <cell r="AU33">
            <v>170</v>
          </cell>
          <cell r="AV33">
            <v>144.5</v>
          </cell>
          <cell r="AW33">
            <v>164.9</v>
          </cell>
        </row>
        <row r="34">
          <cell r="AH34" t="str">
            <v>|</v>
          </cell>
          <cell r="AI34">
            <v>1992</v>
          </cell>
          <cell r="AK34">
            <v>1076</v>
          </cell>
          <cell r="AN34" t="str">
            <v>|</v>
          </cell>
          <cell r="AZ34" t="str">
            <v>.(2)</v>
          </cell>
          <cell r="BA34" t="str">
            <v>Tomken  TS  T3/T4</v>
          </cell>
          <cell r="BK34" t="str">
            <v>.(2)</v>
          </cell>
          <cell r="BL34" t="str">
            <v>New  DESN  Unit</v>
          </cell>
        </row>
        <row r="35">
          <cell r="AH35" t="str">
            <v>|</v>
          </cell>
          <cell r="AN35">
            <v>2.5864368406579574E-2</v>
          </cell>
        </row>
        <row r="36">
          <cell r="AH36" t="str">
            <v>|</v>
          </cell>
          <cell r="AI36">
            <v>1993</v>
          </cell>
          <cell r="AK36">
            <v>1095</v>
          </cell>
          <cell r="AN36" t="str">
            <v>|</v>
          </cell>
          <cell r="AR36" t="str">
            <v>T O T A L</v>
          </cell>
          <cell r="AU36">
            <v>1445</v>
          </cell>
          <cell r="AV36">
            <v>1228.25</v>
          </cell>
          <cell r="AW36">
            <v>1401.6499999999999</v>
          </cell>
          <cell r="AZ36" t="str">
            <v>.(3)</v>
          </cell>
          <cell r="BA36" t="str">
            <v>New  DESN  Unit</v>
          </cell>
        </row>
        <row r="37">
          <cell r="AH37" t="str">
            <v>|</v>
          </cell>
          <cell r="AN37" t="str">
            <v>|</v>
          </cell>
        </row>
        <row r="38">
          <cell r="AH38" t="str">
            <v>|</v>
          </cell>
          <cell r="AI38">
            <v>1994</v>
          </cell>
          <cell r="AK38">
            <v>1099</v>
          </cell>
          <cell r="AN38" t="str">
            <v>|</v>
          </cell>
          <cell r="AR38" t="str">
            <v>T O T A L   44  KV  S Y S T E M</v>
          </cell>
          <cell r="AV38">
            <v>697</v>
          </cell>
          <cell r="AW38">
            <v>795.4</v>
          </cell>
        </row>
        <row r="39">
          <cell r="AH39" t="str">
            <v>|</v>
          </cell>
          <cell r="AN39" t="str">
            <v>|</v>
          </cell>
        </row>
        <row r="40">
          <cell r="AH40" t="str">
            <v>-</v>
          </cell>
          <cell r="AI40">
            <v>1995</v>
          </cell>
          <cell r="AK40">
            <v>1168</v>
          </cell>
          <cell r="AN40" t="str">
            <v>-</v>
          </cell>
          <cell r="AR40" t="str">
            <v>NORTH   27.6  kV   SYSTEM</v>
          </cell>
          <cell r="AV40">
            <v>209.95</v>
          </cell>
          <cell r="AW40">
            <v>696.45999999999992</v>
          </cell>
          <cell r="BC40" t="str">
            <v xml:space="preserve">Hydro   Mississauga </v>
          </cell>
          <cell r="BN40" t="str">
            <v xml:space="preserve">Hydro   Mississauga </v>
          </cell>
        </row>
        <row r="41">
          <cell r="AH41" t="str">
            <v>-</v>
          </cell>
          <cell r="AN41" t="str">
            <v>|</v>
          </cell>
          <cell r="BC41" t="str">
            <v>Base  Case   Forecast</v>
          </cell>
          <cell r="BN41" t="str">
            <v>Base  Case   Forecast</v>
          </cell>
        </row>
        <row r="42">
          <cell r="AH42" t="str">
            <v>|</v>
          </cell>
          <cell r="AI42">
            <v>1996</v>
          </cell>
          <cell r="AK42">
            <v>1195</v>
          </cell>
          <cell r="AN42" t="str">
            <v>|</v>
          </cell>
          <cell r="BC42" t="str">
            <v>Erindale  &amp;  Tomken  44  kV    Area</v>
          </cell>
          <cell r="BN42" t="str">
            <v>North   27.6   kV  Area</v>
          </cell>
        </row>
        <row r="43">
          <cell r="AH43" t="str">
            <v>|</v>
          </cell>
          <cell r="AN43" t="str">
            <v>|</v>
          </cell>
        </row>
        <row r="44">
          <cell r="AH44" t="str">
            <v>|</v>
          </cell>
          <cell r="AI44">
            <v>1997</v>
          </cell>
          <cell r="AK44">
            <v>1228</v>
          </cell>
          <cell r="AN44" t="str">
            <v>|</v>
          </cell>
          <cell r="BC44" t="str">
            <v>Future Facility Requirements</v>
          </cell>
          <cell r="BN44" t="str">
            <v>Future Facility Requirements</v>
          </cell>
        </row>
        <row r="45">
          <cell r="AH45" t="str">
            <v>Forecast</v>
          </cell>
          <cell r="AN45">
            <v>3.1965395151428266E-2</v>
          </cell>
        </row>
        <row r="46">
          <cell r="AH46" t="str">
            <v>|</v>
          </cell>
          <cell r="AI46">
            <v>1998</v>
          </cell>
          <cell r="AK46">
            <v>1271</v>
          </cell>
          <cell r="AN46" t="str">
            <v>|</v>
          </cell>
          <cell r="AR46" t="str">
            <v>*Prorated  LTRs  available   for   HM</v>
          </cell>
          <cell r="AZ46">
            <v>1993</v>
          </cell>
          <cell r="BB46" t="str">
            <v>Add   a  44 kV  75/125  MVA  DESN   Unit</v>
          </cell>
          <cell r="BK46">
            <v>1993</v>
          </cell>
          <cell r="BM46" t="str">
            <v>Add   a  27.6 kV  75/125  MVA  DESN   Unit</v>
          </cell>
        </row>
        <row r="47">
          <cell r="AH47" t="str">
            <v>|</v>
          </cell>
          <cell r="AN47" t="str">
            <v>|</v>
          </cell>
        </row>
        <row r="48">
          <cell r="AH48" t="str">
            <v>|</v>
          </cell>
          <cell r="AI48">
            <v>1999</v>
          </cell>
          <cell r="AK48">
            <v>1318</v>
          </cell>
          <cell r="AN48" t="str">
            <v>|</v>
          </cell>
          <cell r="AZ48">
            <v>1997</v>
          </cell>
          <cell r="BB48" t="str">
            <v>Add   a  44 kV  75/125  MVA  DESN   Unit</v>
          </cell>
          <cell r="BK48">
            <v>1997</v>
          </cell>
          <cell r="BM48" t="str">
            <v>Add   a  27.6 kV  75/125  MVA  DESN   Unit</v>
          </cell>
        </row>
        <row r="49">
          <cell r="AH49" t="str">
            <v>|</v>
          </cell>
          <cell r="AN49" t="str">
            <v>|</v>
          </cell>
        </row>
        <row r="50">
          <cell r="AH50" t="str">
            <v>-</v>
          </cell>
          <cell r="AI50">
            <v>2000</v>
          </cell>
          <cell r="AK50">
            <v>1367</v>
          </cell>
          <cell r="AN50" t="str">
            <v>-</v>
          </cell>
          <cell r="AZ50">
            <v>1999</v>
          </cell>
          <cell r="BB50" t="str">
            <v>Add   a  44 kV  75/125  MVA  DESN   Unit</v>
          </cell>
        </row>
      </sheetData>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sheetName val="46"/>
      <sheetName val="WorkBook_Current"/>
      <sheetName val="47"/>
      <sheetName val="Calc_Rate Rider GA_NonRPP"/>
      <sheetName val="1595 Continuity 2011"/>
      <sheetName val="1595 May 1, 2008"/>
      <sheetName val="1595 Continuity 2010"/>
      <sheetName val="Group 1 Accounts"/>
      <sheetName val="2011-2 Amortization"/>
      <sheetName val="2010 Amortization"/>
      <sheetName val="Reg Asset_Liability Details"/>
    </sheetNames>
    <sheetDataSet>
      <sheetData sheetId="0"/>
      <sheetData sheetId="1">
        <row r="13">
          <cell r="B13">
            <v>412999.31503145257</v>
          </cell>
        </row>
        <row r="14">
          <cell r="B14">
            <v>3004.5149685474703</v>
          </cell>
        </row>
      </sheetData>
      <sheetData sheetId="2"/>
      <sheetData sheetId="3">
        <row r="12">
          <cell r="B12">
            <v>-380573.15154799278</v>
          </cell>
        </row>
        <row r="13">
          <cell r="B13">
            <v>-26871.494989702765</v>
          </cell>
        </row>
      </sheetData>
      <sheetData sheetId="4"/>
      <sheetData sheetId="5"/>
      <sheetData sheetId="6"/>
      <sheetData sheetId="7"/>
      <sheetData sheetId="8"/>
      <sheetData sheetId="9"/>
      <sheetData sheetId="10"/>
      <sheetData sheetId="1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
      <sheetName val="44"/>
      <sheetName val="WorkBook_Current"/>
      <sheetName val="45"/>
      <sheetName val="Calc_Rate Rider GA_NonRPP"/>
      <sheetName val="1595 Continuity 2012"/>
      <sheetName val="1595 Continuity 2011"/>
      <sheetName val="1595 May 1, 2008"/>
      <sheetName val="1595 Continuity 2010"/>
      <sheetName val="Group 1 Accounts"/>
      <sheetName val="2011-2 Amortization"/>
      <sheetName val="2012 Amortization"/>
      <sheetName val="Reg Asset_Liability Details"/>
      <sheetName val="2011 EDVAR"/>
      <sheetName val="2012 Journal"/>
    </sheetNames>
    <sheetDataSet>
      <sheetData sheetId="0"/>
      <sheetData sheetId="1">
        <row r="13">
          <cell r="B13">
            <v>939716.62488233519</v>
          </cell>
        </row>
        <row r="14">
          <cell r="B14">
            <v>19647.495117664977</v>
          </cell>
        </row>
      </sheetData>
      <sheetData sheetId="2"/>
      <sheetData sheetId="3">
        <row r="12">
          <cell r="B12">
            <v>658650.29510909086</v>
          </cell>
        </row>
        <row r="13">
          <cell r="B13">
            <v>18243.525539767481</v>
          </cell>
        </row>
      </sheetData>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
      <sheetName val="42"/>
      <sheetName val="WorkBook_Current"/>
      <sheetName val="43"/>
      <sheetName val="Calc_Rate Rider GA_NonRPP"/>
      <sheetName val="1595 Continuity 2012"/>
      <sheetName val="1595 Continuity 2011"/>
      <sheetName val="1595 May 1, 2008"/>
      <sheetName val="1595 Continuity 2010"/>
      <sheetName val="Group 1 Accounts"/>
      <sheetName val="2011-2 Amortization"/>
      <sheetName val="2012 Amortization"/>
      <sheetName val="Reg Asset_Liability Details"/>
      <sheetName val="2011 EDVAR"/>
      <sheetName val="2012 Journal"/>
    </sheetNames>
    <sheetDataSet>
      <sheetData sheetId="0"/>
      <sheetData sheetId="1">
        <row r="13">
          <cell r="B13">
            <v>934686.70981098467</v>
          </cell>
        </row>
        <row r="14">
          <cell r="B14">
            <v>19542.330189015345</v>
          </cell>
        </row>
      </sheetData>
      <sheetData sheetId="2"/>
      <sheetData sheetId="3">
        <row r="12">
          <cell r="B12">
            <v>675111.53392136563</v>
          </cell>
        </row>
        <row r="13">
          <cell r="B13">
            <v>18699.474672285836</v>
          </cell>
        </row>
      </sheetData>
      <sheetData sheetId="4"/>
      <sheetData sheetId="5">
        <row r="92">
          <cell r="H92">
            <v>633985.28640642576</v>
          </cell>
        </row>
        <row r="96">
          <cell r="H96">
            <v>17560.345528239319</v>
          </cell>
        </row>
        <row r="102">
          <cell r="H102">
            <v>910242.24213787389</v>
          </cell>
        </row>
        <row r="106">
          <cell r="H106">
            <v>19031.247862126107</v>
          </cell>
        </row>
      </sheetData>
      <sheetData sheetId="6"/>
      <sheetData sheetId="7"/>
      <sheetData sheetId="8"/>
      <sheetData sheetId="9"/>
      <sheetData sheetId="10"/>
      <sheetData sheetId="11"/>
      <sheetData sheetId="12"/>
      <sheetData sheetId="13"/>
      <sheetData sheetId="14"/>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E"/>
      <sheetName val="MayReg Assets Refund"/>
    </sheetNames>
    <sheetDataSet>
      <sheetData sheetId="0"/>
      <sheetData sheetId="1">
        <row r="27">
          <cell r="C27">
            <v>-1212.3900000000001</v>
          </cell>
        </row>
        <row r="28">
          <cell r="C28">
            <v>9970.6299999999992</v>
          </cell>
        </row>
      </sheetData>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sheetName val="40"/>
      <sheetName val="WorkBook_Current"/>
      <sheetName val="38"/>
      <sheetName val="Calc_Rate Rider GA_NonRPP"/>
      <sheetName val="1595 Continuity 2011"/>
      <sheetName val="1595 May 1, 2008"/>
      <sheetName val="1595 Continuity 2010"/>
      <sheetName val="Group 1 Accounts"/>
      <sheetName val="2011-2 Amortization"/>
      <sheetName val="2010 Amortization"/>
      <sheetName val="Reg Asset_Liability Details"/>
    </sheetNames>
    <sheetDataSet>
      <sheetData sheetId="0"/>
      <sheetData sheetId="1">
        <row r="13">
          <cell r="B13">
            <v>9554.5320528306565</v>
          </cell>
        </row>
        <row r="14">
          <cell r="B14">
            <v>69.507947169379918</v>
          </cell>
        </row>
      </sheetData>
      <sheetData sheetId="2"/>
      <sheetData sheetId="3"/>
      <sheetData sheetId="4"/>
      <sheetData sheetId="5">
        <row r="183">
          <cell r="H183">
            <v>40649.420881213729</v>
          </cell>
        </row>
        <row r="187">
          <cell r="H187">
            <v>295.71911878616947</v>
          </cell>
        </row>
      </sheetData>
      <sheetData sheetId="6"/>
      <sheetData sheetId="7"/>
      <sheetData sheetId="8"/>
      <sheetData sheetId="9"/>
      <sheetData sheetId="10"/>
      <sheetData sheetId="1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APH FAQ"/>
      <sheetName val="2.1521 &amp; 1562 RR Calc"/>
      <sheetName val="3.New Accounts required"/>
    </sheetNames>
    <sheetDataSet>
      <sheetData sheetId="0">
        <row r="60">
          <cell r="C60">
            <v>-1904466.8124833875</v>
          </cell>
        </row>
        <row r="61">
          <cell r="C61">
            <v>161059.09021851505</v>
          </cell>
        </row>
      </sheetData>
      <sheetData sheetId="1"/>
      <sheetData sheetId="2"/>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dure"/>
      <sheetName val="Sheet6"/>
      <sheetName val="Sheet1"/>
      <sheetName val="2. Energy Var (Only) Chk to No4"/>
      <sheetName val="GA reconciliation"/>
      <sheetName val="0.1.Explanation of Variances"/>
      <sheetName val="YoY Revenue MGMT"/>
      <sheetName val="YoY Revenue (2)"/>
      <sheetName val="YoY Revenue"/>
      <sheetName val="Revenue Reconciliation"/>
      <sheetName val="Depn Deferral"/>
      <sheetName val="Units Analysis"/>
      <sheetName val="0.3.Regulatory Adjustments"/>
      <sheetName val="Amrt YTD June 12"/>
      <sheetName val="Amortization Sch"/>
      <sheetName val="Amortization"/>
      <sheetName val="1. Hydro Report"/>
      <sheetName val="1.2KPI MS"/>
      <sheetName val="2. Fixed  Variable Split"/>
      <sheetName val="1. High Level Revenue AnalysisP"/>
      <sheetName val="3. kWh &amp; kW analysis"/>
      <sheetName val="Price Volume Analysis"/>
      <sheetName val="Price Volume Var. YTD Sep 07 "/>
      <sheetName val="Dist Rev Analysis (PV Analysis)"/>
      <sheetName val="2005 Units Analysis"/>
      <sheetName val="Data &gt;&gt;&gt;"/>
      <sheetName val="2005 Monthly Budgeted Revenue"/>
      <sheetName val="KPI"/>
      <sheetName val="4. Exec report"/>
      <sheetName val="Budget Move"/>
      <sheetName val="5. Revenue Seasonality"/>
      <sheetName val="6.Revenue Reconciliation"/>
      <sheetName val="7.RTL Energy"/>
      <sheetName val="8.Budget summarized"/>
      <sheetName val="5.12011-2014 Forecast"/>
      <sheetName val="9.Bill Units"/>
      <sheetName val="10.Actuals"/>
      <sheetName val="May 1 2011 Rates vs Feb 1 (RR)"/>
      <sheetName val="14.May 1, 2012 Rates"/>
      <sheetName val="11.Budget to Fin"/>
      <sheetName val="12.Revenue by Component"/>
      <sheetName val="13.Rate Riders "/>
      <sheetName val="May 1, 2008 Rates"/>
      <sheetName val="Corp Tax Adj"/>
      <sheetName val="Cap Tax Adj"/>
      <sheetName val="2007 Component Breakdown"/>
      <sheetName val="15.Smart Meters"/>
      <sheetName val="Budget Rates"/>
      <sheetName val="May 1, 2007 Rates "/>
      <sheetName val="May 1, 2007 Rates"/>
      <sheetName val="New Rates Nov-Apr"/>
      <sheetName val="LV Rate Computation by JB"/>
      <sheetName val="16.JDE summarized"/>
      <sheetName val="17.JDE data"/>
      <sheetName val="18.GL ref"/>
      <sheetName val="For Investigation - TA"/>
      <sheetName val="For investigation - Demand"/>
      <sheetName val="xxBudget"/>
      <sheetName val="xxSplit"/>
      <sheetName val="Download"/>
      <sheetName val="38"/>
      <sheetName val="39"/>
      <sheetName val="1521 &amp; 1562 RR"/>
      <sheetName val="Analysis"/>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25">
          <cell r="I25">
            <v>-188898.731925181</v>
          </cell>
        </row>
      </sheetData>
      <sheetData sheetId="63"/>
      <sheetData sheetId="64"/>
      <sheetData sheetId="65"/>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 Current Tariff Schedule"/>
      <sheetName val="2016 List"/>
      <sheetName val="3. 2015 Continuity Schedule"/>
      <sheetName val="4. Billing Det. for Def-Var"/>
      <sheetName val="2.1.5 RetailerConsumptionData"/>
      <sheetName val="2.1.5 DistributrConsumptionData"/>
      <sheetName val="2.1.5 TotalConsumptionData"/>
      <sheetName val="212_Total_Connection_RollUp"/>
      <sheetName val="5. Allocating Def-Var Balances"/>
      <sheetName val="6. Calculation of Def-Var RR"/>
      <sheetName val="7. STS - Tax Change"/>
      <sheetName val="8. Shared Tax - Rate Rider"/>
      <sheetName val="9. RTSR Current Rates"/>
      <sheetName val="10. RTSR - UTRs &amp; Sub-Tx"/>
      <sheetName val="11. RTSR - Historical Wholesale"/>
      <sheetName val="12. RTSR - Current Wholesale"/>
      <sheetName val="13. RTSR - Forecast Wholesale"/>
      <sheetName val="14. RTSR Rates to Forecast"/>
      <sheetName val="15. Rev2Cost_GDPIPI"/>
      <sheetName val="16. Additional Rates"/>
      <sheetName val="17. Final Tariff Schedule"/>
      <sheetName val="18. Bill Impacts"/>
      <sheetName val="18. HIDDEN"/>
      <sheetName val="18. Bill Impacts hidden"/>
      <sheetName val="2.1.7 Filing"/>
      <sheetName val="2015 Database"/>
      <sheetName val="lists"/>
      <sheetName val="Sheet2"/>
    </sheetNames>
    <sheetDataSet>
      <sheetData sheetId="0"/>
      <sheetData sheetId="1"/>
      <sheetData sheetId="2"/>
      <sheetData sheetId="3"/>
      <sheetData sheetId="4">
        <row r="34">
          <cell r="AA34">
            <v>887990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 Current Tariff Schedule"/>
      <sheetName val="2016 List"/>
      <sheetName val="3. 2015 Continuity Schedule"/>
      <sheetName val="4. Billing Det. for Def-Var"/>
      <sheetName val="2.1.5 RetailerConsumptionData"/>
      <sheetName val="2.1.5 DistributrConsumptionData"/>
      <sheetName val="2.1.5 TotalConsumptionData"/>
      <sheetName val="212_Total_Connection_RollUp"/>
      <sheetName val="5. Allocating Def-Var Balances"/>
      <sheetName val="6. Calculation of Def-Var RR"/>
      <sheetName val="7. STS - Tax Change"/>
      <sheetName val="8. Shared Tax - Rate Rider"/>
      <sheetName val="9. RTSR Current Rates"/>
      <sheetName val="10. RTSR - UTRs &amp; Sub-Tx"/>
      <sheetName val="11. RTSR - Historical Wholesale"/>
      <sheetName val="12. RTSR - Current Wholesale"/>
      <sheetName val="13. RTSR - Forecast Wholesale"/>
      <sheetName val="14. RTSR Rates to Forecast"/>
      <sheetName val="15. Rev2Cost_GDPIPI"/>
      <sheetName val="16. Additional Rates"/>
      <sheetName val="17. Final Tariff Schedule"/>
      <sheetName val="18. Bill Impacts"/>
      <sheetName val="18. HIDDEN"/>
      <sheetName val="18. Bill Impacts hidden"/>
      <sheetName val="2.1.7 Filing"/>
      <sheetName val="2015 Database"/>
      <sheetName val="lists"/>
      <sheetName val="Sheet2"/>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0507"/>
      <sheetName val="c0504"/>
      <sheetName val="c0505"/>
      <sheetName val="c0561"/>
      <sheetName val="c0565"/>
      <sheetName val="c0563"/>
      <sheetName val="c0576"/>
      <sheetName val="c0542"/>
      <sheetName val="c0541"/>
      <sheetName val="c0531"/>
      <sheetName val="C0598"/>
      <sheetName val="C0899"/>
      <sheetName val="GEA"/>
      <sheetName val="C0597"/>
      <sheetName val="C0599"/>
      <sheetName val="c0584"/>
      <sheetName val="c0595"/>
      <sheetName val="c0585"/>
      <sheetName val="C0581"/>
      <sheetName val="co591"/>
      <sheetName val="Forecast"/>
      <sheetName val="E&amp;O Comparison"/>
      <sheetName val="E&amp;O Totals"/>
      <sheetName val="E&amp;O Projects &amp; Co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PCAP95"/>
      <sheetName val="Zone Data"/>
      <sheetName val="SUM95"/>
      <sheetName val="SUM96"/>
      <sheetName val="SUM96 (2)"/>
      <sheetName val="Budget"/>
    </sheetNames>
    <sheetDataSet>
      <sheetData sheetId="0"/>
      <sheetData sheetId="1"/>
      <sheetData sheetId="2" refreshError="1">
        <row r="14">
          <cell r="AV14" t="str">
            <v>SUBTRANSMISSION</v>
          </cell>
        </row>
        <row r="16">
          <cell r="AV16">
            <v>9324</v>
          </cell>
          <cell r="AX16" t="str">
            <v>27.6/13.8 kV OH Rebuild</v>
          </cell>
          <cell r="BC16">
            <v>105</v>
          </cell>
          <cell r="BE16">
            <v>105</v>
          </cell>
        </row>
        <row r="17">
          <cell r="AV17">
            <v>9401</v>
          </cell>
          <cell r="AX17" t="str">
            <v>44 kV OH Burnhamthorpe Rebuild</v>
          </cell>
          <cell r="BC17">
            <v>600</v>
          </cell>
          <cell r="BE17">
            <v>600</v>
          </cell>
        </row>
        <row r="18">
          <cell r="AX18" t="str">
            <v>44/13.8 kV Eglinton  to HP</v>
          </cell>
          <cell r="BC18">
            <v>190</v>
          </cell>
          <cell r="BE18">
            <v>190</v>
          </cell>
        </row>
        <row r="19">
          <cell r="AX19" t="str">
            <v>44 kV Ont Hydro conversion to EMPk</v>
          </cell>
          <cell r="BC19">
            <v>225</v>
          </cell>
          <cell r="BE19">
            <v>225</v>
          </cell>
        </row>
        <row r="20">
          <cell r="AX20" t="str">
            <v>27.6 kV Stillmeadow</v>
          </cell>
          <cell r="BC20">
            <v>44</v>
          </cell>
          <cell r="BE20">
            <v>44</v>
          </cell>
        </row>
        <row r="21">
          <cell r="AX21" t="str">
            <v>27.6 kV Reclosers</v>
          </cell>
          <cell r="BC21">
            <v>396</v>
          </cell>
          <cell r="BE21">
            <v>396</v>
          </cell>
        </row>
        <row r="22">
          <cell r="AX22" t="str">
            <v>27.6 kV Derry-loop &amp; Scadamates</v>
          </cell>
          <cell r="BC22">
            <v>420</v>
          </cell>
          <cell r="BE22">
            <v>420</v>
          </cell>
        </row>
        <row r="24">
          <cell r="AW24" t="str">
            <v>TOTAL-SUBTRANSMISSION</v>
          </cell>
          <cell r="BC24">
            <v>1980</v>
          </cell>
          <cell r="BE24">
            <v>1980</v>
          </cell>
        </row>
        <row r="27">
          <cell r="AV27" t="str">
            <v>DISTRIBUTION</v>
          </cell>
        </row>
        <row r="29">
          <cell r="AV29">
            <v>9402</v>
          </cell>
          <cell r="AX29" t="str">
            <v>13.8 kV Streetsville Conv.</v>
          </cell>
          <cell r="BC29">
            <v>100</v>
          </cell>
          <cell r="BE29">
            <v>100</v>
          </cell>
        </row>
        <row r="30">
          <cell r="AX30" t="str">
            <v>13.8 kV Lisgar Feeder</v>
          </cell>
          <cell r="BC30">
            <v>103</v>
          </cell>
          <cell r="BE30">
            <v>103</v>
          </cell>
        </row>
        <row r="31">
          <cell r="AX31" t="str">
            <v>13.8 kV Winston Churchill Blvd.</v>
          </cell>
          <cell r="BC31">
            <v>199</v>
          </cell>
          <cell r="BE31">
            <v>199</v>
          </cell>
        </row>
        <row r="32">
          <cell r="AX32" t="str">
            <v>13.8 kV Laird Dr. U/G Tie</v>
          </cell>
          <cell r="BC32">
            <v>48</v>
          </cell>
          <cell r="BE32">
            <v>48</v>
          </cell>
        </row>
        <row r="33">
          <cell r="AX33" t="str">
            <v>13.8 kV Palgrave Recon.</v>
          </cell>
          <cell r="BC33">
            <v>36</v>
          </cell>
          <cell r="BE33">
            <v>36</v>
          </cell>
        </row>
        <row r="34">
          <cell r="AX34" t="str">
            <v>4.16 kV Clarkson Circuit</v>
          </cell>
          <cell r="BC34">
            <v>104</v>
          </cell>
          <cell r="BE34">
            <v>104</v>
          </cell>
        </row>
        <row r="35">
          <cell r="AX35" t="str">
            <v>4.16 kV Munden MS Egress</v>
          </cell>
          <cell r="BC35">
            <v>100</v>
          </cell>
          <cell r="BE35">
            <v>100</v>
          </cell>
        </row>
        <row r="37">
          <cell r="AW37" t="str">
            <v>TOTAL-DISTRIBUTION</v>
          </cell>
          <cell r="BC37">
            <v>690</v>
          </cell>
          <cell r="BE37">
            <v>690</v>
          </cell>
        </row>
        <row r="40">
          <cell r="AV40" t="str">
            <v>SUBSTATION</v>
          </cell>
        </row>
        <row r="42">
          <cell r="AV42">
            <v>9209</v>
          </cell>
          <cell r="AX42" t="str">
            <v>Confederation</v>
          </cell>
          <cell r="BC42">
            <v>2400</v>
          </cell>
          <cell r="BE42">
            <v>800</v>
          </cell>
        </row>
        <row r="43">
          <cell r="AV43">
            <v>9309</v>
          </cell>
          <cell r="AX43" t="str">
            <v>Matheson</v>
          </cell>
          <cell r="BC43">
            <v>660</v>
          </cell>
          <cell r="BE43">
            <v>160</v>
          </cell>
        </row>
        <row r="44">
          <cell r="AV44">
            <v>9403</v>
          </cell>
          <cell r="AX44" t="str">
            <v>Thomas</v>
          </cell>
          <cell r="BC44">
            <v>1380</v>
          </cell>
          <cell r="BE44">
            <v>500</v>
          </cell>
        </row>
        <row r="45">
          <cell r="AV45">
            <v>9404</v>
          </cell>
          <cell r="AX45" t="str">
            <v>Sheridan Park MS Rebuild</v>
          </cell>
          <cell r="BC45">
            <v>870</v>
          </cell>
          <cell r="BE45">
            <v>870</v>
          </cell>
        </row>
        <row r="46">
          <cell r="AV46">
            <v>9405</v>
          </cell>
          <cell r="AX46" t="str">
            <v>Orchard Heights MS Rebuild</v>
          </cell>
          <cell r="BC46">
            <v>1545</v>
          </cell>
          <cell r="BE46">
            <v>1000</v>
          </cell>
        </row>
        <row r="48">
          <cell r="AW48" t="str">
            <v>TOTAL-SUBSTATION</v>
          </cell>
          <cell r="BC48">
            <v>6855</v>
          </cell>
          <cell r="BE48">
            <v>3330</v>
          </cell>
        </row>
        <row r="51">
          <cell r="AV51" t="str">
            <v>SUBDIVISION REBUILDS</v>
          </cell>
        </row>
        <row r="53">
          <cell r="AV53">
            <v>9407</v>
          </cell>
          <cell r="AX53" t="str">
            <v>Applewood Heights Ph1</v>
          </cell>
          <cell r="BC53">
            <v>2500</v>
          </cell>
          <cell r="BE53">
            <v>250</v>
          </cell>
        </row>
        <row r="54">
          <cell r="AV54">
            <v>9408</v>
          </cell>
          <cell r="AX54" t="str">
            <v>Comanche/Cochise</v>
          </cell>
          <cell r="BC54">
            <v>500</v>
          </cell>
          <cell r="BE54">
            <v>50</v>
          </cell>
        </row>
        <row r="55">
          <cell r="AV55">
            <v>9409</v>
          </cell>
          <cell r="AX55" t="str">
            <v>Malton Ph3</v>
          </cell>
          <cell r="BC55">
            <v>1000</v>
          </cell>
          <cell r="BE55">
            <v>100</v>
          </cell>
        </row>
        <row r="56">
          <cell r="AV56">
            <v>9410</v>
          </cell>
          <cell r="AX56" t="str">
            <v>Sheridan Homelands Ph3</v>
          </cell>
          <cell r="BC56">
            <v>800</v>
          </cell>
          <cell r="BE56">
            <v>80</v>
          </cell>
        </row>
        <row r="58">
          <cell r="AW58" t="str">
            <v>TOTAL-REBUILDS</v>
          </cell>
          <cell r="BC58">
            <v>4800</v>
          </cell>
          <cell r="BE58">
            <v>480</v>
          </cell>
        </row>
        <row r="76">
          <cell r="B76" t="str">
            <v>SUBTRANSMISSION</v>
          </cell>
        </row>
        <row r="79">
          <cell r="A79" t="str">
            <v>6a</v>
          </cell>
          <cell r="B79" t="str">
            <v>44 kV Fieldgate Dr.</v>
          </cell>
        </row>
        <row r="80">
          <cell r="A80" t="str">
            <v>6b</v>
          </cell>
          <cell r="B80" t="str">
            <v>44 kV Eglinton/Dixie</v>
          </cell>
        </row>
        <row r="81">
          <cell r="A81">
            <v>7</v>
          </cell>
          <cell r="B81" t="str">
            <v>44 kV Britannia Rd.</v>
          </cell>
        </row>
        <row r="82">
          <cell r="A82" t="str">
            <v>8*</v>
          </cell>
          <cell r="B82" t="str">
            <v>44 kV Winston Churchill Blvd.</v>
          </cell>
        </row>
        <row r="83">
          <cell r="A83">
            <v>9</v>
          </cell>
          <cell r="B83" t="str">
            <v>44 kV C.P.R. Tracks</v>
          </cell>
        </row>
        <row r="84">
          <cell r="A84" t="str">
            <v>11a</v>
          </cell>
          <cell r="B84" t="str">
            <v>44 kV Glengarry</v>
          </cell>
        </row>
        <row r="85">
          <cell r="A85">
            <v>12</v>
          </cell>
          <cell r="B85" t="str">
            <v>44 kV Glen Erin Dr.</v>
          </cell>
        </row>
        <row r="86">
          <cell r="A86">
            <v>15</v>
          </cell>
          <cell r="B86" t="str">
            <v>44 kV Hurontario St.</v>
          </cell>
        </row>
        <row r="87">
          <cell r="A87">
            <v>16</v>
          </cell>
          <cell r="B87" t="str">
            <v>44 kV Mississauga Rd. - Dundas St.</v>
          </cell>
        </row>
        <row r="88">
          <cell r="A88" t="str">
            <v>17a</v>
          </cell>
          <cell r="B88" t="str">
            <v>44 kV Mississauga Rd. - Eglinton Av.</v>
          </cell>
        </row>
        <row r="89">
          <cell r="A89" t="str">
            <v>17*</v>
          </cell>
          <cell r="B89" t="str">
            <v>44 kV Meadowvale T.S. Feeders</v>
          </cell>
        </row>
        <row r="90">
          <cell r="A90" t="str">
            <v>19a</v>
          </cell>
          <cell r="B90" t="str">
            <v>44 kV Drew Rd.</v>
          </cell>
        </row>
        <row r="91">
          <cell r="A91" t="str">
            <v>*</v>
          </cell>
          <cell r="B91" t="str">
            <v>44 kV Tomken/Bloor</v>
          </cell>
        </row>
        <row r="92">
          <cell r="A92" t="str">
            <v>*</v>
          </cell>
          <cell r="B92" t="str">
            <v>44 kV Summerville</v>
          </cell>
        </row>
        <row r="93">
          <cell r="A93" t="str">
            <v>*</v>
          </cell>
          <cell r="B93" t="str">
            <v>27.6 kV Second Line Express Feeder</v>
          </cell>
        </row>
        <row r="94">
          <cell r="A94" t="str">
            <v>*</v>
          </cell>
          <cell r="B94" t="str">
            <v>27.6 kV Midway Blvd.</v>
          </cell>
        </row>
        <row r="95">
          <cell r="A95">
            <v>20</v>
          </cell>
          <cell r="B95" t="str">
            <v>27.6 kV Ontario Hydro ROW - W. C. Blvd.</v>
          </cell>
        </row>
        <row r="96">
          <cell r="A96">
            <v>24</v>
          </cell>
          <cell r="B96" t="str">
            <v>27.6 kV Ontario Hydro ROW - Queensway</v>
          </cell>
        </row>
        <row r="97">
          <cell r="A97">
            <v>25</v>
          </cell>
          <cell r="B97" t="str">
            <v>27 6 kV Dixie Mall</v>
          </cell>
        </row>
        <row r="98">
          <cell r="A98" t="str">
            <v>25a</v>
          </cell>
          <cell r="B98" t="str">
            <v>27.6 kV Lakeshore/Hwy 10</v>
          </cell>
        </row>
        <row r="99">
          <cell r="A99">
            <v>29</v>
          </cell>
          <cell r="B99" t="str">
            <v>27.6 kV Erindale T.S./Eglinton Av.</v>
          </cell>
        </row>
        <row r="100">
          <cell r="A100">
            <v>32</v>
          </cell>
          <cell r="B100" t="str">
            <v>27.6 kV Britannia Rd - Hwy 10</v>
          </cell>
        </row>
        <row r="101">
          <cell r="A101" t="str">
            <v>34a</v>
          </cell>
          <cell r="B101" t="str">
            <v>27.6 kV Bramalea T.S. - Dixie</v>
          </cell>
        </row>
        <row r="102">
          <cell r="A102" t="str">
            <v>34b</v>
          </cell>
          <cell r="B102" t="str">
            <v>27.6 kV Pacific Dr. - Midway</v>
          </cell>
        </row>
        <row r="103">
          <cell r="A103" t="str">
            <v>34c</v>
          </cell>
          <cell r="B103" t="str">
            <v>27.6 kV Highway 10</v>
          </cell>
        </row>
        <row r="104">
          <cell r="A104" t="str">
            <v>34d</v>
          </cell>
          <cell r="B104" t="str">
            <v>27.6 kV Superoir Dr.</v>
          </cell>
        </row>
        <row r="108">
          <cell r="B108" t="str">
            <v>TOTAL - TRANSMISSION</v>
          </cell>
          <cell r="C108">
            <v>0</v>
          </cell>
          <cell r="D108">
            <v>0</v>
          </cell>
          <cell r="E108">
            <v>0</v>
          </cell>
          <cell r="F108">
            <v>0</v>
          </cell>
          <cell r="G108">
            <v>0</v>
          </cell>
          <cell r="H108">
            <v>0</v>
          </cell>
          <cell r="I108">
            <v>0</v>
          </cell>
        </row>
        <row r="111">
          <cell r="B111" t="str">
            <v>DISTRIBUTION</v>
          </cell>
        </row>
        <row r="113">
          <cell r="A113">
            <v>4</v>
          </cell>
          <cell r="B113" t="str">
            <v>Streetsville Conversion</v>
          </cell>
        </row>
        <row r="114">
          <cell r="A114" t="str">
            <v>5*</v>
          </cell>
          <cell r="B114" t="str">
            <v>13.8 kV Winston Churchill Blvd.-Eglinton Av.</v>
          </cell>
        </row>
        <row r="115">
          <cell r="A115">
            <v>7</v>
          </cell>
          <cell r="B115" t="str">
            <v>13.8 kV Derry Rd. - Argentia M.S.</v>
          </cell>
        </row>
        <row r="116">
          <cell r="A116" t="str">
            <v>9*</v>
          </cell>
          <cell r="B116" t="str">
            <v>13.8 kV Chalkdene M.S. Feeders</v>
          </cell>
        </row>
        <row r="117">
          <cell r="A117" t="str">
            <v>10b</v>
          </cell>
          <cell r="B117" t="str">
            <v>13.8 kV  W. Churchill Blvd.- Canadian Tire</v>
          </cell>
        </row>
        <row r="118">
          <cell r="A118">
            <v>11</v>
          </cell>
          <cell r="B118" t="str">
            <v>13.8 kV Mavis Rd. - Stillmeadow M.S.</v>
          </cell>
        </row>
        <row r="119">
          <cell r="A119" t="str">
            <v>13*</v>
          </cell>
          <cell r="B119" t="str">
            <v>13.8 kV Burnhamthorpe - Wolfdale ?</v>
          </cell>
        </row>
        <row r="120">
          <cell r="A120">
            <v>14</v>
          </cell>
          <cell r="B120" t="str">
            <v>13.8 kV Tomken - Dundas St.</v>
          </cell>
        </row>
        <row r="121">
          <cell r="A121">
            <v>15</v>
          </cell>
          <cell r="B121" t="str">
            <v>13.8 kV Mississauga Rd. - Erin Mills Pkwy</v>
          </cell>
        </row>
        <row r="122">
          <cell r="A122" t="str">
            <v>16*</v>
          </cell>
          <cell r="B122" t="str">
            <v>13.8 kV American Drive</v>
          </cell>
        </row>
        <row r="123">
          <cell r="A123" t="str">
            <v>17a</v>
          </cell>
          <cell r="B123" t="str">
            <v>13.8 kV Sheridan Park - Erin Mills Pkwy</v>
          </cell>
        </row>
        <row r="124">
          <cell r="A124" t="str">
            <v>17g</v>
          </cell>
          <cell r="B124" t="str">
            <v>13.8 kV Eglinton - Maingate</v>
          </cell>
        </row>
        <row r="125">
          <cell r="A125" t="str">
            <v>17c</v>
          </cell>
          <cell r="B125" t="str">
            <v>13.8 kV Silver Spear</v>
          </cell>
        </row>
        <row r="126">
          <cell r="A126" t="str">
            <v>17d</v>
          </cell>
          <cell r="B126" t="str">
            <v>13.8 kV Elmbank - Orlando</v>
          </cell>
        </row>
        <row r="127">
          <cell r="A127" t="str">
            <v>17f</v>
          </cell>
          <cell r="B127" t="str">
            <v>13.8 kV Brandon Gate</v>
          </cell>
        </row>
        <row r="128">
          <cell r="A128" t="str">
            <v>17h</v>
          </cell>
          <cell r="B128" t="str">
            <v>13.8 kV Mississauga Rd. - Dundas</v>
          </cell>
        </row>
        <row r="129">
          <cell r="A129" t="str">
            <v>17b</v>
          </cell>
          <cell r="B129" t="str">
            <v>4.16 kV Shawanaga Trail Rebuild</v>
          </cell>
        </row>
        <row r="130">
          <cell r="A130" t="str">
            <v>18*</v>
          </cell>
          <cell r="B130" t="str">
            <v>4.16 kV Clarkson M.S. - Bromsgrove M.S.</v>
          </cell>
        </row>
        <row r="131">
          <cell r="A131" t="str">
            <v>19*</v>
          </cell>
          <cell r="B131" t="str">
            <v>4.16 kV Atwater - Cawthra</v>
          </cell>
        </row>
        <row r="132">
          <cell r="A132">
            <v>20</v>
          </cell>
          <cell r="B132" t="str">
            <v>4.16 kV Cawthra - Canterbury</v>
          </cell>
        </row>
        <row r="133">
          <cell r="A133">
            <v>21</v>
          </cell>
          <cell r="B133" t="str">
            <v>4.16 kV Pinetree - Melton</v>
          </cell>
        </row>
        <row r="134">
          <cell r="A134">
            <v>22</v>
          </cell>
          <cell r="B134" t="str">
            <v>4.16 kV Bromsgrove - Park West</v>
          </cell>
        </row>
        <row r="135">
          <cell r="A135">
            <v>23</v>
          </cell>
          <cell r="B135" t="str">
            <v>4.16 kV Lakeshore - Park Land M.S.</v>
          </cell>
        </row>
        <row r="136">
          <cell r="A136" t="str">
            <v>24a</v>
          </cell>
          <cell r="B136" t="str">
            <v>4.16 kV Park Royal M.S. - Park West M.S.</v>
          </cell>
        </row>
        <row r="137">
          <cell r="A137" t="str">
            <v>24c</v>
          </cell>
          <cell r="B137" t="str">
            <v>4.16 kV Ontario hydro ROW - Stanfield</v>
          </cell>
        </row>
        <row r="140">
          <cell r="B140" t="str">
            <v>TOTAL - DISTRIBUTION</v>
          </cell>
          <cell r="C140">
            <v>0</v>
          </cell>
          <cell r="D140">
            <v>0</v>
          </cell>
          <cell r="E140">
            <v>0</v>
          </cell>
          <cell r="F140">
            <v>0</v>
          </cell>
          <cell r="G140">
            <v>0</v>
          </cell>
          <cell r="H140">
            <v>0</v>
          </cell>
          <cell r="I140">
            <v>0</v>
          </cell>
        </row>
        <row r="143">
          <cell r="B143" t="str">
            <v>MUNICIPAL SUBSTATIONS</v>
          </cell>
        </row>
        <row r="145">
          <cell r="A145">
            <v>5</v>
          </cell>
          <cell r="B145" t="str">
            <v>Lisgar M.S.</v>
          </cell>
        </row>
        <row r="146">
          <cell r="A146" t="str">
            <v>5a</v>
          </cell>
          <cell r="B146" t="str">
            <v>Orlando M.S.</v>
          </cell>
        </row>
        <row r="147">
          <cell r="A147" t="str">
            <v>15e</v>
          </cell>
          <cell r="B147" t="str">
            <v>Argentia M.S.</v>
          </cell>
        </row>
        <row r="148">
          <cell r="A148" t="str">
            <v>15f</v>
          </cell>
          <cell r="B148" t="str">
            <v>Stillmeadow M.S.</v>
          </cell>
        </row>
        <row r="149">
          <cell r="A149" t="str">
            <v>15c</v>
          </cell>
          <cell r="B149" t="str">
            <v>Chalkdene M.S.</v>
          </cell>
        </row>
        <row r="150">
          <cell r="A150">
            <v>10</v>
          </cell>
          <cell r="B150" t="str">
            <v>Sheridan Park Phase ll</v>
          </cell>
        </row>
        <row r="151">
          <cell r="A151">
            <v>1</v>
          </cell>
          <cell r="B151" t="str">
            <v>Substation Egress Cable Replacement</v>
          </cell>
        </row>
        <row r="154">
          <cell r="B154" t="str">
            <v>TOTAL - SUBSTATION</v>
          </cell>
          <cell r="C154">
            <v>0</v>
          </cell>
          <cell r="D154">
            <v>0</v>
          </cell>
          <cell r="E154">
            <v>0</v>
          </cell>
          <cell r="F154">
            <v>0</v>
          </cell>
          <cell r="G154">
            <v>0</v>
          </cell>
          <cell r="H154">
            <v>0</v>
          </cell>
          <cell r="I154">
            <v>0</v>
          </cell>
        </row>
        <row r="157">
          <cell r="B157" t="str">
            <v>SUBDIVISION REBUILDS</v>
          </cell>
        </row>
        <row r="159">
          <cell r="A159">
            <v>3</v>
          </cell>
          <cell r="B159" t="str">
            <v>Forest Glen  Phase ll Rebuild</v>
          </cell>
        </row>
        <row r="160">
          <cell r="A160">
            <v>2</v>
          </cell>
          <cell r="B160" t="str">
            <v>Malton Phase V Rebuild</v>
          </cell>
        </row>
        <row r="161">
          <cell r="A161">
            <v>1</v>
          </cell>
          <cell r="B161" t="str">
            <v>Sheridan Homelands Phase V Rebuild</v>
          </cell>
        </row>
        <row r="162">
          <cell r="A162">
            <v>4</v>
          </cell>
          <cell r="B162" t="str">
            <v>Meadowvale T.C. Phase ll Rebuild</v>
          </cell>
        </row>
        <row r="165">
          <cell r="B165" t="str">
            <v>TOTAL - SUBDIVISION REBUILDS</v>
          </cell>
          <cell r="C165">
            <v>0</v>
          </cell>
          <cell r="D165">
            <v>0</v>
          </cell>
          <cell r="E165">
            <v>0</v>
          </cell>
        </row>
        <row r="168">
          <cell r="B168" t="str">
            <v xml:space="preserve">       Total - Subtransmission</v>
          </cell>
          <cell r="C168">
            <v>0</v>
          </cell>
          <cell r="D168">
            <v>0</v>
          </cell>
          <cell r="E168">
            <v>0</v>
          </cell>
          <cell r="F168">
            <v>0</v>
          </cell>
          <cell r="G168">
            <v>0</v>
          </cell>
          <cell r="H168">
            <v>0</v>
          </cell>
          <cell r="I168">
            <v>0</v>
          </cell>
        </row>
        <row r="169">
          <cell r="B169" t="str">
            <v xml:space="preserve">       Total - Distribution</v>
          </cell>
          <cell r="C169">
            <v>0</v>
          </cell>
          <cell r="D169">
            <v>0</v>
          </cell>
          <cell r="E169">
            <v>0</v>
          </cell>
          <cell r="F169">
            <v>0</v>
          </cell>
          <cell r="G169">
            <v>0</v>
          </cell>
          <cell r="H169">
            <v>0</v>
          </cell>
          <cell r="I169">
            <v>0</v>
          </cell>
        </row>
        <row r="170">
          <cell r="B170" t="str">
            <v xml:space="preserve">       Total - Substations</v>
          </cell>
          <cell r="C170">
            <v>0</v>
          </cell>
          <cell r="D170">
            <v>0</v>
          </cell>
          <cell r="E170">
            <v>0</v>
          </cell>
          <cell r="F170">
            <v>0</v>
          </cell>
          <cell r="G170">
            <v>0</v>
          </cell>
          <cell r="H170">
            <v>0</v>
          </cell>
          <cell r="I170">
            <v>0</v>
          </cell>
        </row>
        <row r="171">
          <cell r="B171" t="str">
            <v xml:space="preserve">       Total - Subdivision Rebuilds</v>
          </cell>
          <cell r="C171">
            <v>0</v>
          </cell>
          <cell r="D171">
            <v>0</v>
          </cell>
          <cell r="E171">
            <v>0</v>
          </cell>
        </row>
        <row r="174">
          <cell r="B174" t="str">
            <v xml:space="preserve">       GRAND TOTAL</v>
          </cell>
          <cell r="C174">
            <v>0</v>
          </cell>
          <cell r="D174">
            <v>0</v>
          </cell>
          <cell r="E174">
            <v>0</v>
          </cell>
        </row>
        <row r="177">
          <cell r="A177" t="str">
            <v>*</v>
          </cell>
          <cell r="B177" t="str">
            <v>Savings p.a. to the community</v>
          </cell>
        </row>
      </sheetData>
      <sheetData sheetId="3" refreshError="1">
        <row r="203">
          <cell r="E203" t="str">
            <v>TABLE 1</v>
          </cell>
        </row>
        <row r="204">
          <cell r="E204" t="str">
            <v xml:space="preserve">SUMMARY OF </v>
          </cell>
        </row>
        <row r="205">
          <cell r="E205" t="str">
            <v>RECOMMENDED SYSTEM EXPANSION PROJECTS - 1996</v>
          </cell>
        </row>
        <row r="207">
          <cell r="D207" t="str">
            <v>Project</v>
          </cell>
          <cell r="E207">
            <v>1996</v>
          </cell>
          <cell r="F207" t="str">
            <v>Future</v>
          </cell>
          <cell r="H207" t="str">
            <v xml:space="preserve">        BENEFITS</v>
          </cell>
        </row>
        <row r="208">
          <cell r="A208" t="str">
            <v>Item</v>
          </cell>
          <cell r="B208" t="str">
            <v>Item</v>
          </cell>
          <cell r="C208" t="str">
            <v>Description</v>
          </cell>
          <cell r="D208" t="str">
            <v>Cost</v>
          </cell>
          <cell r="E208" t="str">
            <v>Budget</v>
          </cell>
          <cell r="F208" t="str">
            <v>Budget</v>
          </cell>
          <cell r="G208" t="str">
            <v>Add.</v>
          </cell>
          <cell r="I208" t="str">
            <v>SAVINGS (p.a)</v>
          </cell>
          <cell r="K208" t="str">
            <v>Payback</v>
          </cell>
        </row>
        <row r="209">
          <cell r="D209" t="str">
            <v>Estimate</v>
          </cell>
          <cell r="E209" t="str">
            <v>Amount</v>
          </cell>
          <cell r="F209" t="str">
            <v>Amount</v>
          </cell>
          <cell r="G209" t="str">
            <v>Capacity(MW)</v>
          </cell>
          <cell r="H209" t="str">
            <v>Losses</v>
          </cell>
          <cell r="I209" t="str">
            <v>Cust-min.</v>
          </cell>
          <cell r="J209" t="str">
            <v>Out. Costs*</v>
          </cell>
          <cell r="K209" t="str">
            <v>Yrs</v>
          </cell>
        </row>
        <row r="211">
          <cell r="C211" t="str">
            <v>SUBTRANSMISSION</v>
          </cell>
        </row>
        <row r="214">
          <cell r="B214" t="str">
            <v/>
          </cell>
          <cell r="C214" t="str">
            <v/>
          </cell>
          <cell r="D214">
            <v>0</v>
          </cell>
          <cell r="F214">
            <v>0</v>
          </cell>
          <cell r="K214" t="e">
            <v>#DIV/0!</v>
          </cell>
        </row>
        <row r="215">
          <cell r="B215" t="str">
            <v/>
          </cell>
          <cell r="C215" t="str">
            <v/>
          </cell>
          <cell r="D215">
            <v>0</v>
          </cell>
          <cell r="F215">
            <v>0</v>
          </cell>
          <cell r="K215" t="e">
            <v>#DIV/0!</v>
          </cell>
        </row>
        <row r="216">
          <cell r="B216" t="str">
            <v/>
          </cell>
          <cell r="C216" t="str">
            <v/>
          </cell>
          <cell r="D216">
            <v>0</v>
          </cell>
          <cell r="F216">
            <v>0</v>
          </cell>
          <cell r="K216" t="e">
            <v>#DIV/0!</v>
          </cell>
        </row>
        <row r="217">
          <cell r="B217" t="str">
            <v/>
          </cell>
          <cell r="C217" t="str">
            <v/>
          </cell>
          <cell r="D217">
            <v>0</v>
          </cell>
          <cell r="F217">
            <v>0</v>
          </cell>
          <cell r="K217" t="e">
            <v>#DIV/0!</v>
          </cell>
        </row>
        <row r="218">
          <cell r="B218" t="str">
            <v/>
          </cell>
          <cell r="C218" t="str">
            <v/>
          </cell>
          <cell r="D218">
            <v>0</v>
          </cell>
          <cell r="F218">
            <v>0</v>
          </cell>
          <cell r="K218" t="e">
            <v>#DIV/0!</v>
          </cell>
        </row>
        <row r="219">
          <cell r="B219" t="str">
            <v/>
          </cell>
          <cell r="C219" t="str">
            <v/>
          </cell>
          <cell r="D219">
            <v>0</v>
          </cell>
          <cell r="F219">
            <v>0</v>
          </cell>
          <cell r="K219" t="e">
            <v>#DIV/0!</v>
          </cell>
        </row>
        <row r="220">
          <cell r="A220">
            <v>1</v>
          </cell>
          <cell r="B220">
            <v>7</v>
          </cell>
          <cell r="C220" t="str">
            <v>44 kV Fieldgate Feeder Tie</v>
          </cell>
          <cell r="D220">
            <v>250000</v>
          </cell>
          <cell r="E220">
            <v>250000</v>
          </cell>
          <cell r="F220">
            <v>0</v>
          </cell>
          <cell r="G220">
            <v>5</v>
          </cell>
          <cell r="H220">
            <v>10000</v>
          </cell>
          <cell r="I220">
            <v>20000</v>
          </cell>
          <cell r="J220">
            <v>100000</v>
          </cell>
          <cell r="K220">
            <v>2.2727272727272729</v>
          </cell>
        </row>
        <row r="221">
          <cell r="A221">
            <v>2</v>
          </cell>
          <cell r="B221">
            <v>8</v>
          </cell>
          <cell r="C221" t="str">
            <v>44 kV Eglinton/Dixie Intersection Rebuild</v>
          </cell>
          <cell r="D221">
            <v>100000</v>
          </cell>
          <cell r="E221">
            <v>100000</v>
          </cell>
          <cell r="F221">
            <v>0</v>
          </cell>
          <cell r="H221">
            <v>0</v>
          </cell>
          <cell r="I221">
            <v>150000</v>
          </cell>
          <cell r="J221">
            <v>750000</v>
          </cell>
          <cell r="K221">
            <v>0.13333333333333333</v>
          </cell>
        </row>
        <row r="222">
          <cell r="A222">
            <v>3</v>
          </cell>
          <cell r="B222">
            <v>9</v>
          </cell>
          <cell r="C222" t="str">
            <v>44 kV Britannia Rd. Feeder Tie</v>
          </cell>
          <cell r="D222">
            <v>150000</v>
          </cell>
          <cell r="E222">
            <v>0</v>
          </cell>
          <cell r="F222">
            <v>150000</v>
          </cell>
          <cell r="G222">
            <v>5</v>
          </cell>
          <cell r="H222">
            <v>8000</v>
          </cell>
          <cell r="I222">
            <v>10000</v>
          </cell>
          <cell r="J222">
            <v>50000</v>
          </cell>
          <cell r="K222">
            <v>2.5862068965517242</v>
          </cell>
        </row>
        <row r="223">
          <cell r="B223" t="str">
            <v/>
          </cell>
          <cell r="C223" t="str">
            <v/>
          </cell>
          <cell r="D223">
            <v>0</v>
          </cell>
          <cell r="F223">
            <v>0</v>
          </cell>
          <cell r="J223">
            <v>0</v>
          </cell>
          <cell r="K223" t="e">
            <v>#DIV/0!</v>
          </cell>
        </row>
        <row r="224">
          <cell r="A224">
            <v>4</v>
          </cell>
          <cell r="B224">
            <v>11</v>
          </cell>
          <cell r="C224" t="str">
            <v>44 kV Aquitaine MS - C.P.R. Feeder Tie</v>
          </cell>
          <cell r="D224">
            <v>230000</v>
          </cell>
          <cell r="E224">
            <v>0</v>
          </cell>
          <cell r="F224">
            <v>230000</v>
          </cell>
          <cell r="G224">
            <v>10</v>
          </cell>
          <cell r="H224">
            <v>12000</v>
          </cell>
          <cell r="I224">
            <v>15000</v>
          </cell>
          <cell r="J224">
            <v>75000</v>
          </cell>
          <cell r="K224">
            <v>2.6436781609195403</v>
          </cell>
        </row>
        <row r="225">
          <cell r="A225">
            <v>5</v>
          </cell>
          <cell r="B225">
            <v>12</v>
          </cell>
          <cell r="C225" t="str">
            <v>44 kV Glengarry Rd. Feeder Tie</v>
          </cell>
          <cell r="D225">
            <v>105000</v>
          </cell>
          <cell r="E225">
            <v>105000</v>
          </cell>
          <cell r="F225">
            <v>0</v>
          </cell>
          <cell r="G225">
            <v>5</v>
          </cell>
          <cell r="H225">
            <v>7500</v>
          </cell>
          <cell r="I225">
            <v>20000</v>
          </cell>
          <cell r="J225">
            <v>100000</v>
          </cell>
          <cell r="K225">
            <v>0.97674418604651159</v>
          </cell>
        </row>
        <row r="226">
          <cell r="B226" t="str">
            <v/>
          </cell>
          <cell r="C226" t="str">
            <v/>
          </cell>
          <cell r="D226">
            <v>0</v>
          </cell>
          <cell r="F226">
            <v>0</v>
          </cell>
          <cell r="J226">
            <v>0</v>
          </cell>
          <cell r="K226" t="e">
            <v>#DIV/0!</v>
          </cell>
        </row>
        <row r="227">
          <cell r="B227" t="str">
            <v/>
          </cell>
          <cell r="C227" t="str">
            <v/>
          </cell>
          <cell r="D227">
            <v>0</v>
          </cell>
          <cell r="F227">
            <v>0</v>
          </cell>
          <cell r="J227">
            <v>0</v>
          </cell>
          <cell r="K227" t="e">
            <v>#DIV/0!</v>
          </cell>
        </row>
        <row r="228">
          <cell r="B228" t="str">
            <v/>
          </cell>
          <cell r="C228" t="str">
            <v/>
          </cell>
          <cell r="D228">
            <v>0</v>
          </cell>
          <cell r="F228">
            <v>0</v>
          </cell>
          <cell r="J228">
            <v>0</v>
          </cell>
          <cell r="K228" t="e">
            <v>#DIV/0!</v>
          </cell>
        </row>
        <row r="229">
          <cell r="B229" t="str">
            <v/>
          </cell>
          <cell r="C229" t="str">
            <v/>
          </cell>
          <cell r="D229">
            <v>0</v>
          </cell>
          <cell r="F229">
            <v>0</v>
          </cell>
          <cell r="J229">
            <v>0</v>
          </cell>
          <cell r="K229" t="e">
            <v>#DIV/0!</v>
          </cell>
        </row>
        <row r="230">
          <cell r="A230">
            <v>6</v>
          </cell>
          <cell r="B230">
            <v>17</v>
          </cell>
          <cell r="C230" t="str">
            <v>44 kV Mississauga Rd. Feeder Tie</v>
          </cell>
          <cell r="D230">
            <v>190000</v>
          </cell>
          <cell r="E230">
            <v>0</v>
          </cell>
          <cell r="F230">
            <v>190000</v>
          </cell>
          <cell r="G230">
            <v>5</v>
          </cell>
          <cell r="H230">
            <v>9000</v>
          </cell>
          <cell r="I230">
            <v>15000</v>
          </cell>
          <cell r="J230">
            <v>75000</v>
          </cell>
          <cell r="K230">
            <v>2.2619047619047619</v>
          </cell>
        </row>
        <row r="231">
          <cell r="B231" t="str">
            <v/>
          </cell>
          <cell r="C231" t="str">
            <v/>
          </cell>
          <cell r="D231">
            <v>0</v>
          </cell>
          <cell r="F231">
            <v>0</v>
          </cell>
          <cell r="J231">
            <v>0</v>
          </cell>
          <cell r="K231" t="e">
            <v>#DIV/0!</v>
          </cell>
        </row>
        <row r="232">
          <cell r="A232">
            <v>7</v>
          </cell>
          <cell r="B232">
            <v>19</v>
          </cell>
          <cell r="C232" t="str">
            <v>44 kV Drew Rd. Feeder Tie</v>
          </cell>
          <cell r="D232">
            <v>205000</v>
          </cell>
          <cell r="E232">
            <v>0</v>
          </cell>
          <cell r="F232">
            <v>205000</v>
          </cell>
          <cell r="G232">
            <v>5</v>
          </cell>
          <cell r="H232">
            <v>8000</v>
          </cell>
          <cell r="I232">
            <v>12000</v>
          </cell>
          <cell r="J232">
            <v>60000</v>
          </cell>
          <cell r="K232">
            <v>3.0147058823529411</v>
          </cell>
        </row>
        <row r="233">
          <cell r="B233" t="str">
            <v/>
          </cell>
          <cell r="C233" t="str">
            <v/>
          </cell>
          <cell r="D233">
            <v>0</v>
          </cell>
          <cell r="F233">
            <v>0</v>
          </cell>
          <cell r="J233">
            <v>0</v>
          </cell>
          <cell r="K233" t="e">
            <v>#DIV/0!</v>
          </cell>
        </row>
        <row r="234">
          <cell r="A234">
            <v>8</v>
          </cell>
          <cell r="B234">
            <v>21</v>
          </cell>
          <cell r="C234" t="str">
            <v>27.6 kV Stanfield Feeder Tie</v>
          </cell>
          <cell r="D234">
            <v>245000</v>
          </cell>
          <cell r="E234">
            <v>0</v>
          </cell>
          <cell r="F234">
            <v>245000</v>
          </cell>
          <cell r="H234">
            <v>0</v>
          </cell>
          <cell r="I234">
            <v>50000</v>
          </cell>
          <cell r="J234">
            <v>250000</v>
          </cell>
          <cell r="K234">
            <v>0.98</v>
          </cell>
        </row>
        <row r="235">
          <cell r="B235" t="str">
            <v/>
          </cell>
          <cell r="C235" t="str">
            <v/>
          </cell>
          <cell r="D235">
            <v>0</v>
          </cell>
          <cell r="F235">
            <v>0</v>
          </cell>
          <cell r="J235">
            <v>0</v>
          </cell>
          <cell r="K235" t="e">
            <v>#DIV/0!</v>
          </cell>
        </row>
        <row r="236">
          <cell r="A236">
            <v>9</v>
          </cell>
          <cell r="B236">
            <v>23</v>
          </cell>
          <cell r="C236" t="str">
            <v xml:space="preserve">27.6 kV Lakeshore Rd. Reconductoring </v>
          </cell>
          <cell r="D236">
            <v>140000</v>
          </cell>
          <cell r="E236">
            <v>140000</v>
          </cell>
          <cell r="F236">
            <v>0</v>
          </cell>
          <cell r="G236">
            <v>3</v>
          </cell>
          <cell r="H236">
            <v>10000</v>
          </cell>
          <cell r="I236">
            <v>8000</v>
          </cell>
          <cell r="J236">
            <v>40000</v>
          </cell>
          <cell r="K236">
            <v>2.8</v>
          </cell>
        </row>
        <row r="237">
          <cell r="B237" t="str">
            <v/>
          </cell>
          <cell r="C237" t="str">
            <v/>
          </cell>
          <cell r="D237">
            <v>0</v>
          </cell>
          <cell r="F237">
            <v>0</v>
          </cell>
          <cell r="J237">
            <v>0</v>
          </cell>
          <cell r="K237" t="e">
            <v>#DIV/0!</v>
          </cell>
        </row>
        <row r="238">
          <cell r="B238" t="str">
            <v/>
          </cell>
          <cell r="C238" t="str">
            <v/>
          </cell>
          <cell r="D238">
            <v>0</v>
          </cell>
          <cell r="F238">
            <v>0</v>
          </cell>
          <cell r="J238">
            <v>0</v>
          </cell>
          <cell r="K238" t="e">
            <v>#DIV/0!</v>
          </cell>
        </row>
        <row r="239">
          <cell r="B239" t="str">
            <v/>
          </cell>
          <cell r="C239" t="str">
            <v/>
          </cell>
          <cell r="D239">
            <v>0</v>
          </cell>
          <cell r="F239">
            <v>0</v>
          </cell>
          <cell r="J239">
            <v>0</v>
          </cell>
          <cell r="K239" t="e">
            <v>#DIV/0!</v>
          </cell>
        </row>
        <row r="240">
          <cell r="B240" t="str">
            <v/>
          </cell>
          <cell r="C240" t="str">
            <v/>
          </cell>
          <cell r="D240">
            <v>0</v>
          </cell>
          <cell r="F240">
            <v>0</v>
          </cell>
          <cell r="J240">
            <v>0</v>
          </cell>
          <cell r="K240" t="e">
            <v>#DIV/0!</v>
          </cell>
        </row>
        <row r="241">
          <cell r="B241" t="str">
            <v/>
          </cell>
          <cell r="C241" t="str">
            <v/>
          </cell>
          <cell r="D241">
            <v>0</v>
          </cell>
          <cell r="F241">
            <v>0</v>
          </cell>
          <cell r="J241">
            <v>0</v>
          </cell>
          <cell r="K241" t="e">
            <v>#DIV/0!</v>
          </cell>
        </row>
        <row r="242">
          <cell r="A242">
            <v>10</v>
          </cell>
          <cell r="B242">
            <v>30</v>
          </cell>
          <cell r="C242" t="str">
            <v xml:space="preserve">27.6 kV Britannia Road Feeder </v>
          </cell>
          <cell r="D242">
            <v>170000</v>
          </cell>
          <cell r="E242">
            <v>0</v>
          </cell>
          <cell r="F242">
            <v>170000</v>
          </cell>
          <cell r="G242">
            <v>3</v>
          </cell>
          <cell r="H242">
            <v>6000</v>
          </cell>
          <cell r="I242">
            <v>12000</v>
          </cell>
          <cell r="J242">
            <v>60000</v>
          </cell>
          <cell r="K242">
            <v>2.5757575757575757</v>
          </cell>
        </row>
        <row r="243">
          <cell r="A243">
            <v>11</v>
          </cell>
          <cell r="B243">
            <v>31</v>
          </cell>
          <cell r="C243" t="str">
            <v>27.6 kV Bramalea TS Feeder Ties</v>
          </cell>
          <cell r="D243">
            <v>300000</v>
          </cell>
          <cell r="E243">
            <v>0</v>
          </cell>
          <cell r="F243">
            <v>300000</v>
          </cell>
          <cell r="H243">
            <v>10000</v>
          </cell>
          <cell r="I243">
            <v>80000</v>
          </cell>
          <cell r="J243">
            <v>400000</v>
          </cell>
          <cell r="K243">
            <v>0.73170731707317072</v>
          </cell>
        </row>
        <row r="244">
          <cell r="A244">
            <v>12</v>
          </cell>
          <cell r="B244">
            <v>32</v>
          </cell>
          <cell r="C244" t="str">
            <v>27.6 kV Pacific Drive Feeder Tie</v>
          </cell>
          <cell r="D244">
            <v>230000</v>
          </cell>
          <cell r="E244">
            <v>0</v>
          </cell>
          <cell r="F244">
            <v>230000</v>
          </cell>
          <cell r="G244">
            <v>3</v>
          </cell>
          <cell r="H244">
            <v>6500</v>
          </cell>
          <cell r="I244">
            <v>8000</v>
          </cell>
          <cell r="J244">
            <v>40000</v>
          </cell>
          <cell r="K244">
            <v>4.946236559139785</v>
          </cell>
        </row>
        <row r="245">
          <cell r="A245">
            <v>13</v>
          </cell>
          <cell r="B245">
            <v>33</v>
          </cell>
          <cell r="C245" t="str">
            <v>27.6 kV Highway 10 Feeder Tie</v>
          </cell>
          <cell r="D245">
            <v>230000</v>
          </cell>
          <cell r="E245">
            <v>0</v>
          </cell>
          <cell r="F245">
            <v>230000</v>
          </cell>
          <cell r="G245">
            <v>3</v>
          </cell>
          <cell r="H245">
            <v>10000</v>
          </cell>
          <cell r="I245">
            <v>25000</v>
          </cell>
          <cell r="J245">
            <v>125000</v>
          </cell>
          <cell r="K245">
            <v>1.7037037037037037</v>
          </cell>
        </row>
        <row r="246">
          <cell r="A246">
            <v>14</v>
          </cell>
          <cell r="B246">
            <v>34</v>
          </cell>
          <cell r="C246" t="str">
            <v>27.6 kV Superior Feeder Tie</v>
          </cell>
          <cell r="D246">
            <v>50000</v>
          </cell>
          <cell r="E246">
            <v>50000</v>
          </cell>
          <cell r="F246">
            <v>0</v>
          </cell>
          <cell r="H246">
            <v>2000</v>
          </cell>
          <cell r="I246">
            <v>10000</v>
          </cell>
          <cell r="J246">
            <v>50000</v>
          </cell>
          <cell r="K246">
            <v>0.96153846153846156</v>
          </cell>
        </row>
        <row r="250">
          <cell r="C250" t="str">
            <v>TOTAL - TRANSMISSION</v>
          </cell>
          <cell r="D250">
            <v>2595000</v>
          </cell>
          <cell r="E250">
            <v>645000</v>
          </cell>
          <cell r="F250">
            <v>1950000</v>
          </cell>
          <cell r="G250">
            <v>47</v>
          </cell>
          <cell r="H250">
            <v>99000</v>
          </cell>
          <cell r="I250">
            <v>435000</v>
          </cell>
          <cell r="J250">
            <v>2175000</v>
          </cell>
          <cell r="K250">
            <v>1.1411609498680739</v>
          </cell>
        </row>
        <row r="253">
          <cell r="E253" t="str">
            <v>TABLE 1 (Cont'd)</v>
          </cell>
        </row>
        <row r="254">
          <cell r="E254" t="str">
            <v xml:space="preserve">SUMMARY OF </v>
          </cell>
        </row>
        <row r="255">
          <cell r="E255" t="str">
            <v>RECOMMENDED SYSTEM EXPANSION PROJECTS - 1996</v>
          </cell>
        </row>
        <row r="257">
          <cell r="D257" t="str">
            <v>Project</v>
          </cell>
          <cell r="E257">
            <v>1996</v>
          </cell>
          <cell r="F257" t="str">
            <v>Future</v>
          </cell>
          <cell r="H257" t="str">
            <v xml:space="preserve">        BENEFITS</v>
          </cell>
        </row>
        <row r="258">
          <cell r="A258" t="str">
            <v>Item</v>
          </cell>
          <cell r="B258" t="str">
            <v>Item</v>
          </cell>
          <cell r="C258" t="str">
            <v>Description</v>
          </cell>
          <cell r="D258" t="str">
            <v>Cost</v>
          </cell>
          <cell r="E258" t="str">
            <v>Budget</v>
          </cell>
          <cell r="F258" t="str">
            <v>Budget</v>
          </cell>
          <cell r="G258" t="str">
            <v>Add.</v>
          </cell>
          <cell r="I258" t="str">
            <v>SAVINGS (p.a)</v>
          </cell>
          <cell r="K258" t="str">
            <v>Payback</v>
          </cell>
        </row>
        <row r="259">
          <cell r="D259" t="str">
            <v>Estimate</v>
          </cell>
          <cell r="E259" t="str">
            <v>Amount</v>
          </cell>
          <cell r="F259" t="str">
            <v>Amount</v>
          </cell>
          <cell r="G259" t="str">
            <v>Capacity(MW)</v>
          </cell>
          <cell r="H259" t="str">
            <v>Losses</v>
          </cell>
          <cell r="I259" t="str">
            <v>Cust-min.</v>
          </cell>
          <cell r="J259" t="str">
            <v>Out. Costs*</v>
          </cell>
          <cell r="K259" t="str">
            <v>Yrs</v>
          </cell>
        </row>
        <row r="262">
          <cell r="C262" t="str">
            <v>DISTRIBUTION</v>
          </cell>
        </row>
        <row r="264">
          <cell r="A264">
            <v>1</v>
          </cell>
          <cell r="B264">
            <v>1</v>
          </cell>
          <cell r="C264" t="str">
            <v xml:space="preserve">Streetsville Conversion </v>
          </cell>
          <cell r="D264">
            <v>100000</v>
          </cell>
          <cell r="E264">
            <v>0</v>
          </cell>
          <cell r="F264">
            <v>100000</v>
          </cell>
          <cell r="G264">
            <v>1</v>
          </cell>
          <cell r="H264">
            <v>2000</v>
          </cell>
          <cell r="I264">
            <v>12000</v>
          </cell>
          <cell r="J264">
            <v>60000</v>
          </cell>
          <cell r="K264">
            <v>1.6129032258064515</v>
          </cell>
        </row>
        <row r="265">
          <cell r="B265" t="str">
            <v/>
          </cell>
          <cell r="C265" t="str">
            <v/>
          </cell>
          <cell r="D265">
            <v>0</v>
          </cell>
          <cell r="F265">
            <v>0</v>
          </cell>
          <cell r="J265">
            <v>0</v>
          </cell>
          <cell r="K265" t="e">
            <v>#DIV/0!</v>
          </cell>
        </row>
        <row r="266">
          <cell r="B266" t="str">
            <v/>
          </cell>
          <cell r="C266" t="str">
            <v/>
          </cell>
          <cell r="D266">
            <v>0</v>
          </cell>
          <cell r="F266">
            <v>0</v>
          </cell>
          <cell r="J266">
            <v>0</v>
          </cell>
          <cell r="K266" t="e">
            <v>#DIV/0!</v>
          </cell>
        </row>
        <row r="267">
          <cell r="B267" t="str">
            <v/>
          </cell>
          <cell r="C267" t="str">
            <v/>
          </cell>
          <cell r="D267">
            <v>0</v>
          </cell>
          <cell r="F267">
            <v>0</v>
          </cell>
          <cell r="J267">
            <v>0</v>
          </cell>
          <cell r="K267" t="e">
            <v>#DIV/0!</v>
          </cell>
        </row>
        <row r="268">
          <cell r="A268">
            <v>2</v>
          </cell>
          <cell r="B268">
            <v>5</v>
          </cell>
          <cell r="C268" t="str">
            <v>13.8 kV Canadian Tire Tie</v>
          </cell>
          <cell r="D268">
            <v>200000</v>
          </cell>
          <cell r="E268">
            <v>0</v>
          </cell>
          <cell r="F268">
            <v>200000</v>
          </cell>
          <cell r="G268">
            <v>3</v>
          </cell>
          <cell r="H268">
            <v>5000</v>
          </cell>
          <cell r="I268">
            <v>20000</v>
          </cell>
          <cell r="J268">
            <v>100000</v>
          </cell>
          <cell r="K268">
            <v>1.9047619047619047</v>
          </cell>
        </row>
        <row r="269">
          <cell r="A269">
            <v>3</v>
          </cell>
          <cell r="B269">
            <v>6</v>
          </cell>
          <cell r="C269" t="str">
            <v>13.8 kV Mavis Road Feeder Tie</v>
          </cell>
          <cell r="D269">
            <v>120000</v>
          </cell>
          <cell r="E269">
            <v>120000</v>
          </cell>
          <cell r="F269">
            <v>0</v>
          </cell>
          <cell r="G269">
            <v>3</v>
          </cell>
          <cell r="H269">
            <v>5000</v>
          </cell>
          <cell r="I269">
            <v>12000</v>
          </cell>
          <cell r="J269">
            <v>60000</v>
          </cell>
          <cell r="K269">
            <v>1.8461538461538463</v>
          </cell>
        </row>
        <row r="270">
          <cell r="B270" t="str">
            <v/>
          </cell>
          <cell r="C270" t="str">
            <v/>
          </cell>
          <cell r="D270">
            <v>0</v>
          </cell>
          <cell r="F270">
            <v>0</v>
          </cell>
          <cell r="J270">
            <v>0</v>
          </cell>
          <cell r="K270" t="e">
            <v>#DIV/0!</v>
          </cell>
        </row>
        <row r="271">
          <cell r="A271">
            <v>4</v>
          </cell>
          <cell r="B271">
            <v>8</v>
          </cell>
          <cell r="C271" t="str">
            <v>13.8 kV Tomken Road Feeder Tie</v>
          </cell>
          <cell r="D271">
            <v>105000</v>
          </cell>
          <cell r="E271">
            <v>0</v>
          </cell>
          <cell r="F271">
            <v>105000</v>
          </cell>
          <cell r="G271">
            <v>2</v>
          </cell>
          <cell r="H271">
            <v>2000</v>
          </cell>
          <cell r="I271">
            <v>16000</v>
          </cell>
          <cell r="J271">
            <v>80000</v>
          </cell>
          <cell r="K271">
            <v>1.2804878048780488</v>
          </cell>
        </row>
        <row r="272">
          <cell r="A272">
            <v>5</v>
          </cell>
          <cell r="B272">
            <v>9</v>
          </cell>
          <cell r="C272" t="str">
            <v>13.8 kV Mississauga Road Feeder Tie</v>
          </cell>
          <cell r="D272">
            <v>105000</v>
          </cell>
          <cell r="E272">
            <v>0</v>
          </cell>
          <cell r="F272">
            <v>105000</v>
          </cell>
          <cell r="G272">
            <v>2</v>
          </cell>
          <cell r="H272">
            <v>3000</v>
          </cell>
          <cell r="I272">
            <v>10000</v>
          </cell>
          <cell r="J272">
            <v>50000</v>
          </cell>
          <cell r="K272">
            <v>1.9811320754716981</v>
          </cell>
        </row>
        <row r="273">
          <cell r="B273" t="str">
            <v/>
          </cell>
          <cell r="C273" t="str">
            <v/>
          </cell>
          <cell r="D273">
            <v>0</v>
          </cell>
          <cell r="F273">
            <v>0</v>
          </cell>
          <cell r="J273">
            <v>0</v>
          </cell>
          <cell r="K273" t="e">
            <v>#DIV/0!</v>
          </cell>
        </row>
        <row r="274">
          <cell r="B274" t="str">
            <v/>
          </cell>
          <cell r="C274" t="str">
            <v/>
          </cell>
          <cell r="D274">
            <v>0</v>
          </cell>
          <cell r="F274">
            <v>0</v>
          </cell>
          <cell r="J274">
            <v>0</v>
          </cell>
          <cell r="K274" t="e">
            <v>#DIV/0!</v>
          </cell>
        </row>
        <row r="275">
          <cell r="A275">
            <v>6</v>
          </cell>
          <cell r="B275">
            <v>12</v>
          </cell>
          <cell r="C275" t="str">
            <v>13.8 kV Sheridan Park Feeder Tie</v>
          </cell>
          <cell r="D275">
            <v>100000</v>
          </cell>
          <cell r="E275">
            <v>100000</v>
          </cell>
          <cell r="F275">
            <v>0</v>
          </cell>
          <cell r="G275">
            <v>2</v>
          </cell>
          <cell r="H275">
            <v>3000</v>
          </cell>
          <cell r="I275">
            <v>25000</v>
          </cell>
          <cell r="J275">
            <v>125000</v>
          </cell>
          <cell r="K275">
            <v>0.78125</v>
          </cell>
        </row>
        <row r="276">
          <cell r="B276" t="str">
            <v/>
          </cell>
          <cell r="C276" t="str">
            <v/>
          </cell>
          <cell r="D276">
            <v>0</v>
          </cell>
          <cell r="F276">
            <v>0</v>
          </cell>
          <cell r="J276">
            <v>0</v>
          </cell>
          <cell r="K276" t="e">
            <v>#DIV/0!</v>
          </cell>
        </row>
        <row r="277">
          <cell r="B277" t="str">
            <v/>
          </cell>
          <cell r="C277" t="str">
            <v/>
          </cell>
          <cell r="D277">
            <v>0</v>
          </cell>
          <cell r="F277">
            <v>0</v>
          </cell>
          <cell r="J277">
            <v>0</v>
          </cell>
          <cell r="K277" t="e">
            <v>#DIV/0!</v>
          </cell>
        </row>
        <row r="278">
          <cell r="A278">
            <v>7</v>
          </cell>
          <cell r="B278">
            <v>15</v>
          </cell>
          <cell r="C278" t="str">
            <v>13.8 kV Eglinton Avenue Feeder Tie</v>
          </cell>
          <cell r="D278">
            <v>200000</v>
          </cell>
          <cell r="E278">
            <v>200000</v>
          </cell>
          <cell r="F278">
            <v>0</v>
          </cell>
          <cell r="G278">
            <v>3</v>
          </cell>
          <cell r="H278">
            <v>4000</v>
          </cell>
          <cell r="I278">
            <v>15000</v>
          </cell>
          <cell r="J278">
            <v>75000</v>
          </cell>
          <cell r="K278">
            <v>2.5316455696202533</v>
          </cell>
        </row>
        <row r="279">
          <cell r="A279">
            <v>8</v>
          </cell>
          <cell r="B279">
            <v>16</v>
          </cell>
          <cell r="C279" t="str">
            <v>13.8 kV Elmbank Drive Feeder Tie</v>
          </cell>
          <cell r="D279">
            <v>129000</v>
          </cell>
          <cell r="E279">
            <v>0</v>
          </cell>
          <cell r="F279">
            <v>129000</v>
          </cell>
          <cell r="G279">
            <v>2</v>
          </cell>
          <cell r="H279">
            <v>2500</v>
          </cell>
          <cell r="I279">
            <v>5000</v>
          </cell>
          <cell r="J279">
            <v>25000</v>
          </cell>
          <cell r="K279">
            <v>4.6909090909090905</v>
          </cell>
        </row>
        <row r="280">
          <cell r="B280" t="str">
            <v/>
          </cell>
          <cell r="C280" t="str">
            <v/>
          </cell>
          <cell r="D280">
            <v>0</v>
          </cell>
          <cell r="F280">
            <v>0</v>
          </cell>
          <cell r="J280">
            <v>0</v>
          </cell>
          <cell r="K280" t="e">
            <v>#DIV/0!</v>
          </cell>
        </row>
        <row r="281">
          <cell r="A281">
            <v>9</v>
          </cell>
          <cell r="B281">
            <v>18</v>
          </cell>
          <cell r="C281" t="str">
            <v>13.8 kV Derry Rd. &amp; Ninth Line Feeder Tie</v>
          </cell>
          <cell r="D281">
            <v>100000</v>
          </cell>
          <cell r="E281">
            <v>0</v>
          </cell>
          <cell r="F281">
            <v>100000</v>
          </cell>
          <cell r="G281">
            <v>3</v>
          </cell>
          <cell r="H281">
            <v>4500</v>
          </cell>
          <cell r="I281">
            <v>12000</v>
          </cell>
          <cell r="J281">
            <v>60000</v>
          </cell>
          <cell r="K281">
            <v>1.5503875968992249</v>
          </cell>
        </row>
        <row r="282">
          <cell r="B282" t="str">
            <v/>
          </cell>
          <cell r="C282" t="str">
            <v/>
          </cell>
          <cell r="D282">
            <v>0</v>
          </cell>
          <cell r="F282">
            <v>0</v>
          </cell>
          <cell r="J282">
            <v>0</v>
          </cell>
          <cell r="K282" t="e">
            <v>#DIV/0!</v>
          </cell>
        </row>
        <row r="283">
          <cell r="A283">
            <v>10</v>
          </cell>
          <cell r="B283">
            <v>20</v>
          </cell>
          <cell r="C283" t="str">
            <v>4.16 kV Atwater Feeder Tie</v>
          </cell>
          <cell r="D283">
            <v>104000</v>
          </cell>
          <cell r="E283">
            <v>0</v>
          </cell>
          <cell r="F283">
            <v>104000</v>
          </cell>
          <cell r="G283">
            <v>1</v>
          </cell>
          <cell r="H283">
            <v>1500</v>
          </cell>
          <cell r="I283">
            <v>3000</v>
          </cell>
          <cell r="J283">
            <v>15000</v>
          </cell>
          <cell r="K283">
            <v>6.3030303030303028</v>
          </cell>
        </row>
        <row r="284">
          <cell r="B284" t="str">
            <v/>
          </cell>
          <cell r="C284" t="str">
            <v/>
          </cell>
          <cell r="D284">
            <v>0</v>
          </cell>
          <cell r="F284">
            <v>0</v>
          </cell>
          <cell r="J284">
            <v>0</v>
          </cell>
          <cell r="K284" t="e">
            <v>#DIV/0!</v>
          </cell>
        </row>
        <row r="285">
          <cell r="A285">
            <v>11</v>
          </cell>
          <cell r="B285">
            <v>22</v>
          </cell>
          <cell r="C285" t="str">
            <v>4.16 kV Pinetree MS/Melton MS Tie</v>
          </cell>
          <cell r="D285">
            <v>66500</v>
          </cell>
          <cell r="E285">
            <v>0</v>
          </cell>
          <cell r="F285">
            <v>66500</v>
          </cell>
          <cell r="G285">
            <v>1</v>
          </cell>
          <cell r="H285">
            <v>1500</v>
          </cell>
          <cell r="I285">
            <v>2500</v>
          </cell>
          <cell r="J285">
            <v>12500</v>
          </cell>
          <cell r="K285">
            <v>4.75</v>
          </cell>
        </row>
        <row r="286">
          <cell r="A286">
            <v>12</v>
          </cell>
          <cell r="B286">
            <v>23</v>
          </cell>
          <cell r="C286" t="str">
            <v>4.16 kV Bromsgrove MS/Park West MS Tie</v>
          </cell>
          <cell r="D286">
            <v>44000</v>
          </cell>
          <cell r="E286">
            <v>0</v>
          </cell>
          <cell r="F286">
            <v>44000</v>
          </cell>
          <cell r="G286">
            <v>1</v>
          </cell>
          <cell r="H286">
            <v>1000</v>
          </cell>
          <cell r="I286">
            <v>2500</v>
          </cell>
          <cell r="J286">
            <v>12500</v>
          </cell>
          <cell r="K286">
            <v>3.2592592592592591</v>
          </cell>
        </row>
        <row r="287">
          <cell r="A287">
            <v>13</v>
          </cell>
          <cell r="B287">
            <v>24</v>
          </cell>
          <cell r="C287" t="str">
            <v>4.16 kV Bromsgrove MS/Robin MS Tie</v>
          </cell>
          <cell r="D287">
            <v>74000</v>
          </cell>
          <cell r="E287">
            <v>0</v>
          </cell>
          <cell r="F287">
            <v>74000</v>
          </cell>
          <cell r="G287">
            <v>1</v>
          </cell>
          <cell r="H287">
            <v>1000</v>
          </cell>
          <cell r="I287">
            <v>3000</v>
          </cell>
          <cell r="J287">
            <v>15000</v>
          </cell>
          <cell r="K287">
            <v>4.625</v>
          </cell>
        </row>
        <row r="288">
          <cell r="A288">
            <v>14</v>
          </cell>
          <cell r="B288">
            <v>25</v>
          </cell>
          <cell r="C288" t="str">
            <v>4.16 kV Lakeshore Road Feeder Tie</v>
          </cell>
          <cell r="D288">
            <v>80000</v>
          </cell>
          <cell r="E288">
            <v>0</v>
          </cell>
          <cell r="F288">
            <v>80000</v>
          </cell>
          <cell r="G288">
            <v>1</v>
          </cell>
          <cell r="H288">
            <v>1500</v>
          </cell>
          <cell r="I288">
            <v>3000</v>
          </cell>
          <cell r="J288">
            <v>15000</v>
          </cell>
          <cell r="K288">
            <v>4.8484848484848486</v>
          </cell>
        </row>
        <row r="289">
          <cell r="A289">
            <v>15</v>
          </cell>
          <cell r="B289">
            <v>26</v>
          </cell>
          <cell r="C289" t="str">
            <v>4.16 kV Park Royal MS/Park West MS Tie</v>
          </cell>
          <cell r="D289">
            <v>130000</v>
          </cell>
          <cell r="E289">
            <v>130000</v>
          </cell>
          <cell r="F289">
            <v>0</v>
          </cell>
          <cell r="G289">
            <v>1</v>
          </cell>
          <cell r="H289">
            <v>1000</v>
          </cell>
          <cell r="I289">
            <v>4000</v>
          </cell>
          <cell r="J289">
            <v>20000</v>
          </cell>
          <cell r="K289">
            <v>6.1904761904761907</v>
          </cell>
        </row>
        <row r="290">
          <cell r="A290">
            <v>16</v>
          </cell>
          <cell r="B290">
            <v>27</v>
          </cell>
          <cell r="C290" t="str">
            <v xml:space="preserve">4.16 kV Stanfield Road Feeder Tie </v>
          </cell>
          <cell r="D290">
            <v>154000</v>
          </cell>
          <cell r="E290">
            <v>0</v>
          </cell>
          <cell r="F290">
            <v>154000</v>
          </cell>
          <cell r="G290">
            <v>1</v>
          </cell>
          <cell r="H290">
            <v>1000</v>
          </cell>
          <cell r="I290">
            <v>3500</v>
          </cell>
          <cell r="J290">
            <v>17500</v>
          </cell>
          <cell r="K290">
            <v>8.3243243243243246</v>
          </cell>
        </row>
        <row r="291">
          <cell r="A291">
            <v>17</v>
          </cell>
          <cell r="B291">
            <v>28</v>
          </cell>
          <cell r="C291" t="str">
            <v>4.16 kV Clarkson M.S. Term. Poles Rebuild</v>
          </cell>
          <cell r="D291">
            <v>25000</v>
          </cell>
          <cell r="E291">
            <v>25000</v>
          </cell>
          <cell r="F291">
            <v>0</v>
          </cell>
          <cell r="G291">
            <v>1</v>
          </cell>
          <cell r="H291">
            <v>0</v>
          </cell>
          <cell r="I291">
            <v>8000</v>
          </cell>
          <cell r="J291">
            <v>40000</v>
          </cell>
          <cell r="K291">
            <v>0.625</v>
          </cell>
        </row>
        <row r="292">
          <cell r="A292">
            <v>18</v>
          </cell>
          <cell r="B292">
            <v>29</v>
          </cell>
          <cell r="C292" t="str">
            <v xml:space="preserve">4.16 kV Clarkson/Lorne Park Feeder Tie </v>
          </cell>
          <cell r="D292">
            <v>104000</v>
          </cell>
          <cell r="E292">
            <v>0</v>
          </cell>
          <cell r="F292">
            <v>104000</v>
          </cell>
          <cell r="G292">
            <v>1</v>
          </cell>
          <cell r="H292">
            <v>1000</v>
          </cell>
          <cell r="I292">
            <v>2500</v>
          </cell>
          <cell r="J292">
            <v>12500</v>
          </cell>
          <cell r="K292">
            <v>7.7037037037037033</v>
          </cell>
        </row>
        <row r="295">
          <cell r="C295" t="str">
            <v>TOTAL - DISTRIBUTION</v>
          </cell>
          <cell r="D295">
            <v>1940500</v>
          </cell>
          <cell r="E295">
            <v>575000</v>
          </cell>
          <cell r="F295">
            <v>1365500</v>
          </cell>
          <cell r="G295">
            <v>30</v>
          </cell>
          <cell r="H295">
            <v>40500</v>
          </cell>
          <cell r="I295">
            <v>159000</v>
          </cell>
          <cell r="J295">
            <v>795000</v>
          </cell>
          <cell r="K295">
            <v>2.3225613405146617</v>
          </cell>
        </row>
        <row r="299">
          <cell r="A299" t="str">
            <v>*</v>
          </cell>
          <cell r="B299" t="str">
            <v>*</v>
          </cell>
          <cell r="C299" t="str">
            <v>Savings p.a. to the community</v>
          </cell>
        </row>
        <row r="300">
          <cell r="E300" t="str">
            <v>TABLE 1 (Cont'd)</v>
          </cell>
        </row>
        <row r="301">
          <cell r="E301" t="str">
            <v xml:space="preserve">SUMMARY OF </v>
          </cell>
        </row>
        <row r="302">
          <cell r="E302" t="str">
            <v>RECOMMENDED SYSTEM EXPANSION PROJECTS - 1996</v>
          </cell>
        </row>
        <row r="304">
          <cell r="D304" t="str">
            <v>Project</v>
          </cell>
          <cell r="E304">
            <v>1996</v>
          </cell>
          <cell r="F304" t="str">
            <v>Future</v>
          </cell>
          <cell r="H304" t="str">
            <v xml:space="preserve">        BENEFITS</v>
          </cell>
        </row>
        <row r="305">
          <cell r="A305" t="str">
            <v>Item</v>
          </cell>
          <cell r="B305" t="str">
            <v>Item</v>
          </cell>
          <cell r="C305" t="str">
            <v>Description</v>
          </cell>
          <cell r="D305" t="str">
            <v>Cost</v>
          </cell>
          <cell r="E305" t="str">
            <v>Budget</v>
          </cell>
          <cell r="F305" t="str">
            <v>Budget</v>
          </cell>
          <cell r="G305" t="str">
            <v>Add.</v>
          </cell>
          <cell r="I305" t="str">
            <v>SAVINGS (p.a)</v>
          </cell>
          <cell r="K305" t="str">
            <v>Payback</v>
          </cell>
        </row>
        <row r="306">
          <cell r="D306" t="str">
            <v>Estimate</v>
          </cell>
          <cell r="E306" t="str">
            <v>Amount</v>
          </cell>
          <cell r="F306" t="str">
            <v>Amount</v>
          </cell>
          <cell r="G306" t="str">
            <v>Capacity(MW)</v>
          </cell>
          <cell r="H306" t="str">
            <v>Losses</v>
          </cell>
          <cell r="I306" t="str">
            <v>Cust-min.</v>
          </cell>
          <cell r="J306" t="str">
            <v>Out. Costs*</v>
          </cell>
          <cell r="K306" t="str">
            <v>Yrs</v>
          </cell>
        </row>
        <row r="309">
          <cell r="C309" t="str">
            <v>MUNICIPAL SUBSTATIONS</v>
          </cell>
        </row>
        <row r="311">
          <cell r="A311">
            <v>1</v>
          </cell>
          <cell r="B311">
            <v>1</v>
          </cell>
          <cell r="C311" t="str">
            <v>Replacement M.S. feeder egress cables.</v>
          </cell>
          <cell r="D311">
            <v>200000</v>
          </cell>
          <cell r="E311">
            <v>200000</v>
          </cell>
          <cell r="F311">
            <v>0</v>
          </cell>
          <cell r="H311">
            <v>0</v>
          </cell>
          <cell r="I311">
            <v>40000</v>
          </cell>
          <cell r="J311">
            <v>200000</v>
          </cell>
          <cell r="K311">
            <v>1</v>
          </cell>
        </row>
        <row r="312">
          <cell r="A312">
            <v>2</v>
          </cell>
          <cell r="B312">
            <v>2</v>
          </cell>
          <cell r="C312" t="str">
            <v>Lisgar M.S.</v>
          </cell>
          <cell r="D312">
            <v>1800000</v>
          </cell>
          <cell r="E312">
            <v>0</v>
          </cell>
          <cell r="F312">
            <v>1800000</v>
          </cell>
          <cell r="G312">
            <v>5</v>
          </cell>
          <cell r="H312">
            <v>4000</v>
          </cell>
          <cell r="I312">
            <v>50000</v>
          </cell>
          <cell r="J312">
            <v>250000</v>
          </cell>
          <cell r="K312">
            <v>7.0866141732283463</v>
          </cell>
        </row>
        <row r="313">
          <cell r="B313" t="str">
            <v/>
          </cell>
          <cell r="C313" t="str">
            <v/>
          </cell>
          <cell r="D313">
            <v>0</v>
          </cell>
          <cell r="F313">
            <v>0</v>
          </cell>
          <cell r="J313">
            <v>0</v>
          </cell>
          <cell r="K313" t="e">
            <v>#DIV/0!</v>
          </cell>
        </row>
        <row r="314">
          <cell r="A314">
            <v>3</v>
          </cell>
          <cell r="B314">
            <v>4</v>
          </cell>
          <cell r="C314" t="str">
            <v xml:space="preserve">Sheridan Park System Rebuild  </v>
          </cell>
          <cell r="D314">
            <v>650000</v>
          </cell>
          <cell r="E314">
            <v>100000</v>
          </cell>
          <cell r="F314">
            <v>550000</v>
          </cell>
          <cell r="G314">
            <v>10</v>
          </cell>
          <cell r="H314">
            <v>5000</v>
          </cell>
          <cell r="I314">
            <v>25000</v>
          </cell>
          <cell r="J314">
            <v>125000</v>
          </cell>
          <cell r="K314">
            <v>5</v>
          </cell>
        </row>
        <row r="315">
          <cell r="A315">
            <v>4</v>
          </cell>
          <cell r="B315">
            <v>5</v>
          </cell>
          <cell r="C315" t="str">
            <v>Orlando M.S.</v>
          </cell>
          <cell r="D315">
            <v>1400000</v>
          </cell>
          <cell r="E315">
            <v>450000</v>
          </cell>
          <cell r="F315">
            <v>950000</v>
          </cell>
          <cell r="G315">
            <v>20</v>
          </cell>
          <cell r="H315">
            <v>10000</v>
          </cell>
          <cell r="I315">
            <v>40000</v>
          </cell>
          <cell r="J315">
            <v>200000</v>
          </cell>
          <cell r="K315">
            <v>6.666666666666667</v>
          </cell>
        </row>
        <row r="316">
          <cell r="A316">
            <v>5</v>
          </cell>
          <cell r="B316">
            <v>6</v>
          </cell>
          <cell r="C316" t="str">
            <v>Argentia M.S.</v>
          </cell>
          <cell r="D316">
            <v>50000</v>
          </cell>
          <cell r="E316">
            <v>50000</v>
          </cell>
          <cell r="F316">
            <v>0</v>
          </cell>
          <cell r="G316">
            <v>10</v>
          </cell>
          <cell r="H316">
            <v>5000</v>
          </cell>
          <cell r="I316">
            <v>12000</v>
          </cell>
          <cell r="J316">
            <v>60000</v>
          </cell>
          <cell r="K316">
            <v>0.76923076923076927</v>
          </cell>
        </row>
        <row r="317">
          <cell r="B317" t="str">
            <v/>
          </cell>
          <cell r="C317" t="str">
            <v/>
          </cell>
          <cell r="D317">
            <v>0</v>
          </cell>
          <cell r="F317">
            <v>0</v>
          </cell>
          <cell r="J317">
            <v>0</v>
          </cell>
          <cell r="K317" t="e">
            <v>#DIV/0!</v>
          </cell>
        </row>
        <row r="318">
          <cell r="A318">
            <v>6</v>
          </cell>
          <cell r="B318">
            <v>8</v>
          </cell>
          <cell r="C318" t="str">
            <v>Chalkdene M.S.</v>
          </cell>
          <cell r="D318">
            <v>350000</v>
          </cell>
          <cell r="E318">
            <v>0</v>
          </cell>
          <cell r="F318">
            <v>350000</v>
          </cell>
          <cell r="G318">
            <v>3</v>
          </cell>
          <cell r="H318">
            <v>2500</v>
          </cell>
          <cell r="I318">
            <v>10000</v>
          </cell>
          <cell r="J318">
            <v>50000</v>
          </cell>
          <cell r="K318">
            <v>6.666666666666667</v>
          </cell>
        </row>
        <row r="319">
          <cell r="A319">
            <v>7</v>
          </cell>
          <cell r="B319">
            <v>9</v>
          </cell>
          <cell r="C319" t="str">
            <v>Rockwood M.S.</v>
          </cell>
          <cell r="D319">
            <v>1600000</v>
          </cell>
          <cell r="E319">
            <v>100000</v>
          </cell>
          <cell r="F319">
            <v>1500000</v>
          </cell>
          <cell r="G319">
            <v>20</v>
          </cell>
          <cell r="H319">
            <v>10000</v>
          </cell>
          <cell r="I319">
            <v>35000</v>
          </cell>
          <cell r="J319">
            <v>175000</v>
          </cell>
          <cell r="K319">
            <v>8.6486486486486491</v>
          </cell>
        </row>
        <row r="320">
          <cell r="B320" t="str">
            <v/>
          </cell>
          <cell r="C320" t="str">
            <v/>
          </cell>
          <cell r="D320">
            <v>0</v>
          </cell>
          <cell r="F320">
            <v>0</v>
          </cell>
        </row>
        <row r="321">
          <cell r="B321" t="str">
            <v/>
          </cell>
          <cell r="C321" t="str">
            <v/>
          </cell>
          <cell r="D321">
            <v>0</v>
          </cell>
          <cell r="F321">
            <v>0</v>
          </cell>
        </row>
        <row r="322">
          <cell r="B322" t="str">
            <v/>
          </cell>
          <cell r="C322" t="str">
            <v/>
          </cell>
          <cell r="D322">
            <v>0</v>
          </cell>
          <cell r="F322">
            <v>0</v>
          </cell>
        </row>
        <row r="325">
          <cell r="C325" t="str">
            <v>TOTAL - SUBSTATION</v>
          </cell>
          <cell r="D325">
            <v>6050000</v>
          </cell>
          <cell r="E325">
            <v>900000</v>
          </cell>
          <cell r="F325">
            <v>5150000</v>
          </cell>
          <cell r="G325">
            <v>68</v>
          </cell>
          <cell r="H325">
            <v>36500</v>
          </cell>
          <cell r="I325">
            <v>212000</v>
          </cell>
          <cell r="J325">
            <v>1060000</v>
          </cell>
          <cell r="K325">
            <v>5.5175558595531236</v>
          </cell>
        </row>
        <row r="328">
          <cell r="C328" t="str">
            <v>SUBDIVISION REBUILDS</v>
          </cell>
        </row>
        <row r="330">
          <cell r="A330">
            <v>1</v>
          </cell>
          <cell r="B330">
            <v>1</v>
          </cell>
          <cell r="C330" t="str">
            <v>Sheridan Homelands - Phase V</v>
          </cell>
          <cell r="D330">
            <v>1500000</v>
          </cell>
          <cell r="E330">
            <v>1500000</v>
          </cell>
          <cell r="F330">
            <v>0</v>
          </cell>
          <cell r="G330">
            <v>2</v>
          </cell>
          <cell r="H330">
            <v>1000</v>
          </cell>
          <cell r="I330">
            <v>45000</v>
          </cell>
          <cell r="J330">
            <v>225000</v>
          </cell>
          <cell r="K330">
            <v>6.6371681415929205</v>
          </cell>
        </row>
        <row r="331">
          <cell r="A331">
            <v>2</v>
          </cell>
          <cell r="B331">
            <v>2</v>
          </cell>
          <cell r="C331" t="str">
            <v>Malton - Phase V</v>
          </cell>
          <cell r="D331">
            <v>1000000</v>
          </cell>
          <cell r="E331">
            <v>1000000</v>
          </cell>
          <cell r="F331">
            <v>0</v>
          </cell>
          <cell r="G331">
            <v>2</v>
          </cell>
          <cell r="H331">
            <v>2000</v>
          </cell>
          <cell r="I331">
            <v>40000</v>
          </cell>
          <cell r="J331">
            <v>200000</v>
          </cell>
          <cell r="K331">
            <v>4.9504950495049505</v>
          </cell>
        </row>
        <row r="332">
          <cell r="A332">
            <v>3</v>
          </cell>
          <cell r="B332">
            <v>3</v>
          </cell>
          <cell r="C332" t="str">
            <v xml:space="preserve"> Forest Glen Area east and west of Dixie Rd.</v>
          </cell>
          <cell r="D332">
            <v>1500000</v>
          </cell>
          <cell r="E332">
            <v>1500000</v>
          </cell>
          <cell r="F332">
            <v>0</v>
          </cell>
          <cell r="G332">
            <v>2</v>
          </cell>
          <cell r="H332">
            <v>2000</v>
          </cell>
          <cell r="I332">
            <v>75000</v>
          </cell>
          <cell r="J332">
            <v>375000</v>
          </cell>
          <cell r="K332">
            <v>3.9787798408488064</v>
          </cell>
        </row>
        <row r="333">
          <cell r="A333">
            <v>4</v>
          </cell>
          <cell r="B333">
            <v>4</v>
          </cell>
          <cell r="C333" t="str">
            <v>Meadowvale T.C. Mainfeeders - Phase II</v>
          </cell>
          <cell r="D333">
            <v>1400000</v>
          </cell>
          <cell r="E333">
            <v>1400000</v>
          </cell>
          <cell r="F333">
            <v>0</v>
          </cell>
          <cell r="H333">
            <v>1500</v>
          </cell>
          <cell r="I333">
            <v>85000</v>
          </cell>
          <cell r="J333">
            <v>425000</v>
          </cell>
          <cell r="K333">
            <v>3.2825322391559202</v>
          </cell>
        </row>
        <row r="334">
          <cell r="A334">
            <v>5</v>
          </cell>
          <cell r="B334">
            <v>5</v>
          </cell>
          <cell r="C334" t="str">
            <v>Woodlands Area</v>
          </cell>
          <cell r="D334">
            <v>1000000</v>
          </cell>
          <cell r="E334">
            <v>1000000</v>
          </cell>
          <cell r="F334">
            <v>0</v>
          </cell>
          <cell r="G334">
            <v>1</v>
          </cell>
          <cell r="H334">
            <v>1000</v>
          </cell>
          <cell r="I334">
            <v>35000</v>
          </cell>
          <cell r="J334">
            <v>175000</v>
          </cell>
          <cell r="K334">
            <v>5.6818181818181817</v>
          </cell>
        </row>
        <row r="335">
          <cell r="A335">
            <v>6</v>
          </cell>
          <cell r="B335">
            <v>6</v>
          </cell>
          <cell r="C335" t="str">
            <v>4.16 kV  U/G Circuit Rebuild</v>
          </cell>
          <cell r="D335">
            <v>100000</v>
          </cell>
          <cell r="E335">
            <v>100000</v>
          </cell>
          <cell r="F335">
            <v>0</v>
          </cell>
          <cell r="H335">
            <v>1000</v>
          </cell>
          <cell r="I335">
            <v>10000</v>
          </cell>
          <cell r="J335">
            <v>50000</v>
          </cell>
          <cell r="K335">
            <v>1.9607843137254901</v>
          </cell>
        </row>
        <row r="338">
          <cell r="C338" t="str">
            <v>TOTAL - SUBDIVISION REBUILDS</v>
          </cell>
          <cell r="D338">
            <v>6500000</v>
          </cell>
          <cell r="E338">
            <v>6500000</v>
          </cell>
          <cell r="F338">
            <v>0</v>
          </cell>
          <cell r="G338">
            <v>7</v>
          </cell>
          <cell r="H338">
            <v>8500</v>
          </cell>
          <cell r="I338">
            <v>290000</v>
          </cell>
          <cell r="J338">
            <v>1450000</v>
          </cell>
          <cell r="K338">
            <v>4.4566335275968463</v>
          </cell>
        </row>
        <row r="342">
          <cell r="A342" t="str">
            <v>*</v>
          </cell>
          <cell r="B342" t="str">
            <v>*</v>
          </cell>
          <cell r="C342" t="str">
            <v>Savings p.a. to the community</v>
          </cell>
        </row>
        <row r="343">
          <cell r="E343" t="str">
            <v>TABLE 1 (Cont'd)</v>
          </cell>
        </row>
        <row r="344">
          <cell r="E344" t="str">
            <v xml:space="preserve">SUMMARY OF </v>
          </cell>
        </row>
        <row r="345">
          <cell r="E345" t="str">
            <v>RECOMMENDED SYSTEM EXPANSION PROJECTS - 1996</v>
          </cell>
        </row>
        <row r="347">
          <cell r="D347" t="str">
            <v>Project</v>
          </cell>
          <cell r="E347">
            <v>1996</v>
          </cell>
          <cell r="F347" t="str">
            <v>Future</v>
          </cell>
          <cell r="H347" t="str">
            <v xml:space="preserve">        BENEFITS</v>
          </cell>
        </row>
        <row r="348">
          <cell r="A348" t="str">
            <v>Item</v>
          </cell>
          <cell r="B348" t="str">
            <v>Item</v>
          </cell>
          <cell r="C348" t="str">
            <v>Description</v>
          </cell>
          <cell r="D348" t="str">
            <v>Cost</v>
          </cell>
          <cell r="E348" t="str">
            <v>Budget</v>
          </cell>
          <cell r="F348" t="str">
            <v>Budget</v>
          </cell>
          <cell r="G348" t="str">
            <v>Add.</v>
          </cell>
          <cell r="I348" t="str">
            <v>SAVINGS (p.a)</v>
          </cell>
          <cell r="K348" t="str">
            <v>Payback</v>
          </cell>
        </row>
        <row r="349">
          <cell r="D349" t="str">
            <v>Estimate</v>
          </cell>
          <cell r="E349" t="str">
            <v>Amount</v>
          </cell>
          <cell r="F349" t="str">
            <v>Amount</v>
          </cell>
          <cell r="G349" t="str">
            <v>Capacity(MW)</v>
          </cell>
          <cell r="H349" t="str">
            <v>Losses</v>
          </cell>
          <cell r="I349" t="str">
            <v>Cust-min.</v>
          </cell>
          <cell r="J349" t="str">
            <v>Out. Costs*</v>
          </cell>
          <cell r="K349" t="str">
            <v>Yrs</v>
          </cell>
        </row>
        <row r="352">
          <cell r="C352" t="str">
            <v>SYSTEM MAINTENANCE PROJECTS</v>
          </cell>
        </row>
        <row r="354">
          <cell r="A354">
            <v>1</v>
          </cell>
          <cell r="C354" t="str">
            <v>Overhead Switch Replacement</v>
          </cell>
          <cell r="D354">
            <v>300000</v>
          </cell>
          <cell r="E354">
            <v>300000</v>
          </cell>
          <cell r="F354">
            <v>0</v>
          </cell>
          <cell r="H354">
            <v>0</v>
          </cell>
          <cell r="I354">
            <v>20000</v>
          </cell>
          <cell r="J354">
            <v>100000</v>
          </cell>
          <cell r="K354">
            <v>3</v>
          </cell>
        </row>
        <row r="355">
          <cell r="A355">
            <v>2</v>
          </cell>
          <cell r="C355" t="str">
            <v>Secondary Cable Replacement</v>
          </cell>
          <cell r="D355">
            <v>75000</v>
          </cell>
          <cell r="E355">
            <v>75000</v>
          </cell>
          <cell r="F355">
            <v>0</v>
          </cell>
          <cell r="H355">
            <v>0</v>
          </cell>
          <cell r="I355">
            <v>5000</v>
          </cell>
          <cell r="J355">
            <v>25000</v>
          </cell>
          <cell r="K355">
            <v>3</v>
          </cell>
        </row>
        <row r="356">
          <cell r="A356">
            <v>3</v>
          </cell>
          <cell r="C356" t="str">
            <v>Meter Base Replacement</v>
          </cell>
          <cell r="D356">
            <v>40000</v>
          </cell>
          <cell r="E356">
            <v>40000</v>
          </cell>
          <cell r="F356">
            <v>0</v>
          </cell>
          <cell r="H356">
            <v>0</v>
          </cell>
          <cell r="I356">
            <v>4000</v>
          </cell>
          <cell r="J356">
            <v>20000</v>
          </cell>
          <cell r="K356">
            <v>2</v>
          </cell>
        </row>
        <row r="357">
          <cell r="A357">
            <v>4</v>
          </cell>
          <cell r="C357" t="str">
            <v>Overhead Transformer Replacement</v>
          </cell>
          <cell r="D357">
            <v>150000</v>
          </cell>
          <cell r="E357">
            <v>150000</v>
          </cell>
          <cell r="F357">
            <v>0</v>
          </cell>
          <cell r="H357">
            <v>2000</v>
          </cell>
          <cell r="I357">
            <v>10000</v>
          </cell>
          <cell r="J357">
            <v>50000</v>
          </cell>
          <cell r="K357">
            <v>2.8846153846153846</v>
          </cell>
        </row>
        <row r="358">
          <cell r="A358">
            <v>5</v>
          </cell>
          <cell r="C358" t="str">
            <v>U/ground Cable and Splice Replacement</v>
          </cell>
          <cell r="D358">
            <v>1200000</v>
          </cell>
          <cell r="E358">
            <v>1200000</v>
          </cell>
          <cell r="F358">
            <v>0</v>
          </cell>
          <cell r="H358">
            <v>5000</v>
          </cell>
          <cell r="I358">
            <v>55000</v>
          </cell>
          <cell r="J358">
            <v>275000</v>
          </cell>
          <cell r="K358">
            <v>4.2857142857142856</v>
          </cell>
        </row>
        <row r="359">
          <cell r="A359">
            <v>6</v>
          </cell>
          <cell r="C359" t="str">
            <v>Feeder Overhauls</v>
          </cell>
          <cell r="D359">
            <v>600000</v>
          </cell>
          <cell r="E359">
            <v>600000</v>
          </cell>
          <cell r="F359">
            <v>0</v>
          </cell>
          <cell r="H359">
            <v>5000</v>
          </cell>
          <cell r="I359">
            <v>40000</v>
          </cell>
          <cell r="J359">
            <v>200000</v>
          </cell>
          <cell r="K359">
            <v>2.9268292682926829</v>
          </cell>
        </row>
        <row r="360">
          <cell r="A360">
            <v>7</v>
          </cell>
          <cell r="C360" t="str">
            <v>U/ground Transformer Replacement</v>
          </cell>
          <cell r="D360">
            <v>200000</v>
          </cell>
          <cell r="E360">
            <v>200000</v>
          </cell>
          <cell r="F360">
            <v>0</v>
          </cell>
          <cell r="H360">
            <v>2000</v>
          </cell>
          <cell r="I360">
            <v>10000</v>
          </cell>
          <cell r="J360">
            <v>50000</v>
          </cell>
          <cell r="K360">
            <v>3.8461538461538463</v>
          </cell>
        </row>
        <row r="361">
          <cell r="A361">
            <v>8</v>
          </cell>
          <cell r="C361" t="str">
            <v>Load Centre Replacement</v>
          </cell>
          <cell r="D361">
            <v>100000</v>
          </cell>
          <cell r="E361">
            <v>100000</v>
          </cell>
          <cell r="F361">
            <v>0</v>
          </cell>
          <cell r="H361">
            <v>0</v>
          </cell>
          <cell r="I361">
            <v>8000</v>
          </cell>
          <cell r="J361">
            <v>40000</v>
          </cell>
          <cell r="K361">
            <v>2.5</v>
          </cell>
        </row>
        <row r="362">
          <cell r="A362">
            <v>9</v>
          </cell>
          <cell r="C362" t="str">
            <v>Overhead Rebuilds</v>
          </cell>
          <cell r="D362">
            <v>800000</v>
          </cell>
          <cell r="E362">
            <v>800000</v>
          </cell>
          <cell r="F362">
            <v>0</v>
          </cell>
          <cell r="H362">
            <v>2000</v>
          </cell>
          <cell r="I362">
            <v>70000</v>
          </cell>
          <cell r="J362">
            <v>350000</v>
          </cell>
          <cell r="K362">
            <v>2.2727272727272729</v>
          </cell>
        </row>
        <row r="363">
          <cell r="A363">
            <v>10</v>
          </cell>
          <cell r="C363" t="str">
            <v>Wood &amp; Concrete Pole Replacements</v>
          </cell>
          <cell r="D363">
            <v>250000</v>
          </cell>
          <cell r="E363">
            <v>250000</v>
          </cell>
          <cell r="F363">
            <v>0</v>
          </cell>
          <cell r="H363">
            <v>0</v>
          </cell>
          <cell r="I363">
            <v>30000</v>
          </cell>
          <cell r="J363">
            <v>150000</v>
          </cell>
          <cell r="K363">
            <v>1.6666666666666667</v>
          </cell>
        </row>
        <row r="364">
          <cell r="A364">
            <v>11</v>
          </cell>
          <cell r="C364" t="str">
            <v>Auto-Switches/SCADA</v>
          </cell>
          <cell r="D364">
            <v>1200000</v>
          </cell>
          <cell r="E364">
            <v>1200000</v>
          </cell>
          <cell r="F364">
            <v>0</v>
          </cell>
          <cell r="H364">
            <v>5000</v>
          </cell>
          <cell r="I364">
            <v>300000</v>
          </cell>
          <cell r="J364">
            <v>1500000</v>
          </cell>
          <cell r="K364">
            <v>0.79734219269102991</v>
          </cell>
        </row>
        <row r="365">
          <cell r="A365">
            <v>12</v>
          </cell>
          <cell r="C365" t="str">
            <v>Power T/former O/H &amp;  StationUpgrade</v>
          </cell>
          <cell r="D365">
            <v>100000</v>
          </cell>
          <cell r="E365">
            <v>100000</v>
          </cell>
          <cell r="F365">
            <v>0</v>
          </cell>
          <cell r="H365">
            <v>0</v>
          </cell>
          <cell r="I365">
            <v>10000</v>
          </cell>
          <cell r="J365">
            <v>50000</v>
          </cell>
          <cell r="K365">
            <v>2</v>
          </cell>
        </row>
        <row r="368">
          <cell r="C368" t="str">
            <v>TOTAL - SYSTEM MAINTENANCE</v>
          </cell>
          <cell r="D368">
            <v>5015000</v>
          </cell>
          <cell r="E368">
            <v>5015000</v>
          </cell>
          <cell r="F368">
            <v>0</v>
          </cell>
          <cell r="G368">
            <v>0</v>
          </cell>
          <cell r="H368">
            <v>14000</v>
          </cell>
          <cell r="I368">
            <v>468000</v>
          </cell>
          <cell r="J368">
            <v>2340000</v>
          </cell>
          <cell r="K368">
            <v>2.1304163126593032</v>
          </cell>
        </row>
        <row r="371">
          <cell r="E371" t="str">
            <v>TABLE 1 (Cont'd)</v>
          </cell>
        </row>
        <row r="372">
          <cell r="E372" t="str">
            <v xml:space="preserve">SUMMARY OF </v>
          </cell>
        </row>
        <row r="373">
          <cell r="E373" t="str">
            <v>RECOMMENDED SYSTEM EXPANSION PROJECTS - 1996</v>
          </cell>
        </row>
        <row r="375">
          <cell r="D375" t="str">
            <v>Project</v>
          </cell>
          <cell r="E375">
            <v>1996</v>
          </cell>
          <cell r="F375" t="str">
            <v>Future</v>
          </cell>
          <cell r="H375" t="str">
            <v xml:space="preserve">        BENEFITS</v>
          </cell>
        </row>
        <row r="376">
          <cell r="A376" t="str">
            <v>Item</v>
          </cell>
          <cell r="B376" t="str">
            <v>Item</v>
          </cell>
          <cell r="C376" t="str">
            <v>Description</v>
          </cell>
          <cell r="D376" t="str">
            <v>Cost</v>
          </cell>
          <cell r="E376" t="str">
            <v>Budget</v>
          </cell>
          <cell r="F376" t="str">
            <v>Budget</v>
          </cell>
          <cell r="G376" t="str">
            <v>Add.</v>
          </cell>
          <cell r="I376" t="str">
            <v>SAVINGS (p.a)</v>
          </cell>
          <cell r="K376" t="str">
            <v>Payback</v>
          </cell>
        </row>
        <row r="377">
          <cell r="D377" t="str">
            <v>Estimate</v>
          </cell>
          <cell r="E377" t="str">
            <v>Amount</v>
          </cell>
          <cell r="F377" t="str">
            <v>Amount</v>
          </cell>
          <cell r="G377" t="str">
            <v>Capacity(MW)</v>
          </cell>
          <cell r="H377" t="str">
            <v>Losses</v>
          </cell>
          <cell r="I377" t="str">
            <v>Cust-min.</v>
          </cell>
          <cell r="J377" t="str">
            <v>Out. Costs*</v>
          </cell>
          <cell r="K377" t="str">
            <v>Yrs</v>
          </cell>
        </row>
        <row r="380">
          <cell r="C380" t="str">
            <v xml:space="preserve">       Total - Subtransmission</v>
          </cell>
          <cell r="D380">
            <v>2595000</v>
          </cell>
          <cell r="E380">
            <v>645000</v>
          </cell>
          <cell r="F380">
            <v>1950000</v>
          </cell>
          <cell r="G380">
            <v>47</v>
          </cell>
          <cell r="H380">
            <v>99000</v>
          </cell>
          <cell r="I380">
            <v>435000</v>
          </cell>
          <cell r="J380">
            <v>2175000</v>
          </cell>
          <cell r="K380">
            <v>1.1411609498680739</v>
          </cell>
          <cell r="L380">
            <v>14</v>
          </cell>
        </row>
        <row r="381">
          <cell r="C381" t="str">
            <v xml:space="preserve">       Total - Distribution</v>
          </cell>
          <cell r="D381">
            <v>1940500</v>
          </cell>
          <cell r="E381">
            <v>575000</v>
          </cell>
          <cell r="F381">
            <v>1365500</v>
          </cell>
          <cell r="G381">
            <v>30</v>
          </cell>
          <cell r="H381">
            <v>40500</v>
          </cell>
          <cell r="I381">
            <v>159000</v>
          </cell>
          <cell r="J381">
            <v>795000</v>
          </cell>
          <cell r="K381">
            <v>2.3225613405146617</v>
          </cell>
          <cell r="L381">
            <v>18</v>
          </cell>
        </row>
        <row r="382">
          <cell r="C382" t="str">
            <v xml:space="preserve">       Total - Substations</v>
          </cell>
          <cell r="D382">
            <v>6050000</v>
          </cell>
          <cell r="E382">
            <v>900000</v>
          </cell>
          <cell r="F382">
            <v>5150000</v>
          </cell>
          <cell r="G382">
            <v>68</v>
          </cell>
          <cell r="H382">
            <v>36500</v>
          </cell>
          <cell r="I382">
            <v>212000</v>
          </cell>
          <cell r="J382">
            <v>1060000</v>
          </cell>
          <cell r="K382">
            <v>5.5175558595531236</v>
          </cell>
          <cell r="L382">
            <v>7</v>
          </cell>
        </row>
        <row r="383">
          <cell r="C383" t="str">
            <v xml:space="preserve">       Total - Subdivision Rebuilds</v>
          </cell>
          <cell r="D383">
            <v>6500000</v>
          </cell>
          <cell r="E383">
            <v>6500000</v>
          </cell>
          <cell r="F383">
            <v>0</v>
          </cell>
          <cell r="G383">
            <v>7</v>
          </cell>
          <cell r="H383">
            <v>8500</v>
          </cell>
          <cell r="I383">
            <v>290000</v>
          </cell>
          <cell r="J383">
            <v>1450000</v>
          </cell>
          <cell r="K383">
            <v>4.4566335275968463</v>
          </cell>
          <cell r="L383">
            <v>6</v>
          </cell>
        </row>
        <row r="384">
          <cell r="C384" t="str">
            <v xml:space="preserve">       Total - System Maintenance</v>
          </cell>
          <cell r="D384">
            <v>5015000</v>
          </cell>
          <cell r="E384">
            <v>5015000</v>
          </cell>
          <cell r="F384">
            <v>0</v>
          </cell>
          <cell r="G384">
            <v>0</v>
          </cell>
          <cell r="H384">
            <v>14000</v>
          </cell>
          <cell r="I384">
            <v>468000</v>
          </cell>
          <cell r="J384">
            <v>2340000</v>
          </cell>
          <cell r="K384">
            <v>2.1304163126593032</v>
          </cell>
        </row>
        <row r="387">
          <cell r="C387" t="str">
            <v xml:space="preserve">       GRAND TOTAL</v>
          </cell>
          <cell r="D387">
            <v>22100500</v>
          </cell>
          <cell r="E387">
            <v>13635000</v>
          </cell>
          <cell r="F387">
            <v>8465500</v>
          </cell>
          <cell r="G387">
            <v>152</v>
          </cell>
          <cell r="H387">
            <v>198500</v>
          </cell>
          <cell r="I387">
            <v>1564000</v>
          </cell>
          <cell r="J387">
            <v>7820000</v>
          </cell>
          <cell r="K387">
            <v>2.7561888133690839</v>
          </cell>
          <cell r="L387">
            <v>45</v>
          </cell>
        </row>
        <row r="390">
          <cell r="A390" t="str">
            <v>*</v>
          </cell>
          <cell r="B390" t="str">
            <v>*</v>
          </cell>
          <cell r="C390" t="str">
            <v>Savings p.a. to the community</v>
          </cell>
        </row>
      </sheetData>
      <sheetData sheetId="4"/>
      <sheetData sheetId="5" refreshError="1">
        <row r="3">
          <cell r="B3" t="str">
            <v>CATEGORY</v>
          </cell>
          <cell r="E3">
            <v>1995</v>
          </cell>
          <cell r="G3">
            <v>1995</v>
          </cell>
          <cell r="I3">
            <v>1994</v>
          </cell>
          <cell r="J3">
            <v>1996</v>
          </cell>
          <cell r="L3">
            <v>1995</v>
          </cell>
          <cell r="M3">
            <v>1996</v>
          </cell>
          <cell r="O3">
            <v>1995</v>
          </cell>
          <cell r="P3" t="str">
            <v>Variance</v>
          </cell>
        </row>
        <row r="4">
          <cell r="E4" t="str">
            <v>Budget</v>
          </cell>
          <cell r="G4" t="str">
            <v>Carryover Projects</v>
          </cell>
          <cell r="I4" t="str">
            <v>Carryover Projects</v>
          </cell>
          <cell r="J4" t="str">
            <v>New Projects</v>
          </cell>
          <cell r="L4" t="str">
            <v>New Projects</v>
          </cell>
          <cell r="M4" t="str">
            <v>Total Projects</v>
          </cell>
          <cell r="O4" t="str">
            <v>Total Projects</v>
          </cell>
          <cell r="P4" t="str">
            <v>%</v>
          </cell>
        </row>
        <row r="5">
          <cell r="G5" t="str">
            <v>Budget</v>
          </cell>
          <cell r="I5" t="str">
            <v>HM Labour</v>
          </cell>
          <cell r="J5" t="str">
            <v>Budget</v>
          </cell>
          <cell r="L5" t="str">
            <v>HM Labour</v>
          </cell>
          <cell r="M5" t="str">
            <v>Budget</v>
          </cell>
          <cell r="O5" t="str">
            <v>HM Labour</v>
          </cell>
          <cell r="P5" t="str">
            <v>Increase</v>
          </cell>
        </row>
        <row r="6">
          <cell r="E6" t="str">
            <v>('000)</v>
          </cell>
          <cell r="G6" t="str">
            <v>('000)</v>
          </cell>
          <cell r="I6" t="str">
            <v>('000)</v>
          </cell>
          <cell r="J6" t="str">
            <v>('000)</v>
          </cell>
          <cell r="L6" t="str">
            <v>('000)</v>
          </cell>
          <cell r="M6" t="str">
            <v>('000)</v>
          </cell>
          <cell r="O6" t="str">
            <v>('000)</v>
          </cell>
        </row>
        <row r="7">
          <cell r="B7" t="str">
            <v>Subtransmission</v>
          </cell>
          <cell r="E7">
            <v>2930</v>
          </cell>
          <cell r="G7">
            <v>2550</v>
          </cell>
          <cell r="I7">
            <v>800.8</v>
          </cell>
          <cell r="J7">
            <v>645</v>
          </cell>
          <cell r="L7">
            <v>475</v>
          </cell>
          <cell r="M7">
            <v>3195</v>
          </cell>
          <cell r="O7">
            <v>1275.8</v>
          </cell>
          <cell r="P7">
            <v>9.0443686006825938E-2</v>
          </cell>
        </row>
        <row r="9">
          <cell r="B9" t="str">
            <v>Distribution</v>
          </cell>
          <cell r="E9">
            <v>1270</v>
          </cell>
          <cell r="G9">
            <v>705</v>
          </cell>
          <cell r="I9">
            <v>357.5</v>
          </cell>
          <cell r="J9">
            <v>575</v>
          </cell>
          <cell r="L9">
            <v>290</v>
          </cell>
          <cell r="M9">
            <v>1280</v>
          </cell>
          <cell r="O9">
            <v>647.5</v>
          </cell>
          <cell r="P9">
            <v>7.874015748031496E-3</v>
          </cell>
        </row>
        <row r="11">
          <cell r="B11" t="str">
            <v>Substations</v>
          </cell>
          <cell r="E11">
            <v>2510</v>
          </cell>
          <cell r="G11">
            <v>1770</v>
          </cell>
          <cell r="I11">
            <v>735</v>
          </cell>
          <cell r="J11">
            <v>900</v>
          </cell>
          <cell r="L11">
            <v>100</v>
          </cell>
          <cell r="M11">
            <v>2670</v>
          </cell>
          <cell r="O11">
            <v>835</v>
          </cell>
          <cell r="P11">
            <v>6.3745019920318724E-2</v>
          </cell>
        </row>
        <row r="13">
          <cell r="B13" t="str">
            <v>Subdivision Rebuilds</v>
          </cell>
          <cell r="E13">
            <v>6430</v>
          </cell>
          <cell r="G13">
            <v>0</v>
          </cell>
          <cell r="I13">
            <v>190</v>
          </cell>
          <cell r="J13">
            <v>6500</v>
          </cell>
          <cell r="L13">
            <v>250</v>
          </cell>
          <cell r="M13">
            <v>6500</v>
          </cell>
          <cell r="O13">
            <v>440</v>
          </cell>
          <cell r="P13">
            <v>1.088646967340591E-2</v>
          </cell>
        </row>
        <row r="15">
          <cell r="B15" t="str">
            <v>Road Relocations</v>
          </cell>
          <cell r="E15">
            <v>1300</v>
          </cell>
          <cell r="G15">
            <v>0</v>
          </cell>
          <cell r="I15">
            <v>100</v>
          </cell>
          <cell r="J15">
            <v>1200</v>
          </cell>
          <cell r="L15">
            <v>650</v>
          </cell>
          <cell r="M15">
            <v>1200</v>
          </cell>
          <cell r="O15">
            <v>750</v>
          </cell>
          <cell r="P15">
            <v>-7.6923076923076927E-2</v>
          </cell>
        </row>
        <row r="17">
          <cell r="B17" t="str">
            <v>Industrial &amp; Commercial Services</v>
          </cell>
          <cell r="E17">
            <v>1930</v>
          </cell>
          <cell r="G17">
            <v>0</v>
          </cell>
          <cell r="I17">
            <v>0</v>
          </cell>
          <cell r="J17">
            <v>1950</v>
          </cell>
          <cell r="L17">
            <v>825</v>
          </cell>
          <cell r="M17">
            <v>1950</v>
          </cell>
          <cell r="O17">
            <v>825</v>
          </cell>
          <cell r="P17">
            <v>1.0362694300518135E-2</v>
          </cell>
        </row>
        <row r="19">
          <cell r="B19" t="str">
            <v>O/H Distribution Maintenance</v>
          </cell>
          <cell r="E19">
            <v>2200</v>
          </cell>
          <cell r="G19">
            <v>0</v>
          </cell>
          <cell r="J19">
            <v>1950</v>
          </cell>
          <cell r="M19">
            <v>1950</v>
          </cell>
          <cell r="P19">
            <v>-0.11363636363636363</v>
          </cell>
        </row>
        <row r="21">
          <cell r="B21" t="str">
            <v>U/G Distribution Maintenance</v>
          </cell>
          <cell r="E21">
            <v>1369</v>
          </cell>
          <cell r="G21">
            <v>0</v>
          </cell>
          <cell r="J21">
            <v>1415</v>
          </cell>
          <cell r="M21">
            <v>1415</v>
          </cell>
          <cell r="P21">
            <v>3.3601168736303873E-2</v>
          </cell>
        </row>
        <row r="23">
          <cell r="B23" t="str">
            <v>Transformer Overhauls</v>
          </cell>
          <cell r="E23">
            <v>450</v>
          </cell>
          <cell r="G23">
            <v>0</v>
          </cell>
          <cell r="J23">
            <v>450</v>
          </cell>
          <cell r="M23">
            <v>450</v>
          </cell>
          <cell r="P23">
            <v>0</v>
          </cell>
        </row>
        <row r="25">
          <cell r="B25" t="str">
            <v>Auto Switches/SCADA</v>
          </cell>
          <cell r="E25">
            <v>1260</v>
          </cell>
          <cell r="G25">
            <v>0</v>
          </cell>
          <cell r="J25">
            <v>1200</v>
          </cell>
          <cell r="M25">
            <v>1200</v>
          </cell>
          <cell r="P25">
            <v>-4.7619047619047616E-2</v>
          </cell>
        </row>
        <row r="27">
          <cell r="B27" t="str">
            <v>Land and Easements</v>
          </cell>
          <cell r="E27">
            <v>400</v>
          </cell>
          <cell r="G27">
            <v>0</v>
          </cell>
          <cell r="I27">
            <v>0</v>
          </cell>
          <cell r="J27">
            <v>150</v>
          </cell>
          <cell r="L27">
            <v>0</v>
          </cell>
          <cell r="M27">
            <v>150</v>
          </cell>
          <cell r="O27">
            <v>0</v>
          </cell>
          <cell r="P27">
            <v>-0.625</v>
          </cell>
        </row>
        <row r="29">
          <cell r="B29" t="str">
            <v>Major Tools</v>
          </cell>
          <cell r="E29">
            <v>242</v>
          </cell>
          <cell r="G29">
            <v>0</v>
          </cell>
          <cell r="I29">
            <v>0</v>
          </cell>
          <cell r="J29">
            <v>145</v>
          </cell>
          <cell r="L29">
            <v>0</v>
          </cell>
          <cell r="M29">
            <v>145</v>
          </cell>
          <cell r="O29">
            <v>0</v>
          </cell>
          <cell r="P29">
            <v>-0.40082644628099173</v>
          </cell>
        </row>
        <row r="32">
          <cell r="C32" t="str">
            <v>TOTAL</v>
          </cell>
          <cell r="E32">
            <v>22291</v>
          </cell>
          <cell r="G32">
            <v>5025</v>
          </cell>
          <cell r="I32">
            <v>2183.3000000000002</v>
          </cell>
          <cell r="J32">
            <v>17080</v>
          </cell>
          <cell r="L32">
            <v>2590</v>
          </cell>
          <cell r="M32">
            <v>22105</v>
          </cell>
          <cell r="O32">
            <v>4773.3</v>
          </cell>
          <cell r="P32">
            <v>-8.3441747790588133E-3</v>
          </cell>
        </row>
        <row r="33">
          <cell r="B33">
            <v>35276.598025462961</v>
          </cell>
        </row>
        <row r="37">
          <cell r="J37" t="str">
            <v>Project</v>
          </cell>
          <cell r="M37">
            <v>1955</v>
          </cell>
        </row>
        <row r="38">
          <cell r="B38" t="str">
            <v>MULTIYEAR CAPITAL PROJECTS</v>
          </cell>
          <cell r="J38" t="str">
            <v>Life</v>
          </cell>
          <cell r="M38" t="str">
            <v>Carryover Projects</v>
          </cell>
        </row>
        <row r="39">
          <cell r="J39" t="str">
            <v>Cost</v>
          </cell>
          <cell r="M39" t="str">
            <v>Budget</v>
          </cell>
        </row>
        <row r="40">
          <cell r="J40" t="str">
            <v>('000)</v>
          </cell>
          <cell r="M40" t="str">
            <v>('000)</v>
          </cell>
        </row>
        <row r="41">
          <cell r="B41" t="str">
            <v>SUBTRANSMISSION</v>
          </cell>
        </row>
        <row r="43">
          <cell r="B43">
            <v>9501</v>
          </cell>
          <cell r="D43" t="str">
            <v>44 kV Meadowvale TS Egress</v>
          </cell>
          <cell r="J43">
            <v>650</v>
          </cell>
          <cell r="M43">
            <v>650</v>
          </cell>
        </row>
        <row r="44">
          <cell r="D44" t="str">
            <v>44 kV Winston Churchill Blvd.</v>
          </cell>
          <cell r="J44">
            <v>200</v>
          </cell>
          <cell r="M44">
            <v>200</v>
          </cell>
        </row>
        <row r="45">
          <cell r="D45" t="str">
            <v>44 kV Tomken/Bloor</v>
          </cell>
          <cell r="J45">
            <v>325</v>
          </cell>
          <cell r="M45">
            <v>325</v>
          </cell>
        </row>
        <row r="46">
          <cell r="D46" t="str">
            <v xml:space="preserve">44 kV Summerville M.S. </v>
          </cell>
          <cell r="J46">
            <v>200</v>
          </cell>
          <cell r="M46">
            <v>200</v>
          </cell>
        </row>
        <row r="47">
          <cell r="D47" t="str">
            <v>27.6 kV Second Line Express Feeder</v>
          </cell>
          <cell r="J47">
            <v>950</v>
          </cell>
          <cell r="M47">
            <v>950</v>
          </cell>
        </row>
        <row r="48">
          <cell r="D48" t="str">
            <v>27.6 kV Midway</v>
          </cell>
          <cell r="J48">
            <v>225</v>
          </cell>
          <cell r="M48">
            <v>225</v>
          </cell>
        </row>
        <row r="51">
          <cell r="C51" t="str">
            <v>TOTAL-SUBTRANSMISSION</v>
          </cell>
          <cell r="J51">
            <v>2550</v>
          </cell>
          <cell r="M51">
            <v>2550</v>
          </cell>
        </row>
        <row r="54">
          <cell r="B54" t="str">
            <v>DISTRIBUTION</v>
          </cell>
        </row>
        <row r="56">
          <cell r="B56">
            <v>9502</v>
          </cell>
          <cell r="D56" t="str">
            <v>13.8 kV Winston Churchill Blvd.</v>
          </cell>
          <cell r="J56">
            <v>80</v>
          </cell>
          <cell r="M56">
            <v>80</v>
          </cell>
        </row>
        <row r="57">
          <cell r="D57" t="str">
            <v>13.8 kV Chalkdene/Rockwood</v>
          </cell>
          <cell r="J57">
            <v>200</v>
          </cell>
          <cell r="M57">
            <v>200</v>
          </cell>
        </row>
        <row r="58">
          <cell r="D58" t="str">
            <v>13.8 kV American Drive</v>
          </cell>
          <cell r="J58">
            <v>125</v>
          </cell>
          <cell r="M58">
            <v>125</v>
          </cell>
        </row>
        <row r="59">
          <cell r="D59" t="str">
            <v>13.8 kV Burnhamthorpe Road</v>
          </cell>
          <cell r="J59">
            <v>125</v>
          </cell>
          <cell r="M59">
            <v>125</v>
          </cell>
        </row>
        <row r="60">
          <cell r="D60" t="str">
            <v>4.16 kV Clarkson M.S.</v>
          </cell>
          <cell r="J60">
            <v>75</v>
          </cell>
          <cell r="M60">
            <v>75</v>
          </cell>
        </row>
        <row r="61">
          <cell r="D61" t="str">
            <v>4.16 kV Cawthra Road</v>
          </cell>
          <cell r="J61">
            <v>100</v>
          </cell>
          <cell r="M61">
            <v>100</v>
          </cell>
        </row>
        <row r="64">
          <cell r="C64" t="str">
            <v>TOTAL-DISTRIBUTION</v>
          </cell>
          <cell r="J64">
            <v>705</v>
          </cell>
          <cell r="M64">
            <v>705</v>
          </cell>
        </row>
        <row r="67">
          <cell r="B67" t="str">
            <v>SUBSTATION</v>
          </cell>
        </row>
        <row r="69">
          <cell r="B69">
            <v>9404</v>
          </cell>
          <cell r="D69" t="str">
            <v>Sheridan Park MS Rebuild</v>
          </cell>
          <cell r="J69">
            <v>870</v>
          </cell>
          <cell r="M69">
            <v>670</v>
          </cell>
        </row>
        <row r="70">
          <cell r="B70">
            <v>9405</v>
          </cell>
          <cell r="D70" t="str">
            <v>Orchard Heights MS Rebuild</v>
          </cell>
          <cell r="J70">
            <v>1545</v>
          </cell>
          <cell r="M70">
            <v>1100</v>
          </cell>
        </row>
        <row r="75">
          <cell r="C75" t="str">
            <v>TOTAL-SUBSTATION</v>
          </cell>
          <cell r="J75">
            <v>2415</v>
          </cell>
          <cell r="M75">
            <v>1770</v>
          </cell>
        </row>
        <row r="78">
          <cell r="B78" t="str">
            <v>SUBDIVISION REBUILDS</v>
          </cell>
        </row>
        <row r="80">
          <cell r="B80">
            <v>9503</v>
          </cell>
          <cell r="D80" t="str">
            <v>Forest Glen</v>
          </cell>
          <cell r="J80">
            <v>6950</v>
          </cell>
          <cell r="M80">
            <v>0</v>
          </cell>
        </row>
        <row r="81">
          <cell r="D81" t="str">
            <v>Sheridan Homelands Ph 4</v>
          </cell>
          <cell r="J81">
            <v>0</v>
          </cell>
          <cell r="M81">
            <v>0</v>
          </cell>
        </row>
        <row r="82">
          <cell r="D82" t="str">
            <v>Malton Ph4</v>
          </cell>
          <cell r="J82">
            <v>0</v>
          </cell>
          <cell r="M82">
            <v>0</v>
          </cell>
        </row>
        <row r="83">
          <cell r="D83" t="str">
            <v>Meadowvale Feeder Replacement</v>
          </cell>
          <cell r="J83">
            <v>0</v>
          </cell>
          <cell r="M83">
            <v>0</v>
          </cell>
        </row>
        <row r="85">
          <cell r="C85" t="str">
            <v>TOTAL-REBUILDS</v>
          </cell>
          <cell r="J85">
            <v>6950</v>
          </cell>
          <cell r="M85">
            <v>0</v>
          </cell>
        </row>
        <row r="143">
          <cell r="B143" t="str">
            <v>1995 SYSTEM PROJECTS</v>
          </cell>
          <cell r="J143">
            <v>1995</v>
          </cell>
        </row>
        <row r="144">
          <cell r="J144" t="str">
            <v>Budget</v>
          </cell>
        </row>
        <row r="145">
          <cell r="J145" t="str">
            <v>('000)</v>
          </cell>
        </row>
        <row r="146">
          <cell r="B146" t="str">
            <v>SUBTRANSMISSION</v>
          </cell>
        </row>
        <row r="148">
          <cell r="B148">
            <v>9401</v>
          </cell>
          <cell r="D148" t="str">
            <v>Subtransmission Cons.</v>
          </cell>
          <cell r="J148">
            <v>1980</v>
          </cell>
        </row>
        <row r="149">
          <cell r="B149">
            <v>9501</v>
          </cell>
          <cell r="D149" t="str">
            <v>Subtransmission</v>
          </cell>
          <cell r="J149">
            <v>950</v>
          </cell>
        </row>
        <row r="151">
          <cell r="C151" t="str">
            <v>TOTAL-SUBTRANSMISSION</v>
          </cell>
          <cell r="J151">
            <v>2930</v>
          </cell>
        </row>
        <row r="153">
          <cell r="B153" t="str">
            <v>DISTRIBUTION</v>
          </cell>
        </row>
        <row r="155">
          <cell r="B155">
            <v>9402</v>
          </cell>
          <cell r="D155" t="str">
            <v>Distribution Const.</v>
          </cell>
          <cell r="J155">
            <v>690</v>
          </cell>
        </row>
        <row r="156">
          <cell r="B156">
            <v>9402</v>
          </cell>
          <cell r="D156" t="str">
            <v>Distribution</v>
          </cell>
          <cell r="J156">
            <v>580</v>
          </cell>
        </row>
        <row r="158">
          <cell r="C158" t="str">
            <v>TOTAL-DISTRIBUTION</v>
          </cell>
          <cell r="J158">
            <v>1270</v>
          </cell>
        </row>
        <row r="160">
          <cell r="B160" t="str">
            <v>SUBSTATION</v>
          </cell>
        </row>
        <row r="162">
          <cell r="B162">
            <v>9209</v>
          </cell>
          <cell r="D162" t="str">
            <v>Confederation</v>
          </cell>
          <cell r="J162">
            <v>500</v>
          </cell>
        </row>
        <row r="163">
          <cell r="B163">
            <v>9309</v>
          </cell>
          <cell r="D163" t="str">
            <v>Matheson</v>
          </cell>
          <cell r="J163">
            <v>160</v>
          </cell>
        </row>
        <row r="164">
          <cell r="B164">
            <v>9403</v>
          </cell>
          <cell r="D164" t="str">
            <v>Thomas</v>
          </cell>
          <cell r="J164">
            <v>500</v>
          </cell>
        </row>
        <row r="165">
          <cell r="B165">
            <v>9404</v>
          </cell>
          <cell r="D165" t="str">
            <v>Sheridan Park MS Rebuild</v>
          </cell>
          <cell r="J165">
            <v>550</v>
          </cell>
        </row>
        <row r="166">
          <cell r="B166">
            <v>9405</v>
          </cell>
          <cell r="D166" t="str">
            <v>Orchard Heights MS Rebuild</v>
          </cell>
          <cell r="J166">
            <v>500</v>
          </cell>
        </row>
        <row r="167">
          <cell r="B167">
            <v>9506</v>
          </cell>
          <cell r="D167" t="str">
            <v>MS Egress Cable Replacement</v>
          </cell>
          <cell r="J167">
            <v>300</v>
          </cell>
        </row>
        <row r="169">
          <cell r="C169" t="str">
            <v>TOTAL-SUBSTATION</v>
          </cell>
          <cell r="J169">
            <v>2510</v>
          </cell>
        </row>
        <row r="171">
          <cell r="B171" t="str">
            <v>SUBDIVISION REBUILDS</v>
          </cell>
        </row>
        <row r="173">
          <cell r="B173">
            <v>9407</v>
          </cell>
          <cell r="D173" t="str">
            <v>Applewood Heights Ph1</v>
          </cell>
          <cell r="J173">
            <v>250</v>
          </cell>
        </row>
        <row r="174">
          <cell r="B174">
            <v>9408</v>
          </cell>
          <cell r="D174" t="str">
            <v>Comanche/Cochise</v>
          </cell>
          <cell r="J174">
            <v>50</v>
          </cell>
        </row>
        <row r="175">
          <cell r="B175">
            <v>9409</v>
          </cell>
          <cell r="D175" t="str">
            <v>Malton Ph3</v>
          </cell>
          <cell r="J175">
            <v>100</v>
          </cell>
        </row>
        <row r="176">
          <cell r="B176">
            <v>9410</v>
          </cell>
          <cell r="D176" t="str">
            <v>Sheridan Homelands Ph3</v>
          </cell>
          <cell r="J176">
            <v>80</v>
          </cell>
        </row>
        <row r="177">
          <cell r="B177">
            <v>9503</v>
          </cell>
          <cell r="D177" t="str">
            <v>Subdivision Rebuilds</v>
          </cell>
          <cell r="J177">
            <v>5950</v>
          </cell>
        </row>
        <row r="179">
          <cell r="C179" t="str">
            <v>TOTAL-REBUILDS</v>
          </cell>
          <cell r="J179">
            <v>6430</v>
          </cell>
        </row>
        <row r="181">
          <cell r="B181" t="str">
            <v>ROAD RELOCATIONS</v>
          </cell>
        </row>
        <row r="183">
          <cell r="B183">
            <v>9530</v>
          </cell>
          <cell r="D183" t="str">
            <v>Road Projects - 1995</v>
          </cell>
          <cell r="J183">
            <v>1300</v>
          </cell>
        </row>
        <row r="185">
          <cell r="C185" t="str">
            <v>TOTAL ROAD RELOCATIONS</v>
          </cell>
          <cell r="J185">
            <v>1300</v>
          </cell>
        </row>
        <row r="187">
          <cell r="B187" t="str">
            <v>INDUSTRIAL &amp; COMMERCIAL SERVICES</v>
          </cell>
        </row>
        <row r="189">
          <cell r="B189">
            <v>9541</v>
          </cell>
          <cell r="D189" t="str">
            <v>Overhead Services</v>
          </cell>
          <cell r="J189">
            <v>55</v>
          </cell>
        </row>
        <row r="190">
          <cell r="B190">
            <v>9542</v>
          </cell>
          <cell r="D190" t="str">
            <v>Industrial/Commercial Services</v>
          </cell>
          <cell r="J190">
            <v>1375</v>
          </cell>
        </row>
        <row r="191">
          <cell r="B191">
            <v>9543</v>
          </cell>
          <cell r="D191" t="str">
            <v>Apartments</v>
          </cell>
          <cell r="J191">
            <v>500</v>
          </cell>
        </row>
        <row r="193">
          <cell r="C193" t="str">
            <v>TOTAL-INDUSTRIAL &amp; COMMERCIAL SERVICES</v>
          </cell>
          <cell r="J193">
            <v>1930</v>
          </cell>
        </row>
        <row r="195">
          <cell r="C195" t="str">
            <v>TOTAL-SYSTEM PROJECTS</v>
          </cell>
          <cell r="J195">
            <v>16370</v>
          </cell>
        </row>
        <row r="199">
          <cell r="B199" t="str">
            <v>1995 SYSTEM MAINTENANCE PROJECTS</v>
          </cell>
          <cell r="J199">
            <v>1995</v>
          </cell>
        </row>
        <row r="200">
          <cell r="J200" t="str">
            <v>Budget</v>
          </cell>
        </row>
        <row r="201">
          <cell r="J201" t="str">
            <v>('000)</v>
          </cell>
        </row>
        <row r="202">
          <cell r="B202" t="str">
            <v>O/H DISTRIBUTION</v>
          </cell>
        </row>
        <row r="204">
          <cell r="B204">
            <v>9560</v>
          </cell>
          <cell r="D204" t="str">
            <v>Wood Pole Replacement</v>
          </cell>
          <cell r="J204">
            <v>400</v>
          </cell>
        </row>
        <row r="205">
          <cell r="B205">
            <v>9561</v>
          </cell>
          <cell r="D205" t="str">
            <v>Overhead Rebuilds</v>
          </cell>
          <cell r="J205">
            <v>900</v>
          </cell>
        </row>
        <row r="206">
          <cell r="B206">
            <v>9564</v>
          </cell>
          <cell r="D206" t="str">
            <v>Feeder Overhauls</v>
          </cell>
          <cell r="J206">
            <v>600</v>
          </cell>
        </row>
        <row r="207">
          <cell r="B207">
            <v>9569</v>
          </cell>
          <cell r="D207" t="str">
            <v>Overhead Switch Replacement</v>
          </cell>
          <cell r="J207">
            <v>300</v>
          </cell>
        </row>
        <row r="208">
          <cell r="B208">
            <v>9576</v>
          </cell>
          <cell r="D208" t="str">
            <v>Auto Switches/SCADA</v>
          </cell>
          <cell r="J208">
            <v>1260</v>
          </cell>
        </row>
        <row r="211">
          <cell r="C211" t="str">
            <v>TOTAL-O/H DISTRIBUTION</v>
          </cell>
          <cell r="J211">
            <v>3460</v>
          </cell>
        </row>
        <row r="214">
          <cell r="B214" t="str">
            <v xml:space="preserve"> U/G DISTRIBUTION</v>
          </cell>
        </row>
        <row r="216">
          <cell r="B216">
            <v>9562</v>
          </cell>
          <cell r="D216" t="str">
            <v>Load Centre Replacements</v>
          </cell>
          <cell r="J216">
            <v>60</v>
          </cell>
        </row>
        <row r="217">
          <cell r="B217">
            <v>9565</v>
          </cell>
          <cell r="D217" t="str">
            <v>Underground Cable Replacements</v>
          </cell>
          <cell r="J217">
            <v>1200</v>
          </cell>
        </row>
        <row r="218">
          <cell r="B218">
            <v>9567</v>
          </cell>
          <cell r="D218" t="str">
            <v>Meter Base Replacements</v>
          </cell>
          <cell r="J218">
            <v>34</v>
          </cell>
        </row>
        <row r="219">
          <cell r="B219">
            <v>9568</v>
          </cell>
          <cell r="D219" t="str">
            <v>Secondary Cable Replacements</v>
          </cell>
          <cell r="J219">
            <v>75</v>
          </cell>
        </row>
        <row r="222">
          <cell r="C222" t="str">
            <v>TOTAL- U/G DISTRIBUTION</v>
          </cell>
          <cell r="J222">
            <v>1369</v>
          </cell>
        </row>
        <row r="225">
          <cell r="B225" t="str">
            <v>TRANFORMER OVERHAULS</v>
          </cell>
        </row>
        <row r="227">
          <cell r="B227">
            <v>9563</v>
          </cell>
          <cell r="D227" t="str">
            <v>Underground Tx Replacements</v>
          </cell>
          <cell r="J227">
            <v>200</v>
          </cell>
        </row>
        <row r="228">
          <cell r="B228">
            <v>9566</v>
          </cell>
          <cell r="D228" t="str">
            <v>Overhead Tx Replacements</v>
          </cell>
          <cell r="J228">
            <v>150</v>
          </cell>
        </row>
        <row r="229">
          <cell r="B229">
            <v>9575</v>
          </cell>
          <cell r="D229" t="str">
            <v>MS Tx &amp; Station Overhauls</v>
          </cell>
          <cell r="J229">
            <v>100</v>
          </cell>
        </row>
        <row r="232">
          <cell r="C232" t="str">
            <v>TOTAL-TRANSFORMER OVERHAULS</v>
          </cell>
          <cell r="J232">
            <v>450</v>
          </cell>
        </row>
        <row r="234">
          <cell r="C234" t="str">
            <v>TOTAL - SYSTEM MAINTENANCE</v>
          </cell>
          <cell r="J234">
            <v>5279</v>
          </cell>
        </row>
        <row r="236">
          <cell r="C236" t="str">
            <v>TOTAL- ENG &amp; OPERATION</v>
          </cell>
          <cell r="J236">
            <v>21649</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DC Information"/>
      <sheetName val="2. 2006 Rate Classes"/>
      <sheetName val="3. 2006 Tariff Sheet"/>
      <sheetName val="4. 2006 Smart Meter Information"/>
      <sheetName val="5. Removal of SM"/>
      <sheetName val="6. CDM Adjustment"/>
      <sheetName val="7. LCT Adjustment"/>
      <sheetName val="8. Dx IRM Adjustment"/>
      <sheetName val="9. Addback of Smart Meter Amt"/>
      <sheetName val="10. 2007 Tariff Sheet"/>
      <sheetName val="11. Bill Impact - Summer"/>
      <sheetName val="12. Bill Impact - Winter"/>
      <sheetName val="13. Bill Impact - Annualiz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97 (3)"/>
      <sheetName val="Projects"/>
      <sheetName val="Global"/>
      <sheetName val="RPCAP97"/>
      <sheetName val="Budget98"/>
      <sheetName val="Work Units"/>
      <sheetName val="Items98"/>
      <sheetName val="Items98 (2)"/>
      <sheetName val="SUM98"/>
      <sheetName val="MW-min"/>
      <sheetName val="SUM98 - MW-min"/>
      <sheetName val="Res Plan"/>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refreshError="1">
        <row r="1">
          <cell r="B1" t="str">
            <v xml:space="preserve">POSSIBLE  SYSTEM   CAPITAL PROJECTS  -  1997 </v>
          </cell>
        </row>
        <row r="3">
          <cell r="A3" t="str">
            <v>SUBTRANSMISSION</v>
          </cell>
          <cell r="D3" t="str">
            <v>Date:</v>
          </cell>
          <cell r="F3">
            <v>36005.348419212962</v>
          </cell>
        </row>
        <row r="6">
          <cell r="A6" t="str">
            <v>ITEM</v>
          </cell>
          <cell r="B6" t="str">
            <v>DESCRIPTION</v>
          </cell>
          <cell r="C6" t="str">
            <v>TYPE</v>
          </cell>
          <cell r="D6" t="str">
            <v>ESTIMATE</v>
          </cell>
          <cell r="E6" t="str">
            <v>ZONE</v>
          </cell>
          <cell r="F6" t="str">
            <v>PRIORITY</v>
          </cell>
        </row>
        <row r="7">
          <cell r="C7" t="str">
            <v>(km)</v>
          </cell>
        </row>
        <row r="9">
          <cell r="B9" t="str">
            <v>44 kV - TOMKEN T.S.</v>
          </cell>
        </row>
        <row r="12">
          <cell r="A12">
            <v>1</v>
          </cell>
          <cell r="B12" t="str">
            <v>44 kV Dixie/Hwy 401- Feeder Tie</v>
          </cell>
          <cell r="C12" t="str">
            <v>U/G</v>
          </cell>
          <cell r="D12">
            <v>755000</v>
          </cell>
          <cell r="E12" t="str">
            <v>Erin/Tomk.</v>
          </cell>
          <cell r="F12">
            <v>0</v>
          </cell>
        </row>
        <row r="13">
          <cell r="B13" t="str">
            <v xml:space="preserve">          From Shawson M.S. south along Dixie on</v>
          </cell>
          <cell r="C13">
            <v>0.4</v>
          </cell>
        </row>
        <row r="14">
          <cell r="B14" t="str">
            <v xml:space="preserve">         existing poleline and U/G under Hwy 401  </v>
          </cell>
        </row>
        <row r="17">
          <cell r="A17">
            <v>2</v>
          </cell>
          <cell r="B17" t="str">
            <v>44 kV Dixie/Burnhamthorpe- Feeder Tie</v>
          </cell>
          <cell r="C17" t="str">
            <v>REBUILD</v>
          </cell>
          <cell r="D17">
            <v>420000</v>
          </cell>
          <cell r="E17" t="str">
            <v>Erin/Tomk.</v>
          </cell>
          <cell r="F17">
            <v>0</v>
          </cell>
        </row>
        <row r="18">
          <cell r="B18" t="str">
            <v xml:space="preserve">          On existing poleline  along  Dixie  Rd.  from</v>
          </cell>
          <cell r="C18">
            <v>1.7</v>
          </cell>
        </row>
        <row r="19">
          <cell r="B19" t="str">
            <v xml:space="preserve">          Burnhamthorpe  Rd.   to   New Dixie.</v>
          </cell>
        </row>
        <row r="22">
          <cell r="A22">
            <v>3</v>
          </cell>
          <cell r="B22" t="str">
            <v>44 kV Eglinton Feeders</v>
          </cell>
          <cell r="C22" t="str">
            <v>REBUILD</v>
          </cell>
          <cell r="D22">
            <v>420000</v>
          </cell>
          <cell r="E22" t="str">
            <v>Erin/Tomk.</v>
          </cell>
          <cell r="F22">
            <v>0</v>
          </cell>
        </row>
        <row r="23">
          <cell r="B23" t="str">
            <v xml:space="preserve">          Along Ontario Hyd.R.O.W. to Dixie Rd. and</v>
          </cell>
          <cell r="C23">
            <v>1.7</v>
          </cell>
        </row>
        <row r="24">
          <cell r="B24" t="str">
            <v xml:space="preserve">         north to Eglinton Av. (new Tomken TS feeders)</v>
          </cell>
        </row>
        <row r="27">
          <cell r="A27">
            <v>4</v>
          </cell>
          <cell r="B27" t="str">
            <v>44 kV Burnhamthorpe Feeders</v>
          </cell>
          <cell r="C27" t="str">
            <v>NEW</v>
          </cell>
          <cell r="D27">
            <v>530000</v>
          </cell>
          <cell r="E27" t="str">
            <v>Erin/Tomk.</v>
          </cell>
          <cell r="F27">
            <v>0</v>
          </cell>
        </row>
        <row r="28">
          <cell r="B28" t="str">
            <v xml:space="preserve">          Along Ontario Hyd.R.O.W. to Dixie Rd. and</v>
          </cell>
          <cell r="C28">
            <v>3</v>
          </cell>
        </row>
        <row r="29">
          <cell r="B29" t="str">
            <v xml:space="preserve">         south to Burnhamthorpe Rd. (new feeders)</v>
          </cell>
        </row>
        <row r="32">
          <cell r="B32" t="str">
            <v>44 kV - ERINDALE T.S.</v>
          </cell>
        </row>
        <row r="36">
          <cell r="A36" t="str">
            <v>5*</v>
          </cell>
          <cell r="B36" t="str">
            <v>44 kV Aquitaine MS - C.P.R. Feeder Tie</v>
          </cell>
          <cell r="C36" t="str">
            <v>ADD</v>
          </cell>
          <cell r="D36">
            <v>160000</v>
          </cell>
          <cell r="E36" t="str">
            <v>Meadow.</v>
          </cell>
          <cell r="F36">
            <v>1</v>
          </cell>
        </row>
        <row r="37">
          <cell r="B37" t="str">
            <v xml:space="preserve">          On existing poleline along C.P.R. Tracks </v>
          </cell>
          <cell r="C37">
            <v>3</v>
          </cell>
        </row>
        <row r="38">
          <cell r="B38" t="str">
            <v xml:space="preserve">          from Aquitaine M.S. to W. C. Blvd. and</v>
          </cell>
        </row>
        <row r="39">
          <cell r="B39" t="str">
            <v xml:space="preserve">          Derry Rd.</v>
          </cell>
        </row>
        <row r="42">
          <cell r="A42" t="str">
            <v>6*</v>
          </cell>
          <cell r="B42" t="str">
            <v>44 kV Meadowvale TS Feeder Egress</v>
          </cell>
          <cell r="C42" t="str">
            <v>BUILD</v>
          </cell>
          <cell r="D42">
            <v>350000</v>
          </cell>
          <cell r="E42" t="str">
            <v>Meadow.</v>
          </cell>
          <cell r="F42">
            <v>1</v>
          </cell>
        </row>
        <row r="43">
          <cell r="B43" t="str">
            <v xml:space="preserve">          Along CPR from Tenth Line to W.C.Blvd. </v>
          </cell>
          <cell r="C43">
            <v>3.1</v>
          </cell>
        </row>
        <row r="47">
          <cell r="A47" t="str">
            <v>7*</v>
          </cell>
          <cell r="B47" t="str">
            <v>44 kV Mississauga Rd. Feeder Tie</v>
          </cell>
          <cell r="C47" t="str">
            <v>ADD</v>
          </cell>
          <cell r="D47">
            <v>50000</v>
          </cell>
          <cell r="E47" t="str">
            <v>Erin/Tomk.</v>
          </cell>
          <cell r="F47">
            <v>1</v>
          </cell>
        </row>
        <row r="48">
          <cell r="B48" t="str">
            <v xml:space="preserve">          Along  Mississauga Rd. from Ontario Hydro</v>
          </cell>
          <cell r="C48">
            <v>2.2000000000000002</v>
          </cell>
        </row>
        <row r="49">
          <cell r="B49" t="str">
            <v xml:space="preserve">          ROW to Eglinton Av.</v>
          </cell>
        </row>
        <row r="52">
          <cell r="A52" t="str">
            <v>8*</v>
          </cell>
          <cell r="B52" t="str">
            <v>44 kV Britannia Rd. Feeder Tie</v>
          </cell>
          <cell r="C52" t="str">
            <v>ADD</v>
          </cell>
          <cell r="D52">
            <v>290000</v>
          </cell>
          <cell r="E52" t="str">
            <v>Meadow.</v>
          </cell>
          <cell r="F52">
            <v>1</v>
          </cell>
        </row>
        <row r="53">
          <cell r="B53" t="str">
            <v xml:space="preserve">         Along Britannia Rd. on existing poleline from</v>
          </cell>
          <cell r="C53">
            <v>1.5</v>
          </cell>
        </row>
        <row r="54">
          <cell r="B54" t="str">
            <v xml:space="preserve">         Erin Mills Pkwy to Mississauga Rd.</v>
          </cell>
        </row>
        <row r="55">
          <cell r="B55" t="str">
            <v xml:space="preserve">         (Under Road  Project)</v>
          </cell>
        </row>
        <row r="57">
          <cell r="B57" t="str">
            <v>SUB-TOTAL</v>
          </cell>
          <cell r="D57">
            <v>2685000</v>
          </cell>
        </row>
        <row r="59">
          <cell r="A59" t="str">
            <v>(x)  Included  in  1997  Capital  Budget.</v>
          </cell>
        </row>
        <row r="62">
          <cell r="A62" t="str">
            <v>SUBTRANSMISSION (Cont'd)</v>
          </cell>
        </row>
        <row r="65">
          <cell r="A65" t="str">
            <v>ITEM</v>
          </cell>
          <cell r="B65" t="str">
            <v>DESCRIPTION</v>
          </cell>
          <cell r="C65" t="str">
            <v>TYPE</v>
          </cell>
          <cell r="D65" t="str">
            <v>ESTIMATE</v>
          </cell>
          <cell r="E65" t="str">
            <v>ZONE</v>
          </cell>
          <cell r="F65" t="str">
            <v>PRIORITY</v>
          </cell>
        </row>
        <row r="66">
          <cell r="C66" t="str">
            <v>(km)</v>
          </cell>
        </row>
        <row r="68">
          <cell r="B68" t="str">
            <v>44 kV - ERINDALE T.S. (Cont'd)</v>
          </cell>
        </row>
        <row r="71">
          <cell r="A71">
            <v>9</v>
          </cell>
          <cell r="B71" t="str">
            <v>44 kV Gen Erin Rd. Feeder Tie</v>
          </cell>
          <cell r="C71" t="str">
            <v>ADD</v>
          </cell>
          <cell r="D71">
            <v>245000</v>
          </cell>
          <cell r="E71" t="str">
            <v>Erin/Tomk.</v>
          </cell>
          <cell r="F71">
            <v>0</v>
          </cell>
        </row>
        <row r="72">
          <cell r="B72" t="str">
            <v xml:space="preserve">          On existing poleline  along  Glen Erin Dr.</v>
          </cell>
          <cell r="C72">
            <v>3.3</v>
          </cell>
        </row>
        <row r="73">
          <cell r="B73" t="str">
            <v xml:space="preserve">          from Burnhamthorpe to  Eglinton  Ave.</v>
          </cell>
        </row>
        <row r="74">
          <cell r="B74" t="str">
            <v xml:space="preserve">          (Includes  13.8 kV Cct.)</v>
          </cell>
        </row>
        <row r="76">
          <cell r="A76">
            <v>10</v>
          </cell>
          <cell r="B76" t="str">
            <v>44 kV Highway 10 Feeder Tie</v>
          </cell>
          <cell r="C76" t="str">
            <v>U/G</v>
          </cell>
          <cell r="D76">
            <v>1075000</v>
          </cell>
          <cell r="E76" t="str">
            <v>Erin/Tomk.</v>
          </cell>
          <cell r="F76">
            <v>0</v>
          </cell>
        </row>
        <row r="77">
          <cell r="B77" t="str">
            <v xml:space="preserve">          Along Hwy 10  from  Burnhamthorpe </v>
          </cell>
          <cell r="C77">
            <v>0.6</v>
          </cell>
        </row>
        <row r="78">
          <cell r="B78" t="str">
            <v xml:space="preserve">          to John MS</v>
          </cell>
        </row>
        <row r="79">
          <cell r="B79" t="str">
            <v xml:space="preserve">       (Under Road Prokect)</v>
          </cell>
        </row>
        <row r="81">
          <cell r="A81">
            <v>11</v>
          </cell>
          <cell r="B81" t="str">
            <v>44 kV Mississauga/Dundas Rd. Feeder Tie</v>
          </cell>
          <cell r="C81" t="str">
            <v>BUILD</v>
          </cell>
          <cell r="D81">
            <v>782500</v>
          </cell>
          <cell r="E81" t="str">
            <v>Erin/Tomk.</v>
          </cell>
          <cell r="F81">
            <v>0</v>
          </cell>
        </row>
        <row r="82">
          <cell r="B82" t="str">
            <v xml:space="preserve">          Along  Mississauga Rd. from Burnhamthorpe</v>
          </cell>
          <cell r="C82">
            <v>3.1</v>
          </cell>
        </row>
        <row r="83">
          <cell r="B83" t="str">
            <v xml:space="preserve">          to Dundas St.</v>
          </cell>
        </row>
        <row r="84">
          <cell r="B84" t="str">
            <v xml:space="preserve">          (Includes  13.8 kV Cct.)</v>
          </cell>
        </row>
        <row r="87">
          <cell r="B87" t="str">
            <v>44 kV - MALTON AREA.</v>
          </cell>
        </row>
        <row r="90">
          <cell r="A90" t="str">
            <v>12*</v>
          </cell>
          <cell r="B90" t="str">
            <v>44 kV Drew Rd. Feeder Tie</v>
          </cell>
          <cell r="C90" t="str">
            <v>ADD</v>
          </cell>
          <cell r="D90">
            <v>205000</v>
          </cell>
          <cell r="E90" t="str">
            <v>Bram/Wood</v>
          </cell>
          <cell r="F90">
            <v>1</v>
          </cell>
        </row>
        <row r="91">
          <cell r="B91" t="str">
            <v xml:space="preserve">          Along Drew Rd. from Tbram Rd. to </v>
          </cell>
          <cell r="C91">
            <v>2.5</v>
          </cell>
        </row>
        <row r="92">
          <cell r="B92" t="str">
            <v xml:space="preserve">          Airport Rd.</v>
          </cell>
        </row>
        <row r="95">
          <cell r="A95">
            <v>13</v>
          </cell>
          <cell r="B95" t="str">
            <v>44 kV Goreway Drive Rebuild</v>
          </cell>
          <cell r="C95" t="str">
            <v>REBUILD</v>
          </cell>
          <cell r="D95">
            <v>580000</v>
          </cell>
          <cell r="E95" t="str">
            <v>Bram/Wood</v>
          </cell>
          <cell r="F95">
            <v>0</v>
          </cell>
        </row>
        <row r="96">
          <cell r="B96" t="str">
            <v xml:space="preserve">           Rebuild of poleline along Goreway Dr. </v>
          </cell>
          <cell r="C96">
            <v>2.5</v>
          </cell>
        </row>
        <row r="97">
          <cell r="B97" t="str">
            <v xml:space="preserve">           from City boundary to Derry Rd.</v>
          </cell>
        </row>
        <row r="109">
          <cell r="B109" t="str">
            <v>SUB-TOTAL</v>
          </cell>
          <cell r="D109">
            <v>2887500</v>
          </cell>
        </row>
        <row r="111">
          <cell r="A111" t="str">
            <v>(x)  Included  in  1997  Capital  Budget.</v>
          </cell>
        </row>
        <row r="114">
          <cell r="A114" t="str">
            <v>SUBTRANSMISSION (Cont'd)</v>
          </cell>
        </row>
        <row r="117">
          <cell r="A117" t="str">
            <v>ITEM</v>
          </cell>
          <cell r="B117" t="str">
            <v>DESCRIPTION</v>
          </cell>
          <cell r="C117" t="str">
            <v>TYPE</v>
          </cell>
          <cell r="D117" t="str">
            <v>ESTIMATE</v>
          </cell>
          <cell r="E117" t="str">
            <v>ZONE</v>
          </cell>
          <cell r="F117" t="str">
            <v>PRIORITY</v>
          </cell>
        </row>
        <row r="118">
          <cell r="C118" t="str">
            <v>(km)</v>
          </cell>
        </row>
        <row r="120">
          <cell r="B120" t="str">
            <v>27.6 kV - SOUTH SYSTEM</v>
          </cell>
        </row>
        <row r="123">
          <cell r="A123" t="str">
            <v>14*</v>
          </cell>
          <cell r="B123" t="str">
            <v>27.6 kV Stanfield Feeder Tie</v>
          </cell>
          <cell r="C123" t="str">
            <v>NEW</v>
          </cell>
          <cell r="D123">
            <v>700000</v>
          </cell>
          <cell r="F123">
            <v>1</v>
          </cell>
        </row>
        <row r="124">
          <cell r="B124" t="str">
            <v xml:space="preserve">           Circuit tie from Stanfield along O.H. ROW </v>
          </cell>
          <cell r="C124">
            <v>1.3</v>
          </cell>
        </row>
        <row r="125">
          <cell r="B125" t="str">
            <v xml:space="preserve">           to Dixie Rd. to Queensway.</v>
          </cell>
        </row>
        <row r="126">
          <cell r="B126" t="str">
            <v xml:space="preserve">        (See 4.16 kV System)</v>
          </cell>
        </row>
        <row r="129">
          <cell r="A129">
            <v>15</v>
          </cell>
          <cell r="B129" t="str">
            <v xml:space="preserve">27.6 kV Oakville TS Feeder </v>
          </cell>
          <cell r="C129" t="str">
            <v>ADD</v>
          </cell>
          <cell r="D129">
            <v>170000</v>
          </cell>
          <cell r="F129">
            <v>0</v>
          </cell>
        </row>
        <row r="130">
          <cell r="B130" t="str">
            <v xml:space="preserve">           New Feeder from Oakville T.S. along  O.H.</v>
          </cell>
          <cell r="C130">
            <v>3</v>
          </cell>
        </row>
        <row r="131">
          <cell r="B131" t="str">
            <v xml:space="preserve">           ROW from  Winston  Ch. Blvd.</v>
          </cell>
        </row>
        <row r="134">
          <cell r="A134">
            <v>16</v>
          </cell>
          <cell r="B134" t="str">
            <v>27.6 kV Dixie Feeder Rebuild</v>
          </cell>
          <cell r="C134" t="str">
            <v>REBUILD</v>
          </cell>
          <cell r="D134">
            <v>350000</v>
          </cell>
          <cell r="F134">
            <v>0</v>
          </cell>
        </row>
        <row r="135">
          <cell r="B135" t="str">
            <v xml:space="preserve">           Rebuild of poleline along Dixie Mall</v>
          </cell>
          <cell r="C135">
            <v>1.5</v>
          </cell>
        </row>
        <row r="136">
          <cell r="B136" t="str">
            <v xml:space="preserve">           and Cawthra area</v>
          </cell>
        </row>
        <row r="162">
          <cell r="B162" t="str">
            <v>SUB-TOTAL</v>
          </cell>
          <cell r="D162">
            <v>1220000</v>
          </cell>
        </row>
        <row r="164">
          <cell r="A164" t="str">
            <v>(x)  Included  in  1997  Capital  Budget.</v>
          </cell>
        </row>
        <row r="167">
          <cell r="A167" t="str">
            <v>SUBTRANSMISSION (Cont'd)</v>
          </cell>
        </row>
        <row r="170">
          <cell r="A170" t="str">
            <v>ITEM</v>
          </cell>
          <cell r="B170" t="str">
            <v>DESCRIPTION</v>
          </cell>
          <cell r="C170" t="str">
            <v>TYPE</v>
          </cell>
          <cell r="D170" t="str">
            <v>ESTIMATE</v>
          </cell>
          <cell r="E170" t="str">
            <v>ZONE</v>
          </cell>
          <cell r="F170" t="str">
            <v>PRIORITY</v>
          </cell>
        </row>
        <row r="171">
          <cell r="C171" t="str">
            <v>(km)</v>
          </cell>
        </row>
        <row r="173">
          <cell r="B173" t="str">
            <v>27.6 kV - NORTH SYSTEM</v>
          </cell>
        </row>
        <row r="176">
          <cell r="A176" t="str">
            <v>17*</v>
          </cell>
          <cell r="B176" t="str">
            <v>27.6 kV Midway Feeder Tie</v>
          </cell>
          <cell r="C176" t="str">
            <v>ADD</v>
          </cell>
          <cell r="D176">
            <v>335000</v>
          </cell>
          <cell r="E176">
            <v>4</v>
          </cell>
          <cell r="F176">
            <v>1</v>
          </cell>
        </row>
        <row r="177">
          <cell r="B177" t="str">
            <v xml:space="preserve">          Along Kestrell from Hwy 410 and along</v>
          </cell>
          <cell r="C177">
            <v>4</v>
          </cell>
        </row>
        <row r="178">
          <cell r="B178" t="str">
            <v xml:space="preserve">          Meyerside Dr. to Shawson Dr. to Midway</v>
          </cell>
        </row>
        <row r="181">
          <cell r="A181" t="str">
            <v>18*</v>
          </cell>
          <cell r="B181" t="str">
            <v>27.6 kV Pacific Drive Feeder Tie</v>
          </cell>
          <cell r="C181" t="str">
            <v>ADD</v>
          </cell>
          <cell r="D181">
            <v>110000</v>
          </cell>
          <cell r="E181">
            <v>4</v>
          </cell>
          <cell r="F181">
            <v>1</v>
          </cell>
        </row>
        <row r="182">
          <cell r="B182" t="str">
            <v xml:space="preserve">          From Derry Rd. to Midway Blvd.</v>
          </cell>
          <cell r="C182">
            <v>3</v>
          </cell>
        </row>
        <row r="185">
          <cell r="A185" t="str">
            <v>19*</v>
          </cell>
          <cell r="B185" t="str">
            <v>27.6 kV Kennedy/401 Crossing</v>
          </cell>
          <cell r="C185" t="str">
            <v>ADD</v>
          </cell>
          <cell r="D185">
            <v>155000</v>
          </cell>
          <cell r="E185">
            <v>4</v>
          </cell>
          <cell r="F185">
            <v>1</v>
          </cell>
        </row>
        <row r="186">
          <cell r="B186" t="str">
            <v xml:space="preserve">          Additional o/h circuit along Kennedy and</v>
          </cell>
          <cell r="C186">
            <v>18</v>
          </cell>
        </row>
        <row r="187">
          <cell r="B187" t="str">
            <v xml:space="preserve">          401 crossing</v>
          </cell>
        </row>
        <row r="190">
          <cell r="A190" t="str">
            <v>20*</v>
          </cell>
          <cell r="B190" t="str">
            <v>27.6 kV Bramalea TS Feeder Ties</v>
          </cell>
          <cell r="C190" t="str">
            <v>NEW</v>
          </cell>
          <cell r="D190">
            <v>300000</v>
          </cell>
          <cell r="E190">
            <v>4</v>
          </cell>
          <cell r="F190">
            <v>1</v>
          </cell>
        </row>
        <row r="191">
          <cell r="B191" t="str">
            <v xml:space="preserve">          New poleline from Bramalea T.S. along</v>
          </cell>
          <cell r="C191">
            <v>5</v>
          </cell>
        </row>
        <row r="192">
          <cell r="B192" t="str">
            <v xml:space="preserve">          Utility Corridor to Dixie/Tomken/Kennedy</v>
          </cell>
        </row>
        <row r="193">
          <cell r="B193" t="str">
            <v xml:space="preserve">           OR  along Bramalea Rd &amp; Drew Rd.</v>
          </cell>
        </row>
        <row r="196">
          <cell r="A196" t="str">
            <v>21*</v>
          </cell>
          <cell r="B196" t="str">
            <v>27.6 kV Highway 10 Feeder Tie</v>
          </cell>
          <cell r="C196" t="str">
            <v>ADD</v>
          </cell>
          <cell r="D196">
            <v>230000</v>
          </cell>
          <cell r="E196">
            <v>4</v>
          </cell>
          <cell r="F196">
            <v>1</v>
          </cell>
        </row>
        <row r="197">
          <cell r="B197" t="str">
            <v xml:space="preserve">           On existing poles along Highway 10</v>
          </cell>
          <cell r="C197">
            <v>3</v>
          </cell>
        </row>
        <row r="198">
          <cell r="B198" t="str">
            <v xml:space="preserve">           from Britannia Rd. to Derry Rd.</v>
          </cell>
        </row>
        <row r="201">
          <cell r="A201">
            <v>22</v>
          </cell>
          <cell r="B201" t="str">
            <v>27.6 kV Erindale TS Feeders</v>
          </cell>
          <cell r="C201" t="str">
            <v>U/G</v>
          </cell>
          <cell r="D201">
            <v>500000</v>
          </cell>
          <cell r="E201">
            <v>4</v>
          </cell>
          <cell r="F201">
            <v>0</v>
          </cell>
        </row>
        <row r="202">
          <cell r="B202" t="str">
            <v xml:space="preserve">          New U/G circuits from Erindale TS </v>
          </cell>
          <cell r="C202">
            <v>2</v>
          </cell>
        </row>
        <row r="203">
          <cell r="B203" t="str">
            <v xml:space="preserve">          to Eglinton Av.</v>
          </cell>
        </row>
        <row r="206">
          <cell r="A206">
            <v>23</v>
          </cell>
          <cell r="B206" t="str">
            <v>27.6 kV MacLaughlin Rd. Feeeder</v>
          </cell>
          <cell r="C206" t="str">
            <v>NEW</v>
          </cell>
          <cell r="D206">
            <v>545000</v>
          </cell>
          <cell r="E206">
            <v>4</v>
          </cell>
          <cell r="F206">
            <v>0</v>
          </cell>
        </row>
        <row r="207">
          <cell r="B207" t="str">
            <v xml:space="preserve">           Along Maclaughlin Rd. from  Britannia</v>
          </cell>
          <cell r="C207">
            <v>3.5</v>
          </cell>
        </row>
        <row r="208">
          <cell r="B208" t="str">
            <v xml:space="preserve">          to Derry Rd.</v>
          </cell>
        </row>
        <row r="211">
          <cell r="A211">
            <v>24</v>
          </cell>
          <cell r="B211" t="str">
            <v>27.6 kV Derry TS Feeder Egress</v>
          </cell>
          <cell r="D211">
            <v>50000</v>
          </cell>
          <cell r="E211">
            <v>4</v>
          </cell>
          <cell r="F211">
            <v>0</v>
          </cell>
        </row>
        <row r="212">
          <cell r="B212" t="str">
            <v xml:space="preserve">          Feeder egress designs</v>
          </cell>
        </row>
        <row r="220">
          <cell r="B220" t="str">
            <v>SUB-TOTAL</v>
          </cell>
          <cell r="D220">
            <v>2225000</v>
          </cell>
        </row>
        <row r="221">
          <cell r="B221" t="str">
            <v>TOTAL SUBTRANSMISSION</v>
          </cell>
          <cell r="D221">
            <v>9017500</v>
          </cell>
        </row>
        <row r="223">
          <cell r="A223" t="str">
            <v>(x)  Included  in  1997  Capital  Budget.</v>
          </cell>
        </row>
        <row r="226">
          <cell r="A226" t="str">
            <v>MUNICIPAL STATIONS</v>
          </cell>
        </row>
        <row r="229">
          <cell r="A229" t="str">
            <v>ITEM</v>
          </cell>
          <cell r="B229" t="str">
            <v>DESCRIPTION</v>
          </cell>
          <cell r="C229" t="str">
            <v>TYPE</v>
          </cell>
          <cell r="D229" t="str">
            <v>ESTIMATE</v>
          </cell>
          <cell r="E229" t="str">
            <v>ZONE</v>
          </cell>
          <cell r="F229" t="str">
            <v>PRIORITY</v>
          </cell>
        </row>
        <row r="232">
          <cell r="A232">
            <v>1</v>
          </cell>
          <cell r="B232" t="str">
            <v>Replacement M.S. feeder egress cables.</v>
          </cell>
          <cell r="C232">
            <v>2</v>
          </cell>
          <cell r="D232">
            <v>200000</v>
          </cell>
          <cell r="F232">
            <v>1</v>
          </cell>
        </row>
        <row r="236">
          <cell r="A236">
            <v>2</v>
          </cell>
          <cell r="B236" t="str">
            <v>Lisgar M.S.</v>
          </cell>
          <cell r="C236" t="str">
            <v>1 nos</v>
          </cell>
          <cell r="D236">
            <v>1800000</v>
          </cell>
          <cell r="E236">
            <v>1</v>
          </cell>
          <cell r="F236">
            <v>1</v>
          </cell>
        </row>
        <row r="237">
          <cell r="B237" t="str">
            <v xml:space="preserve">            Permanent  Incl. Building, 44 kV and</v>
          </cell>
        </row>
        <row r="238">
          <cell r="B238" t="str">
            <v xml:space="preserve">            13.8  kV circuits - 6 feeders plus SCADA </v>
          </cell>
        </row>
        <row r="240">
          <cell r="A240">
            <v>3</v>
          </cell>
          <cell r="B240" t="str">
            <v>Century M.S.</v>
          </cell>
          <cell r="C240" t="str">
            <v>1 nos</v>
          </cell>
          <cell r="D240">
            <v>1200000</v>
          </cell>
          <cell r="E240">
            <v>1</v>
          </cell>
          <cell r="F240">
            <v>0</v>
          </cell>
        </row>
        <row r="241">
          <cell r="B241" t="str">
            <v xml:space="preserve">            Permanent  Incl. Building, 44 kV and</v>
          </cell>
        </row>
        <row r="242">
          <cell r="B242" t="str">
            <v xml:space="preserve">            13.8  kV circuits - 6 feeders plus SCADA </v>
          </cell>
        </row>
        <row r="244">
          <cell r="A244">
            <v>4</v>
          </cell>
          <cell r="B244" t="str">
            <v xml:space="preserve">Sheridan Park System Rebuild  </v>
          </cell>
          <cell r="C244" t="str">
            <v>1 nos</v>
          </cell>
          <cell r="D244">
            <v>650000</v>
          </cell>
          <cell r="E244">
            <v>2</v>
          </cell>
          <cell r="F244">
            <v>1</v>
          </cell>
        </row>
        <row r="245">
          <cell r="B245" t="str">
            <v xml:space="preserve">           Phase II - Sheridan Park  M.S. at 44 kV</v>
          </cell>
        </row>
        <row r="248">
          <cell r="A248">
            <v>5</v>
          </cell>
          <cell r="B248" t="str">
            <v>Orlando M.S.</v>
          </cell>
          <cell r="C248" t="str">
            <v>1 nos</v>
          </cell>
          <cell r="D248">
            <v>1400000</v>
          </cell>
          <cell r="E248">
            <v>7</v>
          </cell>
          <cell r="F248">
            <v>1</v>
          </cell>
        </row>
        <row r="249">
          <cell r="B249" t="str">
            <v xml:space="preserve">            2 x 20 MVA Tx Incl. Building, 44 kV and</v>
          </cell>
        </row>
        <row r="250">
          <cell r="B250" t="str">
            <v xml:space="preserve">            13.8  kV circuits - 6 feeders plus SCADA </v>
          </cell>
        </row>
        <row r="256">
          <cell r="A256">
            <v>7</v>
          </cell>
          <cell r="B256" t="str">
            <v>Stillmeadow M.S.</v>
          </cell>
          <cell r="C256" t="str">
            <v>1 nos</v>
          </cell>
          <cell r="D256">
            <v>650000</v>
          </cell>
          <cell r="E256">
            <v>5</v>
          </cell>
          <cell r="F256">
            <v>1</v>
          </cell>
        </row>
        <row r="257">
          <cell r="B257" t="str">
            <v xml:space="preserve">            Change 10 MVA Tx to 20 MVA Tx with</v>
          </cell>
        </row>
        <row r="258">
          <cell r="B258" t="str">
            <v xml:space="preserve">            6 feeders</v>
          </cell>
        </row>
        <row r="260">
          <cell r="A260">
            <v>8</v>
          </cell>
          <cell r="B260" t="str">
            <v>Chalkdene M.S.</v>
          </cell>
          <cell r="C260" t="str">
            <v>1 nos</v>
          </cell>
          <cell r="D260">
            <v>350000</v>
          </cell>
          <cell r="E260">
            <v>5</v>
          </cell>
          <cell r="F260">
            <v>1</v>
          </cell>
        </row>
        <row r="261">
          <cell r="B261" t="str">
            <v xml:space="preserve">            Add 2 Feeder CBs with additional feeders</v>
          </cell>
        </row>
        <row r="262">
          <cell r="B262" t="str">
            <v xml:space="preserve">           north and south</v>
          </cell>
        </row>
        <row r="264">
          <cell r="A264">
            <v>9</v>
          </cell>
          <cell r="B264" t="str">
            <v>Rockwood M.S.</v>
          </cell>
          <cell r="C264" t="str">
            <v>1 nos</v>
          </cell>
          <cell r="D264">
            <v>1600000</v>
          </cell>
          <cell r="E264">
            <v>5</v>
          </cell>
          <cell r="F264">
            <v>1</v>
          </cell>
        </row>
        <row r="265">
          <cell r="B265" t="str">
            <v xml:space="preserve">            2 x 20 MVA Tx Incl. Building, 44 kV and</v>
          </cell>
        </row>
        <row r="266">
          <cell r="B266" t="str">
            <v xml:space="preserve">            13.8  kV circuits - 6 feeders plus SCADA </v>
          </cell>
        </row>
        <row r="268">
          <cell r="A268">
            <v>10</v>
          </cell>
          <cell r="B268" t="str">
            <v>Melton M.S.</v>
          </cell>
          <cell r="C268" t="str">
            <v>1 nos</v>
          </cell>
          <cell r="D268">
            <v>1000000</v>
          </cell>
          <cell r="E268">
            <v>6</v>
          </cell>
          <cell r="F268">
            <v>0</v>
          </cell>
        </row>
        <row r="269">
          <cell r="B269" t="str">
            <v xml:space="preserve">           Add 5 MVA Tx capacity and additional</v>
          </cell>
        </row>
        <row r="270">
          <cell r="B270" t="str">
            <v xml:space="preserve">           4.16 kV feeder</v>
          </cell>
        </row>
        <row r="272">
          <cell r="A272">
            <v>11</v>
          </cell>
          <cell r="B272" t="str">
            <v>M.S. Rebuilds</v>
          </cell>
          <cell r="D272">
            <v>2250000</v>
          </cell>
          <cell r="F272">
            <v>1</v>
          </cell>
        </row>
        <row r="273">
          <cell r="B273" t="str">
            <v xml:space="preserve">           Mineola M.S.</v>
          </cell>
          <cell r="C273" t="str">
            <v>1 nos</v>
          </cell>
          <cell r="E273">
            <v>6</v>
          </cell>
        </row>
        <row r="274">
          <cell r="B274" t="str">
            <v xml:space="preserve">           Clarkson M.S.</v>
          </cell>
          <cell r="C274" t="str">
            <v>1 nos</v>
          </cell>
          <cell r="E274">
            <v>3</v>
          </cell>
        </row>
        <row r="275">
          <cell r="B275" t="str">
            <v xml:space="preserve">           Bromsgrove M.S.</v>
          </cell>
          <cell r="C275" t="str">
            <v>1 nos</v>
          </cell>
          <cell r="E275">
            <v>3</v>
          </cell>
        </row>
        <row r="277">
          <cell r="A277">
            <v>12</v>
          </cell>
          <cell r="B277" t="str">
            <v>Woodlake M.S.</v>
          </cell>
          <cell r="C277" t="str">
            <v>1 nos</v>
          </cell>
          <cell r="D277">
            <v>750000</v>
          </cell>
          <cell r="E277">
            <v>3</v>
          </cell>
          <cell r="F277">
            <v>1</v>
          </cell>
        </row>
        <row r="278">
          <cell r="B278" t="str">
            <v xml:space="preserve">          Convert system voltage to 4,16 kV</v>
          </cell>
        </row>
        <row r="280">
          <cell r="B280" t="str">
            <v>TOTAL MUNICIPAL STATIONS</v>
          </cell>
          <cell r="D280">
            <v>11850000</v>
          </cell>
        </row>
        <row r="282">
          <cell r="A282" t="str">
            <v>(x)  Included  in  1997  Capital  Budget.</v>
          </cell>
        </row>
        <row r="285">
          <cell r="A285" t="str">
            <v>DISTRIBUTION</v>
          </cell>
        </row>
        <row r="288">
          <cell r="A288" t="str">
            <v>ITEM</v>
          </cell>
          <cell r="B288" t="str">
            <v>DESCRIPTION</v>
          </cell>
          <cell r="C288" t="str">
            <v>TYPE</v>
          </cell>
          <cell r="D288" t="str">
            <v>ESTIMATE</v>
          </cell>
          <cell r="E288" t="str">
            <v>ZONE</v>
          </cell>
          <cell r="F288" t="str">
            <v>PRIORITY</v>
          </cell>
        </row>
        <row r="289">
          <cell r="C289" t="str">
            <v>(km)</v>
          </cell>
        </row>
        <row r="291">
          <cell r="B291" t="str">
            <v>13.8 kV SYSTEM</v>
          </cell>
        </row>
        <row r="294">
          <cell r="A294" t="str">
            <v>1*</v>
          </cell>
          <cell r="B294" t="str">
            <v xml:space="preserve">Streetsville Conversion </v>
          </cell>
          <cell r="D294">
            <v>100000</v>
          </cell>
          <cell r="E294">
            <v>1</v>
          </cell>
          <cell r="F294">
            <v>1</v>
          </cell>
        </row>
        <row r="295">
          <cell r="B295" t="str">
            <v xml:space="preserve">           Convert 4.16 kV to 13.8 kV in area SE  of</v>
          </cell>
        </row>
        <row r="296">
          <cell r="B296" t="str">
            <v xml:space="preserve">           Britannia Rd. and Queen St. and reconductor</v>
          </cell>
        </row>
        <row r="297">
          <cell r="B297" t="str">
            <v xml:space="preserve">           to 556 kcmil circuit along Britannia Rd.</v>
          </cell>
        </row>
        <row r="300">
          <cell r="A300" t="str">
            <v>2*</v>
          </cell>
          <cell r="B300" t="str">
            <v>13.8 kV Winston Churchill/Collegeway</v>
          </cell>
          <cell r="C300" t="str">
            <v>UG</v>
          </cell>
          <cell r="D300">
            <v>80000</v>
          </cell>
          <cell r="E300">
            <v>2</v>
          </cell>
          <cell r="F300">
            <v>1</v>
          </cell>
        </row>
        <row r="301">
          <cell r="B301" t="str">
            <v xml:space="preserve">        Additional o/h circuit along WCB from </v>
          </cell>
          <cell r="C301">
            <v>0.5</v>
          </cell>
        </row>
        <row r="302">
          <cell r="B302" t="str">
            <v xml:space="preserve">        Hwy 403 to Collegeway</v>
          </cell>
        </row>
        <row r="305">
          <cell r="A305" t="str">
            <v>3*</v>
          </cell>
          <cell r="B305" t="str">
            <v>13.8 kV Burnhamthorpe Road Feeder Tie</v>
          </cell>
          <cell r="C305" t="str">
            <v>ADD</v>
          </cell>
          <cell r="D305">
            <v>300000</v>
          </cell>
          <cell r="E305">
            <v>2</v>
          </cell>
          <cell r="F305">
            <v>1</v>
          </cell>
        </row>
        <row r="306">
          <cell r="B306" t="str">
            <v xml:space="preserve">            On existing ploes from Mavis to Erindale </v>
          </cell>
          <cell r="C306">
            <v>1</v>
          </cell>
        </row>
        <row r="307">
          <cell r="B307" t="str">
            <v xml:space="preserve">           Station Rd. </v>
          </cell>
        </row>
        <row r="310">
          <cell r="A310" t="str">
            <v>4*</v>
          </cell>
          <cell r="B310" t="str">
            <v>13.8 kV Tomken Road Feeder Tie</v>
          </cell>
          <cell r="C310" t="str">
            <v>ADD</v>
          </cell>
          <cell r="D310">
            <v>155000</v>
          </cell>
          <cell r="E310">
            <v>5</v>
          </cell>
          <cell r="F310">
            <v>1</v>
          </cell>
        </row>
        <row r="311">
          <cell r="B311" t="str">
            <v xml:space="preserve">           From Burnhamthorpe to Dundas</v>
          </cell>
          <cell r="C311">
            <v>2</v>
          </cell>
        </row>
        <row r="314">
          <cell r="A314" t="str">
            <v>5*</v>
          </cell>
          <cell r="B314" t="str">
            <v>13.8 kV American Dr. and Elmbank Fdr Tie</v>
          </cell>
          <cell r="C314" t="str">
            <v>ADD</v>
          </cell>
          <cell r="D314">
            <v>360000</v>
          </cell>
          <cell r="E314">
            <v>7</v>
          </cell>
          <cell r="F314">
            <v>1</v>
          </cell>
        </row>
        <row r="315">
          <cell r="B315" t="str">
            <v xml:space="preserve">           From Orlando MS to Elmbank and American Dr.</v>
          </cell>
          <cell r="C315">
            <v>2</v>
          </cell>
        </row>
        <row r="316">
          <cell r="B316" t="str">
            <v xml:space="preserve">           From Goreway to Viscount</v>
          </cell>
        </row>
        <row r="319">
          <cell r="A319" t="str">
            <v>6*</v>
          </cell>
          <cell r="B319" t="str">
            <v>13.8 kV Derry Rd. &amp; Ninth Line Feeder Tie</v>
          </cell>
          <cell r="C319" t="str">
            <v>REBUILD</v>
          </cell>
          <cell r="D319">
            <v>60000</v>
          </cell>
          <cell r="E319">
            <v>1</v>
          </cell>
          <cell r="F319">
            <v>1</v>
          </cell>
        </row>
        <row r="320">
          <cell r="B320" t="str">
            <v xml:space="preserve">        On existing poles from Tenth Line West</v>
          </cell>
          <cell r="C320">
            <v>1.5</v>
          </cell>
        </row>
        <row r="321">
          <cell r="B321" t="str">
            <v xml:space="preserve">        along Derry to Ninth Line West</v>
          </cell>
        </row>
        <row r="324">
          <cell r="A324" t="str">
            <v>7*</v>
          </cell>
          <cell r="B324" t="str">
            <v>13.8 kV Mississauga Road Feeder Tie</v>
          </cell>
          <cell r="C324" t="str">
            <v>ADD</v>
          </cell>
          <cell r="D324">
            <v>150000</v>
          </cell>
          <cell r="E324">
            <v>1</v>
          </cell>
          <cell r="F324">
            <v>1</v>
          </cell>
        </row>
        <row r="325">
          <cell r="B325" t="str">
            <v xml:space="preserve">           From Britannia to EM Pkwy Junction</v>
          </cell>
          <cell r="C325">
            <v>2</v>
          </cell>
        </row>
        <row r="326">
          <cell r="B326" t="str">
            <v xml:space="preserve">        (Under Road Project)</v>
          </cell>
        </row>
        <row r="329">
          <cell r="A329">
            <v>8</v>
          </cell>
          <cell r="B329" t="str">
            <v>13 8 kV Derry Road Feeder Tie</v>
          </cell>
          <cell r="C329" t="str">
            <v>ADD</v>
          </cell>
          <cell r="D329">
            <v>80000</v>
          </cell>
          <cell r="E329">
            <v>1</v>
          </cell>
          <cell r="F329">
            <v>6</v>
          </cell>
        </row>
        <row r="330">
          <cell r="B330" t="str">
            <v xml:space="preserve">           New circuit from Century M.S. to Argentia M.S.</v>
          </cell>
          <cell r="C330">
            <v>1.5</v>
          </cell>
        </row>
        <row r="333">
          <cell r="A333">
            <v>9</v>
          </cell>
          <cell r="B333" t="str">
            <v>13.8 kV Burnhamthorpe Road Feeder Tie</v>
          </cell>
          <cell r="C333" t="str">
            <v>UG</v>
          </cell>
          <cell r="D333">
            <v>1200000</v>
          </cell>
          <cell r="E333">
            <v>2</v>
          </cell>
          <cell r="F333">
            <v>0</v>
          </cell>
        </row>
        <row r="334">
          <cell r="B334" t="str">
            <v xml:space="preserve">           U/G circuit from Erindale Station Rd.</v>
          </cell>
          <cell r="C334">
            <v>2</v>
          </cell>
        </row>
        <row r="335">
          <cell r="B335" t="str">
            <v xml:space="preserve">           to Mississauga Rd.</v>
          </cell>
        </row>
        <row r="339">
          <cell r="B339" t="str">
            <v>SUB-TOTAL</v>
          </cell>
          <cell r="D339">
            <v>1055000</v>
          </cell>
        </row>
        <row r="341">
          <cell r="A341" t="str">
            <v>(x)  Included  in  1997  Capital  Budget.</v>
          </cell>
        </row>
        <row r="347">
          <cell r="A347" t="str">
            <v>DISTRIBUTION (Cont'd)</v>
          </cell>
        </row>
        <row r="350">
          <cell r="A350" t="str">
            <v>ITEM</v>
          </cell>
          <cell r="B350" t="str">
            <v>DESCRIPTION</v>
          </cell>
          <cell r="C350" t="str">
            <v>TYPE</v>
          </cell>
          <cell r="D350" t="str">
            <v>ESTIMATE</v>
          </cell>
          <cell r="E350" t="str">
            <v>ZONE</v>
          </cell>
          <cell r="F350" t="str">
            <v>PRIORITY</v>
          </cell>
        </row>
        <row r="351">
          <cell r="C351" t="str">
            <v>(km)</v>
          </cell>
        </row>
        <row r="353">
          <cell r="B353" t="str">
            <v>4.16  KV   SYSTEM</v>
          </cell>
        </row>
        <row r="356">
          <cell r="A356" t="str">
            <v>10*</v>
          </cell>
          <cell r="B356" t="str">
            <v>4.16 kV Bromsgrove MS/Clarkson MS Tie</v>
          </cell>
          <cell r="C356" t="str">
            <v>REBUILD</v>
          </cell>
          <cell r="D356">
            <v>50000</v>
          </cell>
          <cell r="E356">
            <v>3</v>
          </cell>
          <cell r="F356">
            <v>1</v>
          </cell>
        </row>
        <row r="357">
          <cell r="B357" t="str">
            <v xml:space="preserve">          on existing poles between  Clarkson M.S.</v>
          </cell>
          <cell r="C357">
            <v>0.7</v>
          </cell>
        </row>
        <row r="358">
          <cell r="B358" t="str">
            <v xml:space="preserve">           and Bromsgrove  M.S.</v>
          </cell>
        </row>
        <row r="360">
          <cell r="A360" t="str">
            <v>11*</v>
          </cell>
          <cell r="B360" t="str">
            <v>4.16 kV Atwater Feeder Tie</v>
          </cell>
          <cell r="C360" t="str">
            <v>REBUILD</v>
          </cell>
          <cell r="D360">
            <v>295000</v>
          </cell>
          <cell r="E360">
            <v>6</v>
          </cell>
          <cell r="F360">
            <v>1</v>
          </cell>
        </row>
        <row r="361">
          <cell r="B361" t="str">
            <v xml:space="preserve">          along Atwater from Cawthra MS  to off load</v>
          </cell>
          <cell r="C361">
            <v>0.8</v>
          </cell>
        </row>
        <row r="362">
          <cell r="B362" t="str">
            <v xml:space="preserve">          9F4</v>
          </cell>
        </row>
        <row r="365">
          <cell r="A365" t="str">
            <v>12*</v>
          </cell>
          <cell r="B365" t="str">
            <v>4.16 kV Pinetree MS/Melton MS Tie</v>
          </cell>
          <cell r="C365" t="str">
            <v>REBUILD</v>
          </cell>
          <cell r="D365">
            <v>120000</v>
          </cell>
          <cell r="E365">
            <v>6</v>
          </cell>
          <cell r="F365">
            <v>1</v>
          </cell>
        </row>
        <row r="366">
          <cell r="B366" t="str">
            <v xml:space="preserve">          on existing poles between  Pinetree M.S.</v>
          </cell>
          <cell r="C366">
            <v>0.5</v>
          </cell>
        </row>
        <row r="367">
          <cell r="B367" t="str">
            <v xml:space="preserve">           and Melton  M.S.</v>
          </cell>
        </row>
        <row r="370">
          <cell r="A370" t="str">
            <v>13*</v>
          </cell>
          <cell r="B370" t="str">
            <v>4.16 kV Bromsgrove MS/Park West MS Tie</v>
          </cell>
          <cell r="C370" t="str">
            <v>ADD</v>
          </cell>
          <cell r="D370">
            <v>75000</v>
          </cell>
          <cell r="E370">
            <v>3</v>
          </cell>
          <cell r="F370">
            <v>1</v>
          </cell>
        </row>
        <row r="371">
          <cell r="B371" t="str">
            <v xml:space="preserve">          on existing poles between  Bromsgrove M.S.</v>
          </cell>
          <cell r="C371">
            <v>0.8</v>
          </cell>
        </row>
        <row r="372">
          <cell r="B372" t="str">
            <v xml:space="preserve">           and Park West M.S.</v>
          </cell>
        </row>
        <row r="375">
          <cell r="A375" t="str">
            <v>14*</v>
          </cell>
          <cell r="B375" t="str">
            <v>4.16 kV Bromsgrove MS/Robin MS Tie</v>
          </cell>
          <cell r="C375" t="str">
            <v>ADD</v>
          </cell>
          <cell r="D375">
            <v>140000</v>
          </cell>
          <cell r="E375">
            <v>3</v>
          </cell>
          <cell r="F375">
            <v>1</v>
          </cell>
        </row>
        <row r="376">
          <cell r="B376" t="str">
            <v xml:space="preserve">          on existing poles between  Bromsgrove M.S.</v>
          </cell>
          <cell r="C376">
            <v>1.4</v>
          </cell>
        </row>
        <row r="377">
          <cell r="B377" t="str">
            <v xml:space="preserve">           and Robin M.S.</v>
          </cell>
        </row>
        <row r="380">
          <cell r="A380" t="str">
            <v>15*</v>
          </cell>
          <cell r="B380" t="str">
            <v>4.16 kV Park Royal MS/Park West MS Tie</v>
          </cell>
          <cell r="C380" t="str">
            <v>REBUILD</v>
          </cell>
          <cell r="D380">
            <v>130000</v>
          </cell>
          <cell r="E380">
            <v>3</v>
          </cell>
          <cell r="F380">
            <v>1</v>
          </cell>
        </row>
        <row r="381">
          <cell r="B381" t="str">
            <v xml:space="preserve">          on existing poles between  Park Royal M.S.</v>
          </cell>
          <cell r="C381">
            <v>1</v>
          </cell>
        </row>
        <row r="382">
          <cell r="B382" t="str">
            <v xml:space="preserve">           and Park West M.S.</v>
          </cell>
        </row>
        <row r="385">
          <cell r="A385" t="str">
            <v>16*</v>
          </cell>
          <cell r="B385" t="str">
            <v>4.16 kV Lakeshore Road Feeder Tie</v>
          </cell>
          <cell r="C385" t="str">
            <v>REBUILD</v>
          </cell>
          <cell r="D385">
            <v>50000</v>
          </cell>
          <cell r="E385">
            <v>3</v>
          </cell>
          <cell r="F385">
            <v>1</v>
          </cell>
        </row>
        <row r="386">
          <cell r="B386" t="str">
            <v xml:space="preserve">          Lakeshore/Dennison/Lornepark</v>
          </cell>
          <cell r="C386">
            <v>0.6</v>
          </cell>
        </row>
        <row r="387">
          <cell r="B387" t="str">
            <v xml:space="preserve">           Parkland M.S. #26 and reconductor</v>
          </cell>
        </row>
        <row r="390">
          <cell r="A390" t="str">
            <v>17*</v>
          </cell>
          <cell r="B390" t="str">
            <v xml:space="preserve">4.16 kV Stanfield Road Feeder Tie </v>
          </cell>
          <cell r="C390" t="str">
            <v>REBUILD</v>
          </cell>
          <cell r="D390">
            <v>265000</v>
          </cell>
          <cell r="E390">
            <v>6</v>
          </cell>
          <cell r="F390">
            <v>1</v>
          </cell>
        </row>
        <row r="391">
          <cell r="B391" t="str">
            <v xml:space="preserve">          Along Ontario Hydro ROW From Cawthra</v>
          </cell>
          <cell r="C391">
            <v>1.2</v>
          </cell>
        </row>
        <row r="392">
          <cell r="B392" t="str">
            <v xml:space="preserve">          to Stanfield</v>
          </cell>
        </row>
        <row r="393">
          <cell r="B393" t="str">
            <v xml:space="preserve">       (See also 27.6 kV South)</v>
          </cell>
        </row>
        <row r="396">
          <cell r="A396" t="str">
            <v>18*</v>
          </cell>
          <cell r="B396" t="str">
            <v xml:space="preserve">4.16 kV Clarkson/Lorne Park Feeder Tie </v>
          </cell>
          <cell r="C396" t="str">
            <v>ADD</v>
          </cell>
          <cell r="D396">
            <v>110000</v>
          </cell>
          <cell r="E396">
            <v>3</v>
          </cell>
          <cell r="F396">
            <v>1</v>
          </cell>
        </row>
        <row r="397">
          <cell r="B397" t="str">
            <v xml:space="preserve">           Along Ontario hydro ROW</v>
          </cell>
          <cell r="C397">
            <v>2</v>
          </cell>
        </row>
        <row r="400">
          <cell r="B400" t="str">
            <v>SUB-TOTAL</v>
          </cell>
          <cell r="D400">
            <v>1125000</v>
          </cell>
        </row>
        <row r="401">
          <cell r="B401" t="str">
            <v>TOTAL DISTRIBUTION</v>
          </cell>
          <cell r="D401">
            <v>2180000</v>
          </cell>
        </row>
        <row r="403">
          <cell r="A403" t="str">
            <v>(x)  Included  in  1997  Capital  Budget.</v>
          </cell>
        </row>
        <row r="406">
          <cell r="A406" t="str">
            <v>SUBDIVISION REBUILDS</v>
          </cell>
        </row>
        <row r="409">
          <cell r="A409" t="str">
            <v>ITEM</v>
          </cell>
          <cell r="B409" t="str">
            <v>DESCRIPTION</v>
          </cell>
          <cell r="C409" t="str">
            <v>TYPE</v>
          </cell>
          <cell r="D409" t="str">
            <v>ESTIMATE</v>
          </cell>
          <cell r="E409" t="str">
            <v>ZONE</v>
          </cell>
          <cell r="F409" t="str">
            <v>PRIORITY</v>
          </cell>
        </row>
        <row r="410">
          <cell r="C410" t="str">
            <v>(km)</v>
          </cell>
        </row>
        <row r="412">
          <cell r="B412" t="str">
            <v>Subdivision Rebuilds*</v>
          </cell>
        </row>
        <row r="414">
          <cell r="A414">
            <v>1</v>
          </cell>
          <cell r="B414" t="str">
            <v>Sheridan Homelands - Phase V</v>
          </cell>
          <cell r="D414">
            <v>1500000</v>
          </cell>
          <cell r="E414">
            <v>2</v>
          </cell>
          <cell r="F414">
            <v>1</v>
          </cell>
        </row>
        <row r="415">
          <cell r="B415" t="str">
            <v xml:space="preserve">          ( Hole-in-the-donut)</v>
          </cell>
        </row>
        <row r="417">
          <cell r="A417">
            <v>2</v>
          </cell>
          <cell r="B417" t="str">
            <v>Malton - Phase VI</v>
          </cell>
          <cell r="D417">
            <v>1000000</v>
          </cell>
          <cell r="E417">
            <v>7</v>
          </cell>
          <cell r="F417">
            <v>1</v>
          </cell>
        </row>
        <row r="418">
          <cell r="B418" t="str">
            <v xml:space="preserve">          NE of Derry/Airport Rd.</v>
          </cell>
        </row>
        <row r="419">
          <cell r="B419" t="str">
            <v xml:space="preserve">          plus east of Goreway at Darcel/Monica</v>
          </cell>
        </row>
        <row r="421">
          <cell r="A421">
            <v>3</v>
          </cell>
          <cell r="B421" t="str">
            <v xml:space="preserve"> Forest Glen Area east and west of Dixie Rd.</v>
          </cell>
          <cell r="D421">
            <v>1500000</v>
          </cell>
          <cell r="E421">
            <v>5</v>
          </cell>
          <cell r="F421">
            <v>1</v>
          </cell>
        </row>
        <row r="423">
          <cell r="A423">
            <v>4</v>
          </cell>
          <cell r="B423" t="str">
            <v>Meadowvale T.C. Mainfeeders - Phase II</v>
          </cell>
          <cell r="D423">
            <v>1400000</v>
          </cell>
          <cell r="E423">
            <v>1</v>
          </cell>
          <cell r="F423">
            <v>1</v>
          </cell>
        </row>
        <row r="425">
          <cell r="A425">
            <v>5</v>
          </cell>
          <cell r="B425" t="str">
            <v>Woodlands Area</v>
          </cell>
          <cell r="D425">
            <v>1000000</v>
          </cell>
          <cell r="E425">
            <v>2</v>
          </cell>
          <cell r="F425">
            <v>1</v>
          </cell>
        </row>
        <row r="454">
          <cell r="B454" t="str">
            <v>TOTAL REBUILDS</v>
          </cell>
          <cell r="D454">
            <v>6400000</v>
          </cell>
        </row>
        <row r="456">
          <cell r="A456" t="str">
            <v>(x)  Included  in  1997  Capital  Budget.</v>
          </cell>
        </row>
        <row r="459">
          <cell r="A459" t="str">
            <v xml:space="preserve"> </v>
          </cell>
        </row>
        <row r="461">
          <cell r="A461" t="str">
            <v>SYSTEM MAINTENANCE PROJECTS</v>
          </cell>
        </row>
        <row r="464">
          <cell r="A464" t="str">
            <v>ITEM</v>
          </cell>
          <cell r="B464" t="str">
            <v>DESCRIPTION</v>
          </cell>
          <cell r="C464" t="str">
            <v>TYPE</v>
          </cell>
          <cell r="D464" t="str">
            <v>ESTIMATE</v>
          </cell>
          <cell r="F464" t="str">
            <v>PRIORITY</v>
          </cell>
        </row>
        <row r="465">
          <cell r="C465" t="str">
            <v>(km)</v>
          </cell>
        </row>
        <row r="467">
          <cell r="A467">
            <v>1</v>
          </cell>
          <cell r="B467" t="str">
            <v>Overhead Switch Replacement</v>
          </cell>
          <cell r="D467">
            <v>300000</v>
          </cell>
        </row>
        <row r="471">
          <cell r="A471">
            <v>2</v>
          </cell>
          <cell r="B471" t="str">
            <v>Secondary Cable Replacement</v>
          </cell>
          <cell r="D471">
            <v>75000</v>
          </cell>
        </row>
        <row r="475">
          <cell r="A475">
            <v>3</v>
          </cell>
          <cell r="B475" t="str">
            <v>Meter Base Replacement</v>
          </cell>
          <cell r="D475">
            <v>34000</v>
          </cell>
        </row>
        <row r="479">
          <cell r="A479">
            <v>4</v>
          </cell>
          <cell r="B479" t="str">
            <v>Overhead Transformer Replacement</v>
          </cell>
          <cell r="D479">
            <v>150000</v>
          </cell>
        </row>
        <row r="483">
          <cell r="A483">
            <v>5</v>
          </cell>
          <cell r="B483" t="str">
            <v>Underground Cable Replacement</v>
          </cell>
          <cell r="D483">
            <v>1200000</v>
          </cell>
        </row>
        <row r="487">
          <cell r="A487">
            <v>6</v>
          </cell>
          <cell r="B487" t="str">
            <v>Feeder Overhauls</v>
          </cell>
          <cell r="D487">
            <v>600000</v>
          </cell>
        </row>
        <row r="491">
          <cell r="A491">
            <v>7</v>
          </cell>
          <cell r="B491" t="str">
            <v>Underground Transformer Replacements</v>
          </cell>
          <cell r="D491">
            <v>200000</v>
          </cell>
        </row>
        <row r="495">
          <cell r="A495">
            <v>8</v>
          </cell>
          <cell r="B495" t="str">
            <v>Load Centre Replacement</v>
          </cell>
          <cell r="D495">
            <v>60000</v>
          </cell>
        </row>
        <row r="499">
          <cell r="A499">
            <v>9</v>
          </cell>
          <cell r="B499" t="str">
            <v>Overhead Rebuilds</v>
          </cell>
          <cell r="D499">
            <v>900000</v>
          </cell>
        </row>
        <row r="503">
          <cell r="A503">
            <v>10</v>
          </cell>
          <cell r="B503" t="str">
            <v>Wood Pole Replacement</v>
          </cell>
          <cell r="D503">
            <v>400000</v>
          </cell>
        </row>
        <row r="507">
          <cell r="A507">
            <v>11</v>
          </cell>
          <cell r="B507" t="str">
            <v>Auto-Switches/SCADA</v>
          </cell>
          <cell r="D507">
            <v>1260000</v>
          </cell>
        </row>
        <row r="509">
          <cell r="B509" t="str">
            <v>TOTAL MAINTENANCE</v>
          </cell>
          <cell r="D509">
            <v>5179000</v>
          </cell>
        </row>
        <row r="511">
          <cell r="A511" t="str">
            <v>(x)  Included  in  1997  Capital  Budget.</v>
          </cell>
        </row>
      </sheetData>
      <sheetData sheetId="4"/>
      <sheetData sheetId="5"/>
      <sheetData sheetId="6" refreshError="1">
        <row r="1">
          <cell r="B1" t="str">
            <v xml:space="preserve">POSSIBLE  SYSTEM   CAPITAL PROJECTS  -  1998 </v>
          </cell>
        </row>
        <row r="3">
          <cell r="A3" t="str">
            <v>SUBTRANSMISSION</v>
          </cell>
          <cell r="D3" t="str">
            <v>Date:</v>
          </cell>
          <cell r="F3">
            <v>36005.348419212962</v>
          </cell>
        </row>
        <row r="5">
          <cell r="A5" t="str">
            <v>ITEM</v>
          </cell>
          <cell r="B5" t="str">
            <v>DESCRIPTION</v>
          </cell>
          <cell r="C5" t="str">
            <v>TYPE</v>
          </cell>
          <cell r="D5" t="str">
            <v>ESTIMATE</v>
          </cell>
          <cell r="E5" t="str">
            <v>ZONE</v>
          </cell>
          <cell r="F5" t="str">
            <v>PRIORITY</v>
          </cell>
        </row>
        <row r="6">
          <cell r="C6" t="str">
            <v>(km)</v>
          </cell>
        </row>
        <row r="8">
          <cell r="B8" t="str">
            <v>44 kV - TOMKEN T.S.</v>
          </cell>
        </row>
        <row r="11">
          <cell r="A11" t="str">
            <v>1*</v>
          </cell>
          <cell r="B11" t="str">
            <v>44 kV Dixie/Hwy 401- Feeder Tie</v>
          </cell>
          <cell r="C11" t="str">
            <v>U/G (F)</v>
          </cell>
          <cell r="D11">
            <v>330000</v>
          </cell>
          <cell r="F11">
            <v>1</v>
          </cell>
        </row>
        <row r="12">
          <cell r="B12" t="str">
            <v xml:space="preserve">          From Shawson M.S. south along Dixie on</v>
          </cell>
          <cell r="C12">
            <v>0.4</v>
          </cell>
        </row>
        <row r="13">
          <cell r="B13" t="str">
            <v xml:space="preserve">         existing poleline and U/G under Hwy 401  </v>
          </cell>
        </row>
        <row r="16">
          <cell r="A16">
            <v>2</v>
          </cell>
          <cell r="B16" t="str">
            <v>44 kV Eglinton Feeders</v>
          </cell>
          <cell r="C16" t="str">
            <v>NEW</v>
          </cell>
          <cell r="D16">
            <v>530000</v>
          </cell>
          <cell r="F16">
            <v>2</v>
          </cell>
        </row>
        <row r="17">
          <cell r="B17" t="str">
            <v xml:space="preserve">          Along Ontario Hyd.R.O.W. to Dixie Rd. and</v>
          </cell>
          <cell r="C17">
            <v>3</v>
          </cell>
        </row>
        <row r="18">
          <cell r="B18" t="str">
            <v xml:space="preserve">         north to Eglinton Av. (new Tomken TS feeders)</v>
          </cell>
        </row>
        <row r="21">
          <cell r="A21">
            <v>3</v>
          </cell>
          <cell r="B21" t="str">
            <v>44 kV Dundas/Dixie- Feeder Tie</v>
          </cell>
          <cell r="C21" t="str">
            <v>REBUILD</v>
          </cell>
          <cell r="D21">
            <v>420000</v>
          </cell>
          <cell r="F21">
            <v>3</v>
          </cell>
        </row>
        <row r="22">
          <cell r="B22" t="str">
            <v xml:space="preserve">          On existing poleline  along  Dundas from Cawthra</v>
          </cell>
          <cell r="C22">
            <v>1.7</v>
          </cell>
        </row>
        <row r="23">
          <cell r="B23" t="str">
            <v xml:space="preserve">          to Dixie to Ont.Hyd. ROW at Summerville MS</v>
          </cell>
        </row>
        <row r="26">
          <cell r="A26">
            <v>4</v>
          </cell>
          <cell r="B26" t="str">
            <v>44 kV Matheson Rd. - Dixie to Tomken - Feeder Tie</v>
          </cell>
          <cell r="C26" t="str">
            <v>REBUILD</v>
          </cell>
          <cell r="D26">
            <v>420000</v>
          </cell>
          <cell r="F26">
            <v>4</v>
          </cell>
        </row>
        <row r="27">
          <cell r="B27" t="str">
            <v xml:space="preserve">          On existing poleline  along  Matheson Blvd. from</v>
          </cell>
          <cell r="C27">
            <v>1.7</v>
          </cell>
        </row>
        <row r="28">
          <cell r="B28" t="str">
            <v xml:space="preserve">          Dixie to Tomken Rd.</v>
          </cell>
        </row>
        <row r="31">
          <cell r="A31">
            <v>5</v>
          </cell>
          <cell r="B31" t="str">
            <v>44 kV Tomken TS - ROW to City Centre- Feeder Tie</v>
          </cell>
          <cell r="C31" t="str">
            <v>NEW</v>
          </cell>
          <cell r="D31">
            <v>305000</v>
          </cell>
          <cell r="F31">
            <v>5</v>
          </cell>
        </row>
        <row r="32">
          <cell r="B32" t="str">
            <v xml:space="preserve">          On new poleline  along  Ont. Hyd. ROW from</v>
          </cell>
          <cell r="C32">
            <v>1.5</v>
          </cell>
        </row>
        <row r="33">
          <cell r="B33" t="str">
            <v xml:space="preserve">          Tomken TS to City Centre along Eastgate Dr.</v>
          </cell>
        </row>
        <row r="36">
          <cell r="A36">
            <v>6</v>
          </cell>
          <cell r="B36" t="str">
            <v>44 kV Chalkdene - ROW to Chaldene MS</v>
          </cell>
          <cell r="C36" t="str">
            <v>REBUILD</v>
          </cell>
          <cell r="F36">
            <v>6</v>
          </cell>
        </row>
        <row r="37">
          <cell r="B37" t="str">
            <v xml:space="preserve">          On existing poleline  along  Ont. Hyd. ROW</v>
          </cell>
          <cell r="C37">
            <v>1.7</v>
          </cell>
        </row>
        <row r="38">
          <cell r="B38" t="str">
            <v xml:space="preserve">          to Chalkdene MS</v>
          </cell>
        </row>
        <row r="41">
          <cell r="A41">
            <v>7</v>
          </cell>
          <cell r="B41" t="str">
            <v>44 kV Dixie/Burnhamthorpe- Feeder Tie</v>
          </cell>
          <cell r="C41" t="str">
            <v>REBUILD</v>
          </cell>
          <cell r="F41">
            <v>7</v>
          </cell>
        </row>
        <row r="42">
          <cell r="B42" t="str">
            <v xml:space="preserve">          On existing poleline  along  Dixie  Rd.  from</v>
          </cell>
          <cell r="C42">
            <v>1.7</v>
          </cell>
        </row>
        <row r="43">
          <cell r="B43" t="str">
            <v xml:space="preserve">          Burnhamthorpe  Rd.   to   New Dixie.</v>
          </cell>
        </row>
        <row r="46">
          <cell r="A46">
            <v>8</v>
          </cell>
          <cell r="B46" t="str">
            <v>44 kV Burnhamthorpe Feeders</v>
          </cell>
          <cell r="C46" t="str">
            <v>REBUILD</v>
          </cell>
          <cell r="F46">
            <v>8</v>
          </cell>
        </row>
        <row r="47">
          <cell r="B47" t="str">
            <v xml:space="preserve">          Along Ontario Hyd.R.O.W. to Dixie Rd. and</v>
          </cell>
          <cell r="C47">
            <v>1.7</v>
          </cell>
        </row>
        <row r="48">
          <cell r="B48" t="str">
            <v xml:space="preserve">         south to Burnhamthorpe Rd. (new feeders)</v>
          </cell>
        </row>
        <row r="51">
          <cell r="A51">
            <v>9</v>
          </cell>
          <cell r="B51" t="str">
            <v>44 kV Tomken Rd. - ROW to Burnhamthorpe - Feeder Tie</v>
          </cell>
          <cell r="C51" t="str">
            <v>REBUILD</v>
          </cell>
          <cell r="F51">
            <v>9</v>
          </cell>
        </row>
        <row r="52">
          <cell r="B52" t="str">
            <v xml:space="preserve">          Rebuild poleline  along Tomken Rd.</v>
          </cell>
          <cell r="C52">
            <v>1.7</v>
          </cell>
        </row>
        <row r="53">
          <cell r="B53" t="str">
            <v xml:space="preserve">          from Ont. Hyd. ROW to Burnhamthorpe Rd.</v>
          </cell>
        </row>
        <row r="56">
          <cell r="B56" t="str">
            <v>SUB-TOTAL</v>
          </cell>
          <cell r="D56">
            <v>2005000</v>
          </cell>
        </row>
        <row r="58">
          <cell r="A58" t="str">
            <v>(*)  Included  in  1998  Capital  Budget.</v>
          </cell>
        </row>
        <row r="62">
          <cell r="B62" t="str">
            <v xml:space="preserve">POSSIBLE  SYSTEM   CAPITAL PROJECTS  -  1998 </v>
          </cell>
        </row>
        <row r="64">
          <cell r="A64" t="str">
            <v>SUBTRANSMISSION</v>
          </cell>
          <cell r="D64" t="str">
            <v>Date:</v>
          </cell>
          <cell r="F64">
            <v>35627.357684374998</v>
          </cell>
        </row>
        <row r="67">
          <cell r="A67" t="str">
            <v>ITEM</v>
          </cell>
          <cell r="B67" t="str">
            <v>DESCRIPTION</v>
          </cell>
          <cell r="C67" t="str">
            <v>TYPE</v>
          </cell>
          <cell r="D67" t="str">
            <v>ESTIMATE</v>
          </cell>
          <cell r="E67" t="str">
            <v>ZONE</v>
          </cell>
          <cell r="F67" t="str">
            <v>PRIORITY</v>
          </cell>
        </row>
        <row r="68">
          <cell r="C68" t="str">
            <v>(km)</v>
          </cell>
        </row>
        <row r="70">
          <cell r="B70" t="str">
            <v>44 kV - MEADOWVALE TS</v>
          </cell>
        </row>
        <row r="73">
          <cell r="A73" t="str">
            <v>1*</v>
          </cell>
          <cell r="B73" t="str">
            <v>44 kV - Meadowvale Feeder - Fifth Line to Mississauga - Feede Tie</v>
          </cell>
          <cell r="C73" t="str">
            <v>ADD (F)</v>
          </cell>
          <cell r="D73">
            <v>230000</v>
          </cell>
          <cell r="F73">
            <v>1</v>
          </cell>
        </row>
        <row r="74">
          <cell r="B74" t="str">
            <v xml:space="preserve">          On existing poleline along Utility Corridor from Meadowvale TS </v>
          </cell>
          <cell r="C74">
            <v>4.5</v>
          </cell>
        </row>
        <row r="75">
          <cell r="B75" t="str">
            <v xml:space="preserve">          to Fifth Line to Mississuga Rd and south to Hwy 401 at CIBC</v>
          </cell>
        </row>
        <row r="76">
          <cell r="B76" t="str">
            <v xml:space="preserve">         (Phase I - Fifth LIne to Mississauga Rd)</v>
          </cell>
        </row>
        <row r="78">
          <cell r="A78">
            <v>2</v>
          </cell>
          <cell r="B78" t="str">
            <v>44 kV Britannia Rd. - Mississauga Rd. to Creditview</v>
          </cell>
          <cell r="C78" t="str">
            <v>REBUILD</v>
          </cell>
          <cell r="D78">
            <v>280000</v>
          </cell>
          <cell r="F78">
            <v>2</v>
          </cell>
        </row>
        <row r="79">
          <cell r="B79" t="str">
            <v xml:space="preserve">          On existing poleline along Britannia Rd. from Mississauga Rd. </v>
          </cell>
          <cell r="C79">
            <v>1</v>
          </cell>
        </row>
        <row r="80">
          <cell r="B80" t="str">
            <v xml:space="preserve">          to Creditview  Rd.</v>
          </cell>
        </row>
        <row r="83">
          <cell r="A83">
            <v>3</v>
          </cell>
          <cell r="B83" t="str">
            <v>44 kV Derry Rd - Mississauga/Creditview to Britannia- Feeder Tie</v>
          </cell>
          <cell r="C83" t="str">
            <v>REBUILD</v>
          </cell>
          <cell r="D83">
            <v>480000</v>
          </cell>
          <cell r="F83">
            <v>3</v>
          </cell>
        </row>
        <row r="84">
          <cell r="B84" t="str">
            <v xml:space="preserve">          On existing poleline along Derry Rd. from Mississauga Rd. </v>
          </cell>
          <cell r="C84">
            <v>2</v>
          </cell>
        </row>
        <row r="85">
          <cell r="B85" t="str">
            <v xml:space="preserve">          to Creditview  Rd. to Britannia Rd.</v>
          </cell>
        </row>
        <row r="88">
          <cell r="A88">
            <v>4</v>
          </cell>
        </row>
        <row r="93">
          <cell r="A93">
            <v>5</v>
          </cell>
        </row>
        <row r="98">
          <cell r="A98">
            <v>6</v>
          </cell>
        </row>
        <row r="103">
          <cell r="A103">
            <v>7</v>
          </cell>
        </row>
        <row r="108">
          <cell r="A108">
            <v>8</v>
          </cell>
        </row>
        <row r="113">
          <cell r="A113">
            <v>9</v>
          </cell>
        </row>
        <row r="118">
          <cell r="B118" t="str">
            <v>SUB-TOTAL</v>
          </cell>
          <cell r="D118">
            <v>990000</v>
          </cell>
        </row>
        <row r="120">
          <cell r="A120" t="str">
            <v>(*)  Included  in  1998  Capital  Budget.</v>
          </cell>
        </row>
        <row r="123">
          <cell r="B123" t="str">
            <v xml:space="preserve">POSSIBLE  SYSTEM   CAPITAL PROJECTS  -  1998 </v>
          </cell>
        </row>
        <row r="125">
          <cell r="A125" t="str">
            <v>SUBTRANSMISSION</v>
          </cell>
          <cell r="D125" t="str">
            <v>Date:</v>
          </cell>
          <cell r="F125">
            <v>35627.357684374998</v>
          </cell>
        </row>
        <row r="128">
          <cell r="A128" t="str">
            <v>ITEM</v>
          </cell>
          <cell r="B128" t="str">
            <v>DESCRIPTION</v>
          </cell>
          <cell r="C128" t="str">
            <v>TYPE</v>
          </cell>
          <cell r="D128" t="str">
            <v>ESTIMATE</v>
          </cell>
          <cell r="E128" t="str">
            <v>ZONE</v>
          </cell>
          <cell r="F128" t="str">
            <v>PRIORITY</v>
          </cell>
        </row>
        <row r="129">
          <cell r="C129" t="str">
            <v>(km)</v>
          </cell>
        </row>
        <row r="131">
          <cell r="B131" t="str">
            <v>44 kV - ERINDALE TS</v>
          </cell>
        </row>
        <row r="134">
          <cell r="A134" t="str">
            <v>1**</v>
          </cell>
          <cell r="B134" t="str">
            <v>44 kV Glen Erin Dr. - Burnhamthorpe to Eglinton - Feeder Tie</v>
          </cell>
          <cell r="C134" t="str">
            <v>ADD (F)</v>
          </cell>
          <cell r="D134">
            <v>175000</v>
          </cell>
          <cell r="E134" t="str">
            <v>R</v>
          </cell>
          <cell r="F134">
            <v>1</v>
          </cell>
        </row>
        <row r="135">
          <cell r="B135" t="str">
            <v xml:space="preserve">          On existing poleline along Glen Erin Dr. from </v>
          </cell>
          <cell r="C135">
            <v>3</v>
          </cell>
        </row>
        <row r="136">
          <cell r="B136" t="str">
            <v xml:space="preserve">          Burnhamthorpe Dr. to Eglinton Av. (including 13.8 kV cct)</v>
          </cell>
        </row>
        <row r="139">
          <cell r="A139">
            <v>2</v>
          </cell>
          <cell r="B139" t="str">
            <v>44 kV Dundas - Hwy 10 to Mavis - Feeder Tie</v>
          </cell>
          <cell r="C139" t="str">
            <v>REBUILD</v>
          </cell>
          <cell r="D139">
            <v>420000</v>
          </cell>
          <cell r="F139">
            <v>2</v>
          </cell>
        </row>
        <row r="140">
          <cell r="B140" t="str">
            <v xml:space="preserve">          On existing poleline along Dundas St. from Hwy 10 to</v>
          </cell>
          <cell r="C140">
            <v>1.7</v>
          </cell>
        </row>
        <row r="141">
          <cell r="B141" t="str">
            <v xml:space="preserve">          Mavis Rd.</v>
          </cell>
        </row>
        <row r="144">
          <cell r="A144">
            <v>3</v>
          </cell>
          <cell r="B144" t="str">
            <v>44 kV Winston Churchill - Eglinton to Dundas</v>
          </cell>
          <cell r="C144" t="str">
            <v>ADD</v>
          </cell>
          <cell r="D144">
            <v>345000</v>
          </cell>
          <cell r="F144">
            <v>3</v>
          </cell>
        </row>
        <row r="145">
          <cell r="B145" t="str">
            <v xml:space="preserve">          On existing poleline along Winston Churchill Blvd. from Eglinton Ave.</v>
          </cell>
          <cell r="C145">
            <v>4.5</v>
          </cell>
        </row>
        <row r="146">
          <cell r="B146" t="str">
            <v xml:space="preserve">          to Dundas St.</v>
          </cell>
        </row>
        <row r="149">
          <cell r="A149">
            <v>4</v>
          </cell>
          <cell r="B149" t="str">
            <v>44 kV Mavis - Burnhamthorpe Rd. to Dundas</v>
          </cell>
          <cell r="C149" t="str">
            <v>ADD</v>
          </cell>
          <cell r="D149">
            <v>270000</v>
          </cell>
          <cell r="F149">
            <v>4</v>
          </cell>
        </row>
        <row r="150">
          <cell r="B150" t="str">
            <v xml:space="preserve">          On existing poleline along Mavis from Burnhamthorpe Rd. to</v>
          </cell>
          <cell r="C150">
            <v>3</v>
          </cell>
        </row>
        <row r="151">
          <cell r="B151" t="str">
            <v xml:space="preserve">          Dundas St.</v>
          </cell>
        </row>
        <row r="154">
          <cell r="A154">
            <v>5</v>
          </cell>
          <cell r="B154" t="str">
            <v>44 kV Mississauga Rd. - Burnhamthorpe to Dundas</v>
          </cell>
          <cell r="C154" t="str">
            <v>REBUILD</v>
          </cell>
          <cell r="D154">
            <v>580000</v>
          </cell>
          <cell r="F154">
            <v>5</v>
          </cell>
        </row>
        <row r="155">
          <cell r="B155" t="str">
            <v xml:space="preserve">          On existing poleline along Mississauga Rd from </v>
          </cell>
          <cell r="C155">
            <v>2.5</v>
          </cell>
        </row>
        <row r="156">
          <cell r="B156" t="str">
            <v xml:space="preserve">          Burnhamthorpe Rd. to Dundas St.</v>
          </cell>
        </row>
        <row r="159">
          <cell r="A159">
            <v>6</v>
          </cell>
          <cell r="B159" t="str">
            <v>44 kV Dundas St. - Erindale Station Rd, to Erin Mills Pkwy.</v>
          </cell>
          <cell r="C159" t="str">
            <v>REBUILD</v>
          </cell>
          <cell r="D159">
            <v>1080000</v>
          </cell>
          <cell r="F159">
            <v>6</v>
          </cell>
        </row>
        <row r="160">
          <cell r="B160" t="str">
            <v xml:space="preserve">          On existing poleline along Dundas St from Erindale sation Rd. </v>
          </cell>
          <cell r="C160">
            <v>5</v>
          </cell>
        </row>
        <row r="161">
          <cell r="B161" t="str">
            <v xml:space="preserve">          to Erin Mills Pkwy.</v>
          </cell>
        </row>
        <row r="164">
          <cell r="A164">
            <v>7</v>
          </cell>
          <cell r="B164" t="str">
            <v>44 kV Erin Mills Pkwy - Britannia to Eglinton.</v>
          </cell>
          <cell r="C164" t="str">
            <v>ADD</v>
          </cell>
          <cell r="D164">
            <v>285000</v>
          </cell>
          <cell r="F164">
            <v>7</v>
          </cell>
        </row>
        <row r="165">
          <cell r="B165" t="str">
            <v xml:space="preserve">          On existing poleline along Erin Mills Pkwy from Britannia </v>
          </cell>
          <cell r="C165">
            <v>3.3</v>
          </cell>
        </row>
        <row r="166">
          <cell r="B166" t="str">
            <v xml:space="preserve">          to Eglinton Avenue</v>
          </cell>
        </row>
        <row r="169">
          <cell r="A169">
            <v>8</v>
          </cell>
          <cell r="B169" t="str">
            <v>44 kV Mississauga Rd. - Britannia to Eglinton - Feeder Tie</v>
          </cell>
          <cell r="C169" t="str">
            <v>REBUILD</v>
          </cell>
          <cell r="D169">
            <v>740000</v>
          </cell>
          <cell r="F169">
            <v>8</v>
          </cell>
        </row>
        <row r="170">
          <cell r="B170" t="str">
            <v xml:space="preserve">          On existing poleline along Mississauga Rd from </v>
          </cell>
          <cell r="C170">
            <v>3.3</v>
          </cell>
        </row>
        <row r="171">
          <cell r="B171" t="str">
            <v xml:space="preserve">          Britannia Rd. to Eglinton Ave.</v>
          </cell>
        </row>
        <row r="174">
          <cell r="A174">
            <v>9</v>
          </cell>
          <cell r="F174">
            <v>9</v>
          </cell>
        </row>
        <row r="179">
          <cell r="B179" t="str">
            <v>SUB-TOTAL</v>
          </cell>
          <cell r="D179">
            <v>3895000</v>
          </cell>
        </row>
        <row r="181">
          <cell r="A181" t="str">
            <v>(*)  Included  in  1998  Capital  Budget.</v>
          </cell>
        </row>
        <row r="184">
          <cell r="B184" t="str">
            <v xml:space="preserve">POSSIBLE  SYSTEM   CAPITAL PROJECTS  -  1998 </v>
          </cell>
        </row>
        <row r="186">
          <cell r="A186" t="str">
            <v>SUBTRANSMISSION</v>
          </cell>
          <cell r="D186" t="str">
            <v>Date:</v>
          </cell>
          <cell r="F186">
            <v>35627.357684374998</v>
          </cell>
        </row>
        <row r="189">
          <cell r="A189" t="str">
            <v>ITEM</v>
          </cell>
          <cell r="B189" t="str">
            <v>DESCRIPTION</v>
          </cell>
          <cell r="C189" t="str">
            <v>TYPE</v>
          </cell>
          <cell r="D189" t="str">
            <v>ESTIMATE</v>
          </cell>
          <cell r="E189" t="str">
            <v>ZONE</v>
          </cell>
          <cell r="F189" t="str">
            <v>PRIORITY</v>
          </cell>
        </row>
        <row r="190">
          <cell r="C190" t="str">
            <v>(km)</v>
          </cell>
        </row>
        <row r="192">
          <cell r="B192" t="str">
            <v>44 kV - BRAMALEA TS</v>
          </cell>
        </row>
        <row r="195">
          <cell r="A195">
            <v>1</v>
          </cell>
          <cell r="B195" t="str">
            <v>44 kV Drew Rd. Feeder Tie</v>
          </cell>
          <cell r="C195" t="str">
            <v>ADD</v>
          </cell>
          <cell r="D195">
            <v>205000</v>
          </cell>
          <cell r="F195">
            <v>1</v>
          </cell>
        </row>
        <row r="196">
          <cell r="B196" t="str">
            <v xml:space="preserve">          Along Drew Rd. from Tobram Rd. to </v>
          </cell>
          <cell r="C196">
            <v>2.5</v>
          </cell>
        </row>
        <row r="197">
          <cell r="B197" t="str">
            <v xml:space="preserve">          Airport Rd.</v>
          </cell>
        </row>
        <row r="200">
          <cell r="A200">
            <v>2</v>
          </cell>
          <cell r="B200" t="str">
            <v>44 kV Goreway Dr. - City Bounary to Derry - Feeder Tie</v>
          </cell>
          <cell r="C200" t="str">
            <v>REBUILD</v>
          </cell>
          <cell r="D200">
            <v>580000</v>
          </cell>
          <cell r="F200">
            <v>2</v>
          </cell>
        </row>
        <row r="201">
          <cell r="B201" t="str">
            <v xml:space="preserve">          Rebuild of poleline along Goreway Drive from City Boundary</v>
          </cell>
          <cell r="C201">
            <v>2.5</v>
          </cell>
        </row>
        <row r="202">
          <cell r="B202" t="str">
            <v xml:space="preserve">          to Orlando MS near American Dr.</v>
          </cell>
        </row>
        <row r="205">
          <cell r="A205">
            <v>3</v>
          </cell>
          <cell r="B205" t="str">
            <v>44 kV CN Tracks - City Bounary to Derry - Feeder Tie</v>
          </cell>
          <cell r="C205" t="str">
            <v>ADD</v>
          </cell>
          <cell r="D205">
            <v>370000</v>
          </cell>
          <cell r="F205">
            <v>3</v>
          </cell>
        </row>
        <row r="206">
          <cell r="B206" t="str">
            <v xml:space="preserve">          On existing poleline along CN tracks from City Boundary</v>
          </cell>
          <cell r="C206">
            <v>5</v>
          </cell>
        </row>
        <row r="207">
          <cell r="B207" t="str">
            <v xml:space="preserve">          to Derry Rd.</v>
          </cell>
        </row>
        <row r="210">
          <cell r="A210">
            <v>4</v>
          </cell>
          <cell r="B210" t="str">
            <v xml:space="preserve">44 kV Orlando MS to Northwest to Malton MS </v>
          </cell>
          <cell r="C210" t="str">
            <v>REBUILD</v>
          </cell>
          <cell r="D210">
            <v>580000</v>
          </cell>
          <cell r="F210">
            <v>4</v>
          </cell>
        </row>
        <row r="211">
          <cell r="B211" t="str">
            <v xml:space="preserve">          On rebuild poleline along Nortwest Dr.</v>
          </cell>
          <cell r="C211">
            <v>2.5</v>
          </cell>
        </row>
        <row r="212">
          <cell r="B212" t="str">
            <v xml:space="preserve">          to Derry Rd. (to Malton MS)</v>
          </cell>
        </row>
        <row r="215">
          <cell r="A215" t="str">
            <v>5??</v>
          </cell>
          <cell r="B215" t="str">
            <v>44 kV Goreway Dr. - Derry to Orlando MS - Feeder Tie</v>
          </cell>
          <cell r="C215" t="str">
            <v>REBUILD</v>
          </cell>
          <cell r="D215">
            <v>420000</v>
          </cell>
          <cell r="F215">
            <v>5</v>
          </cell>
        </row>
        <row r="216">
          <cell r="B216" t="str">
            <v xml:space="preserve">          On existing poleline along Goreway Drive from Derry Rd.</v>
          </cell>
          <cell r="C216">
            <v>1.7</v>
          </cell>
        </row>
        <row r="217">
          <cell r="B217" t="str">
            <v xml:space="preserve">          to Orlando MS near American Dr.</v>
          </cell>
        </row>
        <row r="220">
          <cell r="A220">
            <v>6</v>
          </cell>
        </row>
        <row r="225">
          <cell r="A225">
            <v>7</v>
          </cell>
        </row>
        <row r="230">
          <cell r="A230">
            <v>8</v>
          </cell>
        </row>
        <row r="235">
          <cell r="A235">
            <v>9</v>
          </cell>
        </row>
        <row r="240">
          <cell r="B240" t="str">
            <v>SUB-TOTAL</v>
          </cell>
          <cell r="D240">
            <v>2155000</v>
          </cell>
        </row>
        <row r="242">
          <cell r="A242" t="str">
            <v>(*)  Included  in  1998  Capital  Budget.</v>
          </cell>
        </row>
        <row r="245">
          <cell r="B245" t="str">
            <v xml:space="preserve">POSSIBLE  SYSTEM   CAPITAL PROJECTS  -  1998 </v>
          </cell>
        </row>
        <row r="247">
          <cell r="A247" t="str">
            <v>SUBTRANSMISSION</v>
          </cell>
          <cell r="D247" t="str">
            <v>Date:</v>
          </cell>
          <cell r="F247">
            <v>35627.357684374998</v>
          </cell>
        </row>
        <row r="250">
          <cell r="A250" t="str">
            <v>ITEM</v>
          </cell>
          <cell r="B250" t="str">
            <v>DESCRIPTION</v>
          </cell>
          <cell r="C250" t="str">
            <v>TYPE</v>
          </cell>
          <cell r="D250" t="str">
            <v>ESTIMATE</v>
          </cell>
          <cell r="E250" t="str">
            <v>ZONE</v>
          </cell>
          <cell r="F250" t="str">
            <v>PRIORITY</v>
          </cell>
        </row>
        <row r="251">
          <cell r="C251" t="str">
            <v>(km)</v>
          </cell>
        </row>
        <row r="253">
          <cell r="B253" t="str">
            <v>27.6 kV SOUTH SYSTEM</v>
          </cell>
        </row>
        <row r="256">
          <cell r="A256">
            <v>1</v>
          </cell>
          <cell r="B256" t="str">
            <v>27.6 kV Cliff Rd. - ROW to Queensway</v>
          </cell>
          <cell r="C256" t="str">
            <v>REBUILD</v>
          </cell>
          <cell r="D256">
            <v>290000</v>
          </cell>
          <cell r="F256">
            <v>1</v>
          </cell>
        </row>
        <row r="257">
          <cell r="B257" t="str">
            <v xml:space="preserve">          On rebuild poleline along Cliff Rd. east of Hwy 10</v>
          </cell>
          <cell r="C257">
            <v>1.2</v>
          </cell>
        </row>
        <row r="258">
          <cell r="B258" t="str">
            <v xml:space="preserve">          from O.H. ROW to Queensway</v>
          </cell>
        </row>
        <row r="261">
          <cell r="A261">
            <v>2</v>
          </cell>
          <cell r="B261" t="str">
            <v>27.6 kV Lakeshore Rd -  Cawthra and Dixie</v>
          </cell>
          <cell r="C261" t="str">
            <v>REBUILD</v>
          </cell>
          <cell r="D261">
            <v>280000</v>
          </cell>
          <cell r="F261">
            <v>2</v>
          </cell>
        </row>
        <row r="262">
          <cell r="B262" t="str">
            <v xml:space="preserve">          On rebuild poleline along Lakeshore Rd.</v>
          </cell>
          <cell r="C262">
            <v>1</v>
          </cell>
        </row>
        <row r="263">
          <cell r="B263" t="str">
            <v xml:space="preserve">          between Cawthra and Dixie</v>
          </cell>
        </row>
        <row r="266">
          <cell r="A266">
            <v>3</v>
          </cell>
          <cell r="B266" t="str">
            <v>27.6 kV Stanfield - ROW to Queensway</v>
          </cell>
          <cell r="C266" t="str">
            <v>NEW</v>
          </cell>
          <cell r="D266">
            <v>305000</v>
          </cell>
          <cell r="F266">
            <v>3</v>
          </cell>
        </row>
        <row r="267">
          <cell r="B267" t="str">
            <v xml:space="preserve">          On existing poleline along Stanfield Rd. east of Hwy 10</v>
          </cell>
          <cell r="C267">
            <v>1.5</v>
          </cell>
        </row>
        <row r="268">
          <cell r="B268" t="str">
            <v xml:space="preserve">          from O.H. ROW to Queensway</v>
          </cell>
        </row>
        <row r="271">
          <cell r="A271">
            <v>4</v>
          </cell>
          <cell r="B271" t="str">
            <v>27.6 kV Indian Grove  - Lorne Park TS to Lakeshore</v>
          </cell>
          <cell r="C271" t="str">
            <v>REBUILD</v>
          </cell>
          <cell r="D271">
            <v>560000</v>
          </cell>
          <cell r="F271">
            <v>4</v>
          </cell>
        </row>
        <row r="272">
          <cell r="B272" t="str">
            <v xml:space="preserve">          On existing poleline along Indian Grove and Kane Rd. west of</v>
          </cell>
          <cell r="C272">
            <v>2.4</v>
          </cell>
        </row>
        <row r="273">
          <cell r="B273" t="str">
            <v xml:space="preserve">          Mississauga Rd. from O.H. ROW to Lakeshore</v>
          </cell>
        </row>
        <row r="276">
          <cell r="A276">
            <v>5</v>
          </cell>
          <cell r="B276" t="str">
            <v>27.6 KV Highway 10 - Lakeshore to Queensway</v>
          </cell>
          <cell r="C276" t="str">
            <v>REBUILD</v>
          </cell>
          <cell r="D276">
            <v>780000</v>
          </cell>
          <cell r="F276">
            <v>5</v>
          </cell>
        </row>
        <row r="277">
          <cell r="B277" t="str">
            <v xml:space="preserve">          On existing poleline along Hwy 10</v>
          </cell>
          <cell r="C277">
            <v>3.5</v>
          </cell>
        </row>
        <row r="278">
          <cell r="B278" t="str">
            <v xml:space="preserve">          between Lakeshore and Queensway</v>
          </cell>
        </row>
        <row r="281">
          <cell r="A281">
            <v>6</v>
          </cell>
        </row>
        <row r="286">
          <cell r="A286">
            <v>7</v>
          </cell>
        </row>
        <row r="291">
          <cell r="A291">
            <v>8</v>
          </cell>
        </row>
        <row r="296">
          <cell r="A296">
            <v>9</v>
          </cell>
        </row>
        <row r="301">
          <cell r="B301" t="str">
            <v>SUB-TOTAL</v>
          </cell>
          <cell r="D301">
            <v>2215000</v>
          </cell>
        </row>
        <row r="303">
          <cell r="A303" t="str">
            <v>(*)  Included  in  1998  Capital  Budget.</v>
          </cell>
        </row>
        <row r="306">
          <cell r="B306" t="str">
            <v xml:space="preserve">POSSIBLE  SYSTEM   CAPITAL PROJECTS  -  1998 </v>
          </cell>
        </row>
        <row r="308">
          <cell r="A308" t="str">
            <v>SUBTRANSMISSION</v>
          </cell>
          <cell r="D308" t="str">
            <v>Date:</v>
          </cell>
          <cell r="F308">
            <v>35627.357684374998</v>
          </cell>
        </row>
        <row r="311">
          <cell r="A311" t="str">
            <v>ITEM</v>
          </cell>
          <cell r="B311" t="str">
            <v>DESCRIPTION</v>
          </cell>
          <cell r="C311" t="str">
            <v>TYPE</v>
          </cell>
          <cell r="D311" t="str">
            <v>ESTIMATE</v>
          </cell>
          <cell r="E311" t="str">
            <v>ZONE</v>
          </cell>
          <cell r="F311" t="str">
            <v>PRIORITY</v>
          </cell>
        </row>
        <row r="312">
          <cell r="C312" t="str">
            <v>(km)</v>
          </cell>
        </row>
        <row r="314">
          <cell r="B314" t="str">
            <v>27.6 kV NORTH SYSTEM</v>
          </cell>
        </row>
        <row r="317">
          <cell r="A317" t="str">
            <v>1*</v>
          </cell>
          <cell r="B317" t="str">
            <v>27.6 kV Mavis - Erindale TS to Brittannia Rd.</v>
          </cell>
          <cell r="C317" t="str">
            <v>ADD (F)</v>
          </cell>
          <cell r="D317">
            <v>870000</v>
          </cell>
          <cell r="F317">
            <v>1</v>
          </cell>
        </row>
        <row r="318">
          <cell r="B318" t="str">
            <v xml:space="preserve">          New underground feeders from Erindale TS to Mavis Rd. and</v>
          </cell>
          <cell r="C318">
            <v>3</v>
          </cell>
        </row>
        <row r="319">
          <cell r="B319" t="str">
            <v xml:space="preserve">          additional cct on exiting poleline along Mavis Rd. to Eglinton</v>
          </cell>
        </row>
        <row r="320">
          <cell r="B320" t="str">
            <v xml:space="preserve">          and north to Britannia Rd.</v>
          </cell>
        </row>
        <row r="322">
          <cell r="A322" t="str">
            <v>2*</v>
          </cell>
          <cell r="B322" t="str">
            <v>27.6 kV - Second Line  - Eglinton to Bristol Rd.</v>
          </cell>
          <cell r="C322" t="str">
            <v>ADD (F)</v>
          </cell>
          <cell r="D322">
            <v>75000</v>
          </cell>
          <cell r="E322" t="str">
            <v>R</v>
          </cell>
          <cell r="F322">
            <v>2</v>
          </cell>
        </row>
        <row r="323">
          <cell r="B323" t="str">
            <v xml:space="preserve">          On existing poleline along Second Line from Eglinton</v>
          </cell>
          <cell r="C323">
            <v>0.7</v>
          </cell>
        </row>
        <row r="324">
          <cell r="B324" t="str">
            <v xml:space="preserve">          to Britannia Rd. (Complete the tie)</v>
          </cell>
        </row>
        <row r="327">
          <cell r="A327">
            <v>3</v>
          </cell>
          <cell r="B327" t="str">
            <v>27.6 kV - Hwy 10  - From ROW to Eglinton</v>
          </cell>
          <cell r="C327" t="str">
            <v>NEW (F)</v>
          </cell>
          <cell r="D327">
            <v>30050</v>
          </cell>
          <cell r="F327">
            <v>3</v>
          </cell>
        </row>
        <row r="328">
          <cell r="B328" t="str">
            <v xml:space="preserve">          Create a tie between two polelines</v>
          </cell>
          <cell r="C328">
            <v>6.7000000000000004E-2</v>
          </cell>
        </row>
        <row r="329">
          <cell r="B329" t="str">
            <v xml:space="preserve">          at north-east corner of Hwys10 and 403</v>
          </cell>
        </row>
        <row r="332">
          <cell r="A332" t="str">
            <v>4*</v>
          </cell>
          <cell r="B332" t="str">
            <v>27.6 kV - Meyerside Dr. and Shawson Dr.</v>
          </cell>
          <cell r="C332" t="str">
            <v>REBUILD (F)</v>
          </cell>
          <cell r="D332">
            <v>450000</v>
          </cell>
          <cell r="F332">
            <v>4</v>
          </cell>
        </row>
        <row r="333">
          <cell r="B333" t="str">
            <v xml:space="preserve">          On rebuild poleline along Myserside Dr. and north</v>
          </cell>
          <cell r="C333">
            <v>2</v>
          </cell>
        </row>
        <row r="334">
          <cell r="B334" t="str">
            <v xml:space="preserve">          along Shawson Dr. to Courtneypark Dr.</v>
          </cell>
        </row>
        <row r="337">
          <cell r="A337">
            <v>5</v>
          </cell>
          <cell r="B337" t="str">
            <v>27.6 kV Bramalea TS Feeder Ties</v>
          </cell>
          <cell r="C337" t="str">
            <v>NEW</v>
          </cell>
          <cell r="D337">
            <v>300000</v>
          </cell>
          <cell r="F337">
            <v>5</v>
          </cell>
        </row>
        <row r="338">
          <cell r="B338" t="str">
            <v xml:space="preserve">          New poleline from Bramalea T.S. along</v>
          </cell>
          <cell r="C338">
            <v>5</v>
          </cell>
        </row>
        <row r="339">
          <cell r="B339" t="str">
            <v xml:space="preserve">          Utility Corridor to Dixie/Tomken/Kennedy</v>
          </cell>
        </row>
        <row r="340">
          <cell r="B340" t="str">
            <v xml:space="preserve">           OR  along Bramalea Rd &amp; Drew Rd.</v>
          </cell>
        </row>
        <row r="342">
          <cell r="A342">
            <v>6</v>
          </cell>
          <cell r="B342" t="str">
            <v xml:space="preserve">27.6 kV - Hwy 10  - From Eglinton to Bristol </v>
          </cell>
          <cell r="C342" t="str">
            <v>ADD (F)</v>
          </cell>
          <cell r="D342">
            <v>100000</v>
          </cell>
          <cell r="F342">
            <v>6</v>
          </cell>
        </row>
        <row r="343">
          <cell r="B343" t="str">
            <v xml:space="preserve">          On existing poleline along Hurontario St. from</v>
          </cell>
          <cell r="C343">
            <v>1.2</v>
          </cell>
        </row>
        <row r="344">
          <cell r="B344" t="str">
            <v xml:space="preserve">          Eglinton to Bristol Rd.</v>
          </cell>
        </row>
        <row r="347">
          <cell r="A347" t="str">
            <v>7*</v>
          </cell>
          <cell r="B347" t="str">
            <v>27.6 kV - Traders Area</v>
          </cell>
          <cell r="D347">
            <v>350000</v>
          </cell>
          <cell r="F347">
            <v>7</v>
          </cell>
        </row>
        <row r="348">
          <cell r="B348" t="str">
            <v xml:space="preserve">          Build additional U/G main feeder ties</v>
          </cell>
        </row>
        <row r="349">
          <cell r="B349" t="str">
            <v xml:space="preserve">          between Hwy 10 and Kennedy and create additional 1/0 taps from </v>
          </cell>
        </row>
        <row r="350">
          <cell r="B350" t="str">
            <v xml:space="preserve">          main feeders.</v>
          </cell>
        </row>
        <row r="352">
          <cell r="A352">
            <v>8</v>
          </cell>
          <cell r="B352" t="str">
            <v>27.6 kV - Derry/Ambassedor Area</v>
          </cell>
          <cell r="D352">
            <v>250000</v>
          </cell>
          <cell r="F352">
            <v>8</v>
          </cell>
        </row>
        <row r="353">
          <cell r="B353" t="str">
            <v xml:space="preserve">          Build additional U/G  ties from OH circuits</v>
          </cell>
        </row>
        <row r="354">
          <cell r="B354" t="str">
            <v xml:space="preserve">          between Hwy 10 and Kennedy north of Hwy 401</v>
          </cell>
        </row>
        <row r="357">
          <cell r="A357">
            <v>9</v>
          </cell>
          <cell r="B357" t="str">
            <v>27.6 kV - Hwy 10  - From Britannia to Derry</v>
          </cell>
          <cell r="C357" t="str">
            <v>ADD (F)</v>
          </cell>
          <cell r="D357">
            <v>250000</v>
          </cell>
          <cell r="F357">
            <v>9</v>
          </cell>
        </row>
        <row r="358">
          <cell r="B358" t="str">
            <v xml:space="preserve">          On existing poleline along Hurontario St. from</v>
          </cell>
          <cell r="C358">
            <v>3.4</v>
          </cell>
        </row>
        <row r="359">
          <cell r="B359" t="str">
            <v xml:space="preserve">          Britannia Rd. to Derry Rd.</v>
          </cell>
        </row>
        <row r="362">
          <cell r="B362" t="str">
            <v>SUB-TOTAL</v>
          </cell>
          <cell r="D362">
            <v>2675050</v>
          </cell>
        </row>
        <row r="364">
          <cell r="A364" t="str">
            <v>(*)  Included  in  1998  Capital  Budget.</v>
          </cell>
        </row>
        <row r="367">
          <cell r="B367" t="str">
            <v xml:space="preserve">POSSIBLE  SYSTEM   CAPITAL PROJECTS  -  1998 </v>
          </cell>
        </row>
        <row r="369">
          <cell r="A369" t="str">
            <v>DISTRIBUTION</v>
          </cell>
          <cell r="D369" t="str">
            <v>Date:</v>
          </cell>
          <cell r="F369">
            <v>35627.357684374998</v>
          </cell>
        </row>
        <row r="372">
          <cell r="A372" t="str">
            <v>ITEM</v>
          </cell>
          <cell r="B372" t="str">
            <v>DESCRIPTION</v>
          </cell>
          <cell r="C372" t="str">
            <v>TYPE</v>
          </cell>
          <cell r="D372" t="str">
            <v>ESTIMATE</v>
          </cell>
          <cell r="E372" t="str">
            <v>ZONE</v>
          </cell>
          <cell r="F372" t="str">
            <v>PRIORITY</v>
          </cell>
        </row>
        <row r="373">
          <cell r="C373" t="str">
            <v>(km)</v>
          </cell>
        </row>
        <row r="375">
          <cell r="B375" t="str">
            <v>13.8 kV SYSTEM</v>
          </cell>
        </row>
        <row r="378">
          <cell r="A378" t="str">
            <v>1*</v>
          </cell>
          <cell r="B378" t="str">
            <v>13.8 kV Burnhamthorpe- Tomken to Dixie</v>
          </cell>
          <cell r="C378" t="str">
            <v>ADD (F)</v>
          </cell>
          <cell r="D378">
            <v>95000</v>
          </cell>
          <cell r="F378">
            <v>1</v>
          </cell>
        </row>
        <row r="379">
          <cell r="B379" t="str">
            <v xml:space="preserve">         Add cct on rebuild poleline along Burnhamthorpe Rd. from Tomken Rd.</v>
          </cell>
          <cell r="C379">
            <v>1.74</v>
          </cell>
        </row>
        <row r="380">
          <cell r="B380" t="str">
            <v xml:space="preserve">          to Dixie Rd. </v>
          </cell>
        </row>
        <row r="383">
          <cell r="A383" t="str">
            <v>2*</v>
          </cell>
          <cell r="B383" t="str">
            <v>13.8 kV Dixie Rd. - Burnhamtorpe to Eglinton and Eastgate Dr.</v>
          </cell>
          <cell r="C383" t="str">
            <v>ADD (F)</v>
          </cell>
          <cell r="D383">
            <v>240000</v>
          </cell>
          <cell r="F383">
            <v>2</v>
          </cell>
        </row>
        <row r="384">
          <cell r="B384" t="str">
            <v xml:space="preserve">          On existing poleline along Dixie Rd. and Eastgate Dr.</v>
          </cell>
          <cell r="C384">
            <v>2.5</v>
          </cell>
        </row>
        <row r="385">
          <cell r="B385" t="str">
            <v xml:space="preserve">          North of Burnhamthorpe Rd.</v>
          </cell>
        </row>
        <row r="388">
          <cell r="A388" t="str">
            <v>3*</v>
          </cell>
          <cell r="B388" t="str">
            <v>13.8 kV Winston Churchill Blvd. - Closing the "gaps"</v>
          </cell>
          <cell r="C388" t="str">
            <v>ADD (F)</v>
          </cell>
          <cell r="D388">
            <v>235000</v>
          </cell>
          <cell r="F388">
            <v>3</v>
          </cell>
        </row>
        <row r="389">
          <cell r="B389" t="str">
            <v xml:space="preserve">          On existing poleline along Winston Churchill Blvd. Britannia Rd</v>
          </cell>
          <cell r="C389">
            <v>4.4000000000000004</v>
          </cell>
        </row>
        <row r="390">
          <cell r="B390" t="str">
            <v xml:space="preserve">          to Derry Rd. and north to the Tracks south of Hwy 401 and connect</v>
          </cell>
        </row>
        <row r="391">
          <cell r="B391" t="str">
            <v xml:space="preserve">          U/G taps to the Overhead circuits</v>
          </cell>
        </row>
        <row r="393">
          <cell r="A393" t="str">
            <v>4*</v>
          </cell>
          <cell r="B393" t="str">
            <v>13.8 kV Glen Erin - Dundas</v>
          </cell>
          <cell r="C393" t="str">
            <v>REBUILD (F)</v>
          </cell>
          <cell r="D393">
            <v>140000</v>
          </cell>
          <cell r="F393">
            <v>4</v>
          </cell>
        </row>
        <row r="394">
          <cell r="B394" t="str">
            <v xml:space="preserve">          On rebuild poleline along Glen Erin Dr. from Dundas</v>
          </cell>
          <cell r="C394">
            <v>1</v>
          </cell>
        </row>
        <row r="395">
          <cell r="B395" t="str">
            <v xml:space="preserve">          south to Sheridan Homelands</v>
          </cell>
        </row>
        <row r="398">
          <cell r="A398">
            <v>5</v>
          </cell>
          <cell r="B398" t="str">
            <v>13.8 kV Glen Erin - Hwy 403 to Eglinton</v>
          </cell>
          <cell r="C398" t="str">
            <v>ADD (F)</v>
          </cell>
          <cell r="D398">
            <v>120000</v>
          </cell>
          <cell r="E398" t="str">
            <v>R</v>
          </cell>
          <cell r="F398">
            <v>5</v>
          </cell>
        </row>
        <row r="399">
          <cell r="B399" t="str">
            <v xml:space="preserve">          On existing poleline along Glen Erin Dr. from </v>
          </cell>
          <cell r="C399">
            <v>1.5</v>
          </cell>
        </row>
        <row r="400">
          <cell r="B400" t="str">
            <v xml:space="preserve">          Hwy. 403 to Eglinton Av. (including 44 kV cct)</v>
          </cell>
        </row>
        <row r="403">
          <cell r="A403">
            <v>6</v>
          </cell>
          <cell r="B403" t="str">
            <v>13.8 kV Burnhamthorpe Rd. - Mississauga Rd to Winston Churchill Blvd.</v>
          </cell>
          <cell r="C403" t="str">
            <v>ADD</v>
          </cell>
          <cell r="D403">
            <v>258000</v>
          </cell>
          <cell r="F403">
            <v>6</v>
          </cell>
        </row>
        <row r="404">
          <cell r="B404" t="str">
            <v xml:space="preserve">          On existing poleline along Burnhamthorpe from Glen Erin Dr. to</v>
          </cell>
          <cell r="C404">
            <v>4</v>
          </cell>
        </row>
        <row r="405">
          <cell r="B405" t="str">
            <v xml:space="preserve">          Winston Churchill Blvd. and from Rogers MS to Mississauga Rd.</v>
          </cell>
        </row>
        <row r="406">
          <cell r="B406" t="str">
            <v xml:space="preserve">          and connect F6 CB to the feeder</v>
          </cell>
        </row>
        <row r="408">
          <cell r="A408">
            <v>7</v>
          </cell>
          <cell r="B408" t="str">
            <v>13.8 kV Matheson Blvd. - Tomken to Dixie</v>
          </cell>
          <cell r="C408" t="str">
            <v>ADD</v>
          </cell>
          <cell r="D408">
            <v>123000</v>
          </cell>
          <cell r="F408">
            <v>7</v>
          </cell>
        </row>
        <row r="409">
          <cell r="B409" t="str">
            <v xml:space="preserve">          On existing poleline along Matheson Blvd.</v>
          </cell>
          <cell r="C409">
            <v>1.3</v>
          </cell>
        </row>
        <row r="410">
          <cell r="B410" t="str">
            <v xml:space="preserve">          between Tomken Rd. and Dixie Rd. (including 44 kV cct)</v>
          </cell>
        </row>
        <row r="413">
          <cell r="A413">
            <v>8</v>
          </cell>
          <cell r="B413" t="str">
            <v>13. 8 kV Queen St/ Britannia</v>
          </cell>
          <cell r="C413" t="str">
            <v>REBUILD</v>
          </cell>
          <cell r="D413">
            <v>195500</v>
          </cell>
          <cell r="F413">
            <v>8</v>
          </cell>
        </row>
        <row r="414">
          <cell r="B414" t="str">
            <v xml:space="preserve">          On existing poleline along Britannia Rd east of Erin Mills Pkwy</v>
          </cell>
          <cell r="C414">
            <v>1.5</v>
          </cell>
        </row>
        <row r="415">
          <cell r="B415" t="str">
            <v xml:space="preserve">          and along Queens Street north of Britannia Rd. and south</v>
          </cell>
        </row>
        <row r="416">
          <cell r="B416" t="str">
            <v xml:space="preserve">          to Alpha Mills MS</v>
          </cell>
        </row>
        <row r="418">
          <cell r="A418" t="str">
            <v>9*</v>
          </cell>
          <cell r="B418" t="str">
            <v>13.8 kV Derry/Mississauga  - Argentia  to Old Derry &amp; along Derry</v>
          </cell>
          <cell r="C418" t="str">
            <v>REBUILD</v>
          </cell>
          <cell r="D418">
            <v>165000</v>
          </cell>
          <cell r="E418" t="str">
            <v>R</v>
          </cell>
          <cell r="F418">
            <v>9</v>
          </cell>
        </row>
        <row r="419">
          <cell r="B419" t="str">
            <v xml:space="preserve">          On existing poleline along Mississauga Rd. from Argentia Rd</v>
          </cell>
          <cell r="C419">
            <v>2</v>
          </cell>
        </row>
        <row r="420">
          <cell r="B420" t="str">
            <v xml:space="preserve">          to Derry Rd. and east along Derry Rd. to Old Derry Rd. and south</v>
          </cell>
        </row>
        <row r="421">
          <cell r="B421" t="str">
            <v xml:space="preserve">          to CIBC (Including 44kV)</v>
          </cell>
        </row>
        <row r="423">
          <cell r="B423" t="str">
            <v>SUB-TOTAL</v>
          </cell>
          <cell r="D423">
            <v>1571500</v>
          </cell>
        </row>
        <row r="425">
          <cell r="A425" t="str">
            <v>(*)  Included  in  1998  Capital  Budget.</v>
          </cell>
        </row>
        <row r="428">
          <cell r="B428" t="str">
            <v xml:space="preserve">POSSIBLE  SYSTEM   CAPITAL PROJECTS  -  1998 </v>
          </cell>
        </row>
        <row r="430">
          <cell r="A430" t="str">
            <v>DISTRIBUTION</v>
          </cell>
          <cell r="D430" t="str">
            <v>Date:</v>
          </cell>
          <cell r="F430">
            <v>35627.357684374998</v>
          </cell>
        </row>
        <row r="433">
          <cell r="A433" t="str">
            <v>ITEM</v>
          </cell>
          <cell r="B433" t="str">
            <v>DESCRIPTION</v>
          </cell>
          <cell r="C433" t="str">
            <v>TYPE</v>
          </cell>
          <cell r="D433" t="str">
            <v>ESTIMATE</v>
          </cell>
          <cell r="E433" t="str">
            <v>ZONE</v>
          </cell>
          <cell r="F433" t="str">
            <v>PRIORITY</v>
          </cell>
        </row>
        <row r="434">
          <cell r="C434" t="str">
            <v>(km)</v>
          </cell>
        </row>
        <row r="436">
          <cell r="B436" t="str">
            <v>13.8 kV SYSTEM (Cont'd)</v>
          </cell>
        </row>
        <row r="439">
          <cell r="A439" t="str">
            <v>10*</v>
          </cell>
          <cell r="B439" t="str">
            <v>13.8 kV American/Elmbank Drive Feeder Tie</v>
          </cell>
          <cell r="C439" t="str">
            <v>REBUILD (F)</v>
          </cell>
          <cell r="D439">
            <v>258000</v>
          </cell>
          <cell r="F439">
            <v>10</v>
          </cell>
        </row>
        <row r="440">
          <cell r="B440" t="str">
            <v xml:space="preserve">           From Orlando MS to Elmbank and American Dr.</v>
          </cell>
          <cell r="C440">
            <v>2</v>
          </cell>
        </row>
        <row r="441">
          <cell r="B441" t="str">
            <v xml:space="preserve">           From Goreway to Viscount</v>
          </cell>
        </row>
        <row r="444">
          <cell r="A444" t="str">
            <v>11*</v>
          </cell>
          <cell r="B444" t="str">
            <v>Streetsville Conversion (URGENT)</v>
          </cell>
          <cell r="D444">
            <v>100000</v>
          </cell>
          <cell r="F444">
            <v>11</v>
          </cell>
        </row>
        <row r="445">
          <cell r="B445" t="str">
            <v xml:space="preserve">           Convert 4.16 kV to 13.8 kV in area SE  of</v>
          </cell>
        </row>
        <row r="446">
          <cell r="B446" t="str">
            <v xml:space="preserve">           Britannia Rd. and Queen St. and reconductor</v>
          </cell>
        </row>
        <row r="447">
          <cell r="B447" t="str">
            <v xml:space="preserve">           to 556 kcmil circuit along Britannia Rd.</v>
          </cell>
        </row>
        <row r="449">
          <cell r="A449" t="str">
            <v>12*</v>
          </cell>
          <cell r="B449" t="str">
            <v>600 V.Secondary Busses - Sectionalizing</v>
          </cell>
          <cell r="D449">
            <v>100000</v>
          </cell>
        </row>
        <row r="450">
          <cell r="B450" t="str">
            <v xml:space="preserve">           Various locations</v>
          </cell>
        </row>
        <row r="454">
          <cell r="A454">
            <v>13</v>
          </cell>
        </row>
        <row r="459">
          <cell r="A459">
            <v>14</v>
          </cell>
        </row>
        <row r="464">
          <cell r="A464">
            <v>15</v>
          </cell>
        </row>
        <row r="469">
          <cell r="A469">
            <v>16</v>
          </cell>
        </row>
        <row r="474">
          <cell r="A474">
            <v>17</v>
          </cell>
        </row>
        <row r="479">
          <cell r="A479">
            <v>18</v>
          </cell>
        </row>
        <row r="484">
          <cell r="B484" t="str">
            <v>SUB-TOTAL</v>
          </cell>
          <cell r="D484">
            <v>458000</v>
          </cell>
        </row>
        <row r="486">
          <cell r="A486" t="str">
            <v>(*)  Included  in  1998  Capital  Budget.</v>
          </cell>
        </row>
        <row r="489">
          <cell r="A489" t="str">
            <v>DISTRIBUTION (Cont'd)</v>
          </cell>
        </row>
        <row r="492">
          <cell r="A492" t="str">
            <v>ITEM</v>
          </cell>
          <cell r="B492" t="str">
            <v>DESCRIPTION</v>
          </cell>
          <cell r="C492" t="str">
            <v>TYPE</v>
          </cell>
          <cell r="D492" t="str">
            <v>ESTIMATE</v>
          </cell>
          <cell r="E492" t="str">
            <v>ZONE</v>
          </cell>
          <cell r="F492" t="str">
            <v>PRIORITY</v>
          </cell>
        </row>
        <row r="493">
          <cell r="C493" t="str">
            <v>(km)</v>
          </cell>
        </row>
        <row r="495">
          <cell r="B495" t="str">
            <v>4.16  KV   SYSTEM</v>
          </cell>
        </row>
        <row r="498">
          <cell r="A498">
            <v>1</v>
          </cell>
          <cell r="B498" t="str">
            <v>4.16 kV Bromsgrove MS/Clarkson MS Tie</v>
          </cell>
          <cell r="C498" t="str">
            <v>REBUILD</v>
          </cell>
          <cell r="D498">
            <v>50000</v>
          </cell>
          <cell r="F498">
            <v>1</v>
          </cell>
        </row>
        <row r="499">
          <cell r="B499" t="str">
            <v xml:space="preserve">          on existing poles between  Clarkson M.S.</v>
          </cell>
          <cell r="C499">
            <v>0.7</v>
          </cell>
        </row>
        <row r="500">
          <cell r="B500" t="str">
            <v xml:space="preserve">           and Bromsgrove  M.S.</v>
          </cell>
        </row>
        <row r="502">
          <cell r="A502">
            <v>2</v>
          </cell>
          <cell r="B502" t="str">
            <v>4.16 kV Atwater Feeder Tie</v>
          </cell>
          <cell r="C502" t="str">
            <v>REBUILD</v>
          </cell>
          <cell r="D502">
            <v>295000</v>
          </cell>
        </row>
        <row r="503">
          <cell r="B503" t="str">
            <v xml:space="preserve">          along Atwater from Cawthra MS  to off load</v>
          </cell>
          <cell r="C503">
            <v>0.8</v>
          </cell>
          <cell r="F503">
            <v>2</v>
          </cell>
        </row>
        <row r="504">
          <cell r="B504" t="str">
            <v xml:space="preserve">          9F4</v>
          </cell>
        </row>
        <row r="507">
          <cell r="A507">
            <v>3</v>
          </cell>
          <cell r="B507" t="str">
            <v>4.16 kV Pinetree MS/Melton MS Tie</v>
          </cell>
          <cell r="C507" t="str">
            <v>REBUILD</v>
          </cell>
          <cell r="D507">
            <v>120000</v>
          </cell>
          <cell r="F507">
            <v>3</v>
          </cell>
        </row>
        <row r="508">
          <cell r="B508" t="str">
            <v xml:space="preserve">          on existing poles between  Pinetree M.S.</v>
          </cell>
          <cell r="C508">
            <v>0.5</v>
          </cell>
        </row>
        <row r="509">
          <cell r="B509" t="str">
            <v xml:space="preserve">           and Melton  M.S.</v>
          </cell>
        </row>
        <row r="512">
          <cell r="A512">
            <v>4</v>
          </cell>
          <cell r="B512" t="str">
            <v>4.16 kV Bromsgrove MS/Park West MS Tie</v>
          </cell>
          <cell r="C512" t="str">
            <v>ADD</v>
          </cell>
          <cell r="D512">
            <v>75000</v>
          </cell>
          <cell r="F512">
            <v>4</v>
          </cell>
        </row>
        <row r="513">
          <cell r="B513" t="str">
            <v xml:space="preserve">          on existing poles between  Bromsgrove M.S.</v>
          </cell>
          <cell r="C513">
            <v>0.8</v>
          </cell>
        </row>
        <row r="514">
          <cell r="B514" t="str">
            <v xml:space="preserve">           and Park West M.S.</v>
          </cell>
        </row>
        <row r="517">
          <cell r="A517">
            <v>5</v>
          </cell>
          <cell r="B517" t="str">
            <v>4.16 kV Bromsgrove MS/Robin MS Tie</v>
          </cell>
          <cell r="C517" t="str">
            <v>ADD</v>
          </cell>
          <cell r="D517">
            <v>140000</v>
          </cell>
          <cell r="F517">
            <v>5</v>
          </cell>
        </row>
        <row r="518">
          <cell r="B518" t="str">
            <v xml:space="preserve">          on existing poles between  Bromsgrove M.S.</v>
          </cell>
          <cell r="C518">
            <v>1.4</v>
          </cell>
        </row>
        <row r="519">
          <cell r="B519" t="str">
            <v xml:space="preserve">           and Robin M.S.</v>
          </cell>
        </row>
        <row r="522">
          <cell r="A522">
            <v>6</v>
          </cell>
          <cell r="B522" t="str">
            <v>4.16 kV Park Royal MS/Park West MS Tie</v>
          </cell>
          <cell r="C522" t="str">
            <v>REBUILD</v>
          </cell>
          <cell r="D522">
            <v>130000</v>
          </cell>
          <cell r="F522">
            <v>6</v>
          </cell>
        </row>
        <row r="523">
          <cell r="B523" t="str">
            <v xml:space="preserve">          on existing poles between  Park Royal M.S.</v>
          </cell>
          <cell r="C523">
            <v>1</v>
          </cell>
        </row>
        <row r="524">
          <cell r="B524" t="str">
            <v xml:space="preserve">           and Park West M.S.</v>
          </cell>
        </row>
        <row r="527">
          <cell r="A527">
            <v>7</v>
          </cell>
          <cell r="B527" t="str">
            <v>4.16 kV Lakeshore Road Feeder Tie</v>
          </cell>
          <cell r="C527" t="str">
            <v>REBUILD</v>
          </cell>
          <cell r="D527">
            <v>50000</v>
          </cell>
          <cell r="F527">
            <v>7</v>
          </cell>
        </row>
        <row r="528">
          <cell r="B528" t="str">
            <v xml:space="preserve">          Lakeshore/Dennison/Lornepark</v>
          </cell>
          <cell r="C528">
            <v>0.6</v>
          </cell>
        </row>
        <row r="529">
          <cell r="B529" t="str">
            <v xml:space="preserve">           Parkland M.S. #26 and reconductor</v>
          </cell>
        </row>
        <row r="532">
          <cell r="A532">
            <v>8</v>
          </cell>
          <cell r="B532" t="str">
            <v xml:space="preserve">4.16 kV Stanfield Road Feeder Tie </v>
          </cell>
          <cell r="C532" t="str">
            <v>REBUILD</v>
          </cell>
          <cell r="D532">
            <v>265000</v>
          </cell>
          <cell r="F532">
            <v>8</v>
          </cell>
        </row>
        <row r="533">
          <cell r="B533" t="str">
            <v xml:space="preserve">          Along Ontario Hydro ROW From Cawthra</v>
          </cell>
          <cell r="C533">
            <v>1.2</v>
          </cell>
        </row>
        <row r="534">
          <cell r="B534" t="str">
            <v xml:space="preserve">          to Stanfield</v>
          </cell>
        </row>
        <row r="535">
          <cell r="B535" t="str">
            <v xml:space="preserve">       (See also 27.6 kV South)</v>
          </cell>
        </row>
        <row r="537">
          <cell r="A537">
            <v>9</v>
          </cell>
          <cell r="B537" t="str">
            <v xml:space="preserve">4.16 kV Clarkson/Lorne Park Feeder Tie </v>
          </cell>
          <cell r="C537" t="str">
            <v>ADD</v>
          </cell>
          <cell r="D537">
            <v>110000</v>
          </cell>
          <cell r="F537">
            <v>9</v>
          </cell>
        </row>
        <row r="538">
          <cell r="B538" t="str">
            <v xml:space="preserve">           Along Ontario hydro ROW</v>
          </cell>
          <cell r="C538">
            <v>2</v>
          </cell>
        </row>
        <row r="543">
          <cell r="B543" t="str">
            <v>SUB-TOTAL</v>
          </cell>
          <cell r="D543">
            <v>1235000</v>
          </cell>
        </row>
        <row r="545">
          <cell r="A545" t="str">
            <v>(*)  Included  in  1998  Capital  Budget.</v>
          </cell>
        </row>
        <row r="548">
          <cell r="A548" t="str">
            <v>MUNICIPAL STATIONS</v>
          </cell>
        </row>
        <row r="551">
          <cell r="A551" t="str">
            <v>ITEM</v>
          </cell>
          <cell r="B551" t="str">
            <v>DESCRIPTION</v>
          </cell>
          <cell r="C551" t="str">
            <v>TYPE</v>
          </cell>
          <cell r="D551" t="str">
            <v>ESTIMATE</v>
          </cell>
          <cell r="E551" t="str">
            <v>ZONE</v>
          </cell>
          <cell r="F551" t="str">
            <v>PRIORITY</v>
          </cell>
        </row>
        <row r="554">
          <cell r="A554" t="str">
            <v>1*</v>
          </cell>
          <cell r="B554" t="str">
            <v>Replacement M.S. feeder egress cables.</v>
          </cell>
          <cell r="D554">
            <v>200000</v>
          </cell>
        </row>
        <row r="559">
          <cell r="A559" t="str">
            <v>2*</v>
          </cell>
          <cell r="B559" t="str">
            <v>Stillmeadow M.S.</v>
          </cell>
          <cell r="D559">
            <v>800000</v>
          </cell>
        </row>
        <row r="560">
          <cell r="B560" t="str">
            <v xml:space="preserve">            Change 10 MVA Tx to 20 MVA Tx with</v>
          </cell>
        </row>
        <row r="561">
          <cell r="B561" t="str">
            <v xml:space="preserve">            6 feeders</v>
          </cell>
        </row>
        <row r="564">
          <cell r="A564" t="str">
            <v>3*</v>
          </cell>
          <cell r="B564" t="str">
            <v xml:space="preserve">Sheridan Park System Rebuild  </v>
          </cell>
          <cell r="D564">
            <v>800000</v>
          </cell>
        </row>
        <row r="565">
          <cell r="B565" t="str">
            <v xml:space="preserve">           Phase II - Sheridan Park  M.S. at 44 kV</v>
          </cell>
        </row>
        <row r="568">
          <cell r="A568" t="str">
            <v>4*</v>
          </cell>
          <cell r="B568" t="str">
            <v>Orlando M.S.</v>
          </cell>
          <cell r="D568">
            <v>500000</v>
          </cell>
        </row>
        <row r="569">
          <cell r="B569" t="str">
            <v xml:space="preserve">            2 x 20 MVA Tx Incl. Building, 44 kV and</v>
          </cell>
        </row>
        <row r="570">
          <cell r="B570" t="str">
            <v xml:space="preserve">            13.8  kV circuits - 6 feeders plus SCADA </v>
          </cell>
        </row>
        <row r="573">
          <cell r="A573">
            <v>5</v>
          </cell>
          <cell r="B573" t="str">
            <v>Chalkdene M.S.</v>
          </cell>
        </row>
        <row r="574">
          <cell r="B574" t="str">
            <v xml:space="preserve">            Add 2 Feeder CBs with additional feeders</v>
          </cell>
        </row>
        <row r="575">
          <cell r="B575" t="str">
            <v xml:space="preserve">           north and south</v>
          </cell>
        </row>
        <row r="578">
          <cell r="A578">
            <v>6</v>
          </cell>
          <cell r="B578" t="str">
            <v>Rockwood M.S.</v>
          </cell>
        </row>
        <row r="579">
          <cell r="B579" t="str">
            <v xml:space="preserve">            2 x 20 MVA Tx Incl. Building, 44 kV and</v>
          </cell>
        </row>
        <row r="580">
          <cell r="B580" t="str">
            <v xml:space="preserve">            13.8  kV circuits - 6 feeders plus SCADA </v>
          </cell>
        </row>
        <row r="583">
          <cell r="A583">
            <v>7</v>
          </cell>
          <cell r="B583" t="str">
            <v>Melton M.S.</v>
          </cell>
        </row>
        <row r="584">
          <cell r="B584" t="str">
            <v xml:space="preserve">           Add 5 MVA Tx capacity and additional</v>
          </cell>
        </row>
        <row r="585">
          <cell r="B585" t="str">
            <v xml:space="preserve">           4.16 kV feeder</v>
          </cell>
        </row>
        <row r="587">
          <cell r="A587">
            <v>8</v>
          </cell>
          <cell r="B587" t="str">
            <v>M.S. Rebuilds</v>
          </cell>
        </row>
        <row r="588">
          <cell r="B588" t="str">
            <v xml:space="preserve">           Mineola M.S.</v>
          </cell>
        </row>
        <row r="589">
          <cell r="B589" t="str">
            <v xml:space="preserve">           Clarkson M.S.</v>
          </cell>
        </row>
        <row r="590">
          <cell r="B590" t="str">
            <v xml:space="preserve">           Bromsgrove M.S.</v>
          </cell>
        </row>
        <row r="602">
          <cell r="B602" t="str">
            <v>SUB-TOTAL</v>
          </cell>
          <cell r="D602">
            <v>2300000</v>
          </cell>
        </row>
        <row r="604">
          <cell r="A604" t="str">
            <v>(*)  Included  in  1998  Capital  Budget.</v>
          </cell>
        </row>
        <row r="607">
          <cell r="A607" t="str">
            <v>SUBDIVISION REBUILDS</v>
          </cell>
        </row>
        <row r="610">
          <cell r="A610" t="str">
            <v>ITEM</v>
          </cell>
          <cell r="B610" t="str">
            <v>DESCRIPTION</v>
          </cell>
          <cell r="C610" t="str">
            <v>TYPE</v>
          </cell>
          <cell r="D610" t="str">
            <v>ESTIMATE</v>
          </cell>
          <cell r="E610" t="str">
            <v>ZONE</v>
          </cell>
          <cell r="F610" t="str">
            <v>PRIORITY</v>
          </cell>
        </row>
        <row r="611">
          <cell r="C611" t="str">
            <v>(km)</v>
          </cell>
        </row>
        <row r="613">
          <cell r="B613" t="str">
            <v>Subdivision Rebuilds*</v>
          </cell>
        </row>
        <row r="616">
          <cell r="A616" t="str">
            <v>1*</v>
          </cell>
          <cell r="B616" t="str">
            <v>Malton - Phase VI</v>
          </cell>
          <cell r="D616">
            <v>1000000</v>
          </cell>
          <cell r="E616">
            <v>7</v>
          </cell>
          <cell r="F616">
            <v>1</v>
          </cell>
        </row>
        <row r="617">
          <cell r="B617" t="str">
            <v xml:space="preserve">          NE of Derry/Airport Rd.</v>
          </cell>
        </row>
        <row r="618">
          <cell r="B618" t="str">
            <v xml:space="preserve">          plus east of Goreway at Darcel/Monica</v>
          </cell>
        </row>
        <row r="620">
          <cell r="A620" t="str">
            <v>2*</v>
          </cell>
          <cell r="B620" t="str">
            <v xml:space="preserve"> Forest Glen Area east and west of Dixie Rd.</v>
          </cell>
          <cell r="D620">
            <v>1000000</v>
          </cell>
          <cell r="E620">
            <v>5</v>
          </cell>
          <cell r="F620">
            <v>1</v>
          </cell>
        </row>
        <row r="622">
          <cell r="A622" t="str">
            <v>3*</v>
          </cell>
          <cell r="B622" t="str">
            <v>Meadowvale T.C. Mainfeeders - Phase II</v>
          </cell>
          <cell r="D622">
            <v>1000000</v>
          </cell>
          <cell r="E622">
            <v>1</v>
          </cell>
          <cell r="F622">
            <v>1</v>
          </cell>
        </row>
        <row r="624">
          <cell r="A624" t="str">
            <v>4*</v>
          </cell>
          <cell r="B624" t="str">
            <v>Woodlands Area</v>
          </cell>
          <cell r="D624">
            <v>1000000</v>
          </cell>
          <cell r="E624">
            <v>2</v>
          </cell>
          <cell r="F624">
            <v>1</v>
          </cell>
        </row>
        <row r="655">
          <cell r="B655" t="str">
            <v>TOTAL REBUILDS</v>
          </cell>
          <cell r="D655">
            <v>4000000</v>
          </cell>
        </row>
        <row r="657">
          <cell r="A657" t="str">
            <v>(*)  Included  in  1998  Capital  Budget.</v>
          </cell>
        </row>
        <row r="662">
          <cell r="A662" t="str">
            <v>SYSTEM MAINTENANCE PROJECTS</v>
          </cell>
        </row>
        <row r="665">
          <cell r="A665" t="str">
            <v>ITEM</v>
          </cell>
          <cell r="B665" t="str">
            <v>DESCRIPTION</v>
          </cell>
          <cell r="C665" t="str">
            <v>TYPE</v>
          </cell>
          <cell r="D665" t="str">
            <v>ESTIMATE</v>
          </cell>
          <cell r="F665" t="str">
            <v>PRIORITY</v>
          </cell>
        </row>
        <row r="666">
          <cell r="C666" t="str">
            <v>(km)</v>
          </cell>
        </row>
        <row r="668">
          <cell r="A668" t="str">
            <v>1*</v>
          </cell>
          <cell r="B668" t="str">
            <v>Wood Pole Replacement</v>
          </cell>
          <cell r="D668">
            <v>250000</v>
          </cell>
        </row>
        <row r="672">
          <cell r="A672" t="str">
            <v>2*</v>
          </cell>
          <cell r="B672" t="str">
            <v>Overhead Switch Replacement</v>
          </cell>
          <cell r="D672">
            <v>300000</v>
          </cell>
        </row>
        <row r="676">
          <cell r="A676" t="str">
            <v>3*</v>
          </cell>
          <cell r="B676" t="str">
            <v>Feeder Overhauls</v>
          </cell>
          <cell r="D676">
            <v>600000</v>
          </cell>
        </row>
        <row r="680">
          <cell r="A680" t="str">
            <v>4*</v>
          </cell>
          <cell r="B680" t="str">
            <v>Overhead Rebuilds</v>
          </cell>
          <cell r="D680">
            <v>600000</v>
          </cell>
        </row>
        <row r="684">
          <cell r="A684" t="str">
            <v>5*</v>
          </cell>
          <cell r="B684" t="str">
            <v>Load Centre Replacement</v>
          </cell>
          <cell r="D684">
            <v>100000</v>
          </cell>
        </row>
        <row r="688">
          <cell r="A688" t="str">
            <v>6*</v>
          </cell>
          <cell r="B688" t="str">
            <v>Underground Cable Replacement</v>
          </cell>
          <cell r="D688">
            <v>1200000</v>
          </cell>
        </row>
        <row r="692">
          <cell r="A692" t="str">
            <v>7*</v>
          </cell>
          <cell r="B692" t="str">
            <v>Meter Base Replacement</v>
          </cell>
          <cell r="D692">
            <v>40000</v>
          </cell>
        </row>
        <row r="696">
          <cell r="A696" t="str">
            <v>8*</v>
          </cell>
          <cell r="B696" t="str">
            <v>Secondary Cable Replacement</v>
          </cell>
          <cell r="D696">
            <v>60000</v>
          </cell>
        </row>
        <row r="700">
          <cell r="A700" t="str">
            <v>9*</v>
          </cell>
          <cell r="B700" t="str">
            <v>Underground Transformer Replacements</v>
          </cell>
          <cell r="D700">
            <v>150000</v>
          </cell>
        </row>
        <row r="704">
          <cell r="A704" t="str">
            <v>10*</v>
          </cell>
          <cell r="B704" t="str">
            <v>Overhead Transformer Replacement</v>
          </cell>
          <cell r="D704">
            <v>150000</v>
          </cell>
        </row>
        <row r="708">
          <cell r="A708" t="str">
            <v>11*</v>
          </cell>
          <cell r="B708" t="str">
            <v>PowerT/former O/H &amp; Station Upgrade</v>
          </cell>
          <cell r="D708">
            <v>100000</v>
          </cell>
        </row>
        <row r="712">
          <cell r="A712" t="str">
            <v>12*</v>
          </cell>
          <cell r="B712" t="str">
            <v>Auto-Switches/SCADA</v>
          </cell>
          <cell r="D712">
            <v>1200000</v>
          </cell>
        </row>
        <row r="714">
          <cell r="B714" t="str">
            <v>TOTAL MAINTENANCE</v>
          </cell>
          <cell r="D714">
            <v>4750000</v>
          </cell>
        </row>
        <row r="716">
          <cell r="A716" t="str">
            <v>(*)  Included  in  1998  Capital  Budget.</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ison"/>
      <sheetName val="OPTIMUM"/>
      <sheetName val="CALC1"/>
      <sheetName val="Global"/>
      <sheetName val="NEW"/>
      <sheetName val="NEW LOADS"/>
      <sheetName val="GWh"/>
      <sheetName val="Projects"/>
      <sheetName val="600 v"/>
      <sheetName val="Forecast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3">
          <cell r="S3" t="str">
            <v>LOAD FORECAST INPUT</v>
          </cell>
          <cell r="X3" t="str">
            <v>LOAD FORECAST ENERGY INPUT</v>
          </cell>
        </row>
        <row r="6">
          <cell r="S6" t="str">
            <v>Utility: HYDRO MISSISSAUGA</v>
          </cell>
          <cell r="X6" t="str">
            <v>Utility: HYDRO MISSISSAUGA</v>
          </cell>
        </row>
        <row r="8">
          <cell r="S8">
            <v>1996</v>
          </cell>
          <cell r="T8" t="str">
            <v>On-peak (kW)</v>
          </cell>
          <cell r="U8">
            <v>1997</v>
          </cell>
          <cell r="V8" t="str">
            <v>On-peak (kW)</v>
          </cell>
          <cell r="X8">
            <v>1996</v>
          </cell>
          <cell r="Y8" t="str">
            <v>On-peak</v>
          </cell>
          <cell r="Z8" t="str">
            <v>Off-peak</v>
          </cell>
          <cell r="AA8">
            <v>1997</v>
          </cell>
          <cell r="AB8" t="str">
            <v>On-peak</v>
          </cell>
          <cell r="AC8" t="str">
            <v>Off-peak</v>
          </cell>
        </row>
        <row r="9">
          <cell r="Y9" t="str">
            <v>Energy MWh</v>
          </cell>
          <cell r="Z9" t="str">
            <v>Energy MWh</v>
          </cell>
          <cell r="AB9" t="str">
            <v>Energy MWh</v>
          </cell>
          <cell r="AC9" t="str">
            <v>Energy MWh</v>
          </cell>
        </row>
        <row r="10">
          <cell r="S10" t="str">
            <v>Jan</v>
          </cell>
          <cell r="T10">
            <v>962148</v>
          </cell>
          <cell r="U10" t="str">
            <v>Jan</v>
          </cell>
          <cell r="V10">
            <v>1005075.5193319455</v>
          </cell>
          <cell r="X10" t="str">
            <v>Jan</v>
          </cell>
          <cell r="Y10">
            <v>315045</v>
          </cell>
          <cell r="Z10">
            <v>249176</v>
          </cell>
          <cell r="AA10" t="str">
            <v>Jan</v>
          </cell>
          <cell r="AB10">
            <v>297597.18261393643</v>
          </cell>
          <cell r="AC10">
            <v>274077.71187584201</v>
          </cell>
        </row>
        <row r="11">
          <cell r="S11" t="str">
            <v>Feb</v>
          </cell>
          <cell r="T11">
            <v>968496</v>
          </cell>
          <cell r="U11" t="str">
            <v>Feb</v>
          </cell>
          <cell r="V11">
            <v>1002302.9698027835</v>
          </cell>
          <cell r="X11" t="str">
            <v>Feb</v>
          </cell>
          <cell r="Y11">
            <v>289439</v>
          </cell>
          <cell r="Z11">
            <v>242183</v>
          </cell>
          <cell r="AA11" t="str">
            <v>Feb</v>
          </cell>
          <cell r="AB11">
            <v>284514.74493274605</v>
          </cell>
          <cell r="AC11">
            <v>244556.89149547205</v>
          </cell>
        </row>
        <row r="12">
          <cell r="S12" t="str">
            <v>Mar</v>
          </cell>
          <cell r="T12">
            <v>925943</v>
          </cell>
          <cell r="U12" t="str">
            <v>Mar</v>
          </cell>
          <cell r="V12">
            <v>918466.50345913635</v>
          </cell>
          <cell r="X12" t="str">
            <v>Mar</v>
          </cell>
          <cell r="Y12">
            <v>277076</v>
          </cell>
          <cell r="Z12">
            <v>262472</v>
          </cell>
          <cell r="AA12" t="str">
            <v>Mar</v>
          </cell>
          <cell r="AB12">
            <v>305170.55802757182</v>
          </cell>
          <cell r="AC12">
            <v>237059.00082057776</v>
          </cell>
        </row>
        <row r="13">
          <cell r="S13" t="str">
            <v>Apr</v>
          </cell>
          <cell r="T13">
            <v>871792</v>
          </cell>
          <cell r="U13" t="str">
            <v>Apr</v>
          </cell>
          <cell r="V13">
            <v>908737.31769678078</v>
          </cell>
          <cell r="X13" t="str">
            <v>Apr</v>
          </cell>
          <cell r="Y13">
            <v>265020</v>
          </cell>
          <cell r="Z13">
            <v>226058</v>
          </cell>
          <cell r="AA13" t="str">
            <v>Apr</v>
          </cell>
          <cell r="AB13">
            <v>246650.75028259715</v>
          </cell>
          <cell r="AC13">
            <v>250283.16452671046</v>
          </cell>
        </row>
        <row r="14">
          <cell r="S14" t="str">
            <v>May</v>
          </cell>
          <cell r="T14">
            <v>862852.27363163664</v>
          </cell>
          <cell r="U14" t="str">
            <v>May</v>
          </cell>
          <cell r="V14">
            <v>885286.43274605926</v>
          </cell>
          <cell r="X14" t="str">
            <v>May</v>
          </cell>
          <cell r="Y14">
            <v>255822.78540157832</v>
          </cell>
          <cell r="Z14">
            <v>200612.26171317938</v>
          </cell>
          <cell r="AA14" t="str">
            <v>May</v>
          </cell>
          <cell r="AB14">
            <v>262474.17782201938</v>
          </cell>
          <cell r="AC14">
            <v>205828.18051772207</v>
          </cell>
        </row>
        <row r="15">
          <cell r="S15" t="str">
            <v>Jun</v>
          </cell>
          <cell r="T15">
            <v>1088780.94</v>
          </cell>
          <cell r="U15" t="str">
            <v>Jun</v>
          </cell>
          <cell r="V15">
            <v>1117089.24444</v>
          </cell>
          <cell r="X15" t="str">
            <v>Jun</v>
          </cell>
          <cell r="Y15">
            <v>282849.19362290145</v>
          </cell>
          <cell r="Z15">
            <v>213373.60759149861</v>
          </cell>
          <cell r="AA15" t="str">
            <v>Jun</v>
          </cell>
          <cell r="AB15">
            <v>290203.27265709685</v>
          </cell>
          <cell r="AC15">
            <v>218921.32138887755</v>
          </cell>
        </row>
        <row r="16">
          <cell r="S16" t="str">
            <v>Jul</v>
          </cell>
          <cell r="T16">
            <v>1200420</v>
          </cell>
          <cell r="U16" t="str">
            <v>Jul</v>
          </cell>
          <cell r="V16">
            <v>1231630.92</v>
          </cell>
          <cell r="X16" t="str">
            <v>Jul</v>
          </cell>
          <cell r="Y16">
            <v>304841.29588121059</v>
          </cell>
          <cell r="Z16">
            <v>287292.27835878951</v>
          </cell>
          <cell r="AA16" t="str">
            <v>Jul</v>
          </cell>
          <cell r="AB16">
            <v>312767.169574122</v>
          </cell>
          <cell r="AC16">
            <v>294761.87759611796</v>
          </cell>
        </row>
        <row r="17">
          <cell r="S17" t="str">
            <v>Aug</v>
          </cell>
          <cell r="T17">
            <v>1164407.3999999999</v>
          </cell>
          <cell r="U17" t="str">
            <v>Aug</v>
          </cell>
          <cell r="V17">
            <v>1194681.9924000001</v>
          </cell>
          <cell r="X17" t="str">
            <v>Aug</v>
          </cell>
          <cell r="Y17">
            <v>330594.69120970037</v>
          </cell>
          <cell r="Z17">
            <v>268898.12986549974</v>
          </cell>
          <cell r="AA17" t="str">
            <v>Aug</v>
          </cell>
          <cell r="AB17">
            <v>339190.15318115253</v>
          </cell>
          <cell r="AC17">
            <v>275889.48124200269</v>
          </cell>
        </row>
        <row r="18">
          <cell r="S18" t="str">
            <v>Sep</v>
          </cell>
          <cell r="T18">
            <v>983434.52644425526</v>
          </cell>
          <cell r="U18" t="str">
            <v>Sep</v>
          </cell>
          <cell r="V18">
            <v>1009003.8241318059</v>
          </cell>
          <cell r="X18" t="str">
            <v>Sep</v>
          </cell>
          <cell r="Y18">
            <v>257682.04708880882</v>
          </cell>
          <cell r="Z18">
            <v>233720.5170848566</v>
          </cell>
          <cell r="AA18" t="str">
            <v>Sep</v>
          </cell>
          <cell r="AB18">
            <v>264381.7803131179</v>
          </cell>
          <cell r="AC18">
            <v>239797.25052906293</v>
          </cell>
        </row>
        <row r="19">
          <cell r="S19" t="str">
            <v>Oct</v>
          </cell>
          <cell r="T19">
            <v>864239.3260483864</v>
          </cell>
          <cell r="U19" t="str">
            <v>Oct</v>
          </cell>
          <cell r="V19">
            <v>886709.54852564435</v>
          </cell>
          <cell r="X19" t="str">
            <v>Oct</v>
          </cell>
          <cell r="Y19">
            <v>265982.94199429528</v>
          </cell>
          <cell r="Z19">
            <v>233301.94449307432</v>
          </cell>
          <cell r="AA19" t="str">
            <v>Oct</v>
          </cell>
          <cell r="AB19">
            <v>272898.49848614691</v>
          </cell>
          <cell r="AC19">
            <v>239367.79504989419</v>
          </cell>
        </row>
        <row r="20">
          <cell r="S20" t="str">
            <v>Nov</v>
          </cell>
          <cell r="T20">
            <v>942809.89508445538</v>
          </cell>
          <cell r="U20" t="str">
            <v>Nov</v>
          </cell>
          <cell r="V20">
            <v>967322.95235665131</v>
          </cell>
          <cell r="X20" t="str">
            <v>Nov</v>
          </cell>
          <cell r="Y20">
            <v>293818.34098169976</v>
          </cell>
          <cell r="Z20">
            <v>231590.75735096564</v>
          </cell>
          <cell r="AA20" t="str">
            <v>Nov</v>
          </cell>
          <cell r="AB20">
            <v>301457.61784722382</v>
          </cell>
          <cell r="AC20">
            <v>237612.11704209066</v>
          </cell>
        </row>
        <row r="21">
          <cell r="S21" t="str">
            <v>Dec</v>
          </cell>
          <cell r="T21">
            <v>1030547.1160019281</v>
          </cell>
          <cell r="U21" t="str">
            <v>Dec</v>
          </cell>
          <cell r="V21">
            <v>1057341.3410179783</v>
          </cell>
          <cell r="X21" t="str">
            <v>Dec</v>
          </cell>
          <cell r="Y21">
            <v>267579.35083704971</v>
          </cell>
          <cell r="Z21">
            <v>296348.39760459744</v>
          </cell>
          <cell r="AA21" t="str">
            <v>Dec</v>
          </cell>
          <cell r="AB21">
            <v>274536.41395881295</v>
          </cell>
          <cell r="AC21">
            <v>304053.45594231691</v>
          </cell>
        </row>
        <row r="22">
          <cell r="U22" t="str">
            <v>Dec - 1998</v>
          </cell>
          <cell r="V22">
            <v>1084832.2158844455</v>
          </cell>
          <cell r="AA22" t="str">
            <v>Dec - 1998</v>
          </cell>
          <cell r="AB22">
            <v>281674.36072174204</v>
          </cell>
          <cell r="AC22">
            <v>311958.84579681716</v>
          </cell>
        </row>
        <row r="23">
          <cell r="U23" t="str">
            <v>Dec - 1999</v>
          </cell>
          <cell r="V23">
            <v>1113037.8534974414</v>
          </cell>
          <cell r="AA23" t="str">
            <v>Dec - 1999</v>
          </cell>
          <cell r="AB23">
            <v>288997.89410050737</v>
          </cell>
          <cell r="AC23">
            <v>320069.77578753443</v>
          </cell>
        </row>
        <row r="24">
          <cell r="U24" t="str">
            <v>Dec - 2000</v>
          </cell>
          <cell r="V24">
            <v>1141976.8376883746</v>
          </cell>
          <cell r="AA24" t="str">
            <v>Dec - 2000</v>
          </cell>
          <cell r="AB24">
            <v>296511.83934712055</v>
          </cell>
          <cell r="AC24">
            <v>328391.5899580103</v>
          </cell>
        </row>
        <row r="25">
          <cell r="U25" t="str">
            <v>Dec - 2001</v>
          </cell>
          <cell r="V25">
            <v>1164816.3744421422</v>
          </cell>
          <cell r="AA25" t="str">
            <v>Dec - 2001</v>
          </cell>
          <cell r="AB25">
            <v>302442.07613406295</v>
          </cell>
          <cell r="AC25">
            <v>334959.42175717052</v>
          </cell>
        </row>
        <row r="28">
          <cell r="X28" t="str">
            <v xml:space="preserve">Submitted by:   Vaffi Poonja </v>
          </cell>
        </row>
        <row r="29">
          <cell r="S29" t="str">
            <v xml:space="preserve">Submitted by:   Vaffi Poonja </v>
          </cell>
        </row>
        <row r="30">
          <cell r="X30" t="str">
            <v>Date:                June 26, 1996 - Revised</v>
          </cell>
        </row>
        <row r="31">
          <cell r="S31" t="str">
            <v>Date:                June 4, 1996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10.bin"/><Relationship Id="rId6" Type="http://schemas.openxmlformats.org/officeDocument/2006/relationships/comments" Target="../comments2.xml"/><Relationship Id="rId5" Type="http://schemas.openxmlformats.org/officeDocument/2006/relationships/image" Target="../media/image3.emf"/><Relationship Id="rId4" Type="http://schemas.openxmlformats.org/officeDocument/2006/relationships/oleObject" Target="../embeddings/Microsoft_Excel_97-2003_Worksheet1.xls"/></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A58"/>
  <sheetViews>
    <sheetView showGridLines="0" tabSelected="1" topLeftCell="B1" zoomScale="70" zoomScaleNormal="70" workbookViewId="0">
      <selection activeCell="BA33" sqref="BA33"/>
    </sheetView>
  </sheetViews>
  <sheetFormatPr defaultColWidth="0" defaultRowHeight="12.75" x14ac:dyDescent="0.2"/>
  <cols>
    <col min="1" max="1" width="9.140625" style="815" hidden="1" customWidth="1"/>
    <col min="2" max="2" width="2.85546875" style="815" bestFit="1" customWidth="1"/>
    <col min="3" max="3" width="87.140625" style="815" customWidth="1"/>
    <col min="4" max="4" width="16.5703125" style="815" customWidth="1"/>
    <col min="5" max="5" width="16.140625" style="815" customWidth="1"/>
    <col min="6" max="6" width="23.140625" style="815" customWidth="1"/>
    <col min="7" max="8" width="18.42578125" style="815" customWidth="1"/>
    <col min="9" max="9" width="14.7109375" style="815" customWidth="1"/>
    <col min="10" max="10" width="14.140625" style="815" customWidth="1"/>
    <col min="11" max="13" width="14.85546875" style="815" customWidth="1"/>
    <col min="14" max="14" width="15.42578125" style="815" customWidth="1"/>
    <col min="15" max="15" width="16.140625" style="815" customWidth="1"/>
    <col min="16" max="16" width="23.140625" style="815" customWidth="1"/>
    <col min="17" max="18" width="18.42578125" style="815" customWidth="1"/>
    <col min="19" max="19" width="14.7109375" style="815" customWidth="1"/>
    <col min="20" max="20" width="14.140625" style="815" customWidth="1"/>
    <col min="21" max="23" width="14.85546875" style="815" customWidth="1"/>
    <col min="24" max="24" width="15.42578125" style="815" customWidth="1"/>
    <col min="25" max="25" width="16.140625" style="815" customWidth="1"/>
    <col min="26" max="26" width="23.140625" style="815" customWidth="1"/>
    <col min="27" max="28" width="18.42578125" style="815" customWidth="1"/>
    <col min="29" max="29" width="14.7109375" style="815" customWidth="1"/>
    <col min="30" max="30" width="14.140625" style="815" customWidth="1"/>
    <col min="31" max="33" width="14.85546875" style="815" customWidth="1"/>
    <col min="34" max="34" width="15.42578125" style="815" customWidth="1"/>
    <col min="35" max="35" width="16.140625" style="815" customWidth="1"/>
    <col min="36" max="36" width="23.140625" style="815" customWidth="1"/>
    <col min="37" max="38" width="18.42578125" style="815" customWidth="1"/>
    <col min="39" max="39" width="14.7109375" style="815" customWidth="1"/>
    <col min="40" max="40" width="14.140625" style="815" customWidth="1"/>
    <col min="41" max="43" width="14.85546875" style="815" customWidth="1"/>
    <col min="44" max="44" width="15.42578125" style="815" customWidth="1"/>
    <col min="45" max="46" width="14.85546875" style="815" customWidth="1"/>
    <col min="47" max="47" width="16.85546875" style="815" customWidth="1"/>
    <col min="48" max="48" width="17.28515625" style="815" customWidth="1"/>
    <col min="49" max="50" width="30" style="815" customWidth="1"/>
    <col min="51" max="51" width="37.28515625" style="815" customWidth="1"/>
    <col min="52" max="52" width="22.42578125" style="815" bestFit="1" customWidth="1"/>
    <col min="53" max="53" width="19.85546875" style="815" customWidth="1"/>
    <col min="54" max="16384" width="9.140625" style="815" hidden="1"/>
  </cols>
  <sheetData>
    <row r="1" spans="3:79" ht="12.75" customHeight="1" x14ac:dyDescent="0.2">
      <c r="H1" s="816"/>
      <c r="I1" s="816"/>
      <c r="J1" s="816"/>
      <c r="K1" s="816"/>
      <c r="L1" s="816"/>
      <c r="CA1" s="817" t="b">
        <v>1</v>
      </c>
    </row>
    <row r="2" spans="3:79" ht="12.75" customHeight="1" x14ac:dyDescent="0.2">
      <c r="G2" s="816"/>
      <c r="H2" s="816"/>
      <c r="I2" s="816"/>
      <c r="J2" s="816"/>
      <c r="K2" s="816"/>
      <c r="L2" s="816"/>
      <c r="CA2" s="817" t="b">
        <v>1</v>
      </c>
    </row>
    <row r="3" spans="3:79" ht="12.75" customHeight="1" x14ac:dyDescent="0.2">
      <c r="G3" s="816"/>
      <c r="H3" s="816"/>
      <c r="I3" s="816"/>
      <c r="J3" s="816"/>
      <c r="K3" s="816"/>
      <c r="L3" s="816"/>
      <c r="CA3" s="817" t="b">
        <v>0</v>
      </c>
    </row>
    <row r="4" spans="3:79" ht="12.75" customHeight="1" x14ac:dyDescent="0.2">
      <c r="G4" s="816"/>
      <c r="H4" s="816"/>
      <c r="I4" s="816"/>
      <c r="J4" s="816"/>
      <c r="K4" s="816"/>
      <c r="L4" s="816"/>
      <c r="CA4" s="817" t="b">
        <v>0</v>
      </c>
    </row>
    <row r="5" spans="3:79" ht="12.75" customHeight="1" x14ac:dyDescent="0.2">
      <c r="G5" s="816"/>
      <c r="H5" s="816"/>
      <c r="I5" s="816"/>
      <c r="J5" s="816"/>
      <c r="K5" s="816"/>
      <c r="L5" s="816"/>
    </row>
    <row r="6" spans="3:79" ht="12.75" customHeight="1" x14ac:dyDescent="0.2">
      <c r="G6" s="816"/>
      <c r="H6" s="816"/>
      <c r="I6" s="816"/>
      <c r="J6" s="816"/>
      <c r="K6" s="816"/>
      <c r="L6" s="816"/>
    </row>
    <row r="7" spans="3:79" ht="12.75" customHeight="1" x14ac:dyDescent="0.2">
      <c r="G7" s="816"/>
      <c r="H7" s="816"/>
      <c r="I7" s="816"/>
      <c r="J7" s="816"/>
      <c r="K7" s="816"/>
      <c r="L7" s="816"/>
    </row>
    <row r="8" spans="3:79" ht="12.75" customHeight="1" x14ac:dyDescent="0.2">
      <c r="G8" s="816"/>
      <c r="H8" s="816"/>
      <c r="I8" s="816"/>
      <c r="J8" s="816"/>
      <c r="K8" s="816"/>
      <c r="L8" s="816"/>
    </row>
    <row r="9" spans="3:79" ht="12.75" customHeight="1" x14ac:dyDescent="0.2">
      <c r="G9" s="816"/>
      <c r="H9" s="816"/>
      <c r="I9" s="816"/>
      <c r="J9" s="816"/>
      <c r="K9" s="816"/>
      <c r="L9" s="816"/>
    </row>
    <row r="10" spans="3:79" ht="27" customHeight="1" x14ac:dyDescent="0.2">
      <c r="G10" s="816"/>
      <c r="H10" s="816"/>
      <c r="I10" s="816"/>
      <c r="J10" s="816"/>
      <c r="K10" s="816"/>
      <c r="L10" s="816"/>
    </row>
    <row r="11" spans="3:79" ht="12.75" customHeight="1" x14ac:dyDescent="0.2">
      <c r="G11" s="816"/>
      <c r="H11" s="816"/>
      <c r="I11" s="816"/>
      <c r="J11" s="816"/>
      <c r="K11" s="816"/>
      <c r="L11" s="816"/>
    </row>
    <row r="12" spans="3:79" ht="42" customHeight="1" x14ac:dyDescent="0.2">
      <c r="C12" s="818" t="s">
        <v>579</v>
      </c>
      <c r="D12" s="818"/>
      <c r="G12" s="816"/>
      <c r="H12" s="816"/>
      <c r="I12" s="816"/>
      <c r="J12" s="816"/>
      <c r="K12" s="816"/>
      <c r="L12" s="816"/>
    </row>
    <row r="13" spans="3:79" ht="42" customHeight="1" x14ac:dyDescent="0.2">
      <c r="C13" s="818"/>
      <c r="D13" s="818"/>
    </row>
    <row r="14" spans="3:79" ht="42" customHeight="1" x14ac:dyDescent="0.2">
      <c r="C14" s="818"/>
      <c r="D14" s="818"/>
    </row>
    <row r="15" spans="3:79" ht="54" customHeight="1" x14ac:dyDescent="0.2">
      <c r="C15" s="818"/>
      <c r="D15" s="818"/>
      <c r="E15" s="819"/>
      <c r="F15" s="819"/>
      <c r="AZ15" s="820" t="s">
        <v>580</v>
      </c>
    </row>
    <row r="16" spans="3:79" hidden="1" x14ac:dyDescent="0.2"/>
    <row r="17" spans="1:56" x14ac:dyDescent="0.2">
      <c r="F17" s="821"/>
      <c r="P17" s="821"/>
      <c r="Z17" s="821"/>
      <c r="AG17" s="821"/>
      <c r="AJ17" s="821"/>
      <c r="AQ17" s="821"/>
    </row>
    <row r="18" spans="1:56" ht="13.5" thickBot="1" x14ac:dyDescent="0.25">
      <c r="C18" s="822"/>
    </row>
    <row r="19" spans="1:56" ht="28.5" thickBot="1" x14ac:dyDescent="0.4">
      <c r="C19" s="823"/>
      <c r="D19" s="824"/>
      <c r="E19" s="801">
        <v>2011</v>
      </c>
      <c r="F19" s="802"/>
      <c r="G19" s="802"/>
      <c r="H19" s="802"/>
      <c r="I19" s="802"/>
      <c r="J19" s="802"/>
      <c r="K19" s="802"/>
      <c r="L19" s="802"/>
      <c r="M19" s="802"/>
      <c r="N19" s="803"/>
      <c r="O19" s="801">
        <v>2012</v>
      </c>
      <c r="P19" s="802"/>
      <c r="Q19" s="802"/>
      <c r="R19" s="802"/>
      <c r="S19" s="802"/>
      <c r="T19" s="802"/>
      <c r="U19" s="802"/>
      <c r="V19" s="802"/>
      <c r="W19" s="802"/>
      <c r="X19" s="803"/>
      <c r="Y19" s="801">
        <v>2013</v>
      </c>
      <c r="Z19" s="802"/>
      <c r="AA19" s="802"/>
      <c r="AB19" s="802"/>
      <c r="AC19" s="802"/>
      <c r="AD19" s="802"/>
      <c r="AE19" s="802"/>
      <c r="AF19" s="802"/>
      <c r="AG19" s="802"/>
      <c r="AH19" s="803"/>
      <c r="AI19" s="801">
        <v>2014</v>
      </c>
      <c r="AJ19" s="802"/>
      <c r="AK19" s="802"/>
      <c r="AL19" s="802"/>
      <c r="AM19" s="802"/>
      <c r="AN19" s="802"/>
      <c r="AO19" s="802"/>
      <c r="AP19" s="802"/>
      <c r="AQ19" s="802"/>
      <c r="AR19" s="803"/>
      <c r="AS19" s="801">
        <v>2015</v>
      </c>
      <c r="AT19" s="802"/>
      <c r="AU19" s="802"/>
      <c r="AV19" s="803"/>
      <c r="AW19" s="825" t="s">
        <v>581</v>
      </c>
      <c r="AX19" s="826"/>
      <c r="AY19" s="827"/>
      <c r="AZ19" s="828" t="s">
        <v>582</v>
      </c>
      <c r="BA19" s="829" t="s">
        <v>583</v>
      </c>
    </row>
    <row r="20" spans="1:56" x14ac:dyDescent="0.2">
      <c r="C20" s="830" t="s">
        <v>584</v>
      </c>
      <c r="D20" s="831" t="s">
        <v>585</v>
      </c>
      <c r="E20" s="832" t="s">
        <v>586</v>
      </c>
      <c r="F20" s="833" t="s">
        <v>587</v>
      </c>
      <c r="G20" s="833" t="s">
        <v>588</v>
      </c>
      <c r="H20" s="833" t="s">
        <v>589</v>
      </c>
      <c r="I20" s="833" t="s">
        <v>590</v>
      </c>
      <c r="J20" s="833" t="s">
        <v>591</v>
      </c>
      <c r="K20" s="833" t="s">
        <v>592</v>
      </c>
      <c r="L20" s="833" t="s">
        <v>588</v>
      </c>
      <c r="M20" s="833" t="s">
        <v>593</v>
      </c>
      <c r="N20" s="831" t="s">
        <v>594</v>
      </c>
      <c r="O20" s="832" t="s">
        <v>595</v>
      </c>
      <c r="P20" s="833" t="s">
        <v>596</v>
      </c>
      <c r="Q20" s="833" t="s">
        <v>597</v>
      </c>
      <c r="R20" s="833" t="s">
        <v>598</v>
      </c>
      <c r="S20" s="833" t="s">
        <v>599</v>
      </c>
      <c r="T20" s="833" t="s">
        <v>600</v>
      </c>
      <c r="U20" s="833" t="s">
        <v>601</v>
      </c>
      <c r="V20" s="833" t="s">
        <v>597</v>
      </c>
      <c r="W20" s="833" t="s">
        <v>602</v>
      </c>
      <c r="X20" s="831" t="s">
        <v>603</v>
      </c>
      <c r="Y20" s="832" t="s">
        <v>604</v>
      </c>
      <c r="Z20" s="833" t="s">
        <v>605</v>
      </c>
      <c r="AA20" s="833" t="s">
        <v>606</v>
      </c>
      <c r="AB20" s="833" t="s">
        <v>607</v>
      </c>
      <c r="AC20" s="833" t="s">
        <v>608</v>
      </c>
      <c r="AD20" s="833" t="s">
        <v>609</v>
      </c>
      <c r="AE20" s="833" t="s">
        <v>610</v>
      </c>
      <c r="AF20" s="833" t="s">
        <v>606</v>
      </c>
      <c r="AG20" s="833" t="s">
        <v>611</v>
      </c>
      <c r="AH20" s="831" t="s">
        <v>612</v>
      </c>
      <c r="AI20" s="832" t="s">
        <v>613</v>
      </c>
      <c r="AJ20" s="833" t="s">
        <v>614</v>
      </c>
      <c r="AK20" s="833" t="s">
        <v>615</v>
      </c>
      <c r="AL20" s="833" t="s">
        <v>616</v>
      </c>
      <c r="AM20" s="833" t="s">
        <v>617</v>
      </c>
      <c r="AN20" s="833" t="s">
        <v>618</v>
      </c>
      <c r="AO20" s="833" t="s">
        <v>619</v>
      </c>
      <c r="AP20" s="833" t="s">
        <v>615</v>
      </c>
      <c r="AQ20" s="833" t="s">
        <v>620</v>
      </c>
      <c r="AR20" s="831" t="s">
        <v>621</v>
      </c>
      <c r="AS20" s="833" t="s">
        <v>622</v>
      </c>
      <c r="AT20" s="833" t="s">
        <v>623</v>
      </c>
      <c r="AU20" s="833" t="s">
        <v>624</v>
      </c>
      <c r="AV20" s="833" t="s">
        <v>625</v>
      </c>
      <c r="AW20" s="832" t="s">
        <v>626</v>
      </c>
      <c r="AX20" s="833" t="s">
        <v>627</v>
      </c>
      <c r="AY20" s="831" t="s">
        <v>628</v>
      </c>
      <c r="AZ20" s="834"/>
      <c r="BA20" s="835"/>
    </row>
    <row r="21" spans="1:56" x14ac:dyDescent="0.2">
      <c r="C21" s="836"/>
      <c r="D21" s="837"/>
      <c r="E21" s="838"/>
      <c r="F21" s="839"/>
      <c r="G21" s="840"/>
      <c r="H21" s="840"/>
      <c r="I21" s="840"/>
      <c r="J21" s="839"/>
      <c r="K21" s="840"/>
      <c r="L21" s="840"/>
      <c r="M21" s="840"/>
      <c r="N21" s="837"/>
      <c r="O21" s="838"/>
      <c r="P21" s="839"/>
      <c r="Q21" s="840"/>
      <c r="R21" s="840"/>
      <c r="S21" s="840"/>
      <c r="T21" s="839"/>
      <c r="U21" s="840"/>
      <c r="V21" s="840"/>
      <c r="W21" s="840"/>
      <c r="X21" s="837"/>
      <c r="Y21" s="838"/>
      <c r="Z21" s="839"/>
      <c r="AA21" s="839"/>
      <c r="AB21" s="839"/>
      <c r="AC21" s="839"/>
      <c r="AD21" s="839"/>
      <c r="AE21" s="839"/>
      <c r="AF21" s="839"/>
      <c r="AG21" s="839"/>
      <c r="AH21" s="837"/>
      <c r="AI21" s="838"/>
      <c r="AJ21" s="839"/>
      <c r="AK21" s="840"/>
      <c r="AL21" s="840"/>
      <c r="AM21" s="840"/>
      <c r="AN21" s="839"/>
      <c r="AO21" s="840"/>
      <c r="AP21" s="840"/>
      <c r="AQ21" s="840"/>
      <c r="AR21" s="837"/>
      <c r="AS21" s="840"/>
      <c r="AT21" s="840"/>
      <c r="AU21" s="840"/>
      <c r="AV21" s="840"/>
      <c r="AW21" s="838"/>
      <c r="AX21" s="839"/>
      <c r="AY21" s="837"/>
      <c r="AZ21" s="834"/>
      <c r="BA21" s="835"/>
    </row>
    <row r="22" spans="1:56" ht="21" thickBot="1" x14ac:dyDescent="0.25">
      <c r="B22" s="841"/>
      <c r="C22" s="836"/>
      <c r="D22" s="837"/>
      <c r="E22" s="842"/>
      <c r="F22" s="843"/>
      <c r="G22" s="844"/>
      <c r="H22" s="844"/>
      <c r="I22" s="844"/>
      <c r="J22" s="843"/>
      <c r="K22" s="844"/>
      <c r="L22" s="844"/>
      <c r="M22" s="844"/>
      <c r="N22" s="845"/>
      <c r="O22" s="842"/>
      <c r="P22" s="843"/>
      <c r="Q22" s="844"/>
      <c r="R22" s="844"/>
      <c r="S22" s="844"/>
      <c r="T22" s="843"/>
      <c r="U22" s="844"/>
      <c r="V22" s="844"/>
      <c r="W22" s="844"/>
      <c r="X22" s="845"/>
      <c r="Y22" s="842"/>
      <c r="Z22" s="843"/>
      <c r="AA22" s="843"/>
      <c r="AB22" s="843"/>
      <c r="AC22" s="843"/>
      <c r="AD22" s="843"/>
      <c r="AE22" s="843"/>
      <c r="AF22" s="843"/>
      <c r="AG22" s="843"/>
      <c r="AH22" s="845"/>
      <c r="AI22" s="842"/>
      <c r="AJ22" s="843"/>
      <c r="AK22" s="844"/>
      <c r="AL22" s="844"/>
      <c r="AM22" s="844"/>
      <c r="AN22" s="843"/>
      <c r="AO22" s="844"/>
      <c r="AP22" s="844"/>
      <c r="AQ22" s="844"/>
      <c r="AR22" s="845"/>
      <c r="AS22" s="844"/>
      <c r="AT22" s="844"/>
      <c r="AU22" s="844"/>
      <c r="AV22" s="844"/>
      <c r="AW22" s="842"/>
      <c r="AX22" s="843"/>
      <c r="AY22" s="845" t="s">
        <v>629</v>
      </c>
      <c r="AZ22" s="846"/>
      <c r="BA22" s="847"/>
    </row>
    <row r="23" spans="1:56" ht="27" thickBot="1" x14ac:dyDescent="0.45">
      <c r="C23" s="848" t="s">
        <v>177</v>
      </c>
      <c r="D23" s="849"/>
      <c r="E23" s="850"/>
      <c r="F23" s="851"/>
      <c r="G23" s="852"/>
      <c r="H23" s="852"/>
      <c r="I23" s="852"/>
      <c r="J23" s="852"/>
      <c r="K23" s="852"/>
      <c r="L23" s="852"/>
      <c r="M23" s="852"/>
      <c r="N23" s="853"/>
      <c r="O23" s="854"/>
      <c r="P23" s="855"/>
      <c r="Q23" s="852"/>
      <c r="R23" s="852"/>
      <c r="S23" s="852"/>
      <c r="T23" s="852"/>
      <c r="U23" s="852"/>
      <c r="V23" s="852"/>
      <c r="W23" s="852"/>
      <c r="X23" s="853"/>
      <c r="Y23" s="854"/>
      <c r="Z23" s="855"/>
      <c r="AA23" s="852"/>
      <c r="AB23" s="852"/>
      <c r="AC23" s="852"/>
      <c r="AD23" s="852"/>
      <c r="AE23" s="852"/>
      <c r="AF23" s="852"/>
      <c r="AG23" s="852"/>
      <c r="AH23" s="853"/>
      <c r="AI23" s="854"/>
      <c r="AJ23" s="855"/>
      <c r="AK23" s="852"/>
      <c r="AL23" s="852"/>
      <c r="AM23" s="852"/>
      <c r="AN23" s="852"/>
      <c r="AO23" s="852"/>
      <c r="AP23" s="852"/>
      <c r="AQ23" s="852"/>
      <c r="AR23" s="853"/>
      <c r="AS23" s="856"/>
      <c r="AT23" s="857"/>
      <c r="AU23" s="852"/>
      <c r="AV23" s="858"/>
      <c r="AW23" s="859"/>
      <c r="AX23" s="859"/>
      <c r="AY23" s="860"/>
      <c r="AZ23" s="861"/>
      <c r="BA23" s="862"/>
    </row>
    <row r="24" spans="1:56" ht="15" thickBot="1" x14ac:dyDescent="0.25">
      <c r="A24" s="815">
        <v>1</v>
      </c>
      <c r="C24" s="854" t="s">
        <v>86</v>
      </c>
      <c r="D24" s="863">
        <v>1550</v>
      </c>
      <c r="E24" s="864">
        <v>2000049</v>
      </c>
      <c r="F24" s="864">
        <f>1492594</f>
        <v>1492594</v>
      </c>
      <c r="G24" s="864"/>
      <c r="H24" s="865"/>
      <c r="I24" s="866">
        <f>E24+F24-G24+H24</f>
        <v>3492643</v>
      </c>
      <c r="J24" s="864">
        <v>11626.75</v>
      </c>
      <c r="K24" s="864">
        <v>38470</v>
      </c>
      <c r="L24" s="864"/>
      <c r="M24" s="865"/>
      <c r="N24" s="867">
        <f>J24+K24-L24+M24</f>
        <v>50096.75</v>
      </c>
      <c r="O24" s="868">
        <f>I24</f>
        <v>3492643</v>
      </c>
      <c r="P24" s="864">
        <v>1690690.24</v>
      </c>
      <c r="Q24" s="864">
        <v>2000049</v>
      </c>
      <c r="R24" s="865"/>
      <c r="S24" s="866">
        <f>O24+P24-Q24+R24</f>
        <v>3183284.24</v>
      </c>
      <c r="T24" s="869">
        <f t="shared" ref="T24:T34" si="0">N24</f>
        <v>50096.75</v>
      </c>
      <c r="U24" s="864">
        <v>38367.72</v>
      </c>
      <c r="V24" s="864">
        <v>43517</v>
      </c>
      <c r="W24" s="865"/>
      <c r="X24" s="867">
        <f>T24+U24-V24+W24</f>
        <v>44947.47</v>
      </c>
      <c r="Y24" s="870">
        <f>S24</f>
        <v>3183284.24</v>
      </c>
      <c r="Z24" s="871">
        <v>804981.85</v>
      </c>
      <c r="AA24" s="871">
        <v>1492593.91</v>
      </c>
      <c r="AB24" s="871"/>
      <c r="AC24" s="805">
        <f>Y24+Z24-AA24+SUM(AB24:AB24)</f>
        <v>2495672.1800000006</v>
      </c>
      <c r="AD24" s="872">
        <f>X24</f>
        <v>44947.47</v>
      </c>
      <c r="AE24" s="871">
        <v>34705.18</v>
      </c>
      <c r="AF24" s="871">
        <v>28520.75</v>
      </c>
      <c r="AG24" s="871"/>
      <c r="AH24" s="806">
        <f t="shared" ref="AH24:AH34" si="1">AD24+AE24-AF24+AG24</f>
        <v>51131.899999999994</v>
      </c>
      <c r="AI24" s="873">
        <f>AC24</f>
        <v>2495672.1800000006</v>
      </c>
      <c r="AJ24" s="874">
        <f>938908.09+1</f>
        <v>938909.09</v>
      </c>
      <c r="AK24" s="874">
        <v>1690690.02</v>
      </c>
      <c r="AL24" s="874"/>
      <c r="AM24" s="805">
        <f t="shared" ref="AM24:AM35" si="2">AI24+AJ24-AK24+SUM(AL24:AL24)</f>
        <v>1743891.2500000005</v>
      </c>
      <c r="AN24" s="875">
        <f t="shared" ref="AN24:AN37" si="3">AH24</f>
        <v>51131.899999999994</v>
      </c>
      <c r="AO24" s="874">
        <v>20669.599999999999</v>
      </c>
      <c r="AP24" s="874">
        <v>41280.14</v>
      </c>
      <c r="AQ24" s="874"/>
      <c r="AR24" s="806">
        <f t="shared" ref="AR24:AR34" si="4">AN24+AO24-AP24+AQ24</f>
        <v>30521.360000000001</v>
      </c>
      <c r="AS24" s="874"/>
      <c r="AT24" s="874"/>
      <c r="AU24" s="875">
        <f>AM24-AS24</f>
        <v>1743891.2500000005</v>
      </c>
      <c r="AV24" s="876">
        <f>AR24-AT24</f>
        <v>30521.360000000001</v>
      </c>
      <c r="AW24" s="874">
        <f>(AU24*1.1%)</f>
        <v>19182.803750000006</v>
      </c>
      <c r="AX24" s="874"/>
      <c r="AY24" s="877">
        <f>SUM(AU24:AX24)</f>
        <v>1793595.4137500005</v>
      </c>
      <c r="AZ24" s="878">
        <v>1774413</v>
      </c>
      <c r="BA24" s="877">
        <f>AZ24-SUM(AM24,AR24)</f>
        <v>0.38999999943189323</v>
      </c>
    </row>
    <row r="25" spans="1:56" ht="15" thickBot="1" x14ac:dyDescent="0.25">
      <c r="C25" s="854" t="s">
        <v>630</v>
      </c>
      <c r="D25" s="863">
        <v>1551</v>
      </c>
      <c r="E25" s="879">
        <v>0</v>
      </c>
      <c r="F25" s="879">
        <v>0</v>
      </c>
      <c r="G25" s="879"/>
      <c r="H25" s="879"/>
      <c r="I25" s="880"/>
      <c r="J25" s="879">
        <v>0</v>
      </c>
      <c r="K25" s="879">
        <v>0</v>
      </c>
      <c r="L25" s="879"/>
      <c r="M25" s="879"/>
      <c r="N25" s="881"/>
      <c r="O25" s="880"/>
      <c r="P25" s="879"/>
      <c r="Q25" s="879"/>
      <c r="R25" s="879"/>
      <c r="S25" s="880"/>
      <c r="T25" s="880"/>
      <c r="U25" s="879"/>
      <c r="V25" s="879"/>
      <c r="W25" s="879"/>
      <c r="X25" s="881"/>
      <c r="Y25" s="873">
        <f>X25</f>
        <v>0</v>
      </c>
      <c r="Z25" s="874">
        <v>-36015.11</v>
      </c>
      <c r="AA25" s="874"/>
      <c r="AB25" s="874"/>
      <c r="AC25" s="805">
        <f t="shared" ref="AC25:AC33" si="5">Y25+Z25-AA25+SUM(AB25:AB25)</f>
        <v>-36015.11</v>
      </c>
      <c r="AD25" s="875">
        <f t="shared" ref="AD25:AD37" si="6">X25</f>
        <v>0</v>
      </c>
      <c r="AE25" s="874">
        <v>-147.97999999999999</v>
      </c>
      <c r="AF25" s="874"/>
      <c r="AG25" s="874"/>
      <c r="AH25" s="806">
        <f t="shared" si="1"/>
        <v>-147.97999999999999</v>
      </c>
      <c r="AI25" s="873">
        <f>AC25</f>
        <v>-36015.11</v>
      </c>
      <c r="AJ25" s="874">
        <v>-33601.449999999997</v>
      </c>
      <c r="AK25" s="874"/>
      <c r="AL25" s="874"/>
      <c r="AM25" s="805">
        <f t="shared" si="2"/>
        <v>-69616.56</v>
      </c>
      <c r="AN25" s="875">
        <f t="shared" si="3"/>
        <v>-147.97999999999999</v>
      </c>
      <c r="AO25" s="874">
        <v>-667.97999999999979</v>
      </c>
      <c r="AP25" s="874">
        <v>0</v>
      </c>
      <c r="AQ25" s="874"/>
      <c r="AR25" s="806">
        <f t="shared" si="4"/>
        <v>-815.95999999999981</v>
      </c>
      <c r="AS25" s="874"/>
      <c r="AT25" s="874"/>
      <c r="AU25" s="875">
        <f t="shared" ref="AU25:AU35" si="7">AM25-AS25</f>
        <v>-69616.56</v>
      </c>
      <c r="AV25" s="876">
        <f t="shared" ref="AV25:AV35" si="8">AR25-AT25</f>
        <v>-815.95999999999981</v>
      </c>
      <c r="AW25" s="874">
        <f t="shared" ref="AW25:AW35" si="9">(AU25*1.1%)</f>
        <v>-765.78216000000009</v>
      </c>
      <c r="AX25" s="874"/>
      <c r="AY25" s="877">
        <f>SUM(AU25:AX25)</f>
        <v>-71198.302160000007</v>
      </c>
      <c r="AZ25" s="878">
        <v>-70433</v>
      </c>
      <c r="BA25" s="877">
        <f t="shared" ref="BA25:BA37" si="10">AZ25-SUM(AM25,AR25)</f>
        <v>-0.47999999999592546</v>
      </c>
    </row>
    <row r="26" spans="1:56" ht="15" thickBot="1" x14ac:dyDescent="0.25">
      <c r="A26" s="815">
        <v>2</v>
      </c>
      <c r="C26" s="882" t="s">
        <v>631</v>
      </c>
      <c r="D26" s="863">
        <v>1580</v>
      </c>
      <c r="E26" s="883">
        <f>-10401383</f>
        <v>-10401383</v>
      </c>
      <c r="F26" s="883">
        <f>-7802501</f>
        <v>-7802501</v>
      </c>
      <c r="G26" s="883"/>
      <c r="H26" s="884"/>
      <c r="I26" s="885">
        <f t="shared" ref="I26:I37" si="11">E26+F26-G26+SUM(H26:H26)</f>
        <v>-18203884</v>
      </c>
      <c r="J26" s="883">
        <v>-65884.990000000005</v>
      </c>
      <c r="K26" s="883">
        <v>-208490</v>
      </c>
      <c r="L26" s="883"/>
      <c r="M26" s="884"/>
      <c r="N26" s="886">
        <f t="shared" ref="N26:N37" si="12">J26+K26-L26+M26</f>
        <v>-274374.99</v>
      </c>
      <c r="O26" s="887">
        <f t="shared" ref="O26:O37" si="13">I26</f>
        <v>-18203884</v>
      </c>
      <c r="P26" s="883">
        <v>-9704716.3300000001</v>
      </c>
      <c r="Q26" s="883">
        <v>-10401473</v>
      </c>
      <c r="R26" s="884"/>
      <c r="S26" s="885">
        <f t="shared" ref="S26:S35" si="14">O26+P26-Q26+SUM(R26:R26)</f>
        <v>-17507127.329999998</v>
      </c>
      <c r="T26" s="869">
        <f t="shared" si="0"/>
        <v>-274374.99</v>
      </c>
      <c r="U26" s="883">
        <v>-208234.34</v>
      </c>
      <c r="V26" s="883">
        <v>-231638</v>
      </c>
      <c r="W26" s="884"/>
      <c r="X26" s="886">
        <f t="shared" ref="X26:X37" si="15">T26+U26-V26+W26</f>
        <v>-250971.32999999996</v>
      </c>
      <c r="Y26" s="870">
        <f t="shared" ref="Y26:Y34" si="16">S26</f>
        <v>-17507127.329999998</v>
      </c>
      <c r="Z26" s="871">
        <v>-4742781.74</v>
      </c>
      <c r="AA26" s="871">
        <v>-7802410.54</v>
      </c>
      <c r="AB26" s="871"/>
      <c r="AC26" s="805">
        <f t="shared" si="5"/>
        <v>-14447498.530000001</v>
      </c>
      <c r="AD26" s="872">
        <f t="shared" si="6"/>
        <v>-250971.32999999996</v>
      </c>
      <c r="AE26" s="871">
        <v>-209514.37</v>
      </c>
      <c r="AF26" s="871">
        <v>-157435.46</v>
      </c>
      <c r="AG26" s="871"/>
      <c r="AH26" s="806">
        <f t="shared" si="1"/>
        <v>-303050.23999999999</v>
      </c>
      <c r="AI26" s="873">
        <f t="shared" ref="AI26:AI34" si="17">AC26</f>
        <v>-14447498.530000001</v>
      </c>
      <c r="AJ26" s="874">
        <v>-1098113.8500000001</v>
      </c>
      <c r="AK26" s="874">
        <v>-9704806</v>
      </c>
      <c r="AL26" s="874"/>
      <c r="AM26" s="805">
        <f t="shared" si="2"/>
        <v>-5840806.3800000008</v>
      </c>
      <c r="AN26" s="875">
        <f t="shared" si="3"/>
        <v>-303050.23999999999</v>
      </c>
      <c r="AO26" s="874">
        <v>-35370.699999999997</v>
      </c>
      <c r="AP26" s="874">
        <v>-236108.65</v>
      </c>
      <c r="AQ26" s="874"/>
      <c r="AR26" s="806">
        <f t="shared" si="4"/>
        <v>-102312.29000000001</v>
      </c>
      <c r="AS26" s="874"/>
      <c r="AT26" s="874"/>
      <c r="AU26" s="875">
        <f t="shared" si="7"/>
        <v>-5840806.3800000008</v>
      </c>
      <c r="AV26" s="876">
        <f t="shared" si="8"/>
        <v>-102312.29000000001</v>
      </c>
      <c r="AW26" s="874">
        <f t="shared" si="9"/>
        <v>-64248.870180000013</v>
      </c>
      <c r="AX26" s="874"/>
      <c r="AY26" s="877">
        <f t="shared" ref="AY26:AY33" si="18">SUM(AU26:AX26)</f>
        <v>-6007367.5401800005</v>
      </c>
      <c r="AZ26" s="878">
        <v>-5943119</v>
      </c>
      <c r="BA26" s="877">
        <f t="shared" si="10"/>
        <v>-0.32999999914318323</v>
      </c>
    </row>
    <row r="27" spans="1:56" ht="15" thickBot="1" x14ac:dyDescent="0.25">
      <c r="A27" s="815">
        <v>3</v>
      </c>
      <c r="C27" s="882" t="s">
        <v>632</v>
      </c>
      <c r="D27" s="863">
        <v>1584</v>
      </c>
      <c r="E27" s="874">
        <v>-6212254.7599999998</v>
      </c>
      <c r="F27" s="874">
        <f>499949</f>
        <v>499949</v>
      </c>
      <c r="G27" s="874"/>
      <c r="H27" s="888"/>
      <c r="I27" s="889">
        <f t="shared" si="11"/>
        <v>-5712305.7599999998</v>
      </c>
      <c r="J27" s="874">
        <v>-41547.08</v>
      </c>
      <c r="K27" s="874">
        <v>-96477</v>
      </c>
      <c r="L27" s="874"/>
      <c r="M27" s="888"/>
      <c r="N27" s="890">
        <f t="shared" si="12"/>
        <v>-138024.08000000002</v>
      </c>
      <c r="O27" s="873">
        <f t="shared" si="13"/>
        <v>-5712305.7599999998</v>
      </c>
      <c r="P27" s="874">
        <v>1692258.93</v>
      </c>
      <c r="Q27" s="874">
        <v>-6212255</v>
      </c>
      <c r="R27" s="888"/>
      <c r="S27" s="889">
        <f t="shared" si="14"/>
        <v>2192208.17</v>
      </c>
      <c r="T27" s="875">
        <f t="shared" si="0"/>
        <v>-138024.08000000002</v>
      </c>
      <c r="U27" s="874">
        <v>10026.719999999999</v>
      </c>
      <c r="V27" s="874">
        <v>-140595</v>
      </c>
      <c r="W27" s="888"/>
      <c r="X27" s="890">
        <f t="shared" si="15"/>
        <v>12597.639999999985</v>
      </c>
      <c r="Y27" s="887">
        <f t="shared" si="16"/>
        <v>2192208.17</v>
      </c>
      <c r="Z27" s="883">
        <v>3416731.5</v>
      </c>
      <c r="AA27" s="883">
        <v>499948.11</v>
      </c>
      <c r="AB27" s="883"/>
      <c r="AC27" s="805">
        <f t="shared" si="5"/>
        <v>5108991.5599999996</v>
      </c>
      <c r="AD27" s="869">
        <f t="shared" si="6"/>
        <v>12597.639999999985</v>
      </c>
      <c r="AE27" s="883">
        <v>46249.35</v>
      </c>
      <c r="AF27" s="883">
        <v>9921.89</v>
      </c>
      <c r="AG27" s="883"/>
      <c r="AH27" s="806">
        <f t="shared" si="1"/>
        <v>48925.099999999984</v>
      </c>
      <c r="AI27" s="873">
        <f t="shared" si="17"/>
        <v>5108991.5599999996</v>
      </c>
      <c r="AJ27" s="874">
        <v>2422342.59</v>
      </c>
      <c r="AK27" s="874">
        <v>1692260</v>
      </c>
      <c r="AL27" s="874"/>
      <c r="AM27" s="805">
        <f t="shared" si="2"/>
        <v>5839074.1499999994</v>
      </c>
      <c r="AN27" s="875">
        <f t="shared" si="3"/>
        <v>48925.099999999984</v>
      </c>
      <c r="AO27" s="874">
        <v>71423.27</v>
      </c>
      <c r="AP27" s="874">
        <v>27552.22</v>
      </c>
      <c r="AQ27" s="874"/>
      <c r="AR27" s="806">
        <f t="shared" si="4"/>
        <v>92796.15</v>
      </c>
      <c r="AS27" s="874"/>
      <c r="AT27" s="874"/>
      <c r="AU27" s="875">
        <f t="shared" si="7"/>
        <v>5839074.1499999994</v>
      </c>
      <c r="AV27" s="876">
        <f t="shared" si="8"/>
        <v>92796.15</v>
      </c>
      <c r="AW27" s="874">
        <f t="shared" si="9"/>
        <v>64229.815649999997</v>
      </c>
      <c r="AX27" s="874"/>
      <c r="AY27" s="877">
        <f t="shared" si="18"/>
        <v>5996100.1156500001</v>
      </c>
      <c r="AZ27" s="878">
        <v>5931870</v>
      </c>
      <c r="BA27" s="877">
        <f t="shared" si="10"/>
        <v>-0.29999999981373549</v>
      </c>
    </row>
    <row r="28" spans="1:56" ht="15" thickBot="1" x14ac:dyDescent="0.25">
      <c r="A28" s="815">
        <v>4</v>
      </c>
      <c r="C28" s="882" t="s">
        <v>633</v>
      </c>
      <c r="D28" s="863">
        <v>1586</v>
      </c>
      <c r="E28" s="874">
        <v>-5293496</v>
      </c>
      <c r="F28" s="874">
        <f>453081</f>
        <v>453081</v>
      </c>
      <c r="G28" s="874"/>
      <c r="H28" s="888"/>
      <c r="I28" s="889">
        <f t="shared" si="11"/>
        <v>-4840415</v>
      </c>
      <c r="J28" s="874">
        <v>-36402</v>
      </c>
      <c r="K28" s="874">
        <v>-82842</v>
      </c>
      <c r="L28" s="874"/>
      <c r="M28" s="888"/>
      <c r="N28" s="890">
        <f t="shared" si="12"/>
        <v>-119244</v>
      </c>
      <c r="O28" s="873">
        <f t="shared" si="13"/>
        <v>-4840415</v>
      </c>
      <c r="P28" s="874">
        <v>1028935.85</v>
      </c>
      <c r="Q28" s="874">
        <v>-5293496</v>
      </c>
      <c r="R28" s="888"/>
      <c r="S28" s="889">
        <f t="shared" si="14"/>
        <v>1482016.85</v>
      </c>
      <c r="T28" s="875">
        <f t="shared" si="0"/>
        <v>-119244</v>
      </c>
      <c r="U28" s="874">
        <v>2233.29</v>
      </c>
      <c r="V28" s="874">
        <v>-120802</v>
      </c>
      <c r="W28" s="888"/>
      <c r="X28" s="890">
        <f t="shared" si="15"/>
        <v>3791.2899999999936</v>
      </c>
      <c r="Y28" s="873">
        <f t="shared" si="16"/>
        <v>1482016.85</v>
      </c>
      <c r="Z28" s="874">
        <v>681957.9</v>
      </c>
      <c r="AA28" s="874">
        <v>453078</v>
      </c>
      <c r="AB28" s="874"/>
      <c r="AC28" s="805">
        <f t="shared" si="5"/>
        <v>1710896.75</v>
      </c>
      <c r="AD28" s="875">
        <f t="shared" si="6"/>
        <v>3791.2899999999936</v>
      </c>
      <c r="AE28" s="874">
        <v>18475.439999999999</v>
      </c>
      <c r="AF28" s="874">
        <v>8221</v>
      </c>
      <c r="AG28" s="874"/>
      <c r="AH28" s="806">
        <f t="shared" si="1"/>
        <v>14045.729999999992</v>
      </c>
      <c r="AI28" s="873">
        <f t="shared" si="17"/>
        <v>1710896.75</v>
      </c>
      <c r="AJ28" s="874">
        <f>2297465.04-2</f>
        <v>2297463.04</v>
      </c>
      <c r="AK28" s="874">
        <v>1028939</v>
      </c>
      <c r="AL28" s="874"/>
      <c r="AM28" s="805">
        <f t="shared" si="2"/>
        <v>2979420.79</v>
      </c>
      <c r="AN28" s="875">
        <f t="shared" si="3"/>
        <v>14045.729999999992</v>
      </c>
      <c r="AO28" s="874">
        <v>28329.71</v>
      </c>
      <c r="AP28" s="874">
        <v>10695.4</v>
      </c>
      <c r="AQ28" s="874"/>
      <c r="AR28" s="806">
        <f t="shared" si="4"/>
        <v>31680.039999999986</v>
      </c>
      <c r="AS28" s="874"/>
      <c r="AT28" s="874"/>
      <c r="AU28" s="875">
        <f t="shared" si="7"/>
        <v>2979420.79</v>
      </c>
      <c r="AV28" s="876">
        <f t="shared" si="8"/>
        <v>31680.039999999986</v>
      </c>
      <c r="AW28" s="874">
        <f t="shared" si="9"/>
        <v>32773.628690000005</v>
      </c>
      <c r="AX28" s="874"/>
      <c r="AY28" s="877">
        <f t="shared" si="18"/>
        <v>3043874.4586900002</v>
      </c>
      <c r="AZ28" s="878">
        <v>3011101</v>
      </c>
      <c r="BA28" s="877">
        <f t="shared" si="10"/>
        <v>0.16999999992549419</v>
      </c>
      <c r="BD28" s="891"/>
    </row>
    <row r="29" spans="1:56" ht="15" thickBot="1" x14ac:dyDescent="0.25">
      <c r="A29" s="815">
        <v>5</v>
      </c>
      <c r="C29" s="882" t="s">
        <v>634</v>
      </c>
      <c r="D29" s="863">
        <v>1588</v>
      </c>
      <c r="E29" s="874">
        <v>3755373</v>
      </c>
      <c r="F29" s="874">
        <v>413948</v>
      </c>
      <c r="G29" s="874"/>
      <c r="H29" s="888"/>
      <c r="I29" s="889">
        <f t="shared" si="11"/>
        <v>4169321</v>
      </c>
      <c r="J29" s="874">
        <v>17212.63</v>
      </c>
      <c r="K29" s="874">
        <v>63195.06</v>
      </c>
      <c r="L29" s="874"/>
      <c r="M29" s="888"/>
      <c r="N29" s="890">
        <f t="shared" si="12"/>
        <v>80407.69</v>
      </c>
      <c r="O29" s="873">
        <f t="shared" si="13"/>
        <v>4169321</v>
      </c>
      <c r="P29" s="874">
        <v>716651.5</v>
      </c>
      <c r="Q29" s="874">
        <v>3755373</v>
      </c>
      <c r="R29" s="888"/>
      <c r="S29" s="889">
        <f t="shared" si="14"/>
        <v>1130599.5</v>
      </c>
      <c r="T29" s="875">
        <f t="shared" si="0"/>
        <v>80407.69</v>
      </c>
      <c r="U29" s="874">
        <v>-11526.07</v>
      </c>
      <c r="V29" s="874">
        <v>77088</v>
      </c>
      <c r="W29" s="888"/>
      <c r="X29" s="890">
        <f t="shared" si="15"/>
        <v>-8206.3800000000047</v>
      </c>
      <c r="Y29" s="873">
        <f t="shared" si="16"/>
        <v>1130599.5</v>
      </c>
      <c r="Z29" s="874">
        <v>-1860216.32</v>
      </c>
      <c r="AA29" s="874">
        <v>413949.51</v>
      </c>
      <c r="AB29" s="874"/>
      <c r="AC29" s="805">
        <f t="shared" si="5"/>
        <v>-1143566.33</v>
      </c>
      <c r="AD29" s="875">
        <f t="shared" si="6"/>
        <v>-8206.3800000000047</v>
      </c>
      <c r="AE29" s="874">
        <v>-19173.59</v>
      </c>
      <c r="AF29" s="874">
        <v>9403.49</v>
      </c>
      <c r="AG29" s="874"/>
      <c r="AH29" s="806">
        <f t="shared" si="1"/>
        <v>-36783.460000000006</v>
      </c>
      <c r="AI29" s="873">
        <f t="shared" si="17"/>
        <v>-1143566.33</v>
      </c>
      <c r="AJ29" s="874">
        <f>-490297.98+1</f>
        <v>-490296.98</v>
      </c>
      <c r="AK29" s="874">
        <v>716650</v>
      </c>
      <c r="AL29" s="874"/>
      <c r="AM29" s="805">
        <f t="shared" si="2"/>
        <v>-2350513.31</v>
      </c>
      <c r="AN29" s="875">
        <f t="shared" si="3"/>
        <v>-36783.460000000006</v>
      </c>
      <c r="AO29" s="874">
        <v>2506.5100000000002</v>
      </c>
      <c r="AP29" s="874">
        <v>-7074.25</v>
      </c>
      <c r="AQ29" s="874"/>
      <c r="AR29" s="806">
        <f t="shared" si="4"/>
        <v>-27202.700000000004</v>
      </c>
      <c r="AS29" s="874"/>
      <c r="AT29" s="874"/>
      <c r="AU29" s="875">
        <f t="shared" si="7"/>
        <v>-2350513.31</v>
      </c>
      <c r="AV29" s="876">
        <f t="shared" si="8"/>
        <v>-27202.700000000004</v>
      </c>
      <c r="AW29" s="874">
        <f t="shared" si="9"/>
        <v>-25855.646410000005</v>
      </c>
      <c r="AX29" s="874"/>
      <c r="AY29" s="877">
        <f t="shared" si="18"/>
        <v>-2403571.6564100003</v>
      </c>
      <c r="AZ29" s="878">
        <v>-2377716</v>
      </c>
      <c r="BA29" s="877">
        <f t="shared" si="10"/>
        <v>1.0000000242143869E-2</v>
      </c>
    </row>
    <row r="30" spans="1:56" ht="15" thickBot="1" x14ac:dyDescent="0.25">
      <c r="A30" s="815">
        <v>6</v>
      </c>
      <c r="C30" s="882" t="s">
        <v>635</v>
      </c>
      <c r="D30" s="863">
        <v>1589</v>
      </c>
      <c r="E30" s="874">
        <v>-22821333</v>
      </c>
      <c r="F30" s="874">
        <v>2042513</v>
      </c>
      <c r="G30" s="874"/>
      <c r="H30" s="888"/>
      <c r="I30" s="889">
        <f t="shared" si="11"/>
        <v>-20778820</v>
      </c>
      <c r="J30" s="874">
        <v>-113282</v>
      </c>
      <c r="K30" s="874">
        <v>-331638.34000000003</v>
      </c>
      <c r="L30" s="874"/>
      <c r="M30" s="888"/>
      <c r="N30" s="890">
        <f t="shared" si="12"/>
        <v>-444920.34</v>
      </c>
      <c r="O30" s="873">
        <f t="shared" si="13"/>
        <v>-20778820</v>
      </c>
      <c r="P30" s="874">
        <v>-2771959.94</v>
      </c>
      <c r="Q30" s="874">
        <v>-22821333</v>
      </c>
      <c r="R30" s="888"/>
      <c r="S30" s="889">
        <f t="shared" si="14"/>
        <v>-729446.94000000134</v>
      </c>
      <c r="T30" s="875">
        <f t="shared" si="0"/>
        <v>-444920.34</v>
      </c>
      <c r="U30" s="874">
        <v>-31191.42</v>
      </c>
      <c r="V30" s="874">
        <v>-477146</v>
      </c>
      <c r="W30" s="888"/>
      <c r="X30" s="890">
        <f t="shared" si="15"/>
        <v>1034.2399999999907</v>
      </c>
      <c r="Y30" s="873">
        <f t="shared" si="16"/>
        <v>-729446.94000000134</v>
      </c>
      <c r="Z30" s="874">
        <v>3161417.86</v>
      </c>
      <c r="AA30" s="874">
        <v>2042512.49</v>
      </c>
      <c r="AB30" s="874"/>
      <c r="AC30" s="805">
        <f t="shared" si="5"/>
        <v>389458.42999999854</v>
      </c>
      <c r="AD30" s="875">
        <f t="shared" si="6"/>
        <v>1034.2399999999907</v>
      </c>
      <c r="AE30" s="874">
        <v>40514.370000000003</v>
      </c>
      <c r="AF30" s="874">
        <v>62251.51</v>
      </c>
      <c r="AG30" s="874"/>
      <c r="AH30" s="806">
        <f t="shared" si="1"/>
        <v>-20702.900000000009</v>
      </c>
      <c r="AI30" s="873">
        <f t="shared" si="17"/>
        <v>389458.42999999854</v>
      </c>
      <c r="AJ30" s="874">
        <f>7999426.66-1</f>
        <v>7999425.6600000001</v>
      </c>
      <c r="AK30" s="874">
        <v>-2771959</v>
      </c>
      <c r="AL30" s="874"/>
      <c r="AM30" s="805">
        <f t="shared" si="2"/>
        <v>11160843.089999998</v>
      </c>
      <c r="AN30" s="875">
        <f t="shared" si="3"/>
        <v>-20702.900000000009</v>
      </c>
      <c r="AO30" s="874">
        <v>59398.74</v>
      </c>
      <c r="AP30" s="874">
        <v>-101964.8</v>
      </c>
      <c r="AQ30" s="874"/>
      <c r="AR30" s="806">
        <f t="shared" si="4"/>
        <v>140660.63999999998</v>
      </c>
      <c r="AS30" s="874"/>
      <c r="AT30" s="874"/>
      <c r="AU30" s="875">
        <f t="shared" si="7"/>
        <v>11160843.089999998</v>
      </c>
      <c r="AV30" s="876">
        <f t="shared" si="8"/>
        <v>140660.63999999998</v>
      </c>
      <c r="AW30" s="874">
        <f t="shared" si="9"/>
        <v>122769.27398999999</v>
      </c>
      <c r="AX30" s="874"/>
      <c r="AY30" s="877">
        <f t="shared" si="18"/>
        <v>11424273.003989998</v>
      </c>
      <c r="AZ30" s="878">
        <v>11301504</v>
      </c>
      <c r="BA30" s="877">
        <f t="shared" si="10"/>
        <v>0.27000000141561031</v>
      </c>
    </row>
    <row r="31" spans="1:56" ht="17.25" thickBot="1" x14ac:dyDescent="0.25">
      <c r="A31" s="815">
        <v>8</v>
      </c>
      <c r="C31" s="892" t="s">
        <v>636</v>
      </c>
      <c r="D31" s="863" t="s">
        <v>637</v>
      </c>
      <c r="E31" s="874">
        <v>-203108</v>
      </c>
      <c r="F31" s="874"/>
      <c r="G31" s="874"/>
      <c r="H31" s="888"/>
      <c r="I31" s="889">
        <f t="shared" si="11"/>
        <v>-203108</v>
      </c>
      <c r="J31" s="874">
        <v>-77336</v>
      </c>
      <c r="K31" s="874">
        <v>-2170</v>
      </c>
      <c r="L31" s="874"/>
      <c r="M31" s="888"/>
      <c r="N31" s="890">
        <f t="shared" si="12"/>
        <v>-79506</v>
      </c>
      <c r="O31" s="873">
        <f t="shared" si="13"/>
        <v>-203108</v>
      </c>
      <c r="P31" s="874"/>
      <c r="Q31" s="874">
        <v>-203108</v>
      </c>
      <c r="R31" s="888"/>
      <c r="S31" s="889">
        <f t="shared" si="14"/>
        <v>0</v>
      </c>
      <c r="T31" s="875">
        <f t="shared" si="0"/>
        <v>-79506</v>
      </c>
      <c r="U31" s="874"/>
      <c r="V31" s="874">
        <v>-80574</v>
      </c>
      <c r="W31" s="888"/>
      <c r="X31" s="890">
        <f t="shared" si="15"/>
        <v>1068</v>
      </c>
      <c r="Y31" s="873">
        <f t="shared" si="16"/>
        <v>0</v>
      </c>
      <c r="Z31" s="874"/>
      <c r="AA31" s="874"/>
      <c r="AB31" s="874"/>
      <c r="AC31" s="805">
        <f t="shared" si="5"/>
        <v>0</v>
      </c>
      <c r="AD31" s="875">
        <f t="shared" si="6"/>
        <v>1068</v>
      </c>
      <c r="AE31" s="874"/>
      <c r="AF31" s="874">
        <v>1068</v>
      </c>
      <c r="AG31" s="874"/>
      <c r="AH31" s="806">
        <f t="shared" si="1"/>
        <v>0</v>
      </c>
      <c r="AI31" s="873">
        <f t="shared" si="17"/>
        <v>0</v>
      </c>
      <c r="AJ31" s="874"/>
      <c r="AK31" s="874"/>
      <c r="AL31" s="874"/>
      <c r="AM31" s="805">
        <f t="shared" si="2"/>
        <v>0</v>
      </c>
      <c r="AN31" s="875">
        <f t="shared" si="3"/>
        <v>0</v>
      </c>
      <c r="AO31" s="874"/>
      <c r="AP31" s="874"/>
      <c r="AQ31" s="874"/>
      <c r="AR31" s="806">
        <f t="shared" si="4"/>
        <v>0</v>
      </c>
      <c r="AS31" s="874"/>
      <c r="AT31" s="874"/>
      <c r="AU31" s="875">
        <f t="shared" si="7"/>
        <v>0</v>
      </c>
      <c r="AV31" s="876">
        <f t="shared" si="8"/>
        <v>0</v>
      </c>
      <c r="AW31" s="874"/>
      <c r="AX31" s="874"/>
      <c r="AY31" s="877">
        <f t="shared" si="18"/>
        <v>0</v>
      </c>
      <c r="AZ31" s="878">
        <v>0</v>
      </c>
      <c r="BA31" s="877">
        <f t="shared" si="10"/>
        <v>0</v>
      </c>
    </row>
    <row r="32" spans="1:56" ht="17.25" thickBot="1" x14ac:dyDescent="0.25">
      <c r="A32" s="815">
        <v>9</v>
      </c>
      <c r="C32" s="892" t="s">
        <v>638</v>
      </c>
      <c r="D32" s="863" t="s">
        <v>639</v>
      </c>
      <c r="E32" s="874">
        <v>6321395.04</v>
      </c>
      <c r="F32" s="874">
        <v>-8464147</v>
      </c>
      <c r="G32" s="874"/>
      <c r="H32" s="888"/>
      <c r="I32" s="889">
        <f t="shared" si="11"/>
        <v>-2142751.96</v>
      </c>
      <c r="J32" s="874">
        <f>-970358.34+69076.96</f>
        <v>-901281.38</v>
      </c>
      <c r="K32" s="874">
        <f>691905.58+36647.72</f>
        <v>728553.29999999993</v>
      </c>
      <c r="L32" s="874"/>
      <c r="M32" s="888"/>
      <c r="N32" s="890">
        <f t="shared" si="12"/>
        <v>-172728.08000000007</v>
      </c>
      <c r="O32" s="873">
        <f t="shared" si="13"/>
        <v>-2142751.96</v>
      </c>
      <c r="P32" s="874">
        <v>-662497.29</v>
      </c>
      <c r="Q32" s="874"/>
      <c r="R32" s="888"/>
      <c r="S32" s="889">
        <f t="shared" si="14"/>
        <v>-2805249.25</v>
      </c>
      <c r="T32" s="875">
        <f t="shared" si="0"/>
        <v>-172728.08000000007</v>
      </c>
      <c r="U32" s="874">
        <v>21253.34</v>
      </c>
      <c r="V32" s="874">
        <v>0</v>
      </c>
      <c r="W32" s="888"/>
      <c r="X32" s="890">
        <f t="shared" si="15"/>
        <v>-151474.74000000008</v>
      </c>
      <c r="Y32" s="873">
        <f t="shared" si="16"/>
        <v>-2805249.25</v>
      </c>
      <c r="Z32" s="874">
        <v>-1854.49</v>
      </c>
      <c r="AA32" s="874"/>
      <c r="AB32" s="874"/>
      <c r="AC32" s="805">
        <f t="shared" si="5"/>
        <v>-2807103.74</v>
      </c>
      <c r="AD32" s="875">
        <f t="shared" si="6"/>
        <v>-151474.74000000008</v>
      </c>
      <c r="AE32" s="874">
        <v>-41243.730000000003</v>
      </c>
      <c r="AF32" s="874"/>
      <c r="AG32" s="874"/>
      <c r="AH32" s="806">
        <f t="shared" si="1"/>
        <v>-192718.47000000009</v>
      </c>
      <c r="AI32" s="873">
        <f t="shared" si="17"/>
        <v>-2807103.74</v>
      </c>
      <c r="AJ32" s="874"/>
      <c r="AK32" s="874">
        <v>-2807103.74</v>
      </c>
      <c r="AL32" s="874"/>
      <c r="AM32" s="805">
        <f t="shared" si="2"/>
        <v>0</v>
      </c>
      <c r="AN32" s="875">
        <f t="shared" si="3"/>
        <v>-192718.47000000009</v>
      </c>
      <c r="AO32" s="874"/>
      <c r="AP32" s="874">
        <v>-192718.47</v>
      </c>
      <c r="AQ32" s="874"/>
      <c r="AR32" s="806">
        <f t="shared" si="4"/>
        <v>-8.7311491370201111E-11</v>
      </c>
      <c r="AS32" s="874"/>
      <c r="AT32" s="874"/>
      <c r="AU32" s="875">
        <f t="shared" si="7"/>
        <v>0</v>
      </c>
      <c r="AV32" s="876">
        <f t="shared" si="8"/>
        <v>-8.7311491370201111E-11</v>
      </c>
      <c r="AW32" s="874"/>
      <c r="AX32" s="874"/>
      <c r="AY32" s="877">
        <f t="shared" si="18"/>
        <v>-8.7311491370201111E-11</v>
      </c>
      <c r="AZ32" s="878">
        <v>0</v>
      </c>
      <c r="BA32" s="877">
        <f t="shared" si="10"/>
        <v>8.7311491370201111E-11</v>
      </c>
    </row>
    <row r="33" spans="1:53" ht="17.25" thickBot="1" x14ac:dyDescent="0.25">
      <c r="A33" s="815">
        <v>9</v>
      </c>
      <c r="C33" s="892" t="s">
        <v>640</v>
      </c>
      <c r="D33" s="863" t="s">
        <v>641</v>
      </c>
      <c r="E33" s="874">
        <v>0</v>
      </c>
      <c r="F33" s="874">
        <v>0</v>
      </c>
      <c r="G33" s="874"/>
      <c r="H33" s="888"/>
      <c r="I33" s="889">
        <f t="shared" si="11"/>
        <v>0</v>
      </c>
      <c r="J33" s="874">
        <v>0</v>
      </c>
      <c r="K33" s="874"/>
      <c r="L33" s="874"/>
      <c r="M33" s="888"/>
      <c r="N33" s="890">
        <f t="shared" si="12"/>
        <v>0</v>
      </c>
      <c r="O33" s="873">
        <f t="shared" si="13"/>
        <v>0</v>
      </c>
      <c r="P33" s="874">
        <v>16473029.02</v>
      </c>
      <c r="Q33" s="874">
        <v>39120922.390000001</v>
      </c>
      <c r="R33" s="888"/>
      <c r="S33" s="889">
        <f t="shared" si="14"/>
        <v>-22647893.370000001</v>
      </c>
      <c r="T33" s="875">
        <f t="shared" si="0"/>
        <v>0</v>
      </c>
      <c r="U33" s="874">
        <v>92362.910000000033</v>
      </c>
      <c r="V33" s="874">
        <v>982233.3</v>
      </c>
      <c r="W33" s="888"/>
      <c r="X33" s="890">
        <f t="shared" si="15"/>
        <v>-889870.39</v>
      </c>
      <c r="Y33" s="873">
        <f t="shared" si="16"/>
        <v>-22647893.370000001</v>
      </c>
      <c r="Z33" s="874">
        <v>18966816.399999999</v>
      </c>
      <c r="AA33" s="874"/>
      <c r="AB33" s="874"/>
      <c r="AC33" s="805">
        <f t="shared" si="5"/>
        <v>-3681076.9700000025</v>
      </c>
      <c r="AD33" s="875">
        <f t="shared" si="6"/>
        <v>-889870.39</v>
      </c>
      <c r="AE33" s="874">
        <v>236847.87999999998</v>
      </c>
      <c r="AF33" s="874"/>
      <c r="AG33" s="874"/>
      <c r="AH33" s="806">
        <f t="shared" si="1"/>
        <v>-653022.51</v>
      </c>
      <c r="AI33" s="873">
        <f t="shared" si="17"/>
        <v>-3681076.9700000025</v>
      </c>
      <c r="AJ33" s="874">
        <v>1560914.15</v>
      </c>
      <c r="AK33" s="874"/>
      <c r="AL33" s="874"/>
      <c r="AM33" s="805">
        <f t="shared" si="2"/>
        <v>-2120162.8200000026</v>
      </c>
      <c r="AN33" s="875">
        <f t="shared" si="3"/>
        <v>-653022.51</v>
      </c>
      <c r="AO33" s="874">
        <v>3820.1399999999994</v>
      </c>
      <c r="AP33" s="874"/>
      <c r="AQ33" s="874"/>
      <c r="AR33" s="806">
        <f t="shared" si="4"/>
        <v>-649202.37</v>
      </c>
      <c r="AS33" s="874"/>
      <c r="AT33" s="874"/>
      <c r="AU33" s="875">
        <f t="shared" si="7"/>
        <v>-2120162.8200000026</v>
      </c>
      <c r="AV33" s="876">
        <f t="shared" si="8"/>
        <v>-649202.37</v>
      </c>
      <c r="AW33" s="874">
        <f t="shared" si="9"/>
        <v>-23321.79102000003</v>
      </c>
      <c r="AX33" s="874"/>
      <c r="AY33" s="877">
        <f t="shared" si="18"/>
        <v>-2792686.9810200026</v>
      </c>
      <c r="AZ33" s="878">
        <v>-2769365</v>
      </c>
      <c r="BA33" s="877">
        <f t="shared" si="10"/>
        <v>0.19000000273808837</v>
      </c>
    </row>
    <row r="34" spans="1:53" ht="17.25" thickBot="1" x14ac:dyDescent="0.25">
      <c r="A34" s="815">
        <v>9</v>
      </c>
      <c r="C34" s="892" t="s">
        <v>642</v>
      </c>
      <c r="D34" s="863" t="s">
        <v>643</v>
      </c>
      <c r="E34" s="874">
        <v>0</v>
      </c>
      <c r="F34" s="874">
        <v>0</v>
      </c>
      <c r="G34" s="874"/>
      <c r="H34" s="888"/>
      <c r="I34" s="889">
        <f t="shared" si="11"/>
        <v>0</v>
      </c>
      <c r="J34" s="874">
        <v>0</v>
      </c>
      <c r="K34" s="874"/>
      <c r="L34" s="874"/>
      <c r="M34" s="888"/>
      <c r="N34" s="890">
        <f t="shared" si="12"/>
        <v>0</v>
      </c>
      <c r="O34" s="873">
        <f t="shared" si="13"/>
        <v>0</v>
      </c>
      <c r="P34" s="874"/>
      <c r="Q34" s="874"/>
      <c r="R34" s="888"/>
      <c r="S34" s="889">
        <f t="shared" si="14"/>
        <v>0</v>
      </c>
      <c r="T34" s="875">
        <f t="shared" si="0"/>
        <v>0</v>
      </c>
      <c r="U34" s="874"/>
      <c r="V34" s="874"/>
      <c r="W34" s="888"/>
      <c r="X34" s="890">
        <f t="shared" si="15"/>
        <v>0</v>
      </c>
      <c r="Y34" s="873">
        <f t="shared" si="16"/>
        <v>0</v>
      </c>
      <c r="Z34" s="874">
        <f>887298+3367</f>
        <v>890665</v>
      </c>
      <c r="AA34" s="874">
        <f>885563+2427</f>
        <v>887990</v>
      </c>
      <c r="AB34" s="874"/>
      <c r="AC34" s="805">
        <f>Y34+Z34-AA34+SUM(AB34:AB34)</f>
        <v>2675</v>
      </c>
      <c r="AD34" s="875">
        <f t="shared" si="6"/>
        <v>0</v>
      </c>
      <c r="AE34" s="874">
        <f>-5660</f>
        <v>-5660</v>
      </c>
      <c r="AF34" s="874">
        <v>0</v>
      </c>
      <c r="AG34" s="874"/>
      <c r="AH34" s="806">
        <f t="shared" si="1"/>
        <v>-5660</v>
      </c>
      <c r="AI34" s="873">
        <f t="shared" si="17"/>
        <v>2675</v>
      </c>
      <c r="AJ34" s="874">
        <f>377.82+1</f>
        <v>378.82</v>
      </c>
      <c r="AK34" s="874"/>
      <c r="AL34" s="874"/>
      <c r="AM34" s="805">
        <f t="shared" si="2"/>
        <v>3053.82</v>
      </c>
      <c r="AN34" s="875">
        <f t="shared" si="3"/>
        <v>-5660</v>
      </c>
      <c r="AO34" s="874">
        <v>23.5</v>
      </c>
      <c r="AP34" s="874"/>
      <c r="AQ34" s="874"/>
      <c r="AR34" s="806">
        <f t="shared" si="4"/>
        <v>-5636.5</v>
      </c>
      <c r="AS34" s="874"/>
      <c r="AT34" s="874"/>
      <c r="AU34" s="875">
        <f t="shared" si="7"/>
        <v>3053.82</v>
      </c>
      <c r="AV34" s="876">
        <f t="shared" si="8"/>
        <v>-5636.5</v>
      </c>
      <c r="AW34" s="874">
        <f t="shared" si="9"/>
        <v>33.592020000000005</v>
      </c>
      <c r="AX34" s="874"/>
      <c r="AY34" s="877">
        <f>IF(CA1=TRUE, SUM(AU34:AX34), 0)</f>
        <v>-2549.0879799999998</v>
      </c>
      <c r="AZ34" s="878">
        <v>-2582</v>
      </c>
      <c r="BA34" s="877">
        <f t="shared" si="10"/>
        <v>0.67999999999983629</v>
      </c>
    </row>
    <row r="35" spans="1:53" ht="17.25" thickBot="1" x14ac:dyDescent="0.25">
      <c r="A35" s="815">
        <v>9</v>
      </c>
      <c r="C35" s="892" t="s">
        <v>644</v>
      </c>
      <c r="D35" s="863" t="s">
        <v>645</v>
      </c>
      <c r="E35" s="874">
        <v>0</v>
      </c>
      <c r="F35" s="874">
        <v>0</v>
      </c>
      <c r="G35" s="874"/>
      <c r="H35" s="888"/>
      <c r="I35" s="889">
        <f t="shared" si="11"/>
        <v>0</v>
      </c>
      <c r="J35" s="874">
        <v>0</v>
      </c>
      <c r="K35" s="874"/>
      <c r="L35" s="874"/>
      <c r="M35" s="888"/>
      <c r="N35" s="890">
        <f t="shared" si="12"/>
        <v>0</v>
      </c>
      <c r="O35" s="873">
        <f t="shared" si="13"/>
        <v>0</v>
      </c>
      <c r="P35" s="874"/>
      <c r="Q35" s="874"/>
      <c r="R35" s="888"/>
      <c r="S35" s="889">
        <f t="shared" si="14"/>
        <v>0</v>
      </c>
      <c r="T35" s="875">
        <f>N35</f>
        <v>0</v>
      </c>
      <c r="U35" s="874"/>
      <c r="V35" s="874"/>
      <c r="W35" s="888"/>
      <c r="X35" s="890">
        <f t="shared" si="15"/>
        <v>0</v>
      </c>
      <c r="Y35" s="873">
        <f>S35</f>
        <v>0</v>
      </c>
      <c r="Z35" s="874"/>
      <c r="AA35" s="874"/>
      <c r="AB35" s="874"/>
      <c r="AC35" s="805">
        <f>Y35+Z35-AA35+SUM(AB35:AB35)</f>
        <v>0</v>
      </c>
      <c r="AD35" s="875">
        <f t="shared" si="6"/>
        <v>0</v>
      </c>
      <c r="AE35" s="874"/>
      <c r="AF35" s="874"/>
      <c r="AG35" s="874"/>
      <c r="AH35" s="806">
        <f>AD35+AE35-AF35+AG35</f>
        <v>0</v>
      </c>
      <c r="AI35" s="873">
        <f>AC35</f>
        <v>0</v>
      </c>
      <c r="AJ35" s="874">
        <v>9885176.9800000004</v>
      </c>
      <c r="AK35" s="874">
        <v>10153475</v>
      </c>
      <c r="AL35" s="874"/>
      <c r="AM35" s="805">
        <f t="shared" si="2"/>
        <v>-268298.01999999955</v>
      </c>
      <c r="AN35" s="875">
        <f t="shared" si="3"/>
        <v>0</v>
      </c>
      <c r="AO35" s="874">
        <v>383549.67000000004</v>
      </c>
      <c r="AP35" s="874">
        <v>458332.08</v>
      </c>
      <c r="AQ35" s="874"/>
      <c r="AR35" s="806">
        <f>AN35+AO35-AP35+AQ35</f>
        <v>-74782.409999999974</v>
      </c>
      <c r="AS35" s="874"/>
      <c r="AT35" s="874"/>
      <c r="AU35" s="875">
        <f t="shared" si="7"/>
        <v>-268298.01999999955</v>
      </c>
      <c r="AV35" s="876">
        <f t="shared" si="8"/>
        <v>-74782.409999999974</v>
      </c>
      <c r="AW35" s="874">
        <f t="shared" si="9"/>
        <v>-2951.2782199999956</v>
      </c>
      <c r="AX35" s="874"/>
      <c r="AY35" s="877">
        <f>IF(CA2=TRUE, SUM(AU35:AX35), 0)</f>
        <v>-346031.70821999951</v>
      </c>
      <c r="AZ35" s="878">
        <v>-343080</v>
      </c>
      <c r="BA35" s="877">
        <f t="shared" si="10"/>
        <v>0.42999999952735379</v>
      </c>
    </row>
    <row r="36" spans="1:53" ht="17.25" thickBot="1" x14ac:dyDescent="0.25">
      <c r="C36" s="892" t="s">
        <v>646</v>
      </c>
      <c r="D36" s="863" t="s">
        <v>647</v>
      </c>
      <c r="E36" s="874">
        <v>0</v>
      </c>
      <c r="F36" s="874">
        <v>0</v>
      </c>
      <c r="G36" s="874"/>
      <c r="H36" s="888"/>
      <c r="I36" s="889">
        <f t="shared" si="11"/>
        <v>0</v>
      </c>
      <c r="J36" s="874">
        <v>0</v>
      </c>
      <c r="K36" s="874"/>
      <c r="L36" s="874"/>
      <c r="M36" s="888"/>
      <c r="N36" s="890">
        <f t="shared" si="12"/>
        <v>0</v>
      </c>
      <c r="O36" s="873">
        <f t="shared" si="13"/>
        <v>0</v>
      </c>
      <c r="P36" s="874"/>
      <c r="Q36" s="874"/>
      <c r="R36" s="888"/>
      <c r="S36" s="889">
        <f t="shared" ref="S36:S37" si="19">O36+P36-Q36+SUM(R36:R36)</f>
        <v>0</v>
      </c>
      <c r="T36" s="875">
        <f t="shared" ref="T36:T37" si="20">N36</f>
        <v>0</v>
      </c>
      <c r="U36" s="874"/>
      <c r="V36" s="874"/>
      <c r="W36" s="874"/>
      <c r="X36" s="890">
        <f t="shared" si="15"/>
        <v>0</v>
      </c>
      <c r="Y36" s="873">
        <f t="shared" ref="Y36:Y37" si="21">S36</f>
        <v>0</v>
      </c>
      <c r="Z36" s="874"/>
      <c r="AA36" s="874"/>
      <c r="AB36" s="874"/>
      <c r="AC36" s="805">
        <f t="shared" ref="AC36:AC37" si="22">Y36+Z36-AA36+SUM(AB36:AB36)</f>
        <v>0</v>
      </c>
      <c r="AD36" s="875">
        <f t="shared" si="6"/>
        <v>0</v>
      </c>
      <c r="AE36" s="874"/>
      <c r="AF36" s="874"/>
      <c r="AG36" s="874"/>
      <c r="AH36" s="806">
        <f t="shared" ref="AH36:AH37" si="23">AD36+AE36-AF36+AG36</f>
        <v>0</v>
      </c>
      <c r="AI36" s="873">
        <f t="shared" ref="AI36:AI37" si="24">AC36</f>
        <v>0</v>
      </c>
      <c r="AJ36" s="874"/>
      <c r="AK36" s="874"/>
      <c r="AL36" s="874"/>
      <c r="AM36" s="805">
        <f t="shared" ref="AM36:AM37" si="25">AI36+AJ36-AK36+SUM(AL36:AL36)</f>
        <v>0</v>
      </c>
      <c r="AN36" s="875">
        <f t="shared" si="3"/>
        <v>0</v>
      </c>
      <c r="AO36" s="874"/>
      <c r="AP36" s="874"/>
      <c r="AQ36" s="874"/>
      <c r="AR36" s="806">
        <f t="shared" ref="AR36:AR37" si="26">AN36+AO36-AP36+AQ36</f>
        <v>0</v>
      </c>
      <c r="AS36" s="874"/>
      <c r="AT36" s="874"/>
      <c r="AU36" s="875">
        <f>AM36-AS36</f>
        <v>0</v>
      </c>
      <c r="AV36" s="876">
        <f>AR36-AT36</f>
        <v>0</v>
      </c>
      <c r="AW36" s="874"/>
      <c r="AX36" s="874"/>
      <c r="AY36" s="877">
        <f>IF(CA3=TRUE, SUM(AU36:AX36), 0)</f>
        <v>0</v>
      </c>
      <c r="AZ36" s="878">
        <v>0</v>
      </c>
      <c r="BA36" s="877">
        <f t="shared" si="10"/>
        <v>0</v>
      </c>
    </row>
    <row r="37" spans="1:53" ht="31.5" thickBot="1" x14ac:dyDescent="0.25">
      <c r="C37" s="893" t="s">
        <v>648</v>
      </c>
      <c r="D37" s="863" t="s">
        <v>649</v>
      </c>
      <c r="E37" s="874">
        <v>0</v>
      </c>
      <c r="F37" s="874">
        <v>0</v>
      </c>
      <c r="G37" s="874"/>
      <c r="H37" s="888"/>
      <c r="I37" s="889">
        <f t="shared" si="11"/>
        <v>0</v>
      </c>
      <c r="J37" s="874">
        <v>0</v>
      </c>
      <c r="K37" s="874"/>
      <c r="L37" s="874"/>
      <c r="M37" s="888"/>
      <c r="N37" s="890">
        <f t="shared" si="12"/>
        <v>0</v>
      </c>
      <c r="O37" s="873">
        <f t="shared" si="13"/>
        <v>0</v>
      </c>
      <c r="P37" s="874"/>
      <c r="Q37" s="874"/>
      <c r="R37" s="888"/>
      <c r="S37" s="889">
        <f t="shared" si="19"/>
        <v>0</v>
      </c>
      <c r="T37" s="875">
        <f t="shared" si="20"/>
        <v>0</v>
      </c>
      <c r="U37" s="874"/>
      <c r="V37" s="874"/>
      <c r="W37" s="874"/>
      <c r="X37" s="890">
        <f t="shared" si="15"/>
        <v>0</v>
      </c>
      <c r="Y37" s="873">
        <f t="shared" si="21"/>
        <v>0</v>
      </c>
      <c r="Z37" s="874"/>
      <c r="AA37" s="874"/>
      <c r="AB37" s="874"/>
      <c r="AC37" s="805">
        <f t="shared" si="22"/>
        <v>0</v>
      </c>
      <c r="AD37" s="875">
        <f t="shared" si="6"/>
        <v>0</v>
      </c>
      <c r="AE37" s="874"/>
      <c r="AF37" s="874"/>
      <c r="AG37" s="874"/>
      <c r="AH37" s="806">
        <f t="shared" si="23"/>
        <v>0</v>
      </c>
      <c r="AI37" s="873">
        <f t="shared" si="24"/>
        <v>0</v>
      </c>
      <c r="AJ37" s="874"/>
      <c r="AK37" s="874"/>
      <c r="AL37" s="874"/>
      <c r="AM37" s="805">
        <f t="shared" si="25"/>
        <v>0</v>
      </c>
      <c r="AN37" s="875">
        <f t="shared" si="3"/>
        <v>0</v>
      </c>
      <c r="AO37" s="874"/>
      <c r="AP37" s="874"/>
      <c r="AQ37" s="874"/>
      <c r="AR37" s="806">
        <f t="shared" si="26"/>
        <v>0</v>
      </c>
      <c r="AS37" s="874"/>
      <c r="AT37" s="874"/>
      <c r="AU37" s="875">
        <f>AM37-AS37</f>
        <v>0</v>
      </c>
      <c r="AV37" s="876">
        <f>AR37-AT37</f>
        <v>0</v>
      </c>
      <c r="AW37" s="874"/>
      <c r="AX37" s="874"/>
      <c r="AY37" s="877">
        <f>IF(CA4=TRUE, SUM(AU37:AX37), 0)</f>
        <v>0</v>
      </c>
      <c r="AZ37" s="878">
        <v>0</v>
      </c>
      <c r="BA37" s="877">
        <f t="shared" si="10"/>
        <v>0</v>
      </c>
    </row>
    <row r="38" spans="1:53" ht="14.25" x14ac:dyDescent="0.2">
      <c r="C38" s="854"/>
      <c r="D38" s="894"/>
      <c r="E38" s="808"/>
      <c r="F38" s="805"/>
      <c r="G38" s="805"/>
      <c r="H38" s="805"/>
      <c r="I38" s="895"/>
      <c r="J38" s="805"/>
      <c r="K38" s="805"/>
      <c r="L38" s="805"/>
      <c r="M38" s="805"/>
      <c r="N38" s="896"/>
      <c r="O38" s="808"/>
      <c r="P38" s="805"/>
      <c r="Q38" s="805"/>
      <c r="R38" s="805"/>
      <c r="S38" s="895"/>
      <c r="T38" s="805"/>
      <c r="U38" s="805"/>
      <c r="V38" s="805"/>
      <c r="W38" s="805"/>
      <c r="X38" s="896"/>
      <c r="Y38" s="808"/>
      <c r="Z38" s="805"/>
      <c r="AA38" s="805"/>
      <c r="AB38" s="805"/>
      <c r="AC38" s="805"/>
      <c r="AD38" s="805"/>
      <c r="AE38" s="805"/>
      <c r="AF38" s="805"/>
      <c r="AG38" s="805"/>
      <c r="AH38" s="806"/>
      <c r="AI38" s="808"/>
      <c r="AJ38" s="805"/>
      <c r="AK38" s="805"/>
      <c r="AL38" s="805"/>
      <c r="AM38" s="805"/>
      <c r="AN38" s="805"/>
      <c r="AO38" s="805"/>
      <c r="AP38" s="805"/>
      <c r="AQ38" s="805"/>
      <c r="AR38" s="806"/>
      <c r="AS38" s="808"/>
      <c r="AT38" s="805"/>
      <c r="AU38" s="805"/>
      <c r="AV38" s="806"/>
      <c r="AW38" s="897"/>
      <c r="AX38" s="897"/>
      <c r="AY38" s="877"/>
      <c r="AZ38" s="878"/>
      <c r="BA38" s="877"/>
    </row>
    <row r="39" spans="1:53" ht="15" x14ac:dyDescent="0.25">
      <c r="C39" s="898" t="s">
        <v>635</v>
      </c>
      <c r="D39" s="899">
        <v>1589</v>
      </c>
      <c r="E39" s="808">
        <f t="shared" ref="E39:BA39" si="27">E30</f>
        <v>-22821333</v>
      </c>
      <c r="F39" s="805">
        <f t="shared" si="27"/>
        <v>2042513</v>
      </c>
      <c r="G39" s="805">
        <f t="shared" si="27"/>
        <v>0</v>
      </c>
      <c r="H39" s="805">
        <f t="shared" si="27"/>
        <v>0</v>
      </c>
      <c r="I39" s="805">
        <f t="shared" si="27"/>
        <v>-20778820</v>
      </c>
      <c r="J39" s="805">
        <f t="shared" si="27"/>
        <v>-113282</v>
      </c>
      <c r="K39" s="805">
        <f t="shared" si="27"/>
        <v>-331638.34000000003</v>
      </c>
      <c r="L39" s="805">
        <f t="shared" si="27"/>
        <v>0</v>
      </c>
      <c r="M39" s="805">
        <f t="shared" si="27"/>
        <v>0</v>
      </c>
      <c r="N39" s="806">
        <f t="shared" si="27"/>
        <v>-444920.34</v>
      </c>
      <c r="O39" s="805">
        <f t="shared" si="27"/>
        <v>-20778820</v>
      </c>
      <c r="P39" s="805">
        <f t="shared" si="27"/>
        <v>-2771959.94</v>
      </c>
      <c r="Q39" s="805">
        <f t="shared" si="27"/>
        <v>-22821333</v>
      </c>
      <c r="R39" s="805">
        <f t="shared" si="27"/>
        <v>0</v>
      </c>
      <c r="S39" s="805">
        <f t="shared" si="27"/>
        <v>-729446.94000000134</v>
      </c>
      <c r="T39" s="805">
        <f t="shared" si="27"/>
        <v>-444920.34</v>
      </c>
      <c r="U39" s="805">
        <f t="shared" si="27"/>
        <v>-31191.42</v>
      </c>
      <c r="V39" s="805">
        <f t="shared" si="27"/>
        <v>-477146</v>
      </c>
      <c r="W39" s="805">
        <f t="shared" si="27"/>
        <v>0</v>
      </c>
      <c r="X39" s="806">
        <f t="shared" si="27"/>
        <v>1034.2399999999907</v>
      </c>
      <c r="Y39" s="805">
        <f t="shared" si="27"/>
        <v>-729446.94000000134</v>
      </c>
      <c r="Z39" s="805">
        <f t="shared" si="27"/>
        <v>3161417.86</v>
      </c>
      <c r="AA39" s="805">
        <f t="shared" si="27"/>
        <v>2042512.49</v>
      </c>
      <c r="AB39" s="805">
        <f t="shared" si="27"/>
        <v>0</v>
      </c>
      <c r="AC39" s="805">
        <f t="shared" si="27"/>
        <v>389458.42999999854</v>
      </c>
      <c r="AD39" s="805">
        <f t="shared" si="27"/>
        <v>1034.2399999999907</v>
      </c>
      <c r="AE39" s="805">
        <f t="shared" si="27"/>
        <v>40514.370000000003</v>
      </c>
      <c r="AF39" s="805">
        <f t="shared" si="27"/>
        <v>62251.51</v>
      </c>
      <c r="AG39" s="805">
        <f t="shared" si="27"/>
        <v>0</v>
      </c>
      <c r="AH39" s="806">
        <f t="shared" si="27"/>
        <v>-20702.900000000009</v>
      </c>
      <c r="AI39" s="805">
        <f t="shared" si="27"/>
        <v>389458.42999999854</v>
      </c>
      <c r="AJ39" s="805">
        <f t="shared" si="27"/>
        <v>7999425.6600000001</v>
      </c>
      <c r="AK39" s="805">
        <f t="shared" si="27"/>
        <v>-2771959</v>
      </c>
      <c r="AL39" s="805">
        <f t="shared" si="27"/>
        <v>0</v>
      </c>
      <c r="AM39" s="805">
        <f t="shared" si="27"/>
        <v>11160843.089999998</v>
      </c>
      <c r="AN39" s="805">
        <f t="shared" si="27"/>
        <v>-20702.900000000009</v>
      </c>
      <c r="AO39" s="805">
        <f t="shared" si="27"/>
        <v>59398.74</v>
      </c>
      <c r="AP39" s="805">
        <f t="shared" si="27"/>
        <v>-101964.8</v>
      </c>
      <c r="AQ39" s="805">
        <f t="shared" si="27"/>
        <v>0</v>
      </c>
      <c r="AR39" s="806">
        <f t="shared" si="27"/>
        <v>140660.63999999998</v>
      </c>
      <c r="AS39" s="805">
        <f t="shared" si="27"/>
        <v>0</v>
      </c>
      <c r="AT39" s="805">
        <f t="shared" si="27"/>
        <v>0</v>
      </c>
      <c r="AU39" s="805">
        <f t="shared" si="27"/>
        <v>11160843.089999998</v>
      </c>
      <c r="AV39" s="806">
        <f t="shared" si="27"/>
        <v>140660.63999999998</v>
      </c>
      <c r="AW39" s="805">
        <f t="shared" si="27"/>
        <v>122769.27398999999</v>
      </c>
      <c r="AX39" s="805">
        <f t="shared" si="27"/>
        <v>0</v>
      </c>
      <c r="AY39" s="805">
        <f t="shared" si="27"/>
        <v>11424273.003989998</v>
      </c>
      <c r="AZ39" s="809">
        <f t="shared" si="27"/>
        <v>11301504</v>
      </c>
      <c r="BA39" s="809">
        <f t="shared" si="27"/>
        <v>0.27000000141561031</v>
      </c>
    </row>
    <row r="40" spans="1:53" ht="15" x14ac:dyDescent="0.25">
      <c r="C40" s="898" t="s">
        <v>650</v>
      </c>
      <c r="D40" s="900"/>
      <c r="E40" s="808">
        <f>SUM(E26:E29,E31:E37, E24)</f>
        <v>-10033424.719999999</v>
      </c>
      <c r="F40" s="805">
        <f>SUM(F26:F29,F31:F37, F24)</f>
        <v>-13407076</v>
      </c>
      <c r="G40" s="805">
        <f t="shared" ref="G40:M40" si="28">SUM(G26:G29,G31:G37, G24)</f>
        <v>0</v>
      </c>
      <c r="H40" s="805">
        <f t="shared" si="28"/>
        <v>0</v>
      </c>
      <c r="I40" s="805">
        <f t="shared" si="28"/>
        <v>-23440500.719999999</v>
      </c>
      <c r="J40" s="805">
        <f t="shared" si="28"/>
        <v>-1093612.07</v>
      </c>
      <c r="K40" s="805">
        <f t="shared" si="28"/>
        <v>440239.35999999993</v>
      </c>
      <c r="L40" s="805">
        <f t="shared" si="28"/>
        <v>0</v>
      </c>
      <c r="M40" s="805">
        <f t="shared" si="28"/>
        <v>0</v>
      </c>
      <c r="N40" s="806">
        <f>SUM(N26:N29,N31:N37, N24)</f>
        <v>-653372.7100000002</v>
      </c>
      <c r="O40" s="805">
        <f>SUM(O26:O29,O31:O37, O24)</f>
        <v>-23440500.719999999</v>
      </c>
      <c r="P40" s="805">
        <f>SUM(P26:P29,P31:P37, P24)</f>
        <v>11234351.92</v>
      </c>
      <c r="Q40" s="805">
        <f t="shared" ref="Q40:X40" si="29">SUM(Q26:Q29,Q31:Q37, Q24)</f>
        <v>22766012.390000001</v>
      </c>
      <c r="R40" s="805">
        <f t="shared" si="29"/>
        <v>0</v>
      </c>
      <c r="S40" s="805">
        <f t="shared" si="29"/>
        <v>-34972161.189999998</v>
      </c>
      <c r="T40" s="805">
        <f t="shared" si="29"/>
        <v>-653372.7100000002</v>
      </c>
      <c r="U40" s="805">
        <f t="shared" si="29"/>
        <v>-55516.429999999964</v>
      </c>
      <c r="V40" s="805">
        <f t="shared" si="29"/>
        <v>529229.30000000005</v>
      </c>
      <c r="W40" s="805">
        <f t="shared" si="29"/>
        <v>0</v>
      </c>
      <c r="X40" s="806">
        <f t="shared" si="29"/>
        <v>-1238118.4400000002</v>
      </c>
      <c r="Y40" s="805">
        <f>SUM(Y26:Y29,Y31:Y37, Y24:Y25)</f>
        <v>-34972161.189999998</v>
      </c>
      <c r="Z40" s="805">
        <f t="shared" ref="Z40:BA40" si="30">SUM(Z26:Z29,Z31:Z37, Z24:Z25)</f>
        <v>18120284.990000002</v>
      </c>
      <c r="AA40" s="805">
        <f t="shared" si="30"/>
        <v>-4054851.01</v>
      </c>
      <c r="AB40" s="805">
        <f t="shared" si="30"/>
        <v>0</v>
      </c>
      <c r="AC40" s="805">
        <f t="shared" si="30"/>
        <v>-12797025.190000005</v>
      </c>
      <c r="AD40" s="805">
        <f t="shared" si="30"/>
        <v>-1238118.4400000002</v>
      </c>
      <c r="AE40" s="805">
        <f t="shared" si="30"/>
        <v>60538.179999999978</v>
      </c>
      <c r="AF40" s="805">
        <f t="shared" si="30"/>
        <v>-100300.33</v>
      </c>
      <c r="AG40" s="805">
        <f t="shared" si="30"/>
        <v>0</v>
      </c>
      <c r="AH40" s="806">
        <f t="shared" si="30"/>
        <v>-1077279.9300000002</v>
      </c>
      <c r="AI40" s="805">
        <f t="shared" si="30"/>
        <v>-12797025.190000005</v>
      </c>
      <c r="AJ40" s="805">
        <f t="shared" si="30"/>
        <v>15483172.390000001</v>
      </c>
      <c r="AK40" s="805">
        <f t="shared" si="30"/>
        <v>2770104.28</v>
      </c>
      <c r="AL40" s="805">
        <f t="shared" si="30"/>
        <v>0</v>
      </c>
      <c r="AM40" s="805">
        <f t="shared" si="30"/>
        <v>-83957.080000003043</v>
      </c>
      <c r="AN40" s="805">
        <f t="shared" si="30"/>
        <v>-1077279.9300000002</v>
      </c>
      <c r="AO40" s="805">
        <f t="shared" si="30"/>
        <v>474283.72000000003</v>
      </c>
      <c r="AP40" s="805">
        <f t="shared" si="30"/>
        <v>101958.47000000002</v>
      </c>
      <c r="AQ40" s="805">
        <f t="shared" si="30"/>
        <v>0</v>
      </c>
      <c r="AR40" s="806">
        <f t="shared" si="30"/>
        <v>-704954.68</v>
      </c>
      <c r="AS40" s="805">
        <f t="shared" si="30"/>
        <v>0</v>
      </c>
      <c r="AT40" s="805">
        <f t="shared" si="30"/>
        <v>0</v>
      </c>
      <c r="AU40" s="805">
        <f t="shared" si="30"/>
        <v>-83957.080000003043</v>
      </c>
      <c r="AV40" s="806">
        <f t="shared" si="30"/>
        <v>-704954.68</v>
      </c>
      <c r="AW40" s="805">
        <f t="shared" si="30"/>
        <v>-923.52788000003545</v>
      </c>
      <c r="AX40" s="805">
        <f t="shared" si="30"/>
        <v>0</v>
      </c>
      <c r="AY40" s="805">
        <f t="shared" si="30"/>
        <v>-789835.28788000182</v>
      </c>
      <c r="AZ40" s="809">
        <f t="shared" si="30"/>
        <v>-788911</v>
      </c>
      <c r="BA40" s="809">
        <f t="shared" si="30"/>
        <v>0.76000000299927706</v>
      </c>
    </row>
    <row r="41" spans="1:53" ht="15" x14ac:dyDescent="0.25">
      <c r="C41" s="901" t="s">
        <v>651</v>
      </c>
      <c r="D41" s="902"/>
      <c r="E41" s="808">
        <f>SUM(E26:E37, E24)</f>
        <v>-32854757.719999999</v>
      </c>
      <c r="F41" s="805">
        <f t="shared" ref="F41:L41" si="31">SUM(F26:F37, F24)</f>
        <v>-11364563</v>
      </c>
      <c r="G41" s="805">
        <f t="shared" si="31"/>
        <v>0</v>
      </c>
      <c r="H41" s="805">
        <f t="shared" si="31"/>
        <v>0</v>
      </c>
      <c r="I41" s="805">
        <f t="shared" si="31"/>
        <v>-44219320.719999999</v>
      </c>
      <c r="J41" s="805">
        <f t="shared" si="31"/>
        <v>-1206894.07</v>
      </c>
      <c r="K41" s="805">
        <f t="shared" si="31"/>
        <v>108601.0199999999</v>
      </c>
      <c r="L41" s="805">
        <f t="shared" si="31"/>
        <v>0</v>
      </c>
      <c r="M41" s="805">
        <f>SUM(M26:M37, M24)</f>
        <v>0</v>
      </c>
      <c r="N41" s="806">
        <f>SUM(N24:N37)</f>
        <v>-1098293.05</v>
      </c>
      <c r="O41" s="805">
        <f>SUM(O26:O37, O24)</f>
        <v>-44219320.719999999</v>
      </c>
      <c r="P41" s="805">
        <f>SUM(P26:P37, P24)</f>
        <v>8462391.9799999986</v>
      </c>
      <c r="Q41" s="805">
        <f t="shared" ref="Q41:X41" si="32">SUM(Q26:Q37, Q24)</f>
        <v>-55320.609999999404</v>
      </c>
      <c r="R41" s="805">
        <f t="shared" si="32"/>
        <v>0</v>
      </c>
      <c r="S41" s="805">
        <f t="shared" si="32"/>
        <v>-35701608.130000003</v>
      </c>
      <c r="T41" s="805">
        <f t="shared" si="32"/>
        <v>-1098293.0500000003</v>
      </c>
      <c r="U41" s="805">
        <f t="shared" si="32"/>
        <v>-86707.849999999977</v>
      </c>
      <c r="V41" s="805">
        <f t="shared" si="32"/>
        <v>52083.300000000047</v>
      </c>
      <c r="W41" s="805">
        <f t="shared" si="32"/>
        <v>0</v>
      </c>
      <c r="X41" s="806">
        <f t="shared" si="32"/>
        <v>-1237084.2</v>
      </c>
      <c r="Y41" s="805">
        <f>SUM(Y26:Y37, Y24:Y25)</f>
        <v>-35701608.130000003</v>
      </c>
      <c r="Z41" s="805">
        <f t="shared" ref="Z41:AY41" si="33">SUM(Z26:Z37, Z24:Z25)</f>
        <v>21281702.850000001</v>
      </c>
      <c r="AA41" s="805">
        <f t="shared" si="33"/>
        <v>-2012338.5199999998</v>
      </c>
      <c r="AB41" s="805">
        <f t="shared" si="33"/>
        <v>0</v>
      </c>
      <c r="AC41" s="805">
        <f t="shared" si="33"/>
        <v>-12407566.760000005</v>
      </c>
      <c r="AD41" s="805">
        <f t="shared" si="33"/>
        <v>-1237084.2</v>
      </c>
      <c r="AE41" s="805">
        <f t="shared" si="33"/>
        <v>101052.54999999997</v>
      </c>
      <c r="AF41" s="805">
        <f t="shared" si="33"/>
        <v>-38048.820000000007</v>
      </c>
      <c r="AG41" s="805">
        <f t="shared" si="33"/>
        <v>0</v>
      </c>
      <c r="AH41" s="806">
        <f t="shared" si="33"/>
        <v>-1097982.8300000003</v>
      </c>
      <c r="AI41" s="805">
        <f t="shared" si="33"/>
        <v>-12407566.760000005</v>
      </c>
      <c r="AJ41" s="805">
        <f t="shared" si="33"/>
        <v>23482598.050000004</v>
      </c>
      <c r="AK41" s="805">
        <f t="shared" si="33"/>
        <v>-1854.7200000002049</v>
      </c>
      <c r="AL41" s="805">
        <f t="shared" si="33"/>
        <v>0</v>
      </c>
      <c r="AM41" s="805">
        <f t="shared" si="33"/>
        <v>11076886.009999994</v>
      </c>
      <c r="AN41" s="805">
        <f t="shared" si="33"/>
        <v>-1097982.8300000003</v>
      </c>
      <c r="AO41" s="805">
        <f t="shared" si="33"/>
        <v>533682.46000000008</v>
      </c>
      <c r="AP41" s="805">
        <f t="shared" si="33"/>
        <v>-6.3300000000308501</v>
      </c>
      <c r="AQ41" s="805">
        <f t="shared" si="33"/>
        <v>0</v>
      </c>
      <c r="AR41" s="806">
        <f t="shared" si="33"/>
        <v>-564294.04000000015</v>
      </c>
      <c r="AS41" s="805">
        <f t="shared" si="33"/>
        <v>0</v>
      </c>
      <c r="AT41" s="805">
        <f t="shared" si="33"/>
        <v>0</v>
      </c>
      <c r="AU41" s="805">
        <f t="shared" si="33"/>
        <v>11076886.009999994</v>
      </c>
      <c r="AV41" s="806">
        <f t="shared" si="33"/>
        <v>-564294.04000000015</v>
      </c>
      <c r="AW41" s="805">
        <f t="shared" si="33"/>
        <v>121845.74610999995</v>
      </c>
      <c r="AX41" s="805">
        <f t="shared" si="33"/>
        <v>0</v>
      </c>
      <c r="AY41" s="805">
        <f t="shared" si="33"/>
        <v>10634437.716109997</v>
      </c>
      <c r="AZ41" s="809">
        <f>SUM(AZ26:AZ37, AZ24:AZ25)</f>
        <v>10512593</v>
      </c>
      <c r="BA41" s="809">
        <f>SUM(BA26:BA37, BA24:BA25)</f>
        <v>1.0300000044148874</v>
      </c>
    </row>
    <row r="42" spans="1:53" ht="15" thickBot="1" x14ac:dyDescent="0.25">
      <c r="C42" s="804"/>
      <c r="D42" s="807"/>
      <c r="E42" s="808"/>
      <c r="F42" s="805"/>
      <c r="G42" s="805"/>
      <c r="H42" s="805"/>
      <c r="I42" s="805"/>
      <c r="J42" s="805"/>
      <c r="K42" s="805"/>
      <c r="L42" s="805"/>
      <c r="M42" s="805"/>
      <c r="N42" s="896"/>
      <c r="O42" s="808"/>
      <c r="P42" s="805"/>
      <c r="Q42" s="805"/>
      <c r="R42" s="805"/>
      <c r="S42" s="895"/>
      <c r="T42" s="805"/>
      <c r="U42" s="805"/>
      <c r="V42" s="805"/>
      <c r="W42" s="805"/>
      <c r="X42" s="896"/>
      <c r="Y42" s="808"/>
      <c r="Z42" s="805"/>
      <c r="AA42" s="805"/>
      <c r="AB42" s="805"/>
      <c r="AC42" s="805"/>
      <c r="AD42" s="805"/>
      <c r="AE42" s="805"/>
      <c r="AF42" s="805"/>
      <c r="AG42" s="805"/>
      <c r="AH42" s="806"/>
      <c r="AI42" s="808"/>
      <c r="AJ42" s="805"/>
      <c r="AK42" s="805"/>
      <c r="AL42" s="805"/>
      <c r="AM42" s="805"/>
      <c r="AN42" s="805"/>
      <c r="AO42" s="805"/>
      <c r="AP42" s="805"/>
      <c r="AQ42" s="805"/>
      <c r="AR42" s="806"/>
      <c r="AS42" s="808"/>
      <c r="AT42" s="805"/>
      <c r="AU42" s="805"/>
      <c r="AV42" s="806"/>
      <c r="AW42" s="897"/>
      <c r="AX42" s="897"/>
      <c r="AY42" s="877"/>
      <c r="AZ42" s="878"/>
      <c r="BA42" s="877"/>
    </row>
    <row r="43" spans="1:53" ht="15.75" thickBot="1" x14ac:dyDescent="0.3">
      <c r="C43" s="903" t="s">
        <v>652</v>
      </c>
      <c r="D43" s="904">
        <v>1568</v>
      </c>
      <c r="E43" s="905"/>
      <c r="F43" s="871"/>
      <c r="G43" s="871"/>
      <c r="H43" s="906"/>
      <c r="I43" s="889">
        <f>E43+F43-G43+SUM(H43:H43)</f>
        <v>0</v>
      </c>
      <c r="J43" s="871"/>
      <c r="K43" s="871"/>
      <c r="L43" s="871"/>
      <c r="M43" s="906"/>
      <c r="N43" s="890">
        <f>J43+K43-L43+M43</f>
        <v>0</v>
      </c>
      <c r="O43" s="905"/>
      <c r="P43" s="871">
        <v>399442.86</v>
      </c>
      <c r="Q43" s="871"/>
      <c r="R43" s="906"/>
      <c r="S43" s="889">
        <f>O43+P43-Q43+SUM(R43:R43)</f>
        <v>399442.86</v>
      </c>
      <c r="T43" s="871">
        <v>380</v>
      </c>
      <c r="U43" s="871"/>
      <c r="V43" s="871"/>
      <c r="W43" s="906"/>
      <c r="X43" s="890">
        <f>T43+U43-V43+W43</f>
        <v>380</v>
      </c>
      <c r="Y43" s="873">
        <f>S43</f>
        <v>399442.86</v>
      </c>
      <c r="Z43" s="874">
        <v>-338024.2</v>
      </c>
      <c r="AA43" s="874"/>
      <c r="AB43" s="874"/>
      <c r="AC43" s="805">
        <f>Y43+Z43-AA43+SUM(AB43:AB43)</f>
        <v>61418.659999999974</v>
      </c>
      <c r="AD43" s="875">
        <f>X43</f>
        <v>380</v>
      </c>
      <c r="AE43" s="874">
        <v>5488</v>
      </c>
      <c r="AF43" s="874"/>
      <c r="AG43" s="874"/>
      <c r="AH43" s="806">
        <f>AD43+AE43-AF43+AG43</f>
        <v>5868</v>
      </c>
      <c r="AI43" s="873">
        <f>AC43</f>
        <v>61418.659999999974</v>
      </c>
      <c r="AJ43" s="874">
        <v>12856.94</v>
      </c>
      <c r="AK43" s="874"/>
      <c r="AL43" s="874"/>
      <c r="AM43" s="805">
        <f>AI43+AJ43-AK43+SUM(AL43:AL43)</f>
        <v>74275.599999999977</v>
      </c>
      <c r="AN43" s="875">
        <f>AH43</f>
        <v>5868</v>
      </c>
      <c r="AO43" s="874">
        <v>688.53</v>
      </c>
      <c r="AP43" s="874"/>
      <c r="AQ43" s="874"/>
      <c r="AR43" s="806">
        <f>AN43+AO43-AP43+AQ43</f>
        <v>6556.53</v>
      </c>
      <c r="AS43" s="874">
        <v>0</v>
      </c>
      <c r="AT43" s="874">
        <v>0</v>
      </c>
      <c r="AU43" s="875">
        <f>AM43-AS43</f>
        <v>74275.599999999977</v>
      </c>
      <c r="AV43" s="876">
        <f>AR43-AT43</f>
        <v>6556.53</v>
      </c>
      <c r="AW43" s="874">
        <f>(AU43*1.1%)</f>
        <v>817.0315999999998</v>
      </c>
      <c r="AX43" s="874"/>
      <c r="AY43" s="877">
        <f>SUM(AU43:AX43)</f>
        <v>81649.161599999978</v>
      </c>
      <c r="AZ43" s="907">
        <v>80832</v>
      </c>
      <c r="BA43" s="877">
        <f>AZ43-SUM(AM43,AR43)</f>
        <v>-0.12999999997555278</v>
      </c>
    </row>
    <row r="44" spans="1:53" ht="14.25" x14ac:dyDescent="0.2">
      <c r="C44" s="804"/>
      <c r="D44" s="807"/>
      <c r="E44" s="808"/>
      <c r="F44" s="805"/>
      <c r="G44" s="805"/>
      <c r="H44" s="805"/>
      <c r="I44" s="895"/>
      <c r="J44" s="805"/>
      <c r="K44" s="805"/>
      <c r="L44" s="805"/>
      <c r="M44" s="805"/>
      <c r="N44" s="895"/>
      <c r="O44" s="808"/>
      <c r="P44" s="805"/>
      <c r="Q44" s="805"/>
      <c r="R44" s="805"/>
      <c r="S44" s="895"/>
      <c r="T44" s="805"/>
      <c r="U44" s="805"/>
      <c r="V44" s="805"/>
      <c r="W44" s="805"/>
      <c r="X44" s="895"/>
      <c r="Y44" s="808"/>
      <c r="Z44" s="805"/>
      <c r="AA44" s="805"/>
      <c r="AB44" s="805"/>
      <c r="AC44" s="805"/>
      <c r="AD44" s="805"/>
      <c r="AE44" s="805"/>
      <c r="AF44" s="805"/>
      <c r="AG44" s="805"/>
      <c r="AH44" s="805"/>
      <c r="AI44" s="808"/>
      <c r="AJ44" s="805"/>
      <c r="AK44" s="805"/>
      <c r="AL44" s="805"/>
      <c r="AM44" s="805"/>
      <c r="AN44" s="805"/>
      <c r="AO44" s="805"/>
      <c r="AP44" s="805"/>
      <c r="AQ44" s="805"/>
      <c r="AR44" s="805"/>
      <c r="AS44" s="808"/>
      <c r="AT44" s="805"/>
      <c r="AU44" s="805"/>
      <c r="AV44" s="806"/>
      <c r="AW44" s="897"/>
      <c r="AX44" s="897"/>
      <c r="AY44" s="877"/>
      <c r="AZ44" s="878"/>
      <c r="BA44" s="877"/>
    </row>
    <row r="45" spans="1:53" ht="15.75" thickBot="1" x14ac:dyDescent="0.3">
      <c r="C45" s="908" t="s">
        <v>653</v>
      </c>
      <c r="D45" s="909"/>
      <c r="E45" s="810">
        <f>E43+E41</f>
        <v>-32854757.719999999</v>
      </c>
      <c r="F45" s="811">
        <f t="shared" ref="F45:BA45" si="34">F43+F41</f>
        <v>-11364563</v>
      </c>
      <c r="G45" s="811">
        <f t="shared" si="34"/>
        <v>0</v>
      </c>
      <c r="H45" s="811">
        <f t="shared" si="34"/>
        <v>0</v>
      </c>
      <c r="I45" s="811">
        <f t="shared" si="34"/>
        <v>-44219320.719999999</v>
      </c>
      <c r="J45" s="811">
        <f t="shared" si="34"/>
        <v>-1206894.07</v>
      </c>
      <c r="K45" s="811">
        <f t="shared" si="34"/>
        <v>108601.0199999999</v>
      </c>
      <c r="L45" s="811">
        <f t="shared" si="34"/>
        <v>0</v>
      </c>
      <c r="M45" s="811">
        <f t="shared" si="34"/>
        <v>0</v>
      </c>
      <c r="N45" s="812">
        <f t="shared" si="34"/>
        <v>-1098293.05</v>
      </c>
      <c r="O45" s="810">
        <f t="shared" si="34"/>
        <v>-44219320.719999999</v>
      </c>
      <c r="P45" s="811">
        <f t="shared" si="34"/>
        <v>8861834.839999998</v>
      </c>
      <c r="Q45" s="811">
        <f t="shared" si="34"/>
        <v>-55320.609999999404</v>
      </c>
      <c r="R45" s="811">
        <f t="shared" si="34"/>
        <v>0</v>
      </c>
      <c r="S45" s="811">
        <f t="shared" si="34"/>
        <v>-35302165.270000003</v>
      </c>
      <c r="T45" s="811">
        <f t="shared" si="34"/>
        <v>-1097913.0500000003</v>
      </c>
      <c r="U45" s="811">
        <f t="shared" si="34"/>
        <v>-86707.849999999977</v>
      </c>
      <c r="V45" s="811">
        <f t="shared" si="34"/>
        <v>52083.300000000047</v>
      </c>
      <c r="W45" s="811">
        <f t="shared" si="34"/>
        <v>0</v>
      </c>
      <c r="X45" s="812">
        <f t="shared" si="34"/>
        <v>-1236704.2</v>
      </c>
      <c r="Y45" s="810">
        <f t="shared" si="34"/>
        <v>-35302165.270000003</v>
      </c>
      <c r="Z45" s="811">
        <f t="shared" si="34"/>
        <v>20943678.650000002</v>
      </c>
      <c r="AA45" s="811">
        <f t="shared" si="34"/>
        <v>-2012338.5199999998</v>
      </c>
      <c r="AB45" s="811">
        <f t="shared" si="34"/>
        <v>0</v>
      </c>
      <c r="AC45" s="811">
        <f t="shared" si="34"/>
        <v>-12346148.100000005</v>
      </c>
      <c r="AD45" s="811">
        <f t="shared" si="34"/>
        <v>-1236704.2</v>
      </c>
      <c r="AE45" s="811">
        <f t="shared" si="34"/>
        <v>106540.54999999997</v>
      </c>
      <c r="AF45" s="811">
        <f t="shared" si="34"/>
        <v>-38048.820000000007</v>
      </c>
      <c r="AG45" s="811">
        <f t="shared" si="34"/>
        <v>0</v>
      </c>
      <c r="AH45" s="812">
        <f t="shared" si="34"/>
        <v>-1092114.8300000003</v>
      </c>
      <c r="AI45" s="810">
        <f t="shared" si="34"/>
        <v>-12346148.100000005</v>
      </c>
      <c r="AJ45" s="811">
        <f t="shared" si="34"/>
        <v>23495454.990000006</v>
      </c>
      <c r="AK45" s="811">
        <f t="shared" si="34"/>
        <v>-1854.7200000002049</v>
      </c>
      <c r="AL45" s="811">
        <f t="shared" si="34"/>
        <v>0</v>
      </c>
      <c r="AM45" s="811">
        <f t="shared" si="34"/>
        <v>11151161.609999994</v>
      </c>
      <c r="AN45" s="811">
        <f t="shared" si="34"/>
        <v>-1092114.8300000003</v>
      </c>
      <c r="AO45" s="811">
        <f t="shared" si="34"/>
        <v>534370.99000000011</v>
      </c>
      <c r="AP45" s="811">
        <f t="shared" si="34"/>
        <v>-6.3300000000308501</v>
      </c>
      <c r="AQ45" s="811">
        <f t="shared" si="34"/>
        <v>0</v>
      </c>
      <c r="AR45" s="812">
        <f t="shared" si="34"/>
        <v>-557737.51000000013</v>
      </c>
      <c r="AS45" s="810">
        <f t="shared" si="34"/>
        <v>0</v>
      </c>
      <c r="AT45" s="811">
        <f t="shared" si="34"/>
        <v>0</v>
      </c>
      <c r="AU45" s="811">
        <f t="shared" si="34"/>
        <v>11151161.609999994</v>
      </c>
      <c r="AV45" s="812">
        <f t="shared" si="34"/>
        <v>-557737.51000000013</v>
      </c>
      <c r="AW45" s="810">
        <f t="shared" si="34"/>
        <v>122662.77770999995</v>
      </c>
      <c r="AX45" s="811">
        <f t="shared" si="34"/>
        <v>0</v>
      </c>
      <c r="AY45" s="812">
        <f t="shared" si="34"/>
        <v>10716086.877709996</v>
      </c>
      <c r="AZ45" s="810">
        <f t="shared" si="34"/>
        <v>10593425</v>
      </c>
      <c r="BA45" s="813">
        <f t="shared" si="34"/>
        <v>0.90000000443933459</v>
      </c>
    </row>
    <row r="46" spans="1:53" x14ac:dyDescent="0.2">
      <c r="E46" s="910"/>
      <c r="F46" s="910"/>
      <c r="G46" s="910"/>
      <c r="H46" s="910"/>
      <c r="I46" s="910"/>
      <c r="J46" s="910"/>
      <c r="K46" s="910"/>
      <c r="L46" s="910"/>
      <c r="M46" s="910"/>
      <c r="N46" s="910"/>
      <c r="O46" s="910"/>
      <c r="P46" s="910"/>
      <c r="Q46" s="910"/>
      <c r="R46" s="910"/>
      <c r="S46" s="910"/>
      <c r="T46" s="910"/>
      <c r="U46" s="910"/>
      <c r="V46" s="910"/>
      <c r="W46" s="910"/>
      <c r="X46" s="910"/>
      <c r="Y46" s="910"/>
      <c r="Z46" s="910"/>
      <c r="AA46" s="910"/>
      <c r="AB46" s="910"/>
      <c r="AC46" s="910"/>
      <c r="AD46" s="910"/>
      <c r="AE46" s="910"/>
      <c r="AF46" s="910"/>
      <c r="AG46" s="910"/>
      <c r="AH46" s="910"/>
      <c r="AI46" s="910"/>
      <c r="AJ46" s="910"/>
      <c r="AK46" s="910"/>
      <c r="AL46" s="910"/>
      <c r="AM46" s="910"/>
      <c r="AN46" s="910"/>
      <c r="AO46" s="910"/>
      <c r="AP46" s="910"/>
      <c r="AQ46" s="910"/>
      <c r="AR46" s="910"/>
      <c r="AS46" s="910"/>
      <c r="AT46" s="910"/>
      <c r="AU46" s="910"/>
      <c r="AV46" s="910"/>
      <c r="AW46" s="910"/>
      <c r="AX46" s="910"/>
      <c r="AY46" s="910"/>
      <c r="AZ46" s="910"/>
      <c r="BA46" s="910"/>
    </row>
    <row r="48" spans="1:53" ht="30" customHeight="1" x14ac:dyDescent="0.2">
      <c r="B48" s="822"/>
      <c r="C48" s="911" t="s">
        <v>654</v>
      </c>
      <c r="D48" s="911"/>
      <c r="AY48" s="912"/>
    </row>
    <row r="49" spans="2:53" ht="16.5" x14ac:dyDescent="0.2">
      <c r="B49" s="913"/>
      <c r="C49" s="911"/>
      <c r="D49" s="911"/>
      <c r="L49" s="814"/>
      <c r="M49" s="814"/>
      <c r="V49" s="814"/>
      <c r="W49" s="814"/>
      <c r="AF49" s="814"/>
      <c r="AG49" s="814"/>
      <c r="AP49" s="814"/>
      <c r="AQ49" s="814"/>
      <c r="AS49" s="814"/>
      <c r="AT49" s="814"/>
      <c r="AU49" s="814"/>
      <c r="AV49" s="814"/>
    </row>
    <row r="50" spans="2:53" ht="16.5" x14ac:dyDescent="0.2">
      <c r="B50" s="914"/>
      <c r="C50" s="915"/>
      <c r="L50" s="814"/>
      <c r="M50" s="814"/>
      <c r="V50" s="814"/>
      <c r="W50" s="814"/>
      <c r="AF50" s="814"/>
      <c r="AG50" s="814"/>
      <c r="AP50" s="814"/>
      <c r="AQ50" s="814"/>
      <c r="AS50" s="814"/>
      <c r="AT50" s="814"/>
      <c r="AU50" s="814"/>
      <c r="AV50" s="814"/>
      <c r="BA50" s="821"/>
    </row>
    <row r="51" spans="2:53" ht="36" x14ac:dyDescent="0.2">
      <c r="B51" s="916">
        <v>1</v>
      </c>
      <c r="C51" s="917" t="s">
        <v>655</v>
      </c>
      <c r="L51" s="814"/>
      <c r="M51" s="814"/>
      <c r="V51" s="814"/>
      <c r="W51" s="814"/>
      <c r="AF51" s="814"/>
      <c r="AG51" s="814"/>
      <c r="AP51" s="814"/>
      <c r="AQ51" s="814"/>
      <c r="AS51" s="814"/>
      <c r="AT51" s="814"/>
      <c r="AU51" s="814"/>
      <c r="AV51" s="814"/>
    </row>
    <row r="52" spans="2:53" ht="24" x14ac:dyDescent="0.2">
      <c r="B52" s="916">
        <v>2</v>
      </c>
      <c r="C52" s="917" t="s">
        <v>656</v>
      </c>
      <c r="L52" s="814"/>
      <c r="M52" s="814"/>
      <c r="V52" s="814"/>
      <c r="W52" s="814"/>
      <c r="AF52" s="814"/>
      <c r="AG52" s="814"/>
      <c r="AP52" s="814"/>
      <c r="AQ52" s="814"/>
      <c r="AS52" s="814"/>
      <c r="AT52" s="814"/>
      <c r="AU52" s="814"/>
      <c r="AV52" s="814"/>
    </row>
    <row r="53" spans="2:53" ht="60" x14ac:dyDescent="0.2">
      <c r="B53" s="916">
        <v>3</v>
      </c>
      <c r="C53" s="917" t="s">
        <v>657</v>
      </c>
      <c r="D53" s="918"/>
      <c r="L53" s="814"/>
      <c r="M53" s="814"/>
      <c r="V53" s="814"/>
      <c r="W53" s="814"/>
      <c r="AF53" s="814"/>
      <c r="AG53" s="814"/>
      <c r="AP53" s="814"/>
      <c r="AQ53" s="814"/>
      <c r="AS53" s="814"/>
      <c r="AT53" s="814"/>
      <c r="AU53" s="814"/>
      <c r="AV53" s="814"/>
    </row>
    <row r="54" spans="2:53" ht="36" x14ac:dyDescent="0.2">
      <c r="B54" s="916">
        <v>4</v>
      </c>
      <c r="C54" s="917" t="s">
        <v>658</v>
      </c>
      <c r="D54" s="918"/>
    </row>
    <row r="56" spans="2:53" ht="16.5" x14ac:dyDescent="0.2">
      <c r="B56" s="916"/>
      <c r="C56" s="919"/>
    </row>
    <row r="57" spans="2:53" ht="16.5" x14ac:dyDescent="0.2">
      <c r="B57" s="913"/>
      <c r="C57" s="915"/>
    </row>
    <row r="58" spans="2:53" x14ac:dyDescent="0.2">
      <c r="C58" s="915"/>
    </row>
  </sheetData>
  <mergeCells count="59">
    <mergeCell ref="C48:D49"/>
    <mergeCell ref="AT20:AT22"/>
    <mergeCell ref="AU20:AU22"/>
    <mergeCell ref="AV20:AV22"/>
    <mergeCell ref="AW20:AW22"/>
    <mergeCell ref="AX20:AX22"/>
    <mergeCell ref="AY20:AY22"/>
    <mergeCell ref="AN20:AN22"/>
    <mergeCell ref="AO20:AO22"/>
    <mergeCell ref="AP20:AP22"/>
    <mergeCell ref="AQ20:AQ22"/>
    <mergeCell ref="AR20:AR22"/>
    <mergeCell ref="AS20:AS22"/>
    <mergeCell ref="AH20:AH22"/>
    <mergeCell ref="AI20:AI22"/>
    <mergeCell ref="AJ20:AJ22"/>
    <mergeCell ref="AK20:AK22"/>
    <mergeCell ref="AL20:AL22"/>
    <mergeCell ref="AM20:AM22"/>
    <mergeCell ref="AB20:AB22"/>
    <mergeCell ref="AC20:AC22"/>
    <mergeCell ref="AD20:AD22"/>
    <mergeCell ref="AE20:AE22"/>
    <mergeCell ref="AF20:AF22"/>
    <mergeCell ref="AG20:AG22"/>
    <mergeCell ref="V20:V22"/>
    <mergeCell ref="W20:W22"/>
    <mergeCell ref="X20:X22"/>
    <mergeCell ref="Y20:Y22"/>
    <mergeCell ref="Z20:Z22"/>
    <mergeCell ref="AA20:AA22"/>
    <mergeCell ref="P20:P22"/>
    <mergeCell ref="Q20:Q22"/>
    <mergeCell ref="R20:R22"/>
    <mergeCell ref="S20:S22"/>
    <mergeCell ref="T20:T22"/>
    <mergeCell ref="U20:U22"/>
    <mergeCell ref="J20:J22"/>
    <mergeCell ref="K20:K22"/>
    <mergeCell ref="L20:L22"/>
    <mergeCell ref="M20:M22"/>
    <mergeCell ref="N20:N22"/>
    <mergeCell ref="O20:O22"/>
    <mergeCell ref="AW19:AY19"/>
    <mergeCell ref="AZ19:AZ22"/>
    <mergeCell ref="BA19:BA22"/>
    <mergeCell ref="C20:C22"/>
    <mergeCell ref="D20:D22"/>
    <mergeCell ref="E20:E22"/>
    <mergeCell ref="F20:F22"/>
    <mergeCell ref="G20:G22"/>
    <mergeCell ref="H20:H22"/>
    <mergeCell ref="I20:I22"/>
    <mergeCell ref="C12:D15"/>
    <mergeCell ref="E19:N19"/>
    <mergeCell ref="O19:X19"/>
    <mergeCell ref="Y19:AH19"/>
    <mergeCell ref="AI19:AR19"/>
    <mergeCell ref="AS19:AV19"/>
  </mergeCells>
  <pageMargins left="0.70866141732283472" right="0.70866141732283472" top="0.94488188976377963" bottom="0.74803149606299213" header="0.31496062992125984" footer="0.31496062992125984"/>
  <pageSetup scale="47" fitToWidth="0" orientation="landscape" r:id="rId1"/>
  <headerFooter differentOddEven="1">
    <oddHeader>&amp;REnersource Hydro Mississauga Inc.
Filed: September 23, 2015
2016 Price Cap IR Application
Supplementary Evidence
EB-2015-0065
Page &amp;P of &amp;N</oddHeader>
    <oddFooter>&amp;C&amp;A</oddFooter>
    <evenHeader>&amp;LEnersource Hydro Mississauga Inc.
Filed: September 23, 2015
2016 Price Cap IR Application
Supplementary Evidence
EB-2015-0065
Page &amp;P of &amp;N</evenHeader>
    <evenFooter>&amp;C&amp;A</evenFooter>
  </headerFooter>
  <colBreaks count="1" manualBreakCount="1">
    <brk id="48" max="1048575" man="1"/>
  </colBreaks>
  <ignoredErrors>
    <ignoredError sqref="F24 E26:F26 F27:F28 J32:K32 Z34:AA34 AE34 AJ24 AJ28:AJ30 AJ34" unlockedFormula="1"/>
    <ignoredError sqref="N41"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5364" r:id="rId4" name="Check Box 4">
              <controlPr defaultSize="0" autoFill="0" autoLine="0" autoPict="0">
                <anchor moveWithCells="1">
                  <from>
                    <xdr:col>50</xdr:col>
                    <xdr:colOff>19050</xdr:colOff>
                    <xdr:row>33</xdr:row>
                    <xdr:rowOff>161925</xdr:rowOff>
                  </from>
                  <to>
                    <xdr:col>50</xdr:col>
                    <xdr:colOff>19050</xdr:colOff>
                    <xdr:row>34</xdr:row>
                    <xdr:rowOff>209550</xdr:rowOff>
                  </to>
                </anchor>
              </controlPr>
            </control>
          </mc:Choice>
        </mc:AlternateContent>
        <mc:AlternateContent xmlns:mc="http://schemas.openxmlformats.org/markup-compatibility/2006">
          <mc:Choice Requires="x14">
            <control shapeId="15365" r:id="rId5" name="Check Box 5">
              <controlPr defaultSize="0" autoFill="0" autoLine="0" autoPict="0">
                <anchor moveWithCells="1">
                  <from>
                    <xdr:col>50</xdr:col>
                    <xdr:colOff>19050</xdr:colOff>
                    <xdr:row>34</xdr:row>
                    <xdr:rowOff>171450</xdr:rowOff>
                  </from>
                  <to>
                    <xdr:col>50</xdr:col>
                    <xdr:colOff>19050</xdr:colOff>
                    <xdr:row>36</xdr:row>
                    <xdr:rowOff>0</xdr:rowOff>
                  </to>
                </anchor>
              </controlPr>
            </control>
          </mc:Choice>
        </mc:AlternateContent>
        <mc:AlternateContent xmlns:mc="http://schemas.openxmlformats.org/markup-compatibility/2006">
          <mc:Choice Requires="x14">
            <control shapeId="15366" r:id="rId6" name="Check Box 6">
              <controlPr defaultSize="0" autoFill="0" autoLine="0" autoPict="0">
                <anchor moveWithCells="1">
                  <from>
                    <xdr:col>50</xdr:col>
                    <xdr:colOff>19050</xdr:colOff>
                    <xdr:row>35</xdr:row>
                    <xdr:rowOff>180975</xdr:rowOff>
                  </from>
                  <to>
                    <xdr:col>50</xdr:col>
                    <xdr:colOff>19050</xdr:colOff>
                    <xdr:row>36</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311"/>
  <sheetViews>
    <sheetView topLeftCell="F279" zoomScaleNormal="100" workbookViewId="0">
      <pane xSplit="18780" topLeftCell="N1"/>
      <selection activeCell="A276" sqref="A276:P297"/>
      <selection pane="topRight" activeCell="N312" sqref="N312"/>
    </sheetView>
  </sheetViews>
  <sheetFormatPr defaultRowHeight="12" x14ac:dyDescent="0.2"/>
  <cols>
    <col min="1" max="1" width="58.5703125" style="82" customWidth="1"/>
    <col min="2" max="3" width="21.140625" style="82" hidden="1" customWidth="1"/>
    <col min="4" max="4" width="24.28515625" style="82" hidden="1" customWidth="1"/>
    <col min="5" max="5" width="24.85546875" style="82" hidden="1" customWidth="1"/>
    <col min="6" max="6" width="17.140625" style="82" customWidth="1"/>
    <col min="7" max="7" width="16.28515625" style="82" bestFit="1" customWidth="1"/>
    <col min="8" max="8" width="14.85546875" style="82" bestFit="1" customWidth="1"/>
    <col min="9" max="9" width="9.85546875" style="82" customWidth="1"/>
    <col min="10" max="10" width="11.5703125" style="82" customWidth="1"/>
    <col min="11" max="11" width="13.28515625" style="82" customWidth="1"/>
    <col min="12" max="12" width="14.5703125" style="82" customWidth="1"/>
    <col min="13" max="13" width="12.42578125" style="82" customWidth="1"/>
    <col min="14" max="14" width="14.7109375" style="82" customWidth="1"/>
    <col min="15" max="15" width="15.85546875" style="82" customWidth="1"/>
    <col min="16" max="16" width="13" style="82" customWidth="1"/>
    <col min="17" max="17" width="12" style="82" customWidth="1"/>
    <col min="18" max="16384" width="9.140625" style="82"/>
  </cols>
  <sheetData>
    <row r="1" spans="1:16" x14ac:dyDescent="0.2">
      <c r="A1" s="81" t="s">
        <v>57</v>
      </c>
      <c r="B1" s="81"/>
      <c r="C1" s="81"/>
      <c r="D1" s="81"/>
      <c r="E1" s="81"/>
    </row>
    <row r="2" spans="1:16" x14ac:dyDescent="0.2">
      <c r="A2" s="81" t="s">
        <v>169</v>
      </c>
      <c r="B2" s="81"/>
      <c r="C2" s="81"/>
      <c r="D2" s="81"/>
      <c r="E2" s="81"/>
    </row>
    <row r="3" spans="1:16" x14ac:dyDescent="0.2">
      <c r="A3" s="81" t="s">
        <v>58</v>
      </c>
      <c r="B3" s="81"/>
      <c r="C3" s="81"/>
      <c r="D3" s="81"/>
      <c r="E3" s="81"/>
    </row>
    <row r="4" spans="1:16" x14ac:dyDescent="0.2">
      <c r="A4" s="81"/>
      <c r="B4" s="81"/>
      <c r="C4" s="81"/>
      <c r="D4" s="81"/>
      <c r="E4" s="81"/>
    </row>
    <row r="5" spans="1:16" ht="12.75" thickBot="1" x14ac:dyDescent="0.25">
      <c r="A5" s="81" t="s">
        <v>59</v>
      </c>
      <c r="B5" s="81"/>
      <c r="C5" s="81"/>
      <c r="D5" s="81"/>
      <c r="E5" s="81"/>
    </row>
    <row r="6" spans="1:16" x14ac:dyDescent="0.2">
      <c r="A6" s="83" t="s">
        <v>168</v>
      </c>
      <c r="B6" s="84" t="s">
        <v>60</v>
      </c>
      <c r="C6" s="85"/>
      <c r="D6" s="84" t="s">
        <v>61</v>
      </c>
      <c r="E6" s="85"/>
      <c r="F6" s="84" t="s">
        <v>62</v>
      </c>
      <c r="G6" s="85"/>
    </row>
    <row r="7" spans="1:16" x14ac:dyDescent="0.2">
      <c r="A7" s="86" t="s">
        <v>63</v>
      </c>
      <c r="B7" s="87">
        <v>-27094946.163709417</v>
      </c>
      <c r="C7" s="88">
        <v>0.93404872240181291</v>
      </c>
      <c r="D7" s="87">
        <v>41485836.800444126</v>
      </c>
      <c r="E7" s="88">
        <v>0.99277767474268808</v>
      </c>
      <c r="F7" s="87">
        <v>14390890.636734709</v>
      </c>
      <c r="G7" s="88">
        <v>1.1260851745571314</v>
      </c>
    </row>
    <row r="8" spans="1:16" x14ac:dyDescent="0.2">
      <c r="A8" s="86" t="s">
        <v>64</v>
      </c>
      <c r="B8" s="87">
        <v>-1913118.9552465524</v>
      </c>
      <c r="C8" s="88">
        <v>6.5951277598187058E-2</v>
      </c>
      <c r="D8" s="87">
        <v>301803.93311344681</v>
      </c>
      <c r="E8" s="88">
        <v>7.222325257311861E-3</v>
      </c>
      <c r="F8" s="87">
        <v>-1611315.0221331054</v>
      </c>
      <c r="G8" s="88">
        <v>-0.12608517455713159</v>
      </c>
    </row>
    <row r="9" spans="1:16" ht="12.75" thickBot="1" x14ac:dyDescent="0.25">
      <c r="A9" s="89" t="s">
        <v>65</v>
      </c>
      <c r="B9" s="90">
        <v>-29008065.11895597</v>
      </c>
      <c r="C9" s="91">
        <v>1</v>
      </c>
      <c r="D9" s="90">
        <v>41787640.733557574</v>
      </c>
      <c r="E9" s="91">
        <v>1</v>
      </c>
      <c r="F9" s="90">
        <v>12779575.614601605</v>
      </c>
      <c r="G9" s="91">
        <v>1</v>
      </c>
    </row>
    <row r="11" spans="1:16" ht="12.75" thickBot="1" x14ac:dyDescent="0.25"/>
    <row r="12" spans="1:16" ht="12.75" thickBot="1" x14ac:dyDescent="0.25">
      <c r="A12" s="140" t="s">
        <v>66</v>
      </c>
      <c r="B12" s="141"/>
      <c r="C12" s="141"/>
      <c r="D12" s="141"/>
      <c r="E12" s="141"/>
      <c r="F12" s="95"/>
      <c r="G12" s="95"/>
      <c r="H12" s="95"/>
      <c r="I12" s="95"/>
      <c r="J12" s="143"/>
      <c r="K12" s="319">
        <v>40544</v>
      </c>
      <c r="L12" s="320"/>
      <c r="M12" s="320"/>
      <c r="N12" s="320"/>
    </row>
    <row r="13" spans="1:16" ht="12.75" thickBot="1" x14ac:dyDescent="0.25">
      <c r="A13" s="83" t="s">
        <v>167</v>
      </c>
      <c r="B13" s="83"/>
      <c r="C13" s="83"/>
      <c r="D13" s="83"/>
      <c r="E13" s="83"/>
      <c r="F13" s="94"/>
      <c r="G13" s="95"/>
      <c r="H13" s="95"/>
      <c r="I13" s="95"/>
      <c r="J13" s="85"/>
      <c r="K13" s="96"/>
      <c r="L13" s="97" t="s">
        <v>31</v>
      </c>
      <c r="M13" s="96"/>
      <c r="N13" s="96"/>
    </row>
    <row r="14" spans="1:16" ht="27" thickBot="1" x14ac:dyDescent="0.4">
      <c r="A14" s="98"/>
      <c r="B14" s="98"/>
      <c r="C14" s="98"/>
      <c r="D14" s="98"/>
      <c r="E14" s="98"/>
      <c r="F14" s="99" t="s">
        <v>68</v>
      </c>
      <c r="G14" s="100" t="s">
        <v>69</v>
      </c>
      <c r="H14" s="99" t="s">
        <v>70</v>
      </c>
      <c r="I14" s="100" t="s">
        <v>69</v>
      </c>
      <c r="J14" s="101" t="s">
        <v>62</v>
      </c>
      <c r="K14" s="102" t="s">
        <v>71</v>
      </c>
      <c r="L14" s="103" t="s">
        <v>72</v>
      </c>
      <c r="M14" s="104" t="s">
        <v>73</v>
      </c>
      <c r="N14" s="104" t="s">
        <v>68</v>
      </c>
      <c r="O14" s="104" t="s">
        <v>70</v>
      </c>
      <c r="P14" s="105" t="s">
        <v>62</v>
      </c>
    </row>
    <row r="15" spans="1:16" ht="14.25" x14ac:dyDescent="0.35">
      <c r="A15" s="106" t="s">
        <v>170</v>
      </c>
      <c r="B15" s="106"/>
      <c r="C15" s="106"/>
      <c r="D15" s="106"/>
      <c r="E15" s="106"/>
      <c r="F15" s="107"/>
      <c r="G15" s="108"/>
      <c r="H15" s="109"/>
      <c r="I15" s="108"/>
      <c r="J15" s="110"/>
      <c r="K15" s="111">
        <f>-M31</f>
        <v>1076651.8723326749</v>
      </c>
      <c r="L15" s="112">
        <f>$C$7*K15</f>
        <v>1005645.3058238548</v>
      </c>
      <c r="M15" s="112">
        <f>K15*$C$8</f>
        <v>71006.566508820091</v>
      </c>
      <c r="N15" s="112" t="e">
        <f>SUM(N23+N27)</f>
        <v>#REF!</v>
      </c>
      <c r="O15" s="112" t="e">
        <f>SUM(O23+O27)</f>
        <v>#REF!</v>
      </c>
      <c r="P15" s="113" t="e">
        <f>N15+O15</f>
        <v>#REF!</v>
      </c>
    </row>
    <row r="16" spans="1:16" x14ac:dyDescent="0.2">
      <c r="A16" s="114"/>
      <c r="B16" s="114"/>
      <c r="C16" s="114"/>
      <c r="D16" s="114"/>
      <c r="E16" s="114"/>
      <c r="F16" s="107"/>
      <c r="G16" s="108"/>
      <c r="H16" s="109"/>
      <c r="I16" s="108"/>
      <c r="J16" s="110"/>
      <c r="K16" s="115"/>
      <c r="L16" s="115"/>
      <c r="M16" s="115"/>
      <c r="N16" s="115"/>
      <c r="O16" s="115"/>
      <c r="P16" s="116"/>
    </row>
    <row r="17" spans="1:17" x14ac:dyDescent="0.2">
      <c r="A17" s="114" t="s">
        <v>86</v>
      </c>
      <c r="B17" s="114"/>
      <c r="C17" s="114"/>
      <c r="D17" s="114"/>
      <c r="E17" s="114"/>
      <c r="F17" s="117" t="e">
        <f>#REF!</f>
        <v>#REF!</v>
      </c>
      <c r="G17" s="108" t="e">
        <f t="shared" ref="G17:G22" si="0">F17/$F$23</f>
        <v>#REF!</v>
      </c>
      <c r="H17" s="117" t="e">
        <f>#REF!</f>
        <v>#REF!</v>
      </c>
      <c r="I17" s="108" t="e">
        <f t="shared" ref="I17:I22" si="1">H17/$H$23</f>
        <v>#REF!</v>
      </c>
      <c r="J17" s="110" t="e">
        <f t="shared" ref="J17:J22" si="2">F17+H17</f>
        <v>#REF!</v>
      </c>
      <c r="K17" s="110" t="e">
        <f t="shared" ref="K17:K22" si="3">L17+M17</f>
        <v>#REF!</v>
      </c>
      <c r="L17" s="118" t="e">
        <f t="shared" ref="L17:L22" si="4">G17*$L$15</f>
        <v>#REF!</v>
      </c>
      <c r="M17" s="118" t="e">
        <f t="shared" ref="M17:M22" si="5">I17*$M$15</f>
        <v>#REF!</v>
      </c>
      <c r="N17" s="118" t="e">
        <f t="shared" ref="N17:N22" si="6">F17+L17</f>
        <v>#REF!</v>
      </c>
      <c r="O17" s="118" t="e">
        <f t="shared" ref="O17:O22" si="7">H17+M17</f>
        <v>#REF!</v>
      </c>
      <c r="P17" s="110" t="e">
        <f t="shared" ref="P17:P28" si="8">N17+O17</f>
        <v>#REF!</v>
      </c>
    </row>
    <row r="18" spans="1:17" x14ac:dyDescent="0.2">
      <c r="A18" s="114" t="s">
        <v>75</v>
      </c>
      <c r="B18" s="114"/>
      <c r="C18" s="114"/>
      <c r="D18" s="114"/>
      <c r="E18" s="114"/>
      <c r="F18" s="117" t="e">
        <f>#REF!</f>
        <v>#REF!</v>
      </c>
      <c r="G18" s="108" t="e">
        <f t="shared" si="0"/>
        <v>#REF!</v>
      </c>
      <c r="H18" s="117" t="e">
        <f>#REF!</f>
        <v>#REF!</v>
      </c>
      <c r="I18" s="108" t="e">
        <f t="shared" si="1"/>
        <v>#REF!</v>
      </c>
      <c r="J18" s="110" t="e">
        <f t="shared" si="2"/>
        <v>#REF!</v>
      </c>
      <c r="K18" s="110" t="e">
        <f t="shared" si="3"/>
        <v>#REF!</v>
      </c>
      <c r="L18" s="118" t="e">
        <f t="shared" si="4"/>
        <v>#REF!</v>
      </c>
      <c r="M18" s="118" t="e">
        <f t="shared" si="5"/>
        <v>#REF!</v>
      </c>
      <c r="N18" s="118" t="e">
        <f t="shared" si="6"/>
        <v>#REF!</v>
      </c>
      <c r="O18" s="118" t="e">
        <f t="shared" si="7"/>
        <v>#REF!</v>
      </c>
      <c r="P18" s="110" t="e">
        <f t="shared" si="8"/>
        <v>#REF!</v>
      </c>
    </row>
    <row r="19" spans="1:17" x14ac:dyDescent="0.2">
      <c r="A19" s="114" t="s">
        <v>76</v>
      </c>
      <c r="B19" s="114"/>
      <c r="C19" s="114"/>
      <c r="D19" s="114"/>
      <c r="E19" s="114"/>
      <c r="F19" s="117" t="e">
        <f>#REF!</f>
        <v>#REF!</v>
      </c>
      <c r="G19" s="108" t="e">
        <f t="shared" si="0"/>
        <v>#REF!</v>
      </c>
      <c r="H19" s="117" t="e">
        <f>#REF!</f>
        <v>#REF!</v>
      </c>
      <c r="I19" s="108" t="e">
        <f t="shared" si="1"/>
        <v>#REF!</v>
      </c>
      <c r="J19" s="110" t="e">
        <f t="shared" si="2"/>
        <v>#REF!</v>
      </c>
      <c r="K19" s="110" t="e">
        <f t="shared" si="3"/>
        <v>#REF!</v>
      </c>
      <c r="L19" s="118" t="e">
        <f t="shared" si="4"/>
        <v>#REF!</v>
      </c>
      <c r="M19" s="118" t="e">
        <f t="shared" si="5"/>
        <v>#REF!</v>
      </c>
      <c r="N19" s="118" t="e">
        <f t="shared" si="6"/>
        <v>#REF!</v>
      </c>
      <c r="O19" s="118" t="e">
        <f t="shared" si="7"/>
        <v>#REF!</v>
      </c>
      <c r="P19" s="110" t="e">
        <f t="shared" si="8"/>
        <v>#REF!</v>
      </c>
    </row>
    <row r="20" spans="1:17" x14ac:dyDescent="0.2">
      <c r="A20" s="114" t="s">
        <v>77</v>
      </c>
      <c r="B20" s="114"/>
      <c r="C20" s="114"/>
      <c r="D20" s="114"/>
      <c r="E20" s="114"/>
      <c r="F20" s="117" t="e">
        <f>#REF!</f>
        <v>#REF!</v>
      </c>
      <c r="G20" s="108" t="e">
        <f t="shared" si="0"/>
        <v>#REF!</v>
      </c>
      <c r="H20" s="117" t="e">
        <f>#REF!</f>
        <v>#REF!</v>
      </c>
      <c r="I20" s="108" t="e">
        <f t="shared" si="1"/>
        <v>#REF!</v>
      </c>
      <c r="J20" s="110" t="e">
        <f t="shared" si="2"/>
        <v>#REF!</v>
      </c>
      <c r="K20" s="110" t="e">
        <f t="shared" si="3"/>
        <v>#REF!</v>
      </c>
      <c r="L20" s="118" t="e">
        <f t="shared" si="4"/>
        <v>#REF!</v>
      </c>
      <c r="M20" s="118" t="e">
        <f t="shared" si="5"/>
        <v>#REF!</v>
      </c>
      <c r="N20" s="118" t="e">
        <f t="shared" si="6"/>
        <v>#REF!</v>
      </c>
      <c r="O20" s="118" t="e">
        <f t="shared" si="7"/>
        <v>#REF!</v>
      </c>
      <c r="P20" s="110" t="e">
        <f t="shared" si="8"/>
        <v>#REF!</v>
      </c>
    </row>
    <row r="21" spans="1:17" x14ac:dyDescent="0.2">
      <c r="A21" s="114" t="s">
        <v>78</v>
      </c>
      <c r="B21" s="114"/>
      <c r="C21" s="114"/>
      <c r="D21" s="114"/>
      <c r="E21" s="114"/>
      <c r="F21" s="117" t="e">
        <f>#REF!</f>
        <v>#REF!</v>
      </c>
      <c r="G21" s="108" t="e">
        <f t="shared" si="0"/>
        <v>#REF!</v>
      </c>
      <c r="H21" s="117" t="e">
        <f>#REF!</f>
        <v>#REF!</v>
      </c>
      <c r="I21" s="108" t="e">
        <f t="shared" si="1"/>
        <v>#REF!</v>
      </c>
      <c r="J21" s="110" t="e">
        <f t="shared" si="2"/>
        <v>#REF!</v>
      </c>
      <c r="K21" s="110" t="e">
        <f t="shared" si="3"/>
        <v>#REF!</v>
      </c>
      <c r="L21" s="118" t="e">
        <f t="shared" si="4"/>
        <v>#REF!</v>
      </c>
      <c r="M21" s="118" t="e">
        <f t="shared" si="5"/>
        <v>#REF!</v>
      </c>
      <c r="N21" s="118" t="e">
        <f t="shared" si="6"/>
        <v>#REF!</v>
      </c>
      <c r="O21" s="118" t="e">
        <f t="shared" si="7"/>
        <v>#REF!</v>
      </c>
      <c r="P21" s="110" t="e">
        <f t="shared" si="8"/>
        <v>#REF!</v>
      </c>
    </row>
    <row r="22" spans="1:17" x14ac:dyDescent="0.2">
      <c r="A22" s="119" t="s">
        <v>79</v>
      </c>
      <c r="B22" s="119"/>
      <c r="C22" s="119"/>
      <c r="D22" s="119"/>
      <c r="E22" s="119"/>
      <c r="F22" s="117" t="e">
        <f>#REF!</f>
        <v>#REF!</v>
      </c>
      <c r="G22" s="108" t="e">
        <f t="shared" si="0"/>
        <v>#REF!</v>
      </c>
      <c r="H22" s="117" t="e">
        <f>#REF!</f>
        <v>#REF!</v>
      </c>
      <c r="I22" s="108" t="e">
        <f t="shared" si="1"/>
        <v>#REF!</v>
      </c>
      <c r="J22" s="110" t="e">
        <f t="shared" si="2"/>
        <v>#REF!</v>
      </c>
      <c r="K22" s="110" t="e">
        <f t="shared" si="3"/>
        <v>#REF!</v>
      </c>
      <c r="L22" s="118" t="e">
        <f t="shared" si="4"/>
        <v>#REF!</v>
      </c>
      <c r="M22" s="118" t="e">
        <f t="shared" si="5"/>
        <v>#REF!</v>
      </c>
      <c r="N22" s="118" t="e">
        <f t="shared" si="6"/>
        <v>#REF!</v>
      </c>
      <c r="O22" s="118" t="e">
        <f t="shared" si="7"/>
        <v>#REF!</v>
      </c>
      <c r="P22" s="110" t="e">
        <f t="shared" si="8"/>
        <v>#REF!</v>
      </c>
    </row>
    <row r="23" spans="1:17" x14ac:dyDescent="0.2">
      <c r="A23" s="114"/>
      <c r="B23" s="114"/>
      <c r="C23" s="114"/>
      <c r="D23" s="114"/>
      <c r="E23" s="114"/>
      <c r="F23" s="120" t="e">
        <f t="shared" ref="F23:O23" si="9">SUM(F17:F22)</f>
        <v>#REF!</v>
      </c>
      <c r="G23" s="121" t="e">
        <f t="shared" si="9"/>
        <v>#REF!</v>
      </c>
      <c r="H23" s="120" t="e">
        <f t="shared" si="9"/>
        <v>#REF!</v>
      </c>
      <c r="I23" s="121" t="e">
        <f t="shared" si="9"/>
        <v>#REF!</v>
      </c>
      <c r="J23" s="120" t="e">
        <f t="shared" si="9"/>
        <v>#REF!</v>
      </c>
      <c r="K23" s="122" t="e">
        <f t="shared" si="9"/>
        <v>#REF!</v>
      </c>
      <c r="L23" s="314" t="e">
        <f t="shared" si="9"/>
        <v>#REF!</v>
      </c>
      <c r="M23" s="314" t="e">
        <f t="shared" si="9"/>
        <v>#REF!</v>
      </c>
      <c r="N23" s="122" t="e">
        <f t="shared" si="9"/>
        <v>#REF!</v>
      </c>
      <c r="O23" s="122" t="e">
        <f t="shared" si="9"/>
        <v>#REF!</v>
      </c>
      <c r="P23" s="122" t="e">
        <f t="shared" si="8"/>
        <v>#REF!</v>
      </c>
    </row>
    <row r="24" spans="1:17" x14ac:dyDescent="0.2">
      <c r="A24" s="114"/>
      <c r="B24" s="114"/>
      <c r="C24" s="114"/>
      <c r="D24" s="114"/>
      <c r="E24" s="114"/>
      <c r="F24" s="117"/>
      <c r="G24" s="108"/>
      <c r="H24" s="117"/>
      <c r="I24" s="108"/>
      <c r="J24" s="117"/>
      <c r="K24" s="110"/>
      <c r="L24" s="118"/>
      <c r="M24" s="118"/>
      <c r="N24" s="118"/>
      <c r="O24" s="118"/>
      <c r="P24" s="110">
        <f t="shared" si="8"/>
        <v>0</v>
      </c>
    </row>
    <row r="25" spans="1:17" x14ac:dyDescent="0.2">
      <c r="A25" s="114" t="s">
        <v>80</v>
      </c>
      <c r="B25" s="114"/>
      <c r="C25" s="114"/>
      <c r="D25" s="114"/>
      <c r="E25" s="114"/>
      <c r="F25" s="117" t="e">
        <f>#REF!</f>
        <v>#REF!</v>
      </c>
      <c r="G25" s="108" t="e">
        <f>F25/J25</f>
        <v>#REF!</v>
      </c>
      <c r="H25" s="117" t="e">
        <f>#REF!</f>
        <v>#REF!</v>
      </c>
      <c r="I25" s="513" t="e">
        <f>H25/J25</f>
        <v>#REF!</v>
      </c>
      <c r="J25" s="110" t="e">
        <f>F25+H25</f>
        <v>#REF!</v>
      </c>
      <c r="K25" s="110">
        <f>-M32</f>
        <v>-1720057.84</v>
      </c>
      <c r="L25" s="315" t="e">
        <f>G25*K25</f>
        <v>#REF!</v>
      </c>
      <c r="M25" s="315" t="e">
        <f>I25*K25</f>
        <v>#REF!</v>
      </c>
      <c r="N25" s="118" t="e">
        <f>F25+L25</f>
        <v>#REF!</v>
      </c>
      <c r="O25" s="118" t="e">
        <f>H25+M25</f>
        <v>#REF!</v>
      </c>
      <c r="P25" s="110" t="e">
        <f t="shared" si="8"/>
        <v>#REF!</v>
      </c>
    </row>
    <row r="26" spans="1:17" ht="12.75" thickBot="1" x14ac:dyDescent="0.25">
      <c r="A26" s="86"/>
      <c r="B26" s="86"/>
      <c r="C26" s="86"/>
      <c r="D26" s="86"/>
      <c r="E26" s="86"/>
      <c r="F26" s="117"/>
      <c r="G26" s="108"/>
      <c r="H26" s="110"/>
      <c r="I26" s="108"/>
      <c r="J26" s="110"/>
      <c r="K26" s="110"/>
      <c r="L26" s="118"/>
      <c r="M26" s="118"/>
      <c r="N26" s="118"/>
      <c r="O26" s="118"/>
      <c r="P26" s="110">
        <f t="shared" si="8"/>
        <v>0</v>
      </c>
    </row>
    <row r="27" spans="1:17" ht="12.75" thickBot="1" x14ac:dyDescent="0.25">
      <c r="A27" s="123" t="s">
        <v>87</v>
      </c>
      <c r="B27" s="123"/>
      <c r="C27" s="123"/>
      <c r="D27" s="123"/>
      <c r="E27" s="123"/>
      <c r="F27" s="124" t="e">
        <f>F23+F25</f>
        <v>#REF!</v>
      </c>
      <c r="G27" s="125" t="e">
        <f>F27/$F$28</f>
        <v>#REF!</v>
      </c>
      <c r="H27" s="124" t="e">
        <f>H23+H25</f>
        <v>#REF!</v>
      </c>
      <c r="I27" s="125" t="e">
        <f>H27/$H$28</f>
        <v>#REF!</v>
      </c>
      <c r="J27" s="124" t="e">
        <f>J23+J25</f>
        <v>#REF!</v>
      </c>
      <c r="K27" s="126">
        <f>K25</f>
        <v>-1720057.84</v>
      </c>
      <c r="L27" s="126" t="e">
        <f>L25</f>
        <v>#REF!</v>
      </c>
      <c r="M27" s="126" t="e">
        <f>M25</f>
        <v>#REF!</v>
      </c>
      <c r="N27" s="126" t="e">
        <f>N25</f>
        <v>#REF!</v>
      </c>
      <c r="O27" s="126" t="e">
        <f>O25</f>
        <v>#REF!</v>
      </c>
      <c r="P27" s="127" t="e">
        <f t="shared" si="8"/>
        <v>#REF!</v>
      </c>
    </row>
    <row r="28" spans="1:17" ht="13.5" thickTop="1" thickBot="1" x14ac:dyDescent="0.25">
      <c r="A28" s="128" t="s">
        <v>82</v>
      </c>
      <c r="B28" s="128"/>
      <c r="C28" s="128"/>
      <c r="D28" s="128"/>
      <c r="E28" s="128"/>
      <c r="F28" s="129" t="e">
        <f>F27</f>
        <v>#REF!</v>
      </c>
      <c r="G28" s="130"/>
      <c r="H28" s="129" t="e">
        <f>H27</f>
        <v>#REF!</v>
      </c>
      <c r="I28" s="130"/>
      <c r="J28" s="131" t="e">
        <f>F28+H28</f>
        <v>#REF!</v>
      </c>
      <c r="K28" s="132" t="e">
        <f>K23+K27</f>
        <v>#REF!</v>
      </c>
      <c r="L28" s="132" t="e">
        <f>L23+L27</f>
        <v>#REF!</v>
      </c>
      <c r="M28" s="132" t="e">
        <f>M23+M27</f>
        <v>#REF!</v>
      </c>
      <c r="N28" s="132" t="e">
        <f>N23+N27</f>
        <v>#REF!</v>
      </c>
      <c r="O28" s="132" t="e">
        <f>O23+O27</f>
        <v>#REF!</v>
      </c>
      <c r="P28" s="133" t="e">
        <f t="shared" si="8"/>
        <v>#REF!</v>
      </c>
      <c r="Q28" s="93" t="e">
        <f>P28-'1595 Continuity 2010'!E96</f>
        <v>#REF!</v>
      </c>
    </row>
    <row r="29" spans="1:17" ht="12.75" thickBot="1" x14ac:dyDescent="0.25">
      <c r="A29" s="134"/>
      <c r="B29" s="134"/>
      <c r="C29" s="134"/>
      <c r="D29" s="134"/>
      <c r="E29" s="134"/>
      <c r="F29" s="135"/>
      <c r="G29" s="134"/>
      <c r="H29" s="135"/>
      <c r="I29" s="134"/>
      <c r="J29" s="136"/>
      <c r="K29" s="137"/>
      <c r="L29" s="137"/>
      <c r="M29" s="137"/>
      <c r="N29" s="316" t="e">
        <f>F27-N28+L28</f>
        <v>#REF!</v>
      </c>
      <c r="O29" s="317" t="e">
        <f>H27-O28+M28</f>
        <v>#REF!</v>
      </c>
      <c r="P29" s="87"/>
    </row>
    <row r="30" spans="1:17" ht="12.75" thickBot="1" x14ac:dyDescent="0.25">
      <c r="J30" s="344"/>
      <c r="K30" s="346"/>
      <c r="L30" s="345" t="s">
        <v>405</v>
      </c>
      <c r="M30" s="346" t="s">
        <v>172</v>
      </c>
    </row>
    <row r="31" spans="1:17" x14ac:dyDescent="0.2">
      <c r="J31" s="138" t="s">
        <v>171</v>
      </c>
      <c r="K31" s="347">
        <v>0</v>
      </c>
      <c r="L31" s="321">
        <v>-1076651.8723326749</v>
      </c>
      <c r="M31" s="347">
        <f>L31-K31</f>
        <v>-1076651.8723326749</v>
      </c>
    </row>
    <row r="32" spans="1:17" ht="12.75" thickBot="1" x14ac:dyDescent="0.25">
      <c r="G32" s="306"/>
      <c r="H32" s="306"/>
      <c r="I32" s="306"/>
      <c r="J32" s="139" t="s">
        <v>142</v>
      </c>
      <c r="K32" s="347">
        <v>0</v>
      </c>
      <c r="L32" s="322">
        <v>1720057.84</v>
      </c>
      <c r="M32" s="348">
        <f>L32-K32</f>
        <v>1720057.84</v>
      </c>
    </row>
    <row r="33" spans="1:16" ht="12.75" thickBot="1" x14ac:dyDescent="0.25">
      <c r="G33" s="306"/>
      <c r="H33" s="307"/>
      <c r="I33" s="306"/>
      <c r="J33" s="349"/>
      <c r="K33" s="351">
        <f>SUM(K31:K32)</f>
        <v>0</v>
      </c>
      <c r="L33" s="350">
        <v>643405.96766732517</v>
      </c>
      <c r="M33" s="351">
        <f>SUM(M31:M32)</f>
        <v>643405.96766732517</v>
      </c>
    </row>
    <row r="34" spans="1:16" ht="12.75" thickBot="1" x14ac:dyDescent="0.25">
      <c r="A34" s="140" t="s">
        <v>66</v>
      </c>
      <c r="B34" s="141"/>
      <c r="C34" s="141"/>
      <c r="D34" s="141"/>
      <c r="E34" s="141"/>
      <c r="F34" s="95"/>
      <c r="G34" s="95"/>
      <c r="H34" s="95"/>
      <c r="I34" s="95"/>
      <c r="J34" s="143"/>
      <c r="K34" s="319">
        <v>40575</v>
      </c>
      <c r="L34" s="320"/>
      <c r="M34" s="320"/>
      <c r="N34" s="320"/>
    </row>
    <row r="35" spans="1:16" ht="12.75" thickBot="1" x14ac:dyDescent="0.25">
      <c r="A35" s="83" t="s">
        <v>167</v>
      </c>
      <c r="B35" s="83"/>
      <c r="C35" s="83"/>
      <c r="D35" s="83"/>
      <c r="E35" s="83"/>
      <c r="F35" s="94"/>
      <c r="G35" s="95"/>
      <c r="H35" s="95"/>
      <c r="I35" s="95"/>
      <c r="J35" s="85"/>
      <c r="K35" s="96"/>
      <c r="L35" s="97" t="s">
        <v>31</v>
      </c>
      <c r="M35" s="96"/>
      <c r="N35" s="96"/>
    </row>
    <row r="36" spans="1:16" ht="27" thickBot="1" x14ac:dyDescent="0.4">
      <c r="A36" s="98"/>
      <c r="B36" s="98"/>
      <c r="C36" s="98"/>
      <c r="D36" s="98"/>
      <c r="E36" s="98"/>
      <c r="F36" s="99" t="s">
        <v>68</v>
      </c>
      <c r="G36" s="100" t="s">
        <v>69</v>
      </c>
      <c r="H36" s="99" t="s">
        <v>70</v>
      </c>
      <c r="I36" s="100" t="s">
        <v>69</v>
      </c>
      <c r="J36" s="101" t="s">
        <v>62</v>
      </c>
      <c r="K36" s="102" t="s">
        <v>71</v>
      </c>
      <c r="L36" s="103" t="s">
        <v>72</v>
      </c>
      <c r="M36" s="104" t="s">
        <v>73</v>
      </c>
      <c r="N36" s="104" t="s">
        <v>68</v>
      </c>
      <c r="O36" s="104" t="s">
        <v>70</v>
      </c>
      <c r="P36" s="105" t="s">
        <v>62</v>
      </c>
    </row>
    <row r="37" spans="1:16" ht="14.25" x14ac:dyDescent="0.35">
      <c r="A37" s="106" t="s">
        <v>170</v>
      </c>
      <c r="B37" s="106"/>
      <c r="C37" s="106"/>
      <c r="D37" s="106"/>
      <c r="E37" s="106"/>
      <c r="F37" s="107"/>
      <c r="G37" s="108"/>
      <c r="H37" s="109"/>
      <c r="I37" s="108"/>
      <c r="J37" s="110"/>
      <c r="K37" s="111">
        <f>-M53</f>
        <v>1035574.9759099726</v>
      </c>
      <c r="L37" s="112">
        <f>$C$7*K37</f>
        <v>967277.48319999804</v>
      </c>
      <c r="M37" s="112">
        <f>K37*$C$8</f>
        <v>68297.492709974482</v>
      </c>
      <c r="N37" s="112" t="e">
        <f>SUM(N45+N49)</f>
        <v>#REF!</v>
      </c>
      <c r="O37" s="112" t="e">
        <f>SUM(O45+O49)</f>
        <v>#REF!</v>
      </c>
      <c r="P37" s="113" t="e">
        <f>N37+O37</f>
        <v>#REF!</v>
      </c>
    </row>
    <row r="38" spans="1:16" x14ac:dyDescent="0.2">
      <c r="A38" s="114"/>
      <c r="B38" s="114"/>
      <c r="C38" s="114"/>
      <c r="D38" s="114"/>
      <c r="E38" s="114"/>
      <c r="F38" s="107"/>
      <c r="G38" s="108"/>
      <c r="H38" s="109"/>
      <c r="I38" s="108"/>
      <c r="J38" s="110"/>
      <c r="K38" s="115"/>
      <c r="L38" s="115"/>
      <c r="M38" s="115"/>
      <c r="N38" s="115"/>
      <c r="O38" s="115"/>
      <c r="P38" s="116"/>
    </row>
    <row r="39" spans="1:16" x14ac:dyDescent="0.2">
      <c r="A39" s="114" t="s">
        <v>86</v>
      </c>
      <c r="B39" s="114"/>
      <c r="C39" s="114"/>
      <c r="D39" s="114"/>
      <c r="E39" s="114"/>
      <c r="F39" s="117" t="e">
        <f t="shared" ref="F39:F44" si="10">N17</f>
        <v>#REF!</v>
      </c>
      <c r="G39" s="513" t="e">
        <f t="shared" ref="G39:G44" si="11">F39/$F$45</f>
        <v>#REF!</v>
      </c>
      <c r="H39" s="117" t="e">
        <f t="shared" ref="H39:H44" si="12">O17</f>
        <v>#REF!</v>
      </c>
      <c r="I39" s="108" t="e">
        <f t="shared" ref="I39:I44" si="13">H39/$H$45</f>
        <v>#REF!</v>
      </c>
      <c r="J39" s="110" t="e">
        <f t="shared" ref="J39:J44" si="14">F39+H39</f>
        <v>#REF!</v>
      </c>
      <c r="K39" s="110" t="e">
        <f t="shared" ref="K39:K44" si="15">L39+M39</f>
        <v>#REF!</v>
      </c>
      <c r="L39" s="118" t="e">
        <f t="shared" ref="L39:L44" si="16">G39*$L$37</f>
        <v>#REF!</v>
      </c>
      <c r="M39" s="118" t="e">
        <f t="shared" ref="M39:M44" si="17">I39*$M$37</f>
        <v>#REF!</v>
      </c>
      <c r="N39" s="118" t="e">
        <f t="shared" ref="N39:N44" si="18">F39+L39</f>
        <v>#REF!</v>
      </c>
      <c r="O39" s="118" t="e">
        <f t="shared" ref="O39:O44" si="19">H39+M39</f>
        <v>#REF!</v>
      </c>
      <c r="P39" s="110" t="e">
        <f t="shared" ref="P39:P50" si="20">N39+O39</f>
        <v>#REF!</v>
      </c>
    </row>
    <row r="40" spans="1:16" x14ac:dyDescent="0.2">
      <c r="A40" s="114" t="s">
        <v>75</v>
      </c>
      <c r="B40" s="114"/>
      <c r="C40" s="114"/>
      <c r="D40" s="114"/>
      <c r="E40" s="114"/>
      <c r="F40" s="117" t="e">
        <f t="shared" si="10"/>
        <v>#REF!</v>
      </c>
      <c r="G40" s="513" t="e">
        <f t="shared" si="11"/>
        <v>#REF!</v>
      </c>
      <c r="H40" s="117" t="e">
        <f t="shared" si="12"/>
        <v>#REF!</v>
      </c>
      <c r="I40" s="108" t="e">
        <f t="shared" si="13"/>
        <v>#REF!</v>
      </c>
      <c r="J40" s="110" t="e">
        <f t="shared" si="14"/>
        <v>#REF!</v>
      </c>
      <c r="K40" s="110" t="e">
        <f t="shared" si="15"/>
        <v>#REF!</v>
      </c>
      <c r="L40" s="118" t="e">
        <f t="shared" si="16"/>
        <v>#REF!</v>
      </c>
      <c r="M40" s="118" t="e">
        <f t="shared" si="17"/>
        <v>#REF!</v>
      </c>
      <c r="N40" s="118" t="e">
        <f t="shared" si="18"/>
        <v>#REF!</v>
      </c>
      <c r="O40" s="118" t="e">
        <f t="shared" si="19"/>
        <v>#REF!</v>
      </c>
      <c r="P40" s="110" t="e">
        <f t="shared" si="20"/>
        <v>#REF!</v>
      </c>
    </row>
    <row r="41" spans="1:16" x14ac:dyDescent="0.2">
      <c r="A41" s="114" t="s">
        <v>76</v>
      </c>
      <c r="B41" s="114"/>
      <c r="C41" s="114"/>
      <c r="D41" s="114"/>
      <c r="E41" s="114"/>
      <c r="F41" s="117" t="e">
        <f t="shared" si="10"/>
        <v>#REF!</v>
      </c>
      <c r="G41" s="513" t="e">
        <f t="shared" si="11"/>
        <v>#REF!</v>
      </c>
      <c r="H41" s="117" t="e">
        <f t="shared" si="12"/>
        <v>#REF!</v>
      </c>
      <c r="I41" s="108" t="e">
        <f t="shared" si="13"/>
        <v>#REF!</v>
      </c>
      <c r="J41" s="110" t="e">
        <f t="shared" si="14"/>
        <v>#REF!</v>
      </c>
      <c r="K41" s="110" t="e">
        <f t="shared" si="15"/>
        <v>#REF!</v>
      </c>
      <c r="L41" s="118" t="e">
        <f t="shared" si="16"/>
        <v>#REF!</v>
      </c>
      <c r="M41" s="118" t="e">
        <f t="shared" si="17"/>
        <v>#REF!</v>
      </c>
      <c r="N41" s="118" t="e">
        <f t="shared" si="18"/>
        <v>#REF!</v>
      </c>
      <c r="O41" s="118" t="e">
        <f t="shared" si="19"/>
        <v>#REF!</v>
      </c>
      <c r="P41" s="110" t="e">
        <f t="shared" si="20"/>
        <v>#REF!</v>
      </c>
    </row>
    <row r="42" spans="1:16" x14ac:dyDescent="0.2">
      <c r="A42" s="114" t="s">
        <v>77</v>
      </c>
      <c r="B42" s="114"/>
      <c r="C42" s="114"/>
      <c r="D42" s="114"/>
      <c r="E42" s="114"/>
      <c r="F42" s="117" t="e">
        <f t="shared" si="10"/>
        <v>#REF!</v>
      </c>
      <c r="G42" s="513" t="e">
        <f t="shared" si="11"/>
        <v>#REF!</v>
      </c>
      <c r="H42" s="117" t="e">
        <f t="shared" si="12"/>
        <v>#REF!</v>
      </c>
      <c r="I42" s="108" t="e">
        <f t="shared" si="13"/>
        <v>#REF!</v>
      </c>
      <c r="J42" s="110" t="e">
        <f t="shared" si="14"/>
        <v>#REF!</v>
      </c>
      <c r="K42" s="110" t="e">
        <f t="shared" si="15"/>
        <v>#REF!</v>
      </c>
      <c r="L42" s="118" t="e">
        <f t="shared" si="16"/>
        <v>#REF!</v>
      </c>
      <c r="M42" s="118" t="e">
        <f t="shared" si="17"/>
        <v>#REF!</v>
      </c>
      <c r="N42" s="118" t="e">
        <f t="shared" si="18"/>
        <v>#REF!</v>
      </c>
      <c r="O42" s="118" t="e">
        <f t="shared" si="19"/>
        <v>#REF!</v>
      </c>
      <c r="P42" s="110" t="e">
        <f t="shared" si="20"/>
        <v>#REF!</v>
      </c>
    </row>
    <row r="43" spans="1:16" x14ac:dyDescent="0.2">
      <c r="A43" s="114" t="s">
        <v>78</v>
      </c>
      <c r="B43" s="114"/>
      <c r="C43" s="114"/>
      <c r="D43" s="114"/>
      <c r="E43" s="114"/>
      <c r="F43" s="117" t="e">
        <f t="shared" si="10"/>
        <v>#REF!</v>
      </c>
      <c r="G43" s="513" t="e">
        <f t="shared" si="11"/>
        <v>#REF!</v>
      </c>
      <c r="H43" s="117" t="e">
        <f t="shared" si="12"/>
        <v>#REF!</v>
      </c>
      <c r="I43" s="108" t="e">
        <f t="shared" si="13"/>
        <v>#REF!</v>
      </c>
      <c r="J43" s="110" t="e">
        <f t="shared" si="14"/>
        <v>#REF!</v>
      </c>
      <c r="K43" s="110" t="e">
        <f t="shared" si="15"/>
        <v>#REF!</v>
      </c>
      <c r="L43" s="118" t="e">
        <f t="shared" si="16"/>
        <v>#REF!</v>
      </c>
      <c r="M43" s="118" t="e">
        <f t="shared" si="17"/>
        <v>#REF!</v>
      </c>
      <c r="N43" s="118" t="e">
        <f t="shared" si="18"/>
        <v>#REF!</v>
      </c>
      <c r="O43" s="118" t="e">
        <f t="shared" si="19"/>
        <v>#REF!</v>
      </c>
      <c r="P43" s="110" t="e">
        <f t="shared" si="20"/>
        <v>#REF!</v>
      </c>
    </row>
    <row r="44" spans="1:16" x14ac:dyDescent="0.2">
      <c r="A44" s="119" t="s">
        <v>79</v>
      </c>
      <c r="B44" s="119"/>
      <c r="C44" s="119"/>
      <c r="D44" s="119"/>
      <c r="E44" s="119"/>
      <c r="F44" s="117" t="e">
        <f t="shared" si="10"/>
        <v>#REF!</v>
      </c>
      <c r="G44" s="513" t="e">
        <f t="shared" si="11"/>
        <v>#REF!</v>
      </c>
      <c r="H44" s="117" t="e">
        <f t="shared" si="12"/>
        <v>#REF!</v>
      </c>
      <c r="I44" s="108" t="e">
        <f t="shared" si="13"/>
        <v>#REF!</v>
      </c>
      <c r="J44" s="110" t="e">
        <f t="shared" si="14"/>
        <v>#REF!</v>
      </c>
      <c r="K44" s="110" t="e">
        <f t="shared" si="15"/>
        <v>#REF!</v>
      </c>
      <c r="L44" s="118" t="e">
        <f t="shared" si="16"/>
        <v>#REF!</v>
      </c>
      <c r="M44" s="118" t="e">
        <f t="shared" si="17"/>
        <v>#REF!</v>
      </c>
      <c r="N44" s="118" t="e">
        <f t="shared" si="18"/>
        <v>#REF!</v>
      </c>
      <c r="O44" s="118" t="e">
        <f t="shared" si="19"/>
        <v>#REF!</v>
      </c>
      <c r="P44" s="110" t="e">
        <f t="shared" si="20"/>
        <v>#REF!</v>
      </c>
    </row>
    <row r="45" spans="1:16" x14ac:dyDescent="0.2">
      <c r="A45" s="114"/>
      <c r="B45" s="114"/>
      <c r="C45" s="114"/>
      <c r="D45" s="114"/>
      <c r="E45" s="114"/>
      <c r="F45" s="120" t="e">
        <f t="shared" ref="F45:O45" si="21">SUM(F39:F44)</f>
        <v>#REF!</v>
      </c>
      <c r="G45" s="121" t="e">
        <f t="shared" si="21"/>
        <v>#REF!</v>
      </c>
      <c r="H45" s="120" t="e">
        <f t="shared" si="21"/>
        <v>#REF!</v>
      </c>
      <c r="I45" s="121" t="e">
        <f t="shared" si="21"/>
        <v>#REF!</v>
      </c>
      <c r="J45" s="120" t="e">
        <f t="shared" si="21"/>
        <v>#REF!</v>
      </c>
      <c r="K45" s="122" t="e">
        <f t="shared" si="21"/>
        <v>#REF!</v>
      </c>
      <c r="L45" s="314" t="e">
        <f t="shared" si="21"/>
        <v>#REF!</v>
      </c>
      <c r="M45" s="314" t="e">
        <f t="shared" si="21"/>
        <v>#REF!</v>
      </c>
      <c r="N45" s="122" t="e">
        <f t="shared" si="21"/>
        <v>#REF!</v>
      </c>
      <c r="O45" s="122" t="e">
        <f t="shared" si="21"/>
        <v>#REF!</v>
      </c>
      <c r="P45" s="122" t="e">
        <f t="shared" si="20"/>
        <v>#REF!</v>
      </c>
    </row>
    <row r="46" spans="1:16" x14ac:dyDescent="0.2">
      <c r="A46" s="114"/>
      <c r="B46" s="114"/>
      <c r="C46" s="114"/>
      <c r="D46" s="114"/>
      <c r="E46" s="114"/>
      <c r="F46" s="117"/>
      <c r="G46" s="108"/>
      <c r="H46" s="117"/>
      <c r="I46" s="108"/>
      <c r="J46" s="117"/>
      <c r="K46" s="110" t="e">
        <f>K45-K37</f>
        <v>#REF!</v>
      </c>
      <c r="L46" s="118"/>
      <c r="M46" s="118"/>
      <c r="N46" s="118"/>
      <c r="O46" s="118"/>
      <c r="P46" s="110">
        <f t="shared" si="20"/>
        <v>0</v>
      </c>
    </row>
    <row r="47" spans="1:16" x14ac:dyDescent="0.2">
      <c r="A47" s="114" t="s">
        <v>80</v>
      </c>
      <c r="B47" s="114"/>
      <c r="C47" s="114"/>
      <c r="D47" s="114"/>
      <c r="E47" s="114"/>
      <c r="F47" s="117" t="e">
        <f>N25</f>
        <v>#REF!</v>
      </c>
      <c r="G47" s="108" t="e">
        <f>F47/J47</f>
        <v>#REF!</v>
      </c>
      <c r="H47" s="117" t="e">
        <f>O25</f>
        <v>#REF!</v>
      </c>
      <c r="I47" s="513" t="e">
        <f>H47/J47</f>
        <v>#REF!</v>
      </c>
      <c r="J47" s="110" t="e">
        <f>F47+H47</f>
        <v>#REF!</v>
      </c>
      <c r="K47" s="110">
        <f>-M54</f>
        <v>-1650828.4000000001</v>
      </c>
      <c r="L47" s="315" t="e">
        <f>G47*K47</f>
        <v>#REF!</v>
      </c>
      <c r="M47" s="315" t="e">
        <f>I47*K47</f>
        <v>#REF!</v>
      </c>
      <c r="N47" s="118" t="e">
        <f>F47+L47</f>
        <v>#REF!</v>
      </c>
      <c r="O47" s="118" t="e">
        <f>H47+M47</f>
        <v>#REF!</v>
      </c>
      <c r="P47" s="110" t="e">
        <f t="shared" si="20"/>
        <v>#REF!</v>
      </c>
    </row>
    <row r="48" spans="1:16" ht="12.75" thickBot="1" x14ac:dyDescent="0.25">
      <c r="A48" s="86"/>
      <c r="B48" s="86"/>
      <c r="C48" s="86"/>
      <c r="D48" s="86"/>
      <c r="E48" s="86"/>
      <c r="F48" s="117"/>
      <c r="G48" s="108"/>
      <c r="H48" s="110"/>
      <c r="I48" s="108"/>
      <c r="J48" s="110"/>
      <c r="K48" s="110"/>
      <c r="L48" s="118"/>
      <c r="M48" s="118"/>
      <c r="N48" s="118"/>
      <c r="O48" s="118"/>
      <c r="P48" s="110">
        <f t="shared" si="20"/>
        <v>0</v>
      </c>
    </row>
    <row r="49" spans="1:16" ht="12.75" thickBot="1" x14ac:dyDescent="0.25">
      <c r="A49" s="123" t="s">
        <v>87</v>
      </c>
      <c r="B49" s="123"/>
      <c r="C49" s="123"/>
      <c r="D49" s="123"/>
      <c r="E49" s="123"/>
      <c r="F49" s="124" t="e">
        <f>F45+F47</f>
        <v>#REF!</v>
      </c>
      <c r="G49" s="125" t="e">
        <f>F50/$F$49</f>
        <v>#REF!</v>
      </c>
      <c r="H49" s="124" t="e">
        <f>H45+H47</f>
        <v>#REF!</v>
      </c>
      <c r="I49" s="125" t="e">
        <f>H50/$H$49</f>
        <v>#REF!</v>
      </c>
      <c r="J49" s="124" t="e">
        <f>J45+J47</f>
        <v>#REF!</v>
      </c>
      <c r="K49" s="126">
        <f>K47</f>
        <v>-1650828.4000000001</v>
      </c>
      <c r="L49" s="126" t="e">
        <f>L47</f>
        <v>#REF!</v>
      </c>
      <c r="M49" s="126" t="e">
        <f>M47</f>
        <v>#REF!</v>
      </c>
      <c r="N49" s="126" t="e">
        <f>N47</f>
        <v>#REF!</v>
      </c>
      <c r="O49" s="126" t="e">
        <f>O47</f>
        <v>#REF!</v>
      </c>
      <c r="P49" s="127" t="e">
        <f t="shared" si="20"/>
        <v>#REF!</v>
      </c>
    </row>
    <row r="50" spans="1:16" ht="13.5" thickTop="1" thickBot="1" x14ac:dyDescent="0.25">
      <c r="A50" s="128" t="s">
        <v>82</v>
      </c>
      <c r="B50" s="128"/>
      <c r="C50" s="128"/>
      <c r="D50" s="128"/>
      <c r="E50" s="128"/>
      <c r="F50" s="129" t="e">
        <f>F49</f>
        <v>#REF!</v>
      </c>
      <c r="G50" s="130"/>
      <c r="H50" s="129" t="e">
        <f>H49</f>
        <v>#REF!</v>
      </c>
      <c r="I50" s="130"/>
      <c r="J50" s="131" t="e">
        <f>F50+H50</f>
        <v>#REF!</v>
      </c>
      <c r="K50" s="132" t="e">
        <f>K45+K49</f>
        <v>#REF!</v>
      </c>
      <c r="L50" s="132" t="e">
        <f>L45+L49</f>
        <v>#REF!</v>
      </c>
      <c r="M50" s="132" t="e">
        <f>M45+M49</f>
        <v>#REF!</v>
      </c>
      <c r="N50" s="132" t="e">
        <f>N45+N49</f>
        <v>#REF!</v>
      </c>
      <c r="O50" s="132" t="e">
        <f>O45+O49</f>
        <v>#REF!</v>
      </c>
      <c r="P50" s="133" t="e">
        <f t="shared" si="20"/>
        <v>#REF!</v>
      </c>
    </row>
    <row r="51" spans="1:16" ht="12.75" thickBot="1" x14ac:dyDescent="0.25">
      <c r="A51" s="134"/>
      <c r="B51" s="134"/>
      <c r="C51" s="134"/>
      <c r="D51" s="134"/>
      <c r="E51" s="134"/>
      <c r="F51" s="135"/>
      <c r="G51" s="134"/>
      <c r="H51" s="135"/>
      <c r="I51" s="134"/>
      <c r="J51" s="136"/>
      <c r="K51" s="137"/>
      <c r="L51" s="137"/>
      <c r="M51" s="137"/>
      <c r="N51" s="316" t="e">
        <f>F49-N50+L50</f>
        <v>#REF!</v>
      </c>
      <c r="O51" s="317" t="e">
        <f>H49-O50+M50</f>
        <v>#REF!</v>
      </c>
      <c r="P51" s="87"/>
    </row>
    <row r="52" spans="1:16" ht="12.75" thickBot="1" x14ac:dyDescent="0.25">
      <c r="J52" s="344"/>
      <c r="K52" s="345" t="s">
        <v>405</v>
      </c>
      <c r="L52" s="345" t="s">
        <v>406</v>
      </c>
      <c r="M52" s="346" t="s">
        <v>172</v>
      </c>
    </row>
    <row r="53" spans="1:16" x14ac:dyDescent="0.2">
      <c r="J53" s="138" t="s">
        <v>171</v>
      </c>
      <c r="K53" s="347">
        <f>L31</f>
        <v>-1076651.8723326749</v>
      </c>
      <c r="L53" s="321">
        <v>-2112226.8482426475</v>
      </c>
      <c r="M53" s="347">
        <f>L53-K53</f>
        <v>-1035574.9759099726</v>
      </c>
    </row>
    <row r="54" spans="1:16" ht="12.75" thickBot="1" x14ac:dyDescent="0.25">
      <c r="G54" s="306"/>
      <c r="H54" s="306"/>
      <c r="I54" s="306"/>
      <c r="J54" s="139" t="s">
        <v>142</v>
      </c>
      <c r="K54" s="347">
        <f>L32</f>
        <v>1720057.84</v>
      </c>
      <c r="L54" s="322">
        <v>3370886.24</v>
      </c>
      <c r="M54" s="348">
        <f>L54-K54</f>
        <v>1650828.4000000001</v>
      </c>
    </row>
    <row r="55" spans="1:16" ht="12.75" thickBot="1" x14ac:dyDescent="0.25">
      <c r="G55" s="306"/>
      <c r="H55" s="307"/>
      <c r="I55" s="306"/>
      <c r="J55" s="349"/>
      <c r="K55" s="351">
        <f>SUM(K53:K54)</f>
        <v>643405.96766732517</v>
      </c>
      <c r="L55" s="350">
        <f>SUM(L53:L54)</f>
        <v>1258659.3917573527</v>
      </c>
      <c r="M55" s="351">
        <f>SUM(M53:M54)</f>
        <v>615253.42409002758</v>
      </c>
    </row>
    <row r="56" spans="1:16" ht="12.75" thickBot="1" x14ac:dyDescent="0.25">
      <c r="A56" s="140" t="s">
        <v>66</v>
      </c>
      <c r="B56" s="141"/>
      <c r="C56" s="141"/>
      <c r="D56" s="141"/>
      <c r="E56" s="141"/>
      <c r="F56" s="95"/>
      <c r="G56" s="95"/>
      <c r="H56" s="95"/>
      <c r="I56" s="95"/>
      <c r="J56" s="143"/>
      <c r="K56" s="319">
        <v>40603</v>
      </c>
      <c r="L56" s="320"/>
      <c r="M56" s="320"/>
      <c r="N56" s="320"/>
    </row>
    <row r="57" spans="1:16" ht="12.75" thickBot="1" x14ac:dyDescent="0.25">
      <c r="A57" s="83" t="s">
        <v>167</v>
      </c>
      <c r="B57" s="83"/>
      <c r="C57" s="83"/>
      <c r="D57" s="83"/>
      <c r="E57" s="83"/>
      <c r="F57" s="94"/>
      <c r="G57" s="95"/>
      <c r="H57" s="95"/>
      <c r="I57" s="95"/>
      <c r="J57" s="85"/>
      <c r="K57" s="96"/>
      <c r="L57" s="97" t="s">
        <v>31</v>
      </c>
      <c r="M57" s="96"/>
      <c r="N57" s="96"/>
    </row>
    <row r="58" spans="1:16" ht="27" thickBot="1" x14ac:dyDescent="0.4">
      <c r="A58" s="98"/>
      <c r="B58" s="98"/>
      <c r="C58" s="98"/>
      <c r="D58" s="98"/>
      <c r="E58" s="98"/>
      <c r="F58" s="99" t="s">
        <v>68</v>
      </c>
      <c r="G58" s="100" t="s">
        <v>69</v>
      </c>
      <c r="H58" s="99" t="s">
        <v>70</v>
      </c>
      <c r="I58" s="100" t="s">
        <v>69</v>
      </c>
      <c r="J58" s="101" t="s">
        <v>62</v>
      </c>
      <c r="K58" s="102" t="s">
        <v>71</v>
      </c>
      <c r="L58" s="103" t="s">
        <v>72</v>
      </c>
      <c r="M58" s="104" t="s">
        <v>73</v>
      </c>
      <c r="N58" s="104" t="s">
        <v>68</v>
      </c>
      <c r="O58" s="104" t="s">
        <v>70</v>
      </c>
      <c r="P58" s="105" t="s">
        <v>62</v>
      </c>
    </row>
    <row r="59" spans="1:16" ht="14.25" x14ac:dyDescent="0.35">
      <c r="A59" s="106" t="s">
        <v>170</v>
      </c>
      <c r="B59" s="106"/>
      <c r="C59" s="106"/>
      <c r="D59" s="106"/>
      <c r="E59" s="106"/>
      <c r="F59" s="107"/>
      <c r="G59" s="108"/>
      <c r="H59" s="109"/>
      <c r="I59" s="108"/>
      <c r="J59" s="110"/>
      <c r="K59" s="111">
        <f>-M75</f>
        <v>1121666.3214181107</v>
      </c>
      <c r="L59" s="112">
        <f>$C$7*K59</f>
        <v>1047690.9944817276</v>
      </c>
      <c r="M59" s="112">
        <f>K59*$C$8</f>
        <v>73975.326936383135</v>
      </c>
      <c r="N59" s="112" t="e">
        <f>SUM(N67+N71)</f>
        <v>#REF!</v>
      </c>
      <c r="O59" s="112" t="e">
        <f>SUM(O67+O71)</f>
        <v>#REF!</v>
      </c>
      <c r="P59" s="113" t="e">
        <f>N59+O59</f>
        <v>#REF!</v>
      </c>
    </row>
    <row r="60" spans="1:16" x14ac:dyDescent="0.2">
      <c r="A60" s="114"/>
      <c r="B60" s="114"/>
      <c r="C60" s="114"/>
      <c r="D60" s="114"/>
      <c r="E60" s="114"/>
      <c r="F60" s="107"/>
      <c r="G60" s="108"/>
      <c r="H60" s="109"/>
      <c r="I60" s="108"/>
      <c r="J60" s="110"/>
      <c r="K60" s="115"/>
      <c r="L60" s="115"/>
      <c r="M60" s="115"/>
      <c r="N60" s="115"/>
      <c r="O60" s="115"/>
      <c r="P60" s="116"/>
    </row>
    <row r="61" spans="1:16" x14ac:dyDescent="0.2">
      <c r="A61" s="114" t="s">
        <v>86</v>
      </c>
      <c r="B61" s="114"/>
      <c r="C61" s="114"/>
      <c r="D61" s="114"/>
      <c r="E61" s="114"/>
      <c r="F61" s="117" t="e">
        <f t="shared" ref="F61:F66" si="22">N39</f>
        <v>#REF!</v>
      </c>
      <c r="G61" s="513" t="e">
        <f t="shared" ref="G61:G66" si="23">F61/$F$67</f>
        <v>#REF!</v>
      </c>
      <c r="H61" s="117" t="e">
        <f t="shared" ref="H61:H66" si="24">O39</f>
        <v>#REF!</v>
      </c>
      <c r="I61" s="108" t="e">
        <f t="shared" ref="I61:I66" si="25">H61/$H$67</f>
        <v>#REF!</v>
      </c>
      <c r="J61" s="110" t="e">
        <f t="shared" ref="J61:J66" si="26">F61+H61</f>
        <v>#REF!</v>
      </c>
      <c r="K61" s="110" t="e">
        <f t="shared" ref="K61:K66" si="27">L61+M61</f>
        <v>#REF!</v>
      </c>
      <c r="L61" s="118" t="e">
        <f t="shared" ref="L61:L66" si="28">G61*$L$59</f>
        <v>#REF!</v>
      </c>
      <c r="M61" s="118" t="e">
        <f t="shared" ref="M61:M66" si="29">I61*$M$59</f>
        <v>#REF!</v>
      </c>
      <c r="N61" s="118" t="e">
        <f t="shared" ref="N61:N66" si="30">F61+L61</f>
        <v>#REF!</v>
      </c>
      <c r="O61" s="118" t="e">
        <f t="shared" ref="O61:O66" si="31">H61+M61</f>
        <v>#REF!</v>
      </c>
      <c r="P61" s="110" t="e">
        <f t="shared" ref="P61:P72" si="32">N61+O61</f>
        <v>#REF!</v>
      </c>
    </row>
    <row r="62" spans="1:16" x14ac:dyDescent="0.2">
      <c r="A62" s="114" t="s">
        <v>75</v>
      </c>
      <c r="B62" s="114"/>
      <c r="C62" s="114"/>
      <c r="D62" s="114"/>
      <c r="E62" s="114"/>
      <c r="F62" s="117" t="e">
        <f t="shared" si="22"/>
        <v>#REF!</v>
      </c>
      <c r="G62" s="513" t="e">
        <f t="shared" si="23"/>
        <v>#REF!</v>
      </c>
      <c r="H62" s="117" t="e">
        <f t="shared" si="24"/>
        <v>#REF!</v>
      </c>
      <c r="I62" s="108" t="e">
        <f t="shared" si="25"/>
        <v>#REF!</v>
      </c>
      <c r="J62" s="110" t="e">
        <f t="shared" si="26"/>
        <v>#REF!</v>
      </c>
      <c r="K62" s="110" t="e">
        <f t="shared" si="27"/>
        <v>#REF!</v>
      </c>
      <c r="L62" s="118" t="e">
        <f t="shared" si="28"/>
        <v>#REF!</v>
      </c>
      <c r="M62" s="118" t="e">
        <f t="shared" si="29"/>
        <v>#REF!</v>
      </c>
      <c r="N62" s="118" t="e">
        <f t="shared" si="30"/>
        <v>#REF!</v>
      </c>
      <c r="O62" s="118" t="e">
        <f t="shared" si="31"/>
        <v>#REF!</v>
      </c>
      <c r="P62" s="110" t="e">
        <f t="shared" si="32"/>
        <v>#REF!</v>
      </c>
    </row>
    <row r="63" spans="1:16" x14ac:dyDescent="0.2">
      <c r="A63" s="114" t="s">
        <v>76</v>
      </c>
      <c r="B63" s="114"/>
      <c r="C63" s="114"/>
      <c r="D63" s="114"/>
      <c r="E63" s="114"/>
      <c r="F63" s="117" t="e">
        <f t="shared" si="22"/>
        <v>#REF!</v>
      </c>
      <c r="G63" s="513" t="e">
        <f t="shared" si="23"/>
        <v>#REF!</v>
      </c>
      <c r="H63" s="117" t="e">
        <f t="shared" si="24"/>
        <v>#REF!</v>
      </c>
      <c r="I63" s="108" t="e">
        <f t="shared" si="25"/>
        <v>#REF!</v>
      </c>
      <c r="J63" s="110" t="e">
        <f t="shared" si="26"/>
        <v>#REF!</v>
      </c>
      <c r="K63" s="110" t="e">
        <f t="shared" si="27"/>
        <v>#REF!</v>
      </c>
      <c r="L63" s="118" t="e">
        <f t="shared" si="28"/>
        <v>#REF!</v>
      </c>
      <c r="M63" s="118" t="e">
        <f t="shared" si="29"/>
        <v>#REF!</v>
      </c>
      <c r="N63" s="118" t="e">
        <f t="shared" si="30"/>
        <v>#REF!</v>
      </c>
      <c r="O63" s="118" t="e">
        <f t="shared" si="31"/>
        <v>#REF!</v>
      </c>
      <c r="P63" s="110" t="e">
        <f t="shared" si="32"/>
        <v>#REF!</v>
      </c>
    </row>
    <row r="64" spans="1:16" x14ac:dyDescent="0.2">
      <c r="A64" s="114" t="s">
        <v>77</v>
      </c>
      <c r="B64" s="114"/>
      <c r="C64" s="114"/>
      <c r="D64" s="114"/>
      <c r="E64" s="114"/>
      <c r="F64" s="117" t="e">
        <f t="shared" si="22"/>
        <v>#REF!</v>
      </c>
      <c r="G64" s="513" t="e">
        <f t="shared" si="23"/>
        <v>#REF!</v>
      </c>
      <c r="H64" s="117" t="e">
        <f t="shared" si="24"/>
        <v>#REF!</v>
      </c>
      <c r="I64" s="108" t="e">
        <f t="shared" si="25"/>
        <v>#REF!</v>
      </c>
      <c r="J64" s="110" t="e">
        <f t="shared" si="26"/>
        <v>#REF!</v>
      </c>
      <c r="K64" s="110" t="e">
        <f t="shared" si="27"/>
        <v>#REF!</v>
      </c>
      <c r="L64" s="118" t="e">
        <f t="shared" si="28"/>
        <v>#REF!</v>
      </c>
      <c r="M64" s="118" t="e">
        <f t="shared" si="29"/>
        <v>#REF!</v>
      </c>
      <c r="N64" s="118" t="e">
        <f t="shared" si="30"/>
        <v>#REF!</v>
      </c>
      <c r="O64" s="118" t="e">
        <f t="shared" si="31"/>
        <v>#REF!</v>
      </c>
      <c r="P64" s="110" t="e">
        <f t="shared" si="32"/>
        <v>#REF!</v>
      </c>
    </row>
    <row r="65" spans="1:16" x14ac:dyDescent="0.2">
      <c r="A65" s="114" t="s">
        <v>78</v>
      </c>
      <c r="B65" s="114"/>
      <c r="C65" s="114"/>
      <c r="D65" s="114"/>
      <c r="E65" s="114"/>
      <c r="F65" s="117" t="e">
        <f t="shared" si="22"/>
        <v>#REF!</v>
      </c>
      <c r="G65" s="513" t="e">
        <f t="shared" si="23"/>
        <v>#REF!</v>
      </c>
      <c r="H65" s="117" t="e">
        <f t="shared" si="24"/>
        <v>#REF!</v>
      </c>
      <c r="I65" s="108" t="e">
        <f t="shared" si="25"/>
        <v>#REF!</v>
      </c>
      <c r="J65" s="110" t="e">
        <f t="shared" si="26"/>
        <v>#REF!</v>
      </c>
      <c r="K65" s="110" t="e">
        <f t="shared" si="27"/>
        <v>#REF!</v>
      </c>
      <c r="L65" s="118" t="e">
        <f t="shared" si="28"/>
        <v>#REF!</v>
      </c>
      <c r="M65" s="118" t="e">
        <f t="shared" si="29"/>
        <v>#REF!</v>
      </c>
      <c r="N65" s="118" t="e">
        <f t="shared" si="30"/>
        <v>#REF!</v>
      </c>
      <c r="O65" s="118" t="e">
        <f t="shared" si="31"/>
        <v>#REF!</v>
      </c>
      <c r="P65" s="110" t="e">
        <f t="shared" si="32"/>
        <v>#REF!</v>
      </c>
    </row>
    <row r="66" spans="1:16" x14ac:dyDescent="0.2">
      <c r="A66" s="119" t="s">
        <v>79</v>
      </c>
      <c r="B66" s="119"/>
      <c r="C66" s="119"/>
      <c r="D66" s="119"/>
      <c r="E66" s="119"/>
      <c r="F66" s="117" t="e">
        <f t="shared" si="22"/>
        <v>#REF!</v>
      </c>
      <c r="G66" s="513" t="e">
        <f t="shared" si="23"/>
        <v>#REF!</v>
      </c>
      <c r="H66" s="117" t="e">
        <f t="shared" si="24"/>
        <v>#REF!</v>
      </c>
      <c r="I66" s="108" t="e">
        <f t="shared" si="25"/>
        <v>#REF!</v>
      </c>
      <c r="J66" s="110" t="e">
        <f t="shared" si="26"/>
        <v>#REF!</v>
      </c>
      <c r="K66" s="110" t="e">
        <f t="shared" si="27"/>
        <v>#REF!</v>
      </c>
      <c r="L66" s="118" t="e">
        <f t="shared" si="28"/>
        <v>#REF!</v>
      </c>
      <c r="M66" s="118" t="e">
        <f t="shared" si="29"/>
        <v>#REF!</v>
      </c>
      <c r="N66" s="118" t="e">
        <f t="shared" si="30"/>
        <v>#REF!</v>
      </c>
      <c r="O66" s="118" t="e">
        <f t="shared" si="31"/>
        <v>#REF!</v>
      </c>
      <c r="P66" s="110" t="e">
        <f t="shared" si="32"/>
        <v>#REF!</v>
      </c>
    </row>
    <row r="67" spans="1:16" x14ac:dyDescent="0.2">
      <c r="A67" s="114"/>
      <c r="B67" s="114"/>
      <c r="C67" s="114"/>
      <c r="D67" s="114"/>
      <c r="E67" s="114"/>
      <c r="F67" s="120" t="e">
        <f t="shared" ref="F67:O67" si="33">SUM(F61:F66)</f>
        <v>#REF!</v>
      </c>
      <c r="G67" s="121" t="e">
        <f t="shared" si="33"/>
        <v>#REF!</v>
      </c>
      <c r="H67" s="120" t="e">
        <f t="shared" si="33"/>
        <v>#REF!</v>
      </c>
      <c r="I67" s="121" t="e">
        <f t="shared" si="33"/>
        <v>#REF!</v>
      </c>
      <c r="J67" s="120" t="e">
        <f t="shared" si="33"/>
        <v>#REF!</v>
      </c>
      <c r="K67" s="122" t="e">
        <f t="shared" si="33"/>
        <v>#REF!</v>
      </c>
      <c r="L67" s="314" t="e">
        <f t="shared" si="33"/>
        <v>#REF!</v>
      </c>
      <c r="M67" s="314" t="e">
        <f t="shared" si="33"/>
        <v>#REF!</v>
      </c>
      <c r="N67" s="122" t="e">
        <f t="shared" si="33"/>
        <v>#REF!</v>
      </c>
      <c r="O67" s="122" t="e">
        <f t="shared" si="33"/>
        <v>#REF!</v>
      </c>
      <c r="P67" s="122" t="e">
        <f t="shared" si="32"/>
        <v>#REF!</v>
      </c>
    </row>
    <row r="68" spans="1:16" x14ac:dyDescent="0.2">
      <c r="A68" s="114"/>
      <c r="B68" s="114"/>
      <c r="C68" s="114"/>
      <c r="D68" s="114"/>
      <c r="E68" s="114"/>
      <c r="F68" s="117"/>
      <c r="G68" s="108"/>
      <c r="H68" s="117"/>
      <c r="I68" s="108"/>
      <c r="J68" s="117"/>
      <c r="K68" s="110" t="e">
        <f>K67-K59</f>
        <v>#REF!</v>
      </c>
      <c r="L68" s="118"/>
      <c r="M68" s="118"/>
      <c r="N68" s="118"/>
      <c r="O68" s="118"/>
      <c r="P68" s="110">
        <f t="shared" si="32"/>
        <v>0</v>
      </c>
    </row>
    <row r="69" spans="1:16" x14ac:dyDescent="0.2">
      <c r="A69" s="114" t="s">
        <v>80</v>
      </c>
      <c r="B69" s="114"/>
      <c r="C69" s="114"/>
      <c r="D69" s="114"/>
      <c r="E69" s="114"/>
      <c r="F69" s="117" t="e">
        <f>N47</f>
        <v>#REF!</v>
      </c>
      <c r="G69" s="108" t="e">
        <f>F69/J69</f>
        <v>#REF!</v>
      </c>
      <c r="H69" s="117" t="e">
        <f>O47</f>
        <v>#REF!</v>
      </c>
      <c r="I69" s="513" t="e">
        <f>H69/J69</f>
        <v>#REF!</v>
      </c>
      <c r="J69" s="110" t="e">
        <f>F69+H69</f>
        <v>#REF!</v>
      </c>
      <c r="K69" s="110">
        <f>-M76</f>
        <v>-1703927.46</v>
      </c>
      <c r="L69" s="315" t="e">
        <f>G69*K69</f>
        <v>#REF!</v>
      </c>
      <c r="M69" s="315" t="e">
        <f>I69*K69</f>
        <v>#REF!</v>
      </c>
      <c r="N69" s="118" t="e">
        <f>F69+L69</f>
        <v>#REF!</v>
      </c>
      <c r="O69" s="118" t="e">
        <f>H69+M69</f>
        <v>#REF!</v>
      </c>
      <c r="P69" s="110" t="e">
        <f t="shared" si="32"/>
        <v>#REF!</v>
      </c>
    </row>
    <row r="70" spans="1:16" ht="12.75" thickBot="1" x14ac:dyDescent="0.25">
      <c r="A70" s="86"/>
      <c r="B70" s="86"/>
      <c r="C70" s="86"/>
      <c r="D70" s="86"/>
      <c r="E70" s="86"/>
      <c r="F70" s="117"/>
      <c r="G70" s="108"/>
      <c r="H70" s="110"/>
      <c r="I70" s="108"/>
      <c r="J70" s="110"/>
      <c r="K70" s="110"/>
      <c r="L70" s="118"/>
      <c r="M70" s="118"/>
      <c r="N70" s="118"/>
      <c r="O70" s="118"/>
      <c r="P70" s="110">
        <f t="shared" si="32"/>
        <v>0</v>
      </c>
    </row>
    <row r="71" spans="1:16" ht="12.75" thickBot="1" x14ac:dyDescent="0.25">
      <c r="A71" s="123" t="s">
        <v>87</v>
      </c>
      <c r="B71" s="123"/>
      <c r="C71" s="123"/>
      <c r="D71" s="123"/>
      <c r="E71" s="123"/>
      <c r="F71" s="124" t="e">
        <f>F67+F69</f>
        <v>#REF!</v>
      </c>
      <c r="G71" s="125" t="e">
        <f>F71/$F$72</f>
        <v>#REF!</v>
      </c>
      <c r="H71" s="124" t="e">
        <f>H67+H69</f>
        <v>#REF!</v>
      </c>
      <c r="I71" s="125" t="e">
        <f>H72/$H$71</f>
        <v>#REF!</v>
      </c>
      <c r="J71" s="124" t="e">
        <f>J67+J69</f>
        <v>#REF!</v>
      </c>
      <c r="K71" s="126">
        <f>K69</f>
        <v>-1703927.46</v>
      </c>
      <c r="L71" s="126" t="e">
        <f>L69</f>
        <v>#REF!</v>
      </c>
      <c r="M71" s="126" t="e">
        <f>M69</f>
        <v>#REF!</v>
      </c>
      <c r="N71" s="126" t="e">
        <f>N69</f>
        <v>#REF!</v>
      </c>
      <c r="O71" s="126" t="e">
        <f>O69</f>
        <v>#REF!</v>
      </c>
      <c r="P71" s="127" t="e">
        <f t="shared" si="32"/>
        <v>#REF!</v>
      </c>
    </row>
    <row r="72" spans="1:16" ht="13.5" thickTop="1" thickBot="1" x14ac:dyDescent="0.25">
      <c r="A72" s="128" t="s">
        <v>82</v>
      </c>
      <c r="B72" s="128"/>
      <c r="C72" s="128"/>
      <c r="D72" s="128"/>
      <c r="E72" s="128"/>
      <c r="F72" s="129" t="e">
        <f>F71</f>
        <v>#REF!</v>
      </c>
      <c r="G72" s="130"/>
      <c r="H72" s="129" t="e">
        <f>H71</f>
        <v>#REF!</v>
      </c>
      <c r="I72" s="130"/>
      <c r="J72" s="131" t="e">
        <f>F72+H72</f>
        <v>#REF!</v>
      </c>
      <c r="K72" s="132" t="e">
        <f>K67+K71</f>
        <v>#REF!</v>
      </c>
      <c r="L72" s="132" t="e">
        <f>L67+L71</f>
        <v>#REF!</v>
      </c>
      <c r="M72" s="132" t="e">
        <f>M67+M71</f>
        <v>#REF!</v>
      </c>
      <c r="N72" s="132" t="e">
        <f>N67+N71</f>
        <v>#REF!</v>
      </c>
      <c r="O72" s="132" t="e">
        <f>O67+O71</f>
        <v>#REF!</v>
      </c>
      <c r="P72" s="133" t="e">
        <f t="shared" si="32"/>
        <v>#REF!</v>
      </c>
    </row>
    <row r="73" spans="1:16" ht="12.75" thickBot="1" x14ac:dyDescent="0.25">
      <c r="A73" s="134"/>
      <c r="B73" s="134"/>
      <c r="C73" s="134"/>
      <c r="D73" s="134"/>
      <c r="E73" s="134"/>
      <c r="F73" s="135"/>
      <c r="G73" s="134"/>
      <c r="H73" s="135"/>
      <c r="I73" s="134"/>
      <c r="J73" s="136"/>
      <c r="K73" s="137"/>
      <c r="L73" s="137"/>
      <c r="M73" s="137"/>
      <c r="N73" s="316" t="e">
        <f>F71-N72+L72</f>
        <v>#REF!</v>
      </c>
      <c r="O73" s="317" t="e">
        <f>H71-O72+M72</f>
        <v>#REF!</v>
      </c>
      <c r="P73" s="87"/>
    </row>
    <row r="74" spans="1:16" ht="12.75" thickBot="1" x14ac:dyDescent="0.25">
      <c r="J74" s="344"/>
      <c r="K74" s="345" t="s">
        <v>406</v>
      </c>
      <c r="L74" s="345" t="s">
        <v>407</v>
      </c>
      <c r="M74" s="346" t="s">
        <v>172</v>
      </c>
    </row>
    <row r="75" spans="1:16" x14ac:dyDescent="0.2">
      <c r="J75" s="138" t="s">
        <v>171</v>
      </c>
      <c r="K75" s="321">
        <v>-2112226.8482426475</v>
      </c>
      <c r="L75" s="514">
        <v>-3233893.1696607582</v>
      </c>
      <c r="M75" s="347">
        <f>L75-K75</f>
        <v>-1121666.3214181107</v>
      </c>
    </row>
    <row r="76" spans="1:16" ht="12.75" thickBot="1" x14ac:dyDescent="0.25">
      <c r="G76" s="306"/>
      <c r="H76" s="306"/>
      <c r="I76" s="306"/>
      <c r="J76" s="139" t="s">
        <v>142</v>
      </c>
      <c r="K76" s="322">
        <v>3370886.24</v>
      </c>
      <c r="L76" s="515">
        <v>5074813.7</v>
      </c>
      <c r="M76" s="348">
        <f>L76-K76</f>
        <v>1703927.46</v>
      </c>
    </row>
    <row r="77" spans="1:16" ht="12.75" thickBot="1" x14ac:dyDescent="0.25">
      <c r="G77" s="306"/>
      <c r="H77" s="307"/>
      <c r="I77" s="306"/>
      <c r="J77" s="349"/>
      <c r="K77" s="350">
        <f>SUM(K75:K76)</f>
        <v>1258659.3917573527</v>
      </c>
      <c r="L77" s="516">
        <f>SUM(L75:L76)</f>
        <v>1840920.530339242</v>
      </c>
      <c r="M77" s="351">
        <f>SUM(M75:M76)</f>
        <v>582261.13858188922</v>
      </c>
    </row>
    <row r="78" spans="1:16" ht="12.75" thickBot="1" x14ac:dyDescent="0.25">
      <c r="A78" s="140" t="s">
        <v>66</v>
      </c>
      <c r="B78" s="141"/>
      <c r="C78" s="141"/>
      <c r="D78" s="141"/>
      <c r="E78" s="141"/>
      <c r="F78" s="95"/>
      <c r="G78" s="95"/>
      <c r="H78" s="95"/>
      <c r="I78" s="95"/>
      <c r="J78" s="143"/>
      <c r="K78" s="319">
        <v>40634</v>
      </c>
      <c r="L78" s="320"/>
      <c r="M78" s="320"/>
      <c r="N78" s="320"/>
    </row>
    <row r="79" spans="1:16" ht="12.75" thickBot="1" x14ac:dyDescent="0.25">
      <c r="A79" s="83" t="s">
        <v>167</v>
      </c>
      <c r="B79" s="83"/>
      <c r="C79" s="83"/>
      <c r="D79" s="83"/>
      <c r="E79" s="83"/>
      <c r="F79" s="94"/>
      <c r="G79" s="95"/>
      <c r="H79" s="95"/>
      <c r="I79" s="95"/>
      <c r="J79" s="85"/>
      <c r="K79" s="96"/>
      <c r="L79" s="97" t="s">
        <v>31</v>
      </c>
      <c r="M79" s="96"/>
      <c r="N79" s="96"/>
    </row>
    <row r="80" spans="1:16" ht="27" thickBot="1" x14ac:dyDescent="0.4">
      <c r="A80" s="98"/>
      <c r="B80" s="98"/>
      <c r="C80" s="98"/>
      <c r="D80" s="98"/>
      <c r="E80" s="98"/>
      <c r="F80" s="99" t="s">
        <v>68</v>
      </c>
      <c r="G80" s="100" t="s">
        <v>69</v>
      </c>
      <c r="H80" s="99" t="s">
        <v>70</v>
      </c>
      <c r="I80" s="100" t="s">
        <v>69</v>
      </c>
      <c r="J80" s="101" t="s">
        <v>62</v>
      </c>
      <c r="K80" s="102" t="s">
        <v>71</v>
      </c>
      <c r="L80" s="103" t="s">
        <v>72</v>
      </c>
      <c r="M80" s="104" t="s">
        <v>73</v>
      </c>
      <c r="N80" s="104" t="s">
        <v>68</v>
      </c>
      <c r="O80" s="104" t="s">
        <v>70</v>
      </c>
      <c r="P80" s="105" t="s">
        <v>62</v>
      </c>
    </row>
    <row r="81" spans="1:16" ht="14.25" x14ac:dyDescent="0.35">
      <c r="A81" s="106" t="s">
        <v>170</v>
      </c>
      <c r="B81" s="106"/>
      <c r="C81" s="106"/>
      <c r="D81" s="106"/>
      <c r="E81" s="106"/>
      <c r="F81" s="107"/>
      <c r="G81" s="108"/>
      <c r="H81" s="109"/>
      <c r="I81" s="108"/>
      <c r="J81" s="110"/>
      <c r="K81" s="111">
        <f>-M97</f>
        <v>953764.83033924177</v>
      </c>
      <c r="L81" s="112">
        <f>$C$7*K81</f>
        <v>890862.82125015068</v>
      </c>
      <c r="M81" s="112">
        <f>K81*$C$8</f>
        <v>62902.009089091116</v>
      </c>
      <c r="N81" s="112" t="e">
        <f>SUM(N89+N93)</f>
        <v>#REF!</v>
      </c>
      <c r="O81" s="112" t="e">
        <f>SUM(O89+O93)</f>
        <v>#REF!</v>
      </c>
      <c r="P81" s="113" t="e">
        <f>N81+O81</f>
        <v>#REF!</v>
      </c>
    </row>
    <row r="82" spans="1:16" x14ac:dyDescent="0.2">
      <c r="A82" s="114"/>
      <c r="B82" s="114"/>
      <c r="C82" s="114"/>
      <c r="D82" s="114"/>
      <c r="E82" s="114"/>
      <c r="F82" s="107"/>
      <c r="G82" s="108"/>
      <c r="H82" s="109"/>
      <c r="I82" s="108"/>
      <c r="J82" s="110"/>
      <c r="K82" s="115"/>
      <c r="L82" s="115"/>
      <c r="M82" s="115"/>
      <c r="N82" s="115"/>
      <c r="O82" s="115"/>
      <c r="P82" s="116"/>
    </row>
    <row r="83" spans="1:16" x14ac:dyDescent="0.2">
      <c r="A83" s="114" t="s">
        <v>86</v>
      </c>
      <c r="B83" s="114"/>
      <c r="C83" s="114"/>
      <c r="D83" s="114"/>
      <c r="E83" s="114"/>
      <c r="F83" s="117" t="e">
        <f t="shared" ref="F83:F88" si="34">N61</f>
        <v>#REF!</v>
      </c>
      <c r="G83" s="513" t="e">
        <f t="shared" ref="G83:G88" si="35">F83/$F$89</f>
        <v>#REF!</v>
      </c>
      <c r="H83" s="117" t="e">
        <f t="shared" ref="H83:H88" si="36">O61</f>
        <v>#REF!</v>
      </c>
      <c r="I83" s="108" t="e">
        <f t="shared" ref="I83:I88" si="37">H83/$H$89</f>
        <v>#REF!</v>
      </c>
      <c r="J83" s="110" t="e">
        <f t="shared" ref="J83:J88" si="38">F83+H83</f>
        <v>#REF!</v>
      </c>
      <c r="K83" s="110" t="e">
        <f t="shared" ref="K83:K88" si="39">L83+M83</f>
        <v>#REF!</v>
      </c>
      <c r="L83" s="118" t="e">
        <f t="shared" ref="L83:L88" si="40">G83*$L$81</f>
        <v>#REF!</v>
      </c>
      <c r="M83" s="118" t="e">
        <f t="shared" ref="M83:M88" si="41">I83*$M$81</f>
        <v>#REF!</v>
      </c>
      <c r="N83" s="118" t="e">
        <f t="shared" ref="N83:N88" si="42">F83+L83</f>
        <v>#REF!</v>
      </c>
      <c r="O83" s="118" t="e">
        <f t="shared" ref="O83:O88" si="43">H83+M83</f>
        <v>#REF!</v>
      </c>
      <c r="P83" s="110" t="e">
        <f t="shared" ref="P83:P94" si="44">N83+O83</f>
        <v>#REF!</v>
      </c>
    </row>
    <row r="84" spans="1:16" x14ac:dyDescent="0.2">
      <c r="A84" s="114" t="s">
        <v>75</v>
      </c>
      <c r="B84" s="114"/>
      <c r="C84" s="114"/>
      <c r="D84" s="114"/>
      <c r="E84" s="114"/>
      <c r="F84" s="117" t="e">
        <f t="shared" si="34"/>
        <v>#REF!</v>
      </c>
      <c r="G84" s="513" t="e">
        <f t="shared" si="35"/>
        <v>#REF!</v>
      </c>
      <c r="H84" s="117" t="e">
        <f t="shared" si="36"/>
        <v>#REF!</v>
      </c>
      <c r="I84" s="108" t="e">
        <f t="shared" si="37"/>
        <v>#REF!</v>
      </c>
      <c r="J84" s="110" t="e">
        <f t="shared" si="38"/>
        <v>#REF!</v>
      </c>
      <c r="K84" s="110" t="e">
        <f t="shared" si="39"/>
        <v>#REF!</v>
      </c>
      <c r="L84" s="118" t="e">
        <f t="shared" si="40"/>
        <v>#REF!</v>
      </c>
      <c r="M84" s="118" t="e">
        <f t="shared" si="41"/>
        <v>#REF!</v>
      </c>
      <c r="N84" s="118" t="e">
        <f t="shared" si="42"/>
        <v>#REF!</v>
      </c>
      <c r="O84" s="118" t="e">
        <f t="shared" si="43"/>
        <v>#REF!</v>
      </c>
      <c r="P84" s="110" t="e">
        <f t="shared" si="44"/>
        <v>#REF!</v>
      </c>
    </row>
    <row r="85" spans="1:16" x14ac:dyDescent="0.2">
      <c r="A85" s="114" t="s">
        <v>76</v>
      </c>
      <c r="B85" s="114"/>
      <c r="C85" s="114"/>
      <c r="D85" s="114"/>
      <c r="E85" s="114"/>
      <c r="F85" s="117" t="e">
        <f t="shared" si="34"/>
        <v>#REF!</v>
      </c>
      <c r="G85" s="513" t="e">
        <f t="shared" si="35"/>
        <v>#REF!</v>
      </c>
      <c r="H85" s="117" t="e">
        <f t="shared" si="36"/>
        <v>#REF!</v>
      </c>
      <c r="I85" s="108" t="e">
        <f t="shared" si="37"/>
        <v>#REF!</v>
      </c>
      <c r="J85" s="110" t="e">
        <f t="shared" si="38"/>
        <v>#REF!</v>
      </c>
      <c r="K85" s="110" t="e">
        <f t="shared" si="39"/>
        <v>#REF!</v>
      </c>
      <c r="L85" s="118" t="e">
        <f t="shared" si="40"/>
        <v>#REF!</v>
      </c>
      <c r="M85" s="118" t="e">
        <f t="shared" si="41"/>
        <v>#REF!</v>
      </c>
      <c r="N85" s="118" t="e">
        <f t="shared" si="42"/>
        <v>#REF!</v>
      </c>
      <c r="O85" s="118" t="e">
        <f t="shared" si="43"/>
        <v>#REF!</v>
      </c>
      <c r="P85" s="110" t="e">
        <f t="shared" si="44"/>
        <v>#REF!</v>
      </c>
    </row>
    <row r="86" spans="1:16" x14ac:dyDescent="0.2">
      <c r="A86" s="114" t="s">
        <v>77</v>
      </c>
      <c r="B86" s="114"/>
      <c r="C86" s="114"/>
      <c r="D86" s="114"/>
      <c r="E86" s="114"/>
      <c r="F86" s="117" t="e">
        <f t="shared" si="34"/>
        <v>#REF!</v>
      </c>
      <c r="G86" s="513" t="e">
        <f t="shared" si="35"/>
        <v>#REF!</v>
      </c>
      <c r="H86" s="117" t="e">
        <f t="shared" si="36"/>
        <v>#REF!</v>
      </c>
      <c r="I86" s="108" t="e">
        <f t="shared" si="37"/>
        <v>#REF!</v>
      </c>
      <c r="J86" s="110" t="e">
        <f t="shared" si="38"/>
        <v>#REF!</v>
      </c>
      <c r="K86" s="110" t="e">
        <f t="shared" si="39"/>
        <v>#REF!</v>
      </c>
      <c r="L86" s="118" t="e">
        <f t="shared" si="40"/>
        <v>#REF!</v>
      </c>
      <c r="M86" s="118" t="e">
        <f t="shared" si="41"/>
        <v>#REF!</v>
      </c>
      <c r="N86" s="118" t="e">
        <f t="shared" si="42"/>
        <v>#REF!</v>
      </c>
      <c r="O86" s="118" t="e">
        <f t="shared" si="43"/>
        <v>#REF!</v>
      </c>
      <c r="P86" s="110" t="e">
        <f t="shared" si="44"/>
        <v>#REF!</v>
      </c>
    </row>
    <row r="87" spans="1:16" x14ac:dyDescent="0.2">
      <c r="A87" s="114" t="s">
        <v>78</v>
      </c>
      <c r="B87" s="114"/>
      <c r="C87" s="114"/>
      <c r="D87" s="114"/>
      <c r="E87" s="114"/>
      <c r="F87" s="117" t="e">
        <f t="shared" si="34"/>
        <v>#REF!</v>
      </c>
      <c r="G87" s="513" t="e">
        <f t="shared" si="35"/>
        <v>#REF!</v>
      </c>
      <c r="H87" s="117" t="e">
        <f t="shared" si="36"/>
        <v>#REF!</v>
      </c>
      <c r="I87" s="108" t="e">
        <f t="shared" si="37"/>
        <v>#REF!</v>
      </c>
      <c r="J87" s="110" t="e">
        <f t="shared" si="38"/>
        <v>#REF!</v>
      </c>
      <c r="K87" s="110" t="e">
        <f t="shared" si="39"/>
        <v>#REF!</v>
      </c>
      <c r="L87" s="118" t="e">
        <f t="shared" si="40"/>
        <v>#REF!</v>
      </c>
      <c r="M87" s="118" t="e">
        <f t="shared" si="41"/>
        <v>#REF!</v>
      </c>
      <c r="N87" s="118" t="e">
        <f t="shared" si="42"/>
        <v>#REF!</v>
      </c>
      <c r="O87" s="118" t="e">
        <f t="shared" si="43"/>
        <v>#REF!</v>
      </c>
      <c r="P87" s="110" t="e">
        <f t="shared" si="44"/>
        <v>#REF!</v>
      </c>
    </row>
    <row r="88" spans="1:16" x14ac:dyDescent="0.2">
      <c r="A88" s="119" t="s">
        <v>79</v>
      </c>
      <c r="B88" s="119"/>
      <c r="C88" s="119"/>
      <c r="D88" s="119"/>
      <c r="E88" s="119"/>
      <c r="F88" s="117" t="e">
        <f t="shared" si="34"/>
        <v>#REF!</v>
      </c>
      <c r="G88" s="513" t="e">
        <f t="shared" si="35"/>
        <v>#REF!</v>
      </c>
      <c r="H88" s="117" t="e">
        <f t="shared" si="36"/>
        <v>#REF!</v>
      </c>
      <c r="I88" s="108" t="e">
        <f t="shared" si="37"/>
        <v>#REF!</v>
      </c>
      <c r="J88" s="110" t="e">
        <f t="shared" si="38"/>
        <v>#REF!</v>
      </c>
      <c r="K88" s="110" t="e">
        <f t="shared" si="39"/>
        <v>#REF!</v>
      </c>
      <c r="L88" s="118" t="e">
        <f t="shared" si="40"/>
        <v>#REF!</v>
      </c>
      <c r="M88" s="118" t="e">
        <f t="shared" si="41"/>
        <v>#REF!</v>
      </c>
      <c r="N88" s="118" t="e">
        <f t="shared" si="42"/>
        <v>#REF!</v>
      </c>
      <c r="O88" s="118" t="e">
        <f t="shared" si="43"/>
        <v>#REF!</v>
      </c>
      <c r="P88" s="110" t="e">
        <f t="shared" si="44"/>
        <v>#REF!</v>
      </c>
    </row>
    <row r="89" spans="1:16" x14ac:dyDescent="0.2">
      <c r="A89" s="114"/>
      <c r="B89" s="114"/>
      <c r="C89" s="114"/>
      <c r="D89" s="114"/>
      <c r="E89" s="114"/>
      <c r="F89" s="120" t="e">
        <f t="shared" ref="F89:O89" si="45">SUM(F83:F88)</f>
        <v>#REF!</v>
      </c>
      <c r="G89" s="121" t="e">
        <f t="shared" si="45"/>
        <v>#REF!</v>
      </c>
      <c r="H89" s="120" t="e">
        <f t="shared" si="45"/>
        <v>#REF!</v>
      </c>
      <c r="I89" s="121" t="e">
        <f t="shared" si="45"/>
        <v>#REF!</v>
      </c>
      <c r="J89" s="120" t="e">
        <f t="shared" si="45"/>
        <v>#REF!</v>
      </c>
      <c r="K89" s="122" t="e">
        <f t="shared" si="45"/>
        <v>#REF!</v>
      </c>
      <c r="L89" s="314" t="e">
        <f t="shared" si="45"/>
        <v>#REF!</v>
      </c>
      <c r="M89" s="314" t="e">
        <f t="shared" si="45"/>
        <v>#REF!</v>
      </c>
      <c r="N89" s="122" t="e">
        <f t="shared" si="45"/>
        <v>#REF!</v>
      </c>
      <c r="O89" s="122" t="e">
        <f t="shared" si="45"/>
        <v>#REF!</v>
      </c>
      <c r="P89" s="122" t="e">
        <f t="shared" si="44"/>
        <v>#REF!</v>
      </c>
    </row>
    <row r="90" spans="1:16" x14ac:dyDescent="0.2">
      <c r="A90" s="114"/>
      <c r="B90" s="114"/>
      <c r="C90" s="114"/>
      <c r="D90" s="114"/>
      <c r="E90" s="114"/>
      <c r="F90" s="117"/>
      <c r="G90" s="108"/>
      <c r="H90" s="117"/>
      <c r="I90" s="108"/>
      <c r="J90" s="117"/>
      <c r="K90" s="110" t="e">
        <f>K89-K81</f>
        <v>#REF!</v>
      </c>
      <c r="L90" s="118"/>
      <c r="M90" s="118"/>
      <c r="N90" s="118"/>
      <c r="O90" s="118"/>
      <c r="P90" s="110">
        <f t="shared" si="44"/>
        <v>0</v>
      </c>
    </row>
    <row r="91" spans="1:16" x14ac:dyDescent="0.2">
      <c r="A91" s="114" t="s">
        <v>80</v>
      </c>
      <c r="B91" s="114"/>
      <c r="C91" s="114"/>
      <c r="D91" s="114"/>
      <c r="E91" s="114"/>
      <c r="F91" s="117" t="e">
        <f>N69</f>
        <v>#REF!</v>
      </c>
      <c r="G91" s="108" t="e">
        <f>F91/J91</f>
        <v>#REF!</v>
      </c>
      <c r="H91" s="117" t="e">
        <f>O69</f>
        <v>#REF!</v>
      </c>
      <c r="I91" s="513" t="e">
        <f>H91/J91</f>
        <v>#REF!</v>
      </c>
      <c r="J91" s="110" t="e">
        <f>F91+H91</f>
        <v>#REF!</v>
      </c>
      <c r="K91" s="110">
        <f>-M98</f>
        <v>-1572433.9699999997</v>
      </c>
      <c r="L91" s="315" t="e">
        <f>G91*K91</f>
        <v>#REF!</v>
      </c>
      <c r="M91" s="315" t="e">
        <f>I91*K91</f>
        <v>#REF!</v>
      </c>
      <c r="N91" s="118" t="e">
        <f>F91+L91</f>
        <v>#REF!</v>
      </c>
      <c r="O91" s="118" t="e">
        <f>H91+M91</f>
        <v>#REF!</v>
      </c>
      <c r="P91" s="110" t="e">
        <f t="shared" si="44"/>
        <v>#REF!</v>
      </c>
    </row>
    <row r="92" spans="1:16" ht="12.75" thickBot="1" x14ac:dyDescent="0.25">
      <c r="A92" s="86"/>
      <c r="B92" s="86"/>
      <c r="C92" s="86"/>
      <c r="D92" s="86"/>
      <c r="E92" s="86"/>
      <c r="F92" s="117"/>
      <c r="G92" s="108"/>
      <c r="H92" s="110"/>
      <c r="I92" s="108"/>
      <c r="J92" s="110"/>
      <c r="K92" s="110"/>
      <c r="L92" s="118"/>
      <c r="M92" s="118"/>
      <c r="N92" s="118"/>
      <c r="O92" s="118"/>
      <c r="P92" s="110">
        <f t="shared" si="44"/>
        <v>0</v>
      </c>
    </row>
    <row r="93" spans="1:16" ht="12.75" thickBot="1" x14ac:dyDescent="0.25">
      <c r="A93" s="123" t="s">
        <v>87</v>
      </c>
      <c r="B93" s="123"/>
      <c r="C93" s="123"/>
      <c r="D93" s="123"/>
      <c r="E93" s="123"/>
      <c r="F93" s="124" t="e">
        <f>F89+F91</f>
        <v>#REF!</v>
      </c>
      <c r="G93" s="125" t="e">
        <f>F93/$F$94</f>
        <v>#REF!</v>
      </c>
      <c r="H93" s="124" t="e">
        <f>H89+H91</f>
        <v>#REF!</v>
      </c>
      <c r="I93" s="125" t="e">
        <f>H93/$H$94</f>
        <v>#REF!</v>
      </c>
      <c r="J93" s="124" t="e">
        <f>J89+J91</f>
        <v>#REF!</v>
      </c>
      <c r="K93" s="126">
        <f>K91</f>
        <v>-1572433.9699999997</v>
      </c>
      <c r="L93" s="126" t="e">
        <f>L91</f>
        <v>#REF!</v>
      </c>
      <c r="M93" s="126" t="e">
        <f>M91</f>
        <v>#REF!</v>
      </c>
      <c r="N93" s="126" t="e">
        <f>N91</f>
        <v>#REF!</v>
      </c>
      <c r="O93" s="126" t="e">
        <f>O91</f>
        <v>#REF!</v>
      </c>
      <c r="P93" s="127" t="e">
        <f t="shared" si="44"/>
        <v>#REF!</v>
      </c>
    </row>
    <row r="94" spans="1:16" ht="13.5" thickTop="1" thickBot="1" x14ac:dyDescent="0.25">
      <c r="A94" s="128" t="s">
        <v>82</v>
      </c>
      <c r="B94" s="128"/>
      <c r="C94" s="128"/>
      <c r="D94" s="128"/>
      <c r="E94" s="128"/>
      <c r="F94" s="129" t="e">
        <f>F93</f>
        <v>#REF!</v>
      </c>
      <c r="G94" s="130"/>
      <c r="H94" s="129" t="e">
        <f>H93</f>
        <v>#REF!</v>
      </c>
      <c r="I94" s="130"/>
      <c r="J94" s="131" t="e">
        <f>F94+H94</f>
        <v>#REF!</v>
      </c>
      <c r="K94" s="132" t="e">
        <f>K89+K93</f>
        <v>#REF!</v>
      </c>
      <c r="L94" s="132" t="e">
        <f>L89+L93</f>
        <v>#REF!</v>
      </c>
      <c r="M94" s="132" t="e">
        <f>M89+M93</f>
        <v>#REF!</v>
      </c>
      <c r="N94" s="132" t="e">
        <f>N89+N93</f>
        <v>#REF!</v>
      </c>
      <c r="O94" s="132" t="e">
        <f>O89+O93</f>
        <v>#REF!</v>
      </c>
      <c r="P94" s="133" t="e">
        <f t="shared" si="44"/>
        <v>#REF!</v>
      </c>
    </row>
    <row r="95" spans="1:16" ht="12.75" thickBot="1" x14ac:dyDescent="0.25">
      <c r="A95" s="134"/>
      <c r="B95" s="134"/>
      <c r="C95" s="134"/>
      <c r="D95" s="134"/>
      <c r="E95" s="134"/>
      <c r="F95" s="135"/>
      <c r="G95" s="134"/>
      <c r="H95" s="135"/>
      <c r="I95" s="134"/>
      <c r="J95" s="136"/>
      <c r="K95" s="137"/>
      <c r="L95" s="137"/>
      <c r="M95" s="137"/>
      <c r="N95" s="316" t="e">
        <f>F93-N94+L94</f>
        <v>#REF!</v>
      </c>
      <c r="O95" s="317" t="e">
        <f>H93-O94+M94</f>
        <v>#REF!</v>
      </c>
      <c r="P95" s="87"/>
    </row>
    <row r="96" spans="1:16" ht="12.75" thickBot="1" x14ac:dyDescent="0.25">
      <c r="J96" s="344"/>
      <c r="K96" s="345" t="s">
        <v>407</v>
      </c>
      <c r="L96" s="345" t="s">
        <v>409</v>
      </c>
      <c r="M96" s="346" t="s">
        <v>172</v>
      </c>
    </row>
    <row r="97" spans="1:16" ht="12.75" x14ac:dyDescent="0.2">
      <c r="H97" s="519">
        <v>6647247.6699999999</v>
      </c>
      <c r="J97" s="138" t="s">
        <v>171</v>
      </c>
      <c r="K97" s="321">
        <v>-3233893.1696607582</v>
      </c>
      <c r="L97" s="514">
        <v>-4187658</v>
      </c>
      <c r="M97" s="347">
        <f>L97-K97</f>
        <v>-953764.83033924177</v>
      </c>
      <c r="P97" s="82" t="e">
        <f>'1595 Continuity 2011'!H124</f>
        <v>#REF!</v>
      </c>
    </row>
    <row r="98" spans="1:16" ht="12.75" thickBot="1" x14ac:dyDescent="0.25">
      <c r="G98" s="306"/>
      <c r="H98" s="306"/>
      <c r="I98" s="306"/>
      <c r="J98" s="139" t="s">
        <v>142</v>
      </c>
      <c r="K98" s="322">
        <v>5074813.7</v>
      </c>
      <c r="L98" s="515">
        <v>6647247.6699999999</v>
      </c>
      <c r="M98" s="348">
        <f>L98-K98</f>
        <v>1572433.9699999997</v>
      </c>
    </row>
    <row r="99" spans="1:16" ht="12.75" thickBot="1" x14ac:dyDescent="0.25">
      <c r="G99" s="306"/>
      <c r="H99" s="307"/>
      <c r="I99" s="306"/>
      <c r="J99" s="349"/>
      <c r="K99" s="350">
        <v>1840920.530339242</v>
      </c>
      <c r="L99" s="516">
        <f>SUM(L97:L98)</f>
        <v>2459589.67</v>
      </c>
      <c r="M99" s="351">
        <f>SUM(M97:M98)</f>
        <v>618669.13966075797</v>
      </c>
    </row>
    <row r="100" spans="1:16" ht="12.75" thickBot="1" x14ac:dyDescent="0.25">
      <c r="A100" s="140" t="s">
        <v>66</v>
      </c>
      <c r="B100" s="141"/>
      <c r="C100" s="141"/>
      <c r="D100" s="141"/>
      <c r="E100" s="141"/>
      <c r="F100" s="95"/>
      <c r="G100" s="95"/>
      <c r="H100" s="95"/>
      <c r="I100" s="95"/>
      <c r="J100" s="143"/>
      <c r="K100" s="319">
        <v>40664</v>
      </c>
      <c r="L100" s="320"/>
      <c r="M100" s="320"/>
      <c r="N100" s="320"/>
    </row>
    <row r="101" spans="1:16" ht="12.75" thickBot="1" x14ac:dyDescent="0.25">
      <c r="A101" s="83" t="s">
        <v>167</v>
      </c>
      <c r="B101" s="83"/>
      <c r="C101" s="83"/>
      <c r="D101" s="83"/>
      <c r="E101" s="83"/>
      <c r="F101" s="94"/>
      <c r="G101" s="95"/>
      <c r="H101" s="95"/>
      <c r="I101" s="95"/>
      <c r="J101" s="85"/>
      <c r="K101" s="96"/>
      <c r="L101" s="97" t="s">
        <v>31</v>
      </c>
      <c r="M101" s="96"/>
      <c r="N101" s="96"/>
      <c r="O101" s="89"/>
      <c r="P101" s="142"/>
    </row>
    <row r="102" spans="1:16" ht="27" thickBot="1" x14ac:dyDescent="0.4">
      <c r="A102" s="98"/>
      <c r="B102" s="98"/>
      <c r="C102" s="98"/>
      <c r="D102" s="98"/>
      <c r="E102" s="98"/>
      <c r="F102" s="99" t="s">
        <v>68</v>
      </c>
      <c r="G102" s="100" t="s">
        <v>69</v>
      </c>
      <c r="H102" s="99" t="s">
        <v>70</v>
      </c>
      <c r="I102" s="100" t="s">
        <v>69</v>
      </c>
      <c r="J102" s="101" t="s">
        <v>62</v>
      </c>
      <c r="K102" s="102" t="s">
        <v>71</v>
      </c>
      <c r="L102" s="103" t="s">
        <v>72</v>
      </c>
      <c r="M102" s="104" t="s">
        <v>73</v>
      </c>
      <c r="N102" s="104" t="s">
        <v>68</v>
      </c>
      <c r="O102" s="104" t="s">
        <v>70</v>
      </c>
      <c r="P102" s="105" t="s">
        <v>62</v>
      </c>
    </row>
    <row r="103" spans="1:16" ht="14.25" x14ac:dyDescent="0.35">
      <c r="A103" s="106" t="s">
        <v>170</v>
      </c>
      <c r="B103" s="106"/>
      <c r="C103" s="106"/>
      <c r="D103" s="106"/>
      <c r="E103" s="106"/>
      <c r="F103" s="107"/>
      <c r="G103" s="108"/>
      <c r="H103" s="109"/>
      <c r="I103" s="108"/>
      <c r="J103" s="110"/>
      <c r="K103" s="111">
        <f>-M119</f>
        <v>1042780.4752429333</v>
      </c>
      <c r="L103" s="112">
        <f>$C$7*K103</f>
        <v>974007.77064621716</v>
      </c>
      <c r="M103" s="112">
        <f>K103*$C$8</f>
        <v>68772.704596716125</v>
      </c>
      <c r="N103" s="112" t="e">
        <f>SUM(N111+N115)</f>
        <v>#REF!</v>
      </c>
      <c r="O103" s="112" t="e">
        <f>SUM(O111+O115)</f>
        <v>#REF!</v>
      </c>
      <c r="P103" s="113" t="e">
        <f>N103+O103</f>
        <v>#REF!</v>
      </c>
    </row>
    <row r="104" spans="1:16" x14ac:dyDescent="0.2">
      <c r="A104" s="114"/>
      <c r="B104" s="114"/>
      <c r="C104" s="114"/>
      <c r="D104" s="114"/>
      <c r="E104" s="114"/>
      <c r="F104" s="107"/>
      <c r="G104" s="108"/>
      <c r="H104" s="109"/>
      <c r="I104" s="108"/>
      <c r="J104" s="110"/>
      <c r="K104" s="115"/>
      <c r="L104" s="115"/>
      <c r="M104" s="115"/>
      <c r="N104" s="115"/>
      <c r="O104" s="115"/>
      <c r="P104" s="116"/>
    </row>
    <row r="105" spans="1:16" x14ac:dyDescent="0.2">
      <c r="A105" s="114" t="s">
        <v>86</v>
      </c>
      <c r="B105" s="114"/>
      <c r="C105" s="114"/>
      <c r="D105" s="114"/>
      <c r="E105" s="114"/>
      <c r="F105" s="117" t="e">
        <f t="shared" ref="F105:F110" si="46">N83</f>
        <v>#REF!</v>
      </c>
      <c r="G105" s="513" t="e">
        <f t="shared" ref="G105:G110" si="47">F105/$F$111</f>
        <v>#REF!</v>
      </c>
      <c r="H105" s="117" t="e">
        <f t="shared" ref="H105:H110" si="48">O83</f>
        <v>#REF!</v>
      </c>
      <c r="I105" s="108" t="e">
        <f t="shared" ref="I105:I110" si="49">H105/$H$111</f>
        <v>#REF!</v>
      </c>
      <c r="J105" s="110" t="e">
        <f t="shared" ref="J105:J110" si="50">F105+H105</f>
        <v>#REF!</v>
      </c>
      <c r="K105" s="110" t="e">
        <f t="shared" ref="K105:K110" si="51">L105+M105</f>
        <v>#REF!</v>
      </c>
      <c r="L105" s="118" t="e">
        <f t="shared" ref="L105:L110" si="52">G105*$L$103</f>
        <v>#REF!</v>
      </c>
      <c r="M105" s="118" t="e">
        <f t="shared" ref="M105:M110" si="53">I105*$M$103</f>
        <v>#REF!</v>
      </c>
      <c r="N105" s="118" t="e">
        <f t="shared" ref="N105:N110" si="54">F105+L105</f>
        <v>#REF!</v>
      </c>
      <c r="O105" s="118" t="e">
        <f t="shared" ref="O105:O110" si="55">H105+M105</f>
        <v>#REF!</v>
      </c>
      <c r="P105" s="110" t="e">
        <f t="shared" ref="P105:P116" si="56">N105+O105</f>
        <v>#REF!</v>
      </c>
    </row>
    <row r="106" spans="1:16" x14ac:dyDescent="0.2">
      <c r="A106" s="114" t="s">
        <v>75</v>
      </c>
      <c r="B106" s="114"/>
      <c r="C106" s="114"/>
      <c r="D106" s="114"/>
      <c r="E106" s="114"/>
      <c r="F106" s="117" t="e">
        <f t="shared" si="46"/>
        <v>#REF!</v>
      </c>
      <c r="G106" s="513" t="e">
        <f t="shared" si="47"/>
        <v>#REF!</v>
      </c>
      <c r="H106" s="117" t="e">
        <f t="shared" si="48"/>
        <v>#REF!</v>
      </c>
      <c r="I106" s="108" t="e">
        <f>H106/$H$111</f>
        <v>#REF!</v>
      </c>
      <c r="J106" s="110" t="e">
        <f t="shared" si="50"/>
        <v>#REF!</v>
      </c>
      <c r="K106" s="110" t="e">
        <f t="shared" si="51"/>
        <v>#REF!</v>
      </c>
      <c r="L106" s="118" t="e">
        <f t="shared" si="52"/>
        <v>#REF!</v>
      </c>
      <c r="M106" s="118" t="e">
        <f t="shared" si="53"/>
        <v>#REF!</v>
      </c>
      <c r="N106" s="118" t="e">
        <f t="shared" si="54"/>
        <v>#REF!</v>
      </c>
      <c r="O106" s="118" t="e">
        <f t="shared" si="55"/>
        <v>#REF!</v>
      </c>
      <c r="P106" s="110" t="e">
        <f t="shared" si="56"/>
        <v>#REF!</v>
      </c>
    </row>
    <row r="107" spans="1:16" x14ac:dyDescent="0.2">
      <c r="A107" s="114" t="s">
        <v>76</v>
      </c>
      <c r="B107" s="114"/>
      <c r="C107" s="114"/>
      <c r="D107" s="114"/>
      <c r="E107" s="114"/>
      <c r="F107" s="117" t="e">
        <f t="shared" si="46"/>
        <v>#REF!</v>
      </c>
      <c r="G107" s="513" t="e">
        <f t="shared" si="47"/>
        <v>#REF!</v>
      </c>
      <c r="H107" s="117" t="e">
        <f t="shared" si="48"/>
        <v>#REF!</v>
      </c>
      <c r="I107" s="108" t="e">
        <f>H107/$H$111</f>
        <v>#REF!</v>
      </c>
      <c r="J107" s="110" t="e">
        <f t="shared" si="50"/>
        <v>#REF!</v>
      </c>
      <c r="K107" s="110" t="e">
        <f t="shared" si="51"/>
        <v>#REF!</v>
      </c>
      <c r="L107" s="118" t="e">
        <f t="shared" si="52"/>
        <v>#REF!</v>
      </c>
      <c r="M107" s="118" t="e">
        <f t="shared" si="53"/>
        <v>#REF!</v>
      </c>
      <c r="N107" s="118" t="e">
        <f t="shared" si="54"/>
        <v>#REF!</v>
      </c>
      <c r="O107" s="118" t="e">
        <f t="shared" si="55"/>
        <v>#REF!</v>
      </c>
      <c r="P107" s="110" t="e">
        <f t="shared" si="56"/>
        <v>#REF!</v>
      </c>
    </row>
    <row r="108" spans="1:16" x14ac:dyDescent="0.2">
      <c r="A108" s="114" t="s">
        <v>77</v>
      </c>
      <c r="B108" s="114"/>
      <c r="C108" s="114"/>
      <c r="D108" s="114"/>
      <c r="E108" s="114"/>
      <c r="F108" s="117" t="e">
        <f t="shared" si="46"/>
        <v>#REF!</v>
      </c>
      <c r="G108" s="513" t="e">
        <f t="shared" si="47"/>
        <v>#REF!</v>
      </c>
      <c r="H108" s="117" t="e">
        <f t="shared" si="48"/>
        <v>#REF!</v>
      </c>
      <c r="I108" s="108" t="e">
        <f t="shared" si="49"/>
        <v>#REF!</v>
      </c>
      <c r="J108" s="110" t="e">
        <f t="shared" si="50"/>
        <v>#REF!</v>
      </c>
      <c r="K108" s="110" t="e">
        <f t="shared" si="51"/>
        <v>#REF!</v>
      </c>
      <c r="L108" s="118" t="e">
        <f t="shared" si="52"/>
        <v>#REF!</v>
      </c>
      <c r="M108" s="118" t="e">
        <f t="shared" si="53"/>
        <v>#REF!</v>
      </c>
      <c r="N108" s="118" t="e">
        <f t="shared" si="54"/>
        <v>#REF!</v>
      </c>
      <c r="O108" s="118" t="e">
        <f t="shared" si="55"/>
        <v>#REF!</v>
      </c>
      <c r="P108" s="110" t="e">
        <f t="shared" si="56"/>
        <v>#REF!</v>
      </c>
    </row>
    <row r="109" spans="1:16" x14ac:dyDescent="0.2">
      <c r="A109" s="114" t="s">
        <v>78</v>
      </c>
      <c r="B109" s="114"/>
      <c r="C109" s="114"/>
      <c r="D109" s="114"/>
      <c r="E109" s="114"/>
      <c r="F109" s="117" t="e">
        <f t="shared" si="46"/>
        <v>#REF!</v>
      </c>
      <c r="G109" s="513" t="e">
        <f t="shared" si="47"/>
        <v>#REF!</v>
      </c>
      <c r="H109" s="117" t="e">
        <f t="shared" si="48"/>
        <v>#REF!</v>
      </c>
      <c r="I109" s="108" t="e">
        <f t="shared" si="49"/>
        <v>#REF!</v>
      </c>
      <c r="J109" s="110" t="e">
        <f t="shared" si="50"/>
        <v>#REF!</v>
      </c>
      <c r="K109" s="110" t="e">
        <f t="shared" si="51"/>
        <v>#REF!</v>
      </c>
      <c r="L109" s="118" t="e">
        <f t="shared" si="52"/>
        <v>#REF!</v>
      </c>
      <c r="M109" s="118" t="e">
        <f t="shared" si="53"/>
        <v>#REF!</v>
      </c>
      <c r="N109" s="118" t="e">
        <f t="shared" si="54"/>
        <v>#REF!</v>
      </c>
      <c r="O109" s="118" t="e">
        <f t="shared" si="55"/>
        <v>#REF!</v>
      </c>
      <c r="P109" s="110" t="e">
        <f t="shared" si="56"/>
        <v>#REF!</v>
      </c>
    </row>
    <row r="110" spans="1:16" x14ac:dyDescent="0.2">
      <c r="A110" s="119" t="s">
        <v>79</v>
      </c>
      <c r="B110" s="119"/>
      <c r="C110" s="119"/>
      <c r="D110" s="119"/>
      <c r="E110" s="119"/>
      <c r="F110" s="117" t="e">
        <f t="shared" si="46"/>
        <v>#REF!</v>
      </c>
      <c r="G110" s="513" t="e">
        <f t="shared" si="47"/>
        <v>#REF!</v>
      </c>
      <c r="H110" s="117" t="e">
        <f t="shared" si="48"/>
        <v>#REF!</v>
      </c>
      <c r="I110" s="108" t="e">
        <f t="shared" si="49"/>
        <v>#REF!</v>
      </c>
      <c r="J110" s="110" t="e">
        <f t="shared" si="50"/>
        <v>#REF!</v>
      </c>
      <c r="K110" s="110" t="e">
        <f t="shared" si="51"/>
        <v>#REF!</v>
      </c>
      <c r="L110" s="118" t="e">
        <f t="shared" si="52"/>
        <v>#REF!</v>
      </c>
      <c r="M110" s="118" t="e">
        <f t="shared" si="53"/>
        <v>#REF!</v>
      </c>
      <c r="N110" s="118" t="e">
        <f t="shared" si="54"/>
        <v>#REF!</v>
      </c>
      <c r="O110" s="118" t="e">
        <f t="shared" si="55"/>
        <v>#REF!</v>
      </c>
      <c r="P110" s="110" t="e">
        <f t="shared" si="56"/>
        <v>#REF!</v>
      </c>
    </row>
    <row r="111" spans="1:16" x14ac:dyDescent="0.2">
      <c r="A111" s="114"/>
      <c r="B111" s="114"/>
      <c r="C111" s="114"/>
      <c r="D111" s="114"/>
      <c r="E111" s="114"/>
      <c r="F111" s="120" t="e">
        <f t="shared" ref="F111:O111" si="57">SUM(F105:F110)</f>
        <v>#REF!</v>
      </c>
      <c r="G111" s="121" t="e">
        <f t="shared" si="57"/>
        <v>#REF!</v>
      </c>
      <c r="H111" s="120" t="e">
        <f t="shared" si="57"/>
        <v>#REF!</v>
      </c>
      <c r="I111" s="121" t="e">
        <f t="shared" si="57"/>
        <v>#REF!</v>
      </c>
      <c r="J111" s="120" t="e">
        <f t="shared" si="57"/>
        <v>#REF!</v>
      </c>
      <c r="K111" s="122" t="e">
        <f t="shared" si="57"/>
        <v>#REF!</v>
      </c>
      <c r="L111" s="314" t="e">
        <f t="shared" si="57"/>
        <v>#REF!</v>
      </c>
      <c r="M111" s="314" t="e">
        <f t="shared" si="57"/>
        <v>#REF!</v>
      </c>
      <c r="N111" s="122" t="e">
        <f t="shared" si="57"/>
        <v>#REF!</v>
      </c>
      <c r="O111" s="122" t="e">
        <f t="shared" si="57"/>
        <v>#REF!</v>
      </c>
      <c r="P111" s="122" t="e">
        <f t="shared" si="56"/>
        <v>#REF!</v>
      </c>
    </row>
    <row r="112" spans="1:16" x14ac:dyDescent="0.2">
      <c r="A112" s="114"/>
      <c r="B112" s="114"/>
      <c r="C112" s="114"/>
      <c r="D112" s="114"/>
      <c r="E112" s="114"/>
      <c r="F112" s="117"/>
      <c r="G112" s="108"/>
      <c r="H112" s="117"/>
      <c r="I112" s="108"/>
      <c r="J112" s="117"/>
      <c r="K112" s="110" t="e">
        <f>K111-K103</f>
        <v>#REF!</v>
      </c>
      <c r="L112" s="118"/>
      <c r="M112" s="118"/>
      <c r="N112" s="118"/>
      <c r="O112" s="118"/>
      <c r="P112" s="110">
        <f t="shared" si="56"/>
        <v>0</v>
      </c>
    </row>
    <row r="113" spans="1:16" x14ac:dyDescent="0.2">
      <c r="A113" s="114" t="s">
        <v>80</v>
      </c>
      <c r="B113" s="114"/>
      <c r="C113" s="114"/>
      <c r="D113" s="114"/>
      <c r="E113" s="114"/>
      <c r="F113" s="117" t="e">
        <f>N91</f>
        <v>#REF!</v>
      </c>
      <c r="G113" s="108" t="e">
        <f>F113/J113</f>
        <v>#REF!</v>
      </c>
      <c r="H113" s="117" t="e">
        <f>O91</f>
        <v>#REF!</v>
      </c>
      <c r="I113" s="513" t="e">
        <f>H113/J113</f>
        <v>#REF!</v>
      </c>
      <c r="J113" s="110" t="e">
        <f>F113+H113</f>
        <v>#REF!</v>
      </c>
      <c r="K113" s="110">
        <f>-M120</f>
        <v>-1681682.8499999996</v>
      </c>
      <c r="L113" s="315" t="e">
        <f>G113*K113</f>
        <v>#REF!</v>
      </c>
      <c r="M113" s="315" t="e">
        <f>I113*K113</f>
        <v>#REF!</v>
      </c>
      <c r="N113" s="118" t="e">
        <f>F113+L113</f>
        <v>#REF!</v>
      </c>
      <c r="O113" s="118" t="e">
        <f>H113+M113</f>
        <v>#REF!</v>
      </c>
      <c r="P113" s="110" t="e">
        <f t="shared" si="56"/>
        <v>#REF!</v>
      </c>
    </row>
    <row r="114" spans="1:16" ht="12.75" thickBot="1" x14ac:dyDescent="0.25">
      <c r="A114" s="86"/>
      <c r="B114" s="86"/>
      <c r="C114" s="86"/>
      <c r="D114" s="86"/>
      <c r="E114" s="86"/>
      <c r="F114" s="117"/>
      <c r="G114" s="108"/>
      <c r="H114" s="110"/>
      <c r="I114" s="108"/>
      <c r="J114" s="110"/>
      <c r="K114" s="110"/>
      <c r="L114" s="118"/>
      <c r="M114" s="118"/>
      <c r="N114" s="118"/>
      <c r="O114" s="118"/>
      <c r="P114" s="110">
        <f t="shared" si="56"/>
        <v>0</v>
      </c>
    </row>
    <row r="115" spans="1:16" ht="12.75" thickBot="1" x14ac:dyDescent="0.25">
      <c r="A115" s="123" t="s">
        <v>87</v>
      </c>
      <c r="B115" s="123"/>
      <c r="C115" s="123"/>
      <c r="D115" s="123"/>
      <c r="E115" s="123"/>
      <c r="F115" s="124" t="e">
        <f>F111+F113</f>
        <v>#REF!</v>
      </c>
      <c r="G115" s="125" t="e">
        <f>F115/$F$116</f>
        <v>#REF!</v>
      </c>
      <c r="H115" s="124" t="e">
        <f>H111+H113</f>
        <v>#REF!</v>
      </c>
      <c r="I115" s="125" t="e">
        <f>H115/$H$116</f>
        <v>#REF!</v>
      </c>
      <c r="J115" s="124" t="e">
        <f>J111+J113</f>
        <v>#REF!</v>
      </c>
      <c r="K115" s="126">
        <f>K113</f>
        <v>-1681682.8499999996</v>
      </c>
      <c r="L115" s="126" t="e">
        <f>L113</f>
        <v>#REF!</v>
      </c>
      <c r="M115" s="126" t="e">
        <f>M113</f>
        <v>#REF!</v>
      </c>
      <c r="N115" s="126" t="e">
        <f>N113</f>
        <v>#REF!</v>
      </c>
      <c r="O115" s="126" t="e">
        <f>O113</f>
        <v>#REF!</v>
      </c>
      <c r="P115" s="127" t="e">
        <f t="shared" si="56"/>
        <v>#REF!</v>
      </c>
    </row>
    <row r="116" spans="1:16" ht="13.5" thickTop="1" thickBot="1" x14ac:dyDescent="0.25">
      <c r="A116" s="128" t="s">
        <v>82</v>
      </c>
      <c r="B116" s="128"/>
      <c r="C116" s="128"/>
      <c r="D116" s="128"/>
      <c r="E116" s="128"/>
      <c r="F116" s="129" t="e">
        <f>F115</f>
        <v>#REF!</v>
      </c>
      <c r="G116" s="130"/>
      <c r="H116" s="129" t="e">
        <f>H115</f>
        <v>#REF!</v>
      </c>
      <c r="I116" s="130"/>
      <c r="J116" s="131" t="e">
        <f>F116+H116</f>
        <v>#REF!</v>
      </c>
      <c r="K116" s="132" t="e">
        <f>K111+K115</f>
        <v>#REF!</v>
      </c>
      <c r="L116" s="132" t="e">
        <f>L111+L115</f>
        <v>#REF!</v>
      </c>
      <c r="M116" s="132" t="e">
        <f>M111+M115</f>
        <v>#REF!</v>
      </c>
      <c r="N116" s="132" t="e">
        <f>N111+N115</f>
        <v>#REF!</v>
      </c>
      <c r="O116" s="132" t="e">
        <f>O111+O115</f>
        <v>#REF!</v>
      </c>
      <c r="P116" s="133" t="e">
        <f t="shared" si="56"/>
        <v>#REF!</v>
      </c>
    </row>
    <row r="117" spans="1:16" ht="12.75" thickBot="1" x14ac:dyDescent="0.25">
      <c r="A117" s="134"/>
      <c r="B117" s="134"/>
      <c r="C117" s="134"/>
      <c r="D117" s="134"/>
      <c r="E117" s="134"/>
      <c r="F117" s="135"/>
      <c r="G117" s="134"/>
      <c r="H117" s="135"/>
      <c r="I117" s="134"/>
      <c r="J117" s="136"/>
      <c r="K117" s="137"/>
      <c r="L117" s="137"/>
      <c r="M117" s="137"/>
      <c r="N117" s="316" t="e">
        <f>F115-N116+L116</f>
        <v>#REF!</v>
      </c>
      <c r="O117" s="317" t="e">
        <f>H115-O116+M116</f>
        <v>#REF!</v>
      </c>
      <c r="P117" s="87"/>
    </row>
    <row r="118" spans="1:16" ht="12.75" thickBot="1" x14ac:dyDescent="0.25">
      <c r="J118" s="344"/>
      <c r="K118" s="345" t="s">
        <v>409</v>
      </c>
      <c r="L118" s="345" t="s">
        <v>457</v>
      </c>
      <c r="M118" s="346" t="s">
        <v>172</v>
      </c>
    </row>
    <row r="119" spans="1:16" ht="12.75" x14ac:dyDescent="0.2">
      <c r="H119" s="519">
        <v>6647247.6699999999</v>
      </c>
      <c r="J119" s="138" t="s">
        <v>171</v>
      </c>
      <c r="K119" s="321">
        <v>-4187658</v>
      </c>
      <c r="L119" s="514">
        <v>-5230438.4752429333</v>
      </c>
      <c r="M119" s="347">
        <f>L119-K119</f>
        <v>-1042780.4752429333</v>
      </c>
      <c r="P119" s="82">
        <f>'1595 Continuity 2011'!H146</f>
        <v>0</v>
      </c>
    </row>
    <row r="120" spans="1:16" ht="12.75" thickBot="1" x14ac:dyDescent="0.25">
      <c r="G120" s="306"/>
      <c r="H120" s="306"/>
      <c r="I120" s="306"/>
      <c r="J120" s="139" t="s">
        <v>142</v>
      </c>
      <c r="K120" s="322">
        <v>6647247.6699999999</v>
      </c>
      <c r="L120" s="515">
        <v>8328930.5199999996</v>
      </c>
      <c r="M120" s="348">
        <f>L120-K120</f>
        <v>1681682.8499999996</v>
      </c>
    </row>
    <row r="121" spans="1:16" ht="12.75" thickBot="1" x14ac:dyDescent="0.25">
      <c r="G121" s="306"/>
      <c r="H121" s="307"/>
      <c r="I121" s="306"/>
      <c r="J121" s="349"/>
      <c r="K121" s="350">
        <v>2459589.67</v>
      </c>
      <c r="L121" s="516">
        <f>SUM(L119:L120)</f>
        <v>3098492.0447570663</v>
      </c>
      <c r="M121" s="351">
        <f>SUM(M119:M120)</f>
        <v>638902.37475706637</v>
      </c>
    </row>
    <row r="122" spans="1:16" ht="12.75" thickBot="1" x14ac:dyDescent="0.25">
      <c r="A122" s="140" t="s">
        <v>66</v>
      </c>
      <c r="B122" s="141"/>
      <c r="C122" s="141"/>
      <c r="D122" s="141"/>
      <c r="E122" s="141"/>
      <c r="F122" s="95"/>
      <c r="G122" s="95"/>
      <c r="H122" s="95"/>
      <c r="I122" s="95"/>
      <c r="J122" s="143"/>
      <c r="K122" s="319">
        <v>40695</v>
      </c>
      <c r="L122" s="320"/>
      <c r="M122" s="320"/>
      <c r="N122" s="320"/>
    </row>
    <row r="123" spans="1:16" ht="12.75" thickBot="1" x14ac:dyDescent="0.25">
      <c r="A123" s="83" t="s">
        <v>167</v>
      </c>
      <c r="B123" s="83"/>
      <c r="C123" s="83"/>
      <c r="D123" s="83"/>
      <c r="E123" s="83"/>
      <c r="F123" s="94"/>
      <c r="G123" s="95"/>
      <c r="H123" s="95"/>
      <c r="I123" s="95"/>
      <c r="J123" s="85"/>
      <c r="K123" s="96"/>
      <c r="L123" s="97" t="s">
        <v>31</v>
      </c>
      <c r="M123" s="96"/>
      <c r="N123" s="96"/>
      <c r="O123" s="89"/>
      <c r="P123" s="142"/>
    </row>
    <row r="124" spans="1:16" ht="27" thickBot="1" x14ac:dyDescent="0.4">
      <c r="A124" s="98"/>
      <c r="B124" s="98"/>
      <c r="C124" s="98"/>
      <c r="D124" s="98"/>
      <c r="E124" s="98"/>
      <c r="F124" s="99" t="s">
        <v>68</v>
      </c>
      <c r="G124" s="100" t="s">
        <v>69</v>
      </c>
      <c r="H124" s="99" t="s">
        <v>70</v>
      </c>
      <c r="I124" s="100" t="s">
        <v>69</v>
      </c>
      <c r="J124" s="101" t="s">
        <v>62</v>
      </c>
      <c r="K124" s="102" t="s">
        <v>71</v>
      </c>
      <c r="L124" s="103" t="s">
        <v>72</v>
      </c>
      <c r="M124" s="104" t="s">
        <v>73</v>
      </c>
      <c r="N124" s="104" t="s">
        <v>68</v>
      </c>
      <c r="O124" s="104" t="s">
        <v>70</v>
      </c>
      <c r="P124" s="105" t="s">
        <v>62</v>
      </c>
    </row>
    <row r="125" spans="1:16" ht="14.25" x14ac:dyDescent="0.35">
      <c r="A125" s="106" t="s">
        <v>170</v>
      </c>
      <c r="B125" s="106"/>
      <c r="C125" s="106"/>
      <c r="D125" s="106"/>
      <c r="E125" s="106"/>
      <c r="F125" s="107"/>
      <c r="G125" s="108"/>
      <c r="H125" s="109"/>
      <c r="I125" s="108"/>
      <c r="J125" s="110"/>
      <c r="K125" s="111">
        <f>-M141</f>
        <v>1037394.6665006345</v>
      </c>
      <c r="L125" s="112">
        <f>$C$7*K125</f>
        <v>968977.16287137242</v>
      </c>
      <c r="M125" s="112">
        <f>K125*$C$8</f>
        <v>68417.503629262035</v>
      </c>
      <c r="N125" s="112" t="e">
        <f>SUM(N133+N137)</f>
        <v>#REF!</v>
      </c>
      <c r="O125" s="112" t="e">
        <f>SUM(O133+O137)</f>
        <v>#REF!</v>
      </c>
      <c r="P125" s="113" t="e">
        <f>N125+O125</f>
        <v>#REF!</v>
      </c>
    </row>
    <row r="126" spans="1:16" x14ac:dyDescent="0.2">
      <c r="A126" s="114"/>
      <c r="B126" s="114"/>
      <c r="C126" s="114"/>
      <c r="D126" s="114"/>
      <c r="E126" s="114"/>
      <c r="F126" s="107"/>
      <c r="G126" s="108"/>
      <c r="H126" s="109"/>
      <c r="I126" s="108"/>
      <c r="J126" s="110"/>
      <c r="K126" s="115"/>
      <c r="L126" s="115"/>
      <c r="M126" s="115"/>
      <c r="N126" s="115"/>
      <c r="O126" s="115"/>
      <c r="P126" s="116"/>
    </row>
    <row r="127" spans="1:16" x14ac:dyDescent="0.2">
      <c r="A127" s="114" t="s">
        <v>86</v>
      </c>
      <c r="B127" s="114"/>
      <c r="C127" s="114"/>
      <c r="D127" s="114"/>
      <c r="E127" s="114"/>
      <c r="F127" s="117" t="e">
        <f t="shared" ref="F127:F132" si="58">N105</f>
        <v>#REF!</v>
      </c>
      <c r="G127" s="513" t="e">
        <f t="shared" ref="G127:G132" si="59">F127/$F$133</f>
        <v>#REF!</v>
      </c>
      <c r="H127" s="117" t="e">
        <f t="shared" ref="H127:H132" si="60">O105</f>
        <v>#REF!</v>
      </c>
      <c r="I127" s="108" t="e">
        <f t="shared" ref="I127:I132" si="61">H127/$H$133</f>
        <v>#REF!</v>
      </c>
      <c r="J127" s="110" t="e">
        <f t="shared" ref="J127:J132" si="62">F127+H127</f>
        <v>#REF!</v>
      </c>
      <c r="K127" s="110" t="e">
        <f t="shared" ref="K127:K132" si="63">L127+M127</f>
        <v>#REF!</v>
      </c>
      <c r="L127" s="118" t="e">
        <f t="shared" ref="L127:L132" si="64">G127*$L$125</f>
        <v>#REF!</v>
      </c>
      <c r="M127" s="118" t="e">
        <f t="shared" ref="M127:M132" si="65">I127*$M$125</f>
        <v>#REF!</v>
      </c>
      <c r="N127" s="118" t="e">
        <f t="shared" ref="N127:N132" si="66">F127+L127</f>
        <v>#REF!</v>
      </c>
      <c r="O127" s="118" t="e">
        <f t="shared" ref="O127:O132" si="67">H127+M127</f>
        <v>#REF!</v>
      </c>
      <c r="P127" s="110" t="e">
        <f t="shared" ref="P127:P138" si="68">N127+O127</f>
        <v>#REF!</v>
      </c>
    </row>
    <row r="128" spans="1:16" x14ac:dyDescent="0.2">
      <c r="A128" s="114" t="s">
        <v>75</v>
      </c>
      <c r="B128" s="114"/>
      <c r="C128" s="114"/>
      <c r="D128" s="114"/>
      <c r="E128" s="114"/>
      <c r="F128" s="117" t="e">
        <f t="shared" si="58"/>
        <v>#REF!</v>
      </c>
      <c r="G128" s="513" t="e">
        <f t="shared" si="59"/>
        <v>#REF!</v>
      </c>
      <c r="H128" s="117" t="e">
        <f t="shared" si="60"/>
        <v>#REF!</v>
      </c>
      <c r="I128" s="108" t="e">
        <f t="shared" si="61"/>
        <v>#REF!</v>
      </c>
      <c r="J128" s="110" t="e">
        <f t="shared" si="62"/>
        <v>#REF!</v>
      </c>
      <c r="K128" s="110" t="e">
        <f t="shared" si="63"/>
        <v>#REF!</v>
      </c>
      <c r="L128" s="118" t="e">
        <f t="shared" si="64"/>
        <v>#REF!</v>
      </c>
      <c r="M128" s="118" t="e">
        <f t="shared" si="65"/>
        <v>#REF!</v>
      </c>
      <c r="N128" s="118" t="e">
        <f t="shared" si="66"/>
        <v>#REF!</v>
      </c>
      <c r="O128" s="118" t="e">
        <f t="shared" si="67"/>
        <v>#REF!</v>
      </c>
      <c r="P128" s="110" t="e">
        <f t="shared" si="68"/>
        <v>#REF!</v>
      </c>
    </row>
    <row r="129" spans="1:16" x14ac:dyDescent="0.2">
      <c r="A129" s="114" t="s">
        <v>76</v>
      </c>
      <c r="B129" s="114"/>
      <c r="C129" s="114"/>
      <c r="D129" s="114"/>
      <c r="E129" s="114"/>
      <c r="F129" s="117" t="e">
        <f t="shared" si="58"/>
        <v>#REF!</v>
      </c>
      <c r="G129" s="513" t="e">
        <f t="shared" si="59"/>
        <v>#REF!</v>
      </c>
      <c r="H129" s="117" t="e">
        <f t="shared" si="60"/>
        <v>#REF!</v>
      </c>
      <c r="I129" s="108" t="e">
        <f t="shared" si="61"/>
        <v>#REF!</v>
      </c>
      <c r="J129" s="110" t="e">
        <f t="shared" si="62"/>
        <v>#REF!</v>
      </c>
      <c r="K129" s="110" t="e">
        <f t="shared" si="63"/>
        <v>#REF!</v>
      </c>
      <c r="L129" s="118" t="e">
        <f t="shared" si="64"/>
        <v>#REF!</v>
      </c>
      <c r="M129" s="118" t="e">
        <f t="shared" si="65"/>
        <v>#REF!</v>
      </c>
      <c r="N129" s="118" t="e">
        <f t="shared" si="66"/>
        <v>#REF!</v>
      </c>
      <c r="O129" s="118" t="e">
        <f t="shared" si="67"/>
        <v>#REF!</v>
      </c>
      <c r="P129" s="110" t="e">
        <f t="shared" si="68"/>
        <v>#REF!</v>
      </c>
    </row>
    <row r="130" spans="1:16" x14ac:dyDescent="0.2">
      <c r="A130" s="114" t="s">
        <v>77</v>
      </c>
      <c r="B130" s="114"/>
      <c r="C130" s="114"/>
      <c r="D130" s="114"/>
      <c r="E130" s="114"/>
      <c r="F130" s="117" t="e">
        <f t="shared" si="58"/>
        <v>#REF!</v>
      </c>
      <c r="G130" s="513" t="e">
        <f t="shared" si="59"/>
        <v>#REF!</v>
      </c>
      <c r="H130" s="117" t="e">
        <f t="shared" si="60"/>
        <v>#REF!</v>
      </c>
      <c r="I130" s="108" t="e">
        <f t="shared" si="61"/>
        <v>#REF!</v>
      </c>
      <c r="J130" s="110" t="e">
        <f t="shared" si="62"/>
        <v>#REF!</v>
      </c>
      <c r="K130" s="110" t="e">
        <f t="shared" si="63"/>
        <v>#REF!</v>
      </c>
      <c r="L130" s="118" t="e">
        <f t="shared" si="64"/>
        <v>#REF!</v>
      </c>
      <c r="M130" s="118" t="e">
        <f t="shared" si="65"/>
        <v>#REF!</v>
      </c>
      <c r="N130" s="118" t="e">
        <f t="shared" si="66"/>
        <v>#REF!</v>
      </c>
      <c r="O130" s="118" t="e">
        <f t="shared" si="67"/>
        <v>#REF!</v>
      </c>
      <c r="P130" s="110" t="e">
        <f t="shared" si="68"/>
        <v>#REF!</v>
      </c>
    </row>
    <row r="131" spans="1:16" x14ac:dyDescent="0.2">
      <c r="A131" s="114" t="s">
        <v>78</v>
      </c>
      <c r="B131" s="114"/>
      <c r="C131" s="114"/>
      <c r="D131" s="114"/>
      <c r="E131" s="114"/>
      <c r="F131" s="117" t="e">
        <f t="shared" si="58"/>
        <v>#REF!</v>
      </c>
      <c r="G131" s="513" t="e">
        <f t="shared" si="59"/>
        <v>#REF!</v>
      </c>
      <c r="H131" s="117" t="e">
        <f t="shared" si="60"/>
        <v>#REF!</v>
      </c>
      <c r="I131" s="108" t="e">
        <f t="shared" si="61"/>
        <v>#REF!</v>
      </c>
      <c r="J131" s="110" t="e">
        <f t="shared" si="62"/>
        <v>#REF!</v>
      </c>
      <c r="K131" s="110" t="e">
        <f t="shared" si="63"/>
        <v>#REF!</v>
      </c>
      <c r="L131" s="118" t="e">
        <f t="shared" si="64"/>
        <v>#REF!</v>
      </c>
      <c r="M131" s="118" t="e">
        <f t="shared" si="65"/>
        <v>#REF!</v>
      </c>
      <c r="N131" s="118" t="e">
        <f t="shared" si="66"/>
        <v>#REF!</v>
      </c>
      <c r="O131" s="118" t="e">
        <f t="shared" si="67"/>
        <v>#REF!</v>
      </c>
      <c r="P131" s="110" t="e">
        <f t="shared" si="68"/>
        <v>#REF!</v>
      </c>
    </row>
    <row r="132" spans="1:16" x14ac:dyDescent="0.2">
      <c r="A132" s="119" t="s">
        <v>79</v>
      </c>
      <c r="B132" s="119"/>
      <c r="C132" s="119"/>
      <c r="D132" s="119"/>
      <c r="E132" s="119"/>
      <c r="F132" s="117" t="e">
        <f t="shared" si="58"/>
        <v>#REF!</v>
      </c>
      <c r="G132" s="513" t="e">
        <f t="shared" si="59"/>
        <v>#REF!</v>
      </c>
      <c r="H132" s="117" t="e">
        <f t="shared" si="60"/>
        <v>#REF!</v>
      </c>
      <c r="I132" s="108" t="e">
        <f t="shared" si="61"/>
        <v>#REF!</v>
      </c>
      <c r="J132" s="110" t="e">
        <f t="shared" si="62"/>
        <v>#REF!</v>
      </c>
      <c r="K132" s="110" t="e">
        <f t="shared" si="63"/>
        <v>#REF!</v>
      </c>
      <c r="L132" s="118" t="e">
        <f t="shared" si="64"/>
        <v>#REF!</v>
      </c>
      <c r="M132" s="118" t="e">
        <f t="shared" si="65"/>
        <v>#REF!</v>
      </c>
      <c r="N132" s="118" t="e">
        <f t="shared" si="66"/>
        <v>#REF!</v>
      </c>
      <c r="O132" s="118" t="e">
        <f t="shared" si="67"/>
        <v>#REF!</v>
      </c>
      <c r="P132" s="110" t="e">
        <f t="shared" si="68"/>
        <v>#REF!</v>
      </c>
    </row>
    <row r="133" spans="1:16" x14ac:dyDescent="0.2">
      <c r="A133" s="114"/>
      <c r="B133" s="114"/>
      <c r="C133" s="114"/>
      <c r="D133" s="114"/>
      <c r="E133" s="114"/>
      <c r="F133" s="120" t="e">
        <f t="shared" ref="F133:O133" si="69">SUM(F127:F132)</f>
        <v>#REF!</v>
      </c>
      <c r="G133" s="121" t="e">
        <f t="shared" si="69"/>
        <v>#REF!</v>
      </c>
      <c r="H133" s="120" t="e">
        <f t="shared" si="69"/>
        <v>#REF!</v>
      </c>
      <c r="I133" s="121" t="e">
        <f t="shared" si="69"/>
        <v>#REF!</v>
      </c>
      <c r="J133" s="120" t="e">
        <f t="shared" si="69"/>
        <v>#REF!</v>
      </c>
      <c r="K133" s="122" t="e">
        <f t="shared" si="69"/>
        <v>#REF!</v>
      </c>
      <c r="L133" s="314" t="e">
        <f t="shared" si="69"/>
        <v>#REF!</v>
      </c>
      <c r="M133" s="314" t="e">
        <f t="shared" si="69"/>
        <v>#REF!</v>
      </c>
      <c r="N133" s="122" t="e">
        <f t="shared" si="69"/>
        <v>#REF!</v>
      </c>
      <c r="O133" s="122" t="e">
        <f t="shared" si="69"/>
        <v>#REF!</v>
      </c>
      <c r="P133" s="122" t="e">
        <f t="shared" si="68"/>
        <v>#REF!</v>
      </c>
    </row>
    <row r="134" spans="1:16" x14ac:dyDescent="0.2">
      <c r="A134" s="114"/>
      <c r="B134" s="114"/>
      <c r="C134" s="114"/>
      <c r="D134" s="114"/>
      <c r="E134" s="114"/>
      <c r="F134" s="117"/>
      <c r="G134" s="108"/>
      <c r="H134" s="117"/>
      <c r="I134" s="108"/>
      <c r="J134" s="117"/>
      <c r="K134" s="110" t="e">
        <f>K133-K125</f>
        <v>#REF!</v>
      </c>
      <c r="L134" s="118"/>
      <c r="M134" s="118"/>
      <c r="N134" s="118"/>
      <c r="O134" s="118"/>
      <c r="P134" s="110">
        <f t="shared" si="68"/>
        <v>0</v>
      </c>
    </row>
    <row r="135" spans="1:16" x14ac:dyDescent="0.2">
      <c r="A135" s="114" t="s">
        <v>80</v>
      </c>
      <c r="B135" s="114"/>
      <c r="C135" s="114"/>
      <c r="D135" s="114"/>
      <c r="E135" s="114"/>
      <c r="F135" s="117" t="e">
        <f>N113</f>
        <v>#REF!</v>
      </c>
      <c r="G135" s="108" t="e">
        <f>F135/J135</f>
        <v>#REF!</v>
      </c>
      <c r="H135" s="117" t="e">
        <f>O113</f>
        <v>#REF!</v>
      </c>
      <c r="I135" s="513" t="e">
        <f>H135/J135</f>
        <v>#REF!</v>
      </c>
      <c r="J135" s="110" t="e">
        <f>F135+H135</f>
        <v>#REF!</v>
      </c>
      <c r="K135" s="110">
        <f>-M142</f>
        <v>-1797095</v>
      </c>
      <c r="L135" s="315" t="e">
        <f>G135*K135</f>
        <v>#REF!</v>
      </c>
      <c r="M135" s="315" t="e">
        <f>I135*K135</f>
        <v>#REF!</v>
      </c>
      <c r="N135" s="118" t="e">
        <f>F135+L135</f>
        <v>#REF!</v>
      </c>
      <c r="O135" s="118" t="e">
        <f>H135+M135</f>
        <v>#REF!</v>
      </c>
      <c r="P135" s="110" t="e">
        <f t="shared" si="68"/>
        <v>#REF!</v>
      </c>
    </row>
    <row r="136" spans="1:16" ht="12.75" thickBot="1" x14ac:dyDescent="0.25">
      <c r="A136" s="86"/>
      <c r="B136" s="86"/>
      <c r="C136" s="86"/>
      <c r="D136" s="86"/>
      <c r="E136" s="86"/>
      <c r="F136" s="117"/>
      <c r="G136" s="108"/>
      <c r="H136" s="110"/>
      <c r="I136" s="108"/>
      <c r="J136" s="110"/>
      <c r="K136" s="110"/>
      <c r="L136" s="118"/>
      <c r="M136" s="118"/>
      <c r="N136" s="118"/>
      <c r="O136" s="118"/>
      <c r="P136" s="110">
        <f t="shared" si="68"/>
        <v>0</v>
      </c>
    </row>
    <row r="137" spans="1:16" ht="12.75" thickBot="1" x14ac:dyDescent="0.25">
      <c r="A137" s="123" t="s">
        <v>87</v>
      </c>
      <c r="B137" s="123"/>
      <c r="C137" s="123"/>
      <c r="D137" s="123"/>
      <c r="E137" s="123"/>
      <c r="F137" s="124" t="e">
        <f>F133+F135</f>
        <v>#REF!</v>
      </c>
      <c r="G137" s="125" t="e">
        <f>F138/$F$137</f>
        <v>#REF!</v>
      </c>
      <c r="H137" s="124" t="e">
        <f>H133+H135</f>
        <v>#REF!</v>
      </c>
      <c r="I137" s="125" t="e">
        <f>H138/$H$137</f>
        <v>#REF!</v>
      </c>
      <c r="J137" s="124" t="e">
        <f>J133+J135</f>
        <v>#REF!</v>
      </c>
      <c r="K137" s="126">
        <f>K135</f>
        <v>-1797095</v>
      </c>
      <c r="L137" s="126" t="e">
        <f>L135</f>
        <v>#REF!</v>
      </c>
      <c r="M137" s="126" t="e">
        <f>M135</f>
        <v>#REF!</v>
      </c>
      <c r="N137" s="126" t="e">
        <f>N135</f>
        <v>#REF!</v>
      </c>
      <c r="O137" s="126" t="e">
        <f>O135</f>
        <v>#REF!</v>
      </c>
      <c r="P137" s="127" t="e">
        <f t="shared" si="68"/>
        <v>#REF!</v>
      </c>
    </row>
    <row r="138" spans="1:16" ht="13.5" thickTop="1" thickBot="1" x14ac:dyDescent="0.25">
      <c r="A138" s="128" t="s">
        <v>82</v>
      </c>
      <c r="B138" s="128"/>
      <c r="C138" s="128"/>
      <c r="D138" s="128"/>
      <c r="E138" s="128"/>
      <c r="F138" s="129" t="e">
        <f>F137</f>
        <v>#REF!</v>
      </c>
      <c r="G138" s="130"/>
      <c r="H138" s="129" t="e">
        <f>H137</f>
        <v>#REF!</v>
      </c>
      <c r="I138" s="130"/>
      <c r="J138" s="131" t="e">
        <f>F138+H138</f>
        <v>#REF!</v>
      </c>
      <c r="K138" s="132" t="e">
        <f>K133+K137</f>
        <v>#REF!</v>
      </c>
      <c r="L138" s="132" t="e">
        <f>L133+L137</f>
        <v>#REF!</v>
      </c>
      <c r="M138" s="132" t="e">
        <f>M133+M137</f>
        <v>#REF!</v>
      </c>
      <c r="N138" s="132" t="e">
        <f>N133+N137</f>
        <v>#REF!</v>
      </c>
      <c r="O138" s="132" t="e">
        <f>O133+O137</f>
        <v>#REF!</v>
      </c>
      <c r="P138" s="133" t="e">
        <f t="shared" si="68"/>
        <v>#REF!</v>
      </c>
    </row>
    <row r="139" spans="1:16" ht="12.75" thickBot="1" x14ac:dyDescent="0.25">
      <c r="A139" s="134"/>
      <c r="B139" s="134"/>
      <c r="C139" s="134"/>
      <c r="D139" s="134"/>
      <c r="E139" s="134"/>
      <c r="F139" s="135"/>
      <c r="G139" s="134"/>
      <c r="H139" s="135"/>
      <c r="I139" s="134"/>
      <c r="J139" s="136"/>
      <c r="K139" s="137"/>
      <c r="L139" s="137"/>
      <c r="M139" s="137"/>
      <c r="N139" s="316" t="e">
        <f>F137-N138+L138</f>
        <v>#REF!</v>
      </c>
      <c r="O139" s="317" t="e">
        <f>H137-O138+M138</f>
        <v>#REF!</v>
      </c>
      <c r="P139" s="87"/>
    </row>
    <row r="140" spans="1:16" ht="12.75" thickBot="1" x14ac:dyDescent="0.25">
      <c r="J140" s="344"/>
      <c r="K140" s="345" t="s">
        <v>457</v>
      </c>
      <c r="L140" s="345" t="s">
        <v>459</v>
      </c>
      <c r="M140" s="346" t="s">
        <v>172</v>
      </c>
    </row>
    <row r="141" spans="1:16" ht="12.75" x14ac:dyDescent="0.2">
      <c r="H141" s="519">
        <v>6647247.6699999999</v>
      </c>
      <c r="J141" s="138" t="s">
        <v>171</v>
      </c>
      <c r="K141" s="321">
        <v>-5230438.4752429333</v>
      </c>
      <c r="L141" s="514">
        <v>-6267833.1417435678</v>
      </c>
      <c r="M141" s="347">
        <f>L141-K141</f>
        <v>-1037394.6665006345</v>
      </c>
      <c r="P141" s="82" t="e">
        <f>'1595 Continuity 2011'!#REF!</f>
        <v>#REF!</v>
      </c>
    </row>
    <row r="142" spans="1:16" ht="12.75" thickBot="1" x14ac:dyDescent="0.25">
      <c r="G142" s="306"/>
      <c r="H142" s="306"/>
      <c r="I142" s="306"/>
      <c r="J142" s="139" t="s">
        <v>142</v>
      </c>
      <c r="K142" s="322">
        <v>8328930.5199999996</v>
      </c>
      <c r="L142" s="515">
        <v>10126025.52</v>
      </c>
      <c r="M142" s="348">
        <f>L142-K142</f>
        <v>1797095</v>
      </c>
    </row>
    <row r="143" spans="1:16" ht="12.75" thickBot="1" x14ac:dyDescent="0.25">
      <c r="G143" s="306"/>
      <c r="H143" s="307"/>
      <c r="I143" s="306"/>
      <c r="J143" s="349"/>
      <c r="K143" s="350">
        <v>3098492.0447570663</v>
      </c>
      <c r="L143" s="516">
        <f>SUM(L141:L142)</f>
        <v>3858192.3782564318</v>
      </c>
      <c r="M143" s="351">
        <f>SUM(M141:M142)</f>
        <v>759700.33349936549</v>
      </c>
    </row>
    <row r="144" spans="1:16" ht="12.75" thickBot="1" x14ac:dyDescent="0.25">
      <c r="A144" s="140" t="s">
        <v>66</v>
      </c>
      <c r="B144" s="141"/>
      <c r="C144" s="141"/>
      <c r="D144" s="141"/>
      <c r="E144" s="141"/>
      <c r="F144" s="95"/>
      <c r="G144" s="95"/>
      <c r="H144" s="95"/>
      <c r="I144" s="95"/>
      <c r="J144" s="143"/>
      <c r="K144" s="319">
        <v>40725</v>
      </c>
      <c r="L144" s="320"/>
      <c r="M144" s="320"/>
      <c r="N144" s="320"/>
    </row>
    <row r="145" spans="1:16" ht="12.75" thickBot="1" x14ac:dyDescent="0.25">
      <c r="A145" s="83" t="s">
        <v>167</v>
      </c>
      <c r="B145" s="83"/>
      <c r="C145" s="83"/>
      <c r="D145" s="83"/>
      <c r="E145" s="83"/>
      <c r="F145" s="94"/>
      <c r="G145" s="95"/>
      <c r="H145" s="95"/>
      <c r="I145" s="95"/>
      <c r="J145" s="85"/>
      <c r="K145" s="96"/>
      <c r="L145" s="97" t="s">
        <v>31</v>
      </c>
      <c r="M145" s="96"/>
      <c r="N145" s="96"/>
      <c r="O145" s="89"/>
      <c r="P145" s="142"/>
    </row>
    <row r="146" spans="1:16" ht="27" thickBot="1" x14ac:dyDescent="0.4">
      <c r="A146" s="98"/>
      <c r="B146" s="98"/>
      <c r="C146" s="98"/>
      <c r="D146" s="98"/>
      <c r="E146" s="98"/>
      <c r="F146" s="99" t="s">
        <v>68</v>
      </c>
      <c r="G146" s="100" t="s">
        <v>69</v>
      </c>
      <c r="H146" s="99" t="s">
        <v>70</v>
      </c>
      <c r="I146" s="100" t="s">
        <v>69</v>
      </c>
      <c r="J146" s="101" t="s">
        <v>62</v>
      </c>
      <c r="K146" s="102" t="s">
        <v>71</v>
      </c>
      <c r="L146" s="103" t="s">
        <v>72</v>
      </c>
      <c r="M146" s="104" t="s">
        <v>73</v>
      </c>
      <c r="N146" s="104" t="s">
        <v>68</v>
      </c>
      <c r="O146" s="104" t="s">
        <v>70</v>
      </c>
      <c r="P146" s="105" t="s">
        <v>62</v>
      </c>
    </row>
    <row r="147" spans="1:16" ht="14.25" x14ac:dyDescent="0.35">
      <c r="A147" s="106" t="s">
        <v>170</v>
      </c>
      <c r="B147" s="106"/>
      <c r="C147" s="106"/>
      <c r="D147" s="106"/>
      <c r="E147" s="106"/>
      <c r="F147" s="107"/>
      <c r="G147" s="108"/>
      <c r="H147" s="109"/>
      <c r="I147" s="108"/>
      <c r="J147" s="110"/>
      <c r="K147" s="111">
        <f>-M163</f>
        <v>1246763.7194512663</v>
      </c>
      <c r="L147" s="112">
        <f>$C$7*K147</f>
        <v>1164538.0592903877</v>
      </c>
      <c r="M147" s="112">
        <f>K147*$C$8</f>
        <v>82225.660160878673</v>
      </c>
      <c r="N147" s="112" t="e">
        <f>SUM(N155+N159)</f>
        <v>#REF!</v>
      </c>
      <c r="O147" s="112" t="e">
        <f>SUM(O155+O159)</f>
        <v>#REF!</v>
      </c>
      <c r="P147" s="113" t="e">
        <f>N147+O147</f>
        <v>#REF!</v>
      </c>
    </row>
    <row r="148" spans="1:16" x14ac:dyDescent="0.2">
      <c r="A148" s="114"/>
      <c r="B148" s="114"/>
      <c r="C148" s="114"/>
      <c r="D148" s="114"/>
      <c r="E148" s="114"/>
      <c r="F148" s="107"/>
      <c r="G148" s="108"/>
      <c r="H148" s="109"/>
      <c r="I148" s="108"/>
      <c r="J148" s="110"/>
      <c r="K148" s="115"/>
      <c r="L148" s="115"/>
      <c r="M148" s="115"/>
      <c r="N148" s="115"/>
      <c r="O148" s="115"/>
      <c r="P148" s="116"/>
    </row>
    <row r="149" spans="1:16" x14ac:dyDescent="0.2">
      <c r="A149" s="114" t="s">
        <v>86</v>
      </c>
      <c r="B149" s="114"/>
      <c r="C149" s="114"/>
      <c r="D149" s="114"/>
      <c r="E149" s="114"/>
      <c r="F149" s="117" t="e">
        <f t="shared" ref="F149:F154" si="70">N127</f>
        <v>#REF!</v>
      </c>
      <c r="G149" s="513" t="e">
        <f t="shared" ref="G149:G154" si="71">F149/$F$155</f>
        <v>#REF!</v>
      </c>
      <c r="H149" s="117" t="e">
        <f t="shared" ref="H149:H154" si="72">O127</f>
        <v>#REF!</v>
      </c>
      <c r="I149" s="108" t="e">
        <f t="shared" ref="I149:I154" si="73">H149/$H$155</f>
        <v>#REF!</v>
      </c>
      <c r="J149" s="110" t="e">
        <f t="shared" ref="J149:J154" si="74">F149+H149</f>
        <v>#REF!</v>
      </c>
      <c r="K149" s="110" t="e">
        <f t="shared" ref="K149:K154" si="75">L149+M149</f>
        <v>#REF!</v>
      </c>
      <c r="L149" s="118" t="e">
        <f t="shared" ref="L149:L154" si="76">G149*$L$147</f>
        <v>#REF!</v>
      </c>
      <c r="M149" s="118" t="e">
        <f t="shared" ref="M149:M154" si="77">I149*$M$147</f>
        <v>#REF!</v>
      </c>
      <c r="N149" s="118" t="e">
        <f t="shared" ref="N149:N154" si="78">F149+L149</f>
        <v>#REF!</v>
      </c>
      <c r="O149" s="118" t="e">
        <f t="shared" ref="O149:O154" si="79">H149+M149</f>
        <v>#REF!</v>
      </c>
      <c r="P149" s="110" t="e">
        <f t="shared" ref="P149:P160" si="80">N149+O149</f>
        <v>#REF!</v>
      </c>
    </row>
    <row r="150" spans="1:16" x14ac:dyDescent="0.2">
      <c r="A150" s="114" t="s">
        <v>75</v>
      </c>
      <c r="B150" s="114"/>
      <c r="C150" s="114"/>
      <c r="D150" s="114"/>
      <c r="E150" s="114"/>
      <c r="F150" s="117" t="e">
        <f t="shared" si="70"/>
        <v>#REF!</v>
      </c>
      <c r="G150" s="513" t="e">
        <f t="shared" si="71"/>
        <v>#REF!</v>
      </c>
      <c r="H150" s="117" t="e">
        <f t="shared" si="72"/>
        <v>#REF!</v>
      </c>
      <c r="I150" s="108" t="e">
        <f t="shared" si="73"/>
        <v>#REF!</v>
      </c>
      <c r="J150" s="110" t="e">
        <f t="shared" si="74"/>
        <v>#REF!</v>
      </c>
      <c r="K150" s="110" t="e">
        <f t="shared" si="75"/>
        <v>#REF!</v>
      </c>
      <c r="L150" s="118" t="e">
        <f t="shared" si="76"/>
        <v>#REF!</v>
      </c>
      <c r="M150" s="118" t="e">
        <f t="shared" si="77"/>
        <v>#REF!</v>
      </c>
      <c r="N150" s="118" t="e">
        <f t="shared" si="78"/>
        <v>#REF!</v>
      </c>
      <c r="O150" s="118" t="e">
        <f t="shared" si="79"/>
        <v>#REF!</v>
      </c>
      <c r="P150" s="110" t="e">
        <f t="shared" si="80"/>
        <v>#REF!</v>
      </c>
    </row>
    <row r="151" spans="1:16" x14ac:dyDescent="0.2">
      <c r="A151" s="114" t="s">
        <v>76</v>
      </c>
      <c r="B151" s="114"/>
      <c r="C151" s="114"/>
      <c r="D151" s="114"/>
      <c r="E151" s="114"/>
      <c r="F151" s="117" t="e">
        <f t="shared" si="70"/>
        <v>#REF!</v>
      </c>
      <c r="G151" s="513" t="e">
        <f t="shared" si="71"/>
        <v>#REF!</v>
      </c>
      <c r="H151" s="117" t="e">
        <f t="shared" si="72"/>
        <v>#REF!</v>
      </c>
      <c r="I151" s="108" t="e">
        <f t="shared" si="73"/>
        <v>#REF!</v>
      </c>
      <c r="J151" s="110" t="e">
        <f t="shared" si="74"/>
        <v>#REF!</v>
      </c>
      <c r="K151" s="110" t="e">
        <f t="shared" si="75"/>
        <v>#REF!</v>
      </c>
      <c r="L151" s="118" t="e">
        <f t="shared" si="76"/>
        <v>#REF!</v>
      </c>
      <c r="M151" s="118" t="e">
        <f t="shared" si="77"/>
        <v>#REF!</v>
      </c>
      <c r="N151" s="118" t="e">
        <f t="shared" si="78"/>
        <v>#REF!</v>
      </c>
      <c r="O151" s="118" t="e">
        <f t="shared" si="79"/>
        <v>#REF!</v>
      </c>
      <c r="P151" s="110" t="e">
        <f t="shared" si="80"/>
        <v>#REF!</v>
      </c>
    </row>
    <row r="152" spans="1:16" x14ac:dyDescent="0.2">
      <c r="A152" s="114" t="s">
        <v>77</v>
      </c>
      <c r="B152" s="114"/>
      <c r="C152" s="114"/>
      <c r="D152" s="114"/>
      <c r="E152" s="114"/>
      <c r="F152" s="117" t="e">
        <f t="shared" si="70"/>
        <v>#REF!</v>
      </c>
      <c r="G152" s="513" t="e">
        <f t="shared" si="71"/>
        <v>#REF!</v>
      </c>
      <c r="H152" s="117" t="e">
        <f t="shared" si="72"/>
        <v>#REF!</v>
      </c>
      <c r="I152" s="108" t="e">
        <f t="shared" si="73"/>
        <v>#REF!</v>
      </c>
      <c r="J152" s="110" t="e">
        <f t="shared" si="74"/>
        <v>#REF!</v>
      </c>
      <c r="K152" s="110" t="e">
        <f t="shared" si="75"/>
        <v>#REF!</v>
      </c>
      <c r="L152" s="118" t="e">
        <f t="shared" si="76"/>
        <v>#REF!</v>
      </c>
      <c r="M152" s="118" t="e">
        <f t="shared" si="77"/>
        <v>#REF!</v>
      </c>
      <c r="N152" s="118" t="e">
        <f t="shared" si="78"/>
        <v>#REF!</v>
      </c>
      <c r="O152" s="118" t="e">
        <f t="shared" si="79"/>
        <v>#REF!</v>
      </c>
      <c r="P152" s="110" t="e">
        <f t="shared" si="80"/>
        <v>#REF!</v>
      </c>
    </row>
    <row r="153" spans="1:16" x14ac:dyDescent="0.2">
      <c r="A153" s="114" t="s">
        <v>78</v>
      </c>
      <c r="B153" s="114"/>
      <c r="C153" s="114"/>
      <c r="D153" s="114"/>
      <c r="E153" s="114"/>
      <c r="F153" s="117" t="e">
        <f t="shared" si="70"/>
        <v>#REF!</v>
      </c>
      <c r="G153" s="513" t="e">
        <f t="shared" si="71"/>
        <v>#REF!</v>
      </c>
      <c r="H153" s="117" t="e">
        <f t="shared" si="72"/>
        <v>#REF!</v>
      </c>
      <c r="I153" s="108" t="e">
        <f t="shared" si="73"/>
        <v>#REF!</v>
      </c>
      <c r="J153" s="110" t="e">
        <f t="shared" si="74"/>
        <v>#REF!</v>
      </c>
      <c r="K153" s="110" t="e">
        <f t="shared" si="75"/>
        <v>#REF!</v>
      </c>
      <c r="L153" s="118" t="e">
        <f t="shared" si="76"/>
        <v>#REF!</v>
      </c>
      <c r="M153" s="118" t="e">
        <f t="shared" si="77"/>
        <v>#REF!</v>
      </c>
      <c r="N153" s="118" t="e">
        <f t="shared" si="78"/>
        <v>#REF!</v>
      </c>
      <c r="O153" s="118" t="e">
        <f t="shared" si="79"/>
        <v>#REF!</v>
      </c>
      <c r="P153" s="110" t="e">
        <f t="shared" si="80"/>
        <v>#REF!</v>
      </c>
    </row>
    <row r="154" spans="1:16" x14ac:dyDescent="0.2">
      <c r="A154" s="119" t="s">
        <v>79</v>
      </c>
      <c r="B154" s="119"/>
      <c r="C154" s="119"/>
      <c r="D154" s="119"/>
      <c r="E154" s="119"/>
      <c r="F154" s="117" t="e">
        <f t="shared" si="70"/>
        <v>#REF!</v>
      </c>
      <c r="G154" s="513" t="e">
        <f t="shared" si="71"/>
        <v>#REF!</v>
      </c>
      <c r="H154" s="117" t="e">
        <f t="shared" si="72"/>
        <v>#REF!</v>
      </c>
      <c r="I154" s="108" t="e">
        <f t="shared" si="73"/>
        <v>#REF!</v>
      </c>
      <c r="J154" s="110" t="e">
        <f t="shared" si="74"/>
        <v>#REF!</v>
      </c>
      <c r="K154" s="110" t="e">
        <f t="shared" si="75"/>
        <v>#REF!</v>
      </c>
      <c r="L154" s="118" t="e">
        <f t="shared" si="76"/>
        <v>#REF!</v>
      </c>
      <c r="M154" s="118" t="e">
        <f t="shared" si="77"/>
        <v>#REF!</v>
      </c>
      <c r="N154" s="118" t="e">
        <f t="shared" si="78"/>
        <v>#REF!</v>
      </c>
      <c r="O154" s="118" t="e">
        <f t="shared" si="79"/>
        <v>#REF!</v>
      </c>
      <c r="P154" s="110" t="e">
        <f t="shared" si="80"/>
        <v>#REF!</v>
      </c>
    </row>
    <row r="155" spans="1:16" x14ac:dyDescent="0.2">
      <c r="A155" s="114"/>
      <c r="B155" s="114"/>
      <c r="C155" s="114"/>
      <c r="D155" s="114"/>
      <c r="E155" s="114"/>
      <c r="F155" s="120" t="e">
        <f t="shared" ref="F155:O155" si="81">SUM(F149:F154)</f>
        <v>#REF!</v>
      </c>
      <c r="G155" s="121" t="e">
        <f t="shared" si="81"/>
        <v>#REF!</v>
      </c>
      <c r="H155" s="120" t="e">
        <f t="shared" si="81"/>
        <v>#REF!</v>
      </c>
      <c r="I155" s="121" t="e">
        <f t="shared" si="81"/>
        <v>#REF!</v>
      </c>
      <c r="J155" s="120" t="e">
        <f t="shared" si="81"/>
        <v>#REF!</v>
      </c>
      <c r="K155" s="122" t="e">
        <f t="shared" si="81"/>
        <v>#REF!</v>
      </c>
      <c r="L155" s="314" t="e">
        <f t="shared" si="81"/>
        <v>#REF!</v>
      </c>
      <c r="M155" s="314" t="e">
        <f t="shared" si="81"/>
        <v>#REF!</v>
      </c>
      <c r="N155" s="122" t="e">
        <f t="shared" si="81"/>
        <v>#REF!</v>
      </c>
      <c r="O155" s="122" t="e">
        <f t="shared" si="81"/>
        <v>#REF!</v>
      </c>
      <c r="P155" s="122" t="e">
        <f t="shared" si="80"/>
        <v>#REF!</v>
      </c>
    </row>
    <row r="156" spans="1:16" x14ac:dyDescent="0.2">
      <c r="A156" s="114"/>
      <c r="B156" s="114"/>
      <c r="C156" s="114"/>
      <c r="D156" s="114"/>
      <c r="E156" s="114"/>
      <c r="F156" s="117"/>
      <c r="G156" s="108"/>
      <c r="H156" s="117"/>
      <c r="I156" s="108"/>
      <c r="J156" s="117"/>
      <c r="K156" s="110" t="e">
        <f>K155-K147</f>
        <v>#REF!</v>
      </c>
      <c r="L156" s="118"/>
      <c r="M156" s="118"/>
      <c r="N156" s="118"/>
      <c r="O156" s="118"/>
      <c r="P156" s="110">
        <f t="shared" si="80"/>
        <v>0</v>
      </c>
    </row>
    <row r="157" spans="1:16" x14ac:dyDescent="0.2">
      <c r="A157" s="114" t="s">
        <v>80</v>
      </c>
      <c r="B157" s="114"/>
      <c r="C157" s="114"/>
      <c r="D157" s="114"/>
      <c r="E157" s="114"/>
      <c r="F157" s="117" t="e">
        <f>N135</f>
        <v>#REF!</v>
      </c>
      <c r="G157" s="108" t="e">
        <f>F157/J157</f>
        <v>#REF!</v>
      </c>
      <c r="H157" s="117" t="e">
        <f>O135</f>
        <v>#REF!</v>
      </c>
      <c r="I157" s="513" t="e">
        <f>H157/J157</f>
        <v>#REF!</v>
      </c>
      <c r="J157" s="110" t="e">
        <f>F157+H157</f>
        <v>#REF!</v>
      </c>
      <c r="K157" s="110">
        <f>-M164</f>
        <v>-2004729.97</v>
      </c>
      <c r="L157" s="315" t="e">
        <f>G157*K157</f>
        <v>#REF!</v>
      </c>
      <c r="M157" s="315" t="e">
        <f>I157*K157</f>
        <v>#REF!</v>
      </c>
      <c r="N157" s="118" t="e">
        <f>F157+L157</f>
        <v>#REF!</v>
      </c>
      <c r="O157" s="118" t="e">
        <f>H157+M157</f>
        <v>#REF!</v>
      </c>
      <c r="P157" s="110" t="e">
        <f t="shared" si="80"/>
        <v>#REF!</v>
      </c>
    </row>
    <row r="158" spans="1:16" ht="12.75" thickBot="1" x14ac:dyDescent="0.25">
      <c r="A158" s="86"/>
      <c r="B158" s="86"/>
      <c r="C158" s="86"/>
      <c r="D158" s="86"/>
      <c r="E158" s="86"/>
      <c r="F158" s="117"/>
      <c r="G158" s="108"/>
      <c r="H158" s="110"/>
      <c r="I158" s="108"/>
      <c r="J158" s="110"/>
      <c r="K158" s="110"/>
      <c r="L158" s="118"/>
      <c r="M158" s="118"/>
      <c r="N158" s="118"/>
      <c r="O158" s="118"/>
      <c r="P158" s="110">
        <f t="shared" si="80"/>
        <v>0</v>
      </c>
    </row>
    <row r="159" spans="1:16" ht="12.75" thickBot="1" x14ac:dyDescent="0.25">
      <c r="A159" s="123" t="s">
        <v>87</v>
      </c>
      <c r="B159" s="123"/>
      <c r="C159" s="123"/>
      <c r="D159" s="123"/>
      <c r="E159" s="123"/>
      <c r="F159" s="124" t="e">
        <f>F155+F157</f>
        <v>#REF!</v>
      </c>
      <c r="G159" s="125" t="e">
        <f>F159/$F$160</f>
        <v>#REF!</v>
      </c>
      <c r="H159" s="124" t="e">
        <f>H155+H157</f>
        <v>#REF!</v>
      </c>
      <c r="I159" s="125" t="e">
        <f>H159/$H$160</f>
        <v>#REF!</v>
      </c>
      <c r="J159" s="124" t="e">
        <f>J155+J157</f>
        <v>#REF!</v>
      </c>
      <c r="K159" s="126">
        <f>K157</f>
        <v>-2004729.97</v>
      </c>
      <c r="L159" s="126" t="e">
        <f>L157</f>
        <v>#REF!</v>
      </c>
      <c r="M159" s="126" t="e">
        <f>M157</f>
        <v>#REF!</v>
      </c>
      <c r="N159" s="126" t="e">
        <f>N157</f>
        <v>#REF!</v>
      </c>
      <c r="O159" s="126" t="e">
        <f>O157</f>
        <v>#REF!</v>
      </c>
      <c r="P159" s="127" t="e">
        <f t="shared" si="80"/>
        <v>#REF!</v>
      </c>
    </row>
    <row r="160" spans="1:16" ht="13.5" thickTop="1" thickBot="1" x14ac:dyDescent="0.25">
      <c r="A160" s="128" t="s">
        <v>82</v>
      </c>
      <c r="B160" s="128"/>
      <c r="C160" s="128"/>
      <c r="D160" s="128"/>
      <c r="E160" s="128"/>
      <c r="F160" s="129" t="e">
        <f>F159</f>
        <v>#REF!</v>
      </c>
      <c r="G160" s="130"/>
      <c r="H160" s="129" t="e">
        <f>H159</f>
        <v>#REF!</v>
      </c>
      <c r="I160" s="130"/>
      <c r="J160" s="131" t="e">
        <f>F160+H160</f>
        <v>#REF!</v>
      </c>
      <c r="K160" s="132" t="e">
        <f>K155+K159</f>
        <v>#REF!</v>
      </c>
      <c r="L160" s="132" t="e">
        <f>L155+L159</f>
        <v>#REF!</v>
      </c>
      <c r="M160" s="132" t="e">
        <f>M155+M159</f>
        <v>#REF!</v>
      </c>
      <c r="N160" s="132" t="e">
        <f>N155+N159</f>
        <v>#REF!</v>
      </c>
      <c r="O160" s="132" t="e">
        <f>O155+O159</f>
        <v>#REF!</v>
      </c>
      <c r="P160" s="133" t="e">
        <f t="shared" si="80"/>
        <v>#REF!</v>
      </c>
    </row>
    <row r="161" spans="1:16" ht="12.75" thickBot="1" x14ac:dyDescent="0.25">
      <c r="A161" s="134"/>
      <c r="B161" s="134"/>
      <c r="C161" s="134"/>
      <c r="D161" s="134"/>
      <c r="E161" s="134"/>
      <c r="F161" s="135"/>
      <c r="G161" s="134"/>
      <c r="H161" s="135"/>
      <c r="I161" s="134"/>
      <c r="J161" s="136"/>
      <c r="K161" s="137"/>
      <c r="L161" s="137"/>
      <c r="M161" s="137"/>
      <c r="N161" s="316" t="e">
        <f>F159-N160+L160</f>
        <v>#REF!</v>
      </c>
      <c r="O161" s="317" t="e">
        <f>H159-O160+M160</f>
        <v>#REF!</v>
      </c>
      <c r="P161" s="87"/>
    </row>
    <row r="162" spans="1:16" ht="12.75" thickBot="1" x14ac:dyDescent="0.25">
      <c r="J162" s="344"/>
      <c r="K162" s="345" t="s">
        <v>459</v>
      </c>
      <c r="L162" s="345" t="s">
        <v>460</v>
      </c>
      <c r="M162" s="346" t="s">
        <v>172</v>
      </c>
    </row>
    <row r="163" spans="1:16" ht="12.75" x14ac:dyDescent="0.2">
      <c r="H163" s="519">
        <v>6647247.6699999999</v>
      </c>
      <c r="J163" s="138" t="s">
        <v>171</v>
      </c>
      <c r="K163" s="321">
        <v>-6267833.1417435678</v>
      </c>
      <c r="L163" s="514">
        <v>-7514596.8611948341</v>
      </c>
      <c r="M163" s="347">
        <v>-1246763.7194512663</v>
      </c>
      <c r="P163" s="82">
        <f>'1595 Continuity 2011'!H164</f>
        <v>0</v>
      </c>
    </row>
    <row r="164" spans="1:16" ht="12.75" thickBot="1" x14ac:dyDescent="0.25">
      <c r="G164" s="306"/>
      <c r="H164" s="306"/>
      <c r="I164" s="306"/>
      <c r="J164" s="139" t="s">
        <v>142</v>
      </c>
      <c r="K164" s="322">
        <v>10126025.52</v>
      </c>
      <c r="L164" s="515">
        <v>12130755.49</v>
      </c>
      <c r="M164" s="348">
        <v>2004729.97</v>
      </c>
    </row>
    <row r="165" spans="1:16" ht="12.75" thickBot="1" x14ac:dyDescent="0.25">
      <c r="G165" s="306"/>
      <c r="H165" s="307"/>
      <c r="I165" s="306"/>
      <c r="J165" s="349"/>
      <c r="K165" s="350">
        <v>3858192.3782564318</v>
      </c>
      <c r="L165" s="516">
        <v>4616158.6288051661</v>
      </c>
      <c r="M165" s="351">
        <v>757966.25054873433</v>
      </c>
    </row>
    <row r="166" spans="1:16" ht="12.75" thickBot="1" x14ac:dyDescent="0.25">
      <c r="A166" s="140" t="s">
        <v>66</v>
      </c>
      <c r="B166" s="141"/>
      <c r="C166" s="141"/>
      <c r="D166" s="141"/>
      <c r="E166" s="141"/>
      <c r="F166" s="95"/>
      <c r="G166" s="95"/>
      <c r="H166" s="95"/>
      <c r="I166" s="95"/>
      <c r="J166" s="143"/>
      <c r="K166" s="319">
        <v>40756</v>
      </c>
      <c r="L166" s="320"/>
      <c r="M166" s="320"/>
      <c r="N166" s="320"/>
    </row>
    <row r="167" spans="1:16" ht="12.75" thickBot="1" x14ac:dyDescent="0.25">
      <c r="A167" s="83" t="s">
        <v>167</v>
      </c>
      <c r="B167" s="83"/>
      <c r="C167" s="83"/>
      <c r="D167" s="83"/>
      <c r="E167" s="83"/>
      <c r="F167" s="94"/>
      <c r="G167" s="95"/>
      <c r="H167" s="95"/>
      <c r="I167" s="95"/>
      <c r="J167" s="85"/>
      <c r="K167" s="96"/>
      <c r="L167" s="97" t="s">
        <v>31</v>
      </c>
      <c r="M167" s="96"/>
      <c r="N167" s="96"/>
      <c r="O167" s="89"/>
      <c r="P167" s="142"/>
    </row>
    <row r="168" spans="1:16" ht="27" thickBot="1" x14ac:dyDescent="0.4">
      <c r="A168" s="98"/>
      <c r="B168" s="98"/>
      <c r="C168" s="98"/>
      <c r="D168" s="98"/>
      <c r="E168" s="98"/>
      <c r="F168" s="99" t="s">
        <v>68</v>
      </c>
      <c r="G168" s="100" t="s">
        <v>69</v>
      </c>
      <c r="H168" s="99" t="s">
        <v>70</v>
      </c>
      <c r="I168" s="100" t="s">
        <v>69</v>
      </c>
      <c r="J168" s="101" t="s">
        <v>62</v>
      </c>
      <c r="K168" s="102" t="s">
        <v>71</v>
      </c>
      <c r="L168" s="103" t="s">
        <v>72</v>
      </c>
      <c r="M168" s="104" t="s">
        <v>73</v>
      </c>
      <c r="N168" s="104" t="s">
        <v>68</v>
      </c>
      <c r="O168" s="104" t="s">
        <v>70</v>
      </c>
      <c r="P168" s="105" t="s">
        <v>62</v>
      </c>
    </row>
    <row r="169" spans="1:16" ht="14.25" x14ac:dyDescent="0.35">
      <c r="A169" s="106" t="s">
        <v>170</v>
      </c>
      <c r="B169" s="106"/>
      <c r="C169" s="106"/>
      <c r="D169" s="106"/>
      <c r="E169" s="106"/>
      <c r="F169" s="107"/>
      <c r="G169" s="108"/>
      <c r="H169" s="109"/>
      <c r="I169" s="108"/>
      <c r="J169" s="110"/>
      <c r="K169" s="111">
        <f>-M185</f>
        <v>1196235.0195484143</v>
      </c>
      <c r="L169" s="112">
        <f>$C$7*K169</f>
        <v>1117341.791701504</v>
      </c>
      <c r="M169" s="112">
        <f>K169*$C$8</f>
        <v>78893.227846910188</v>
      </c>
      <c r="N169" s="112" t="e">
        <f>SUM(N177+N181)</f>
        <v>#REF!</v>
      </c>
      <c r="O169" s="112" t="e">
        <f>SUM(O177+O181)</f>
        <v>#REF!</v>
      </c>
      <c r="P169" s="113" t="e">
        <f>N169+O169</f>
        <v>#REF!</v>
      </c>
    </row>
    <row r="170" spans="1:16" x14ac:dyDescent="0.2">
      <c r="A170" s="114"/>
      <c r="B170" s="114"/>
      <c r="C170" s="114"/>
      <c r="D170" s="114"/>
      <c r="E170" s="114"/>
      <c r="F170" s="107"/>
      <c r="G170" s="108"/>
      <c r="H170" s="109"/>
      <c r="I170" s="108"/>
      <c r="J170" s="110"/>
      <c r="K170" s="115"/>
      <c r="L170" s="115"/>
      <c r="M170" s="115"/>
      <c r="N170" s="115"/>
      <c r="O170" s="115"/>
      <c r="P170" s="116"/>
    </row>
    <row r="171" spans="1:16" x14ac:dyDescent="0.2">
      <c r="A171" s="114" t="s">
        <v>86</v>
      </c>
      <c r="B171" s="114"/>
      <c r="C171" s="114"/>
      <c r="D171" s="114"/>
      <c r="E171" s="114"/>
      <c r="F171" s="117" t="e">
        <f t="shared" ref="F171:F176" si="82">N149</f>
        <v>#REF!</v>
      </c>
      <c r="G171" s="513" t="e">
        <f t="shared" ref="G171:G176" si="83">F171/$F$177</f>
        <v>#REF!</v>
      </c>
      <c r="H171" s="117" t="e">
        <f t="shared" ref="H171:H176" si="84">O149</f>
        <v>#REF!</v>
      </c>
      <c r="I171" s="108" t="e">
        <f t="shared" ref="I171:I176" si="85">H171/$H$177</f>
        <v>#REF!</v>
      </c>
      <c r="J171" s="110" t="e">
        <f t="shared" ref="J171:J176" si="86">F171+H171</f>
        <v>#REF!</v>
      </c>
      <c r="K171" s="110" t="e">
        <f t="shared" ref="K171:K176" si="87">L171+M171</f>
        <v>#REF!</v>
      </c>
      <c r="L171" s="118" t="e">
        <f t="shared" ref="L171:L176" si="88">G171*$L$169</f>
        <v>#REF!</v>
      </c>
      <c r="M171" s="118" t="e">
        <f t="shared" ref="M171:M176" si="89">I171*$M$169</f>
        <v>#REF!</v>
      </c>
      <c r="N171" s="118" t="e">
        <f t="shared" ref="N171:N176" si="90">F171+L171</f>
        <v>#REF!</v>
      </c>
      <c r="O171" s="118" t="e">
        <f t="shared" ref="O171:O176" si="91">H171+M171</f>
        <v>#REF!</v>
      </c>
      <c r="P171" s="110" t="e">
        <f t="shared" ref="P171:P182" si="92">N171+O171</f>
        <v>#REF!</v>
      </c>
    </row>
    <row r="172" spans="1:16" x14ac:dyDescent="0.2">
      <c r="A172" s="114" t="s">
        <v>75</v>
      </c>
      <c r="B172" s="114"/>
      <c r="C172" s="114"/>
      <c r="D172" s="114"/>
      <c r="E172" s="114"/>
      <c r="F172" s="117" t="e">
        <f t="shared" si="82"/>
        <v>#REF!</v>
      </c>
      <c r="G172" s="513" t="e">
        <f t="shared" si="83"/>
        <v>#REF!</v>
      </c>
      <c r="H172" s="117" t="e">
        <f t="shared" si="84"/>
        <v>#REF!</v>
      </c>
      <c r="I172" s="108" t="e">
        <f t="shared" si="85"/>
        <v>#REF!</v>
      </c>
      <c r="J172" s="110" t="e">
        <f t="shared" si="86"/>
        <v>#REF!</v>
      </c>
      <c r="K172" s="110" t="e">
        <f t="shared" si="87"/>
        <v>#REF!</v>
      </c>
      <c r="L172" s="118" t="e">
        <f t="shared" si="88"/>
        <v>#REF!</v>
      </c>
      <c r="M172" s="118" t="e">
        <f t="shared" si="89"/>
        <v>#REF!</v>
      </c>
      <c r="N172" s="118" t="e">
        <f t="shared" si="90"/>
        <v>#REF!</v>
      </c>
      <c r="O172" s="118" t="e">
        <f t="shared" si="91"/>
        <v>#REF!</v>
      </c>
      <c r="P172" s="110" t="e">
        <f t="shared" si="92"/>
        <v>#REF!</v>
      </c>
    </row>
    <row r="173" spans="1:16" x14ac:dyDescent="0.2">
      <c r="A173" s="114" t="s">
        <v>76</v>
      </c>
      <c r="B173" s="114"/>
      <c r="C173" s="114"/>
      <c r="D173" s="114"/>
      <c r="E173" s="114"/>
      <c r="F173" s="117" t="e">
        <f t="shared" si="82"/>
        <v>#REF!</v>
      </c>
      <c r="G173" s="513" t="e">
        <f t="shared" si="83"/>
        <v>#REF!</v>
      </c>
      <c r="H173" s="117" t="e">
        <f t="shared" si="84"/>
        <v>#REF!</v>
      </c>
      <c r="I173" s="108" t="e">
        <f t="shared" si="85"/>
        <v>#REF!</v>
      </c>
      <c r="J173" s="110" t="e">
        <f t="shared" si="86"/>
        <v>#REF!</v>
      </c>
      <c r="K173" s="110" t="e">
        <f t="shared" si="87"/>
        <v>#REF!</v>
      </c>
      <c r="L173" s="118" t="e">
        <f t="shared" si="88"/>
        <v>#REF!</v>
      </c>
      <c r="M173" s="118" t="e">
        <f t="shared" si="89"/>
        <v>#REF!</v>
      </c>
      <c r="N173" s="118" t="e">
        <f t="shared" si="90"/>
        <v>#REF!</v>
      </c>
      <c r="O173" s="118" t="e">
        <f t="shared" si="91"/>
        <v>#REF!</v>
      </c>
      <c r="P173" s="110" t="e">
        <f t="shared" si="92"/>
        <v>#REF!</v>
      </c>
    </row>
    <row r="174" spans="1:16" x14ac:dyDescent="0.2">
      <c r="A174" s="114" t="s">
        <v>77</v>
      </c>
      <c r="B174" s="114"/>
      <c r="C174" s="114"/>
      <c r="D174" s="114"/>
      <c r="E174" s="114"/>
      <c r="F174" s="117" t="e">
        <f t="shared" si="82"/>
        <v>#REF!</v>
      </c>
      <c r="G174" s="513" t="e">
        <f t="shared" si="83"/>
        <v>#REF!</v>
      </c>
      <c r="H174" s="117" t="e">
        <f t="shared" si="84"/>
        <v>#REF!</v>
      </c>
      <c r="I174" s="108" t="e">
        <f t="shared" si="85"/>
        <v>#REF!</v>
      </c>
      <c r="J174" s="110" t="e">
        <f t="shared" si="86"/>
        <v>#REF!</v>
      </c>
      <c r="K174" s="110" t="e">
        <f t="shared" si="87"/>
        <v>#REF!</v>
      </c>
      <c r="L174" s="118" t="e">
        <f t="shared" si="88"/>
        <v>#REF!</v>
      </c>
      <c r="M174" s="118" t="e">
        <f t="shared" si="89"/>
        <v>#REF!</v>
      </c>
      <c r="N174" s="118" t="e">
        <f t="shared" si="90"/>
        <v>#REF!</v>
      </c>
      <c r="O174" s="118" t="e">
        <f t="shared" si="91"/>
        <v>#REF!</v>
      </c>
      <c r="P174" s="110" t="e">
        <f t="shared" si="92"/>
        <v>#REF!</v>
      </c>
    </row>
    <row r="175" spans="1:16" x14ac:dyDescent="0.2">
      <c r="A175" s="114" t="s">
        <v>78</v>
      </c>
      <c r="B175" s="114"/>
      <c r="C175" s="114"/>
      <c r="D175" s="114"/>
      <c r="E175" s="114"/>
      <c r="F175" s="117" t="e">
        <f t="shared" si="82"/>
        <v>#REF!</v>
      </c>
      <c r="G175" s="513" t="e">
        <f t="shared" si="83"/>
        <v>#REF!</v>
      </c>
      <c r="H175" s="117" t="e">
        <f t="shared" si="84"/>
        <v>#REF!</v>
      </c>
      <c r="I175" s="108" t="e">
        <f t="shared" si="85"/>
        <v>#REF!</v>
      </c>
      <c r="J175" s="110" t="e">
        <f t="shared" si="86"/>
        <v>#REF!</v>
      </c>
      <c r="K175" s="110" t="e">
        <f t="shared" si="87"/>
        <v>#REF!</v>
      </c>
      <c r="L175" s="118" t="e">
        <f t="shared" si="88"/>
        <v>#REF!</v>
      </c>
      <c r="M175" s="118" t="e">
        <f t="shared" si="89"/>
        <v>#REF!</v>
      </c>
      <c r="N175" s="118" t="e">
        <f t="shared" si="90"/>
        <v>#REF!</v>
      </c>
      <c r="O175" s="118" t="e">
        <f t="shared" si="91"/>
        <v>#REF!</v>
      </c>
      <c r="P175" s="110" t="e">
        <f t="shared" si="92"/>
        <v>#REF!</v>
      </c>
    </row>
    <row r="176" spans="1:16" x14ac:dyDescent="0.2">
      <c r="A176" s="119" t="s">
        <v>79</v>
      </c>
      <c r="B176" s="119"/>
      <c r="C176" s="119"/>
      <c r="D176" s="119"/>
      <c r="E176" s="119"/>
      <c r="F176" s="117" t="e">
        <f t="shared" si="82"/>
        <v>#REF!</v>
      </c>
      <c r="G176" s="513" t="e">
        <f t="shared" si="83"/>
        <v>#REF!</v>
      </c>
      <c r="H176" s="117" t="e">
        <f t="shared" si="84"/>
        <v>#REF!</v>
      </c>
      <c r="I176" s="108" t="e">
        <f t="shared" si="85"/>
        <v>#REF!</v>
      </c>
      <c r="J176" s="110" t="e">
        <f t="shared" si="86"/>
        <v>#REF!</v>
      </c>
      <c r="K176" s="110" t="e">
        <f t="shared" si="87"/>
        <v>#REF!</v>
      </c>
      <c r="L176" s="118" t="e">
        <f t="shared" si="88"/>
        <v>#REF!</v>
      </c>
      <c r="M176" s="118" t="e">
        <f t="shared" si="89"/>
        <v>#REF!</v>
      </c>
      <c r="N176" s="118" t="e">
        <f t="shared" si="90"/>
        <v>#REF!</v>
      </c>
      <c r="O176" s="118" t="e">
        <f t="shared" si="91"/>
        <v>#REF!</v>
      </c>
      <c r="P176" s="110" t="e">
        <f t="shared" si="92"/>
        <v>#REF!</v>
      </c>
    </row>
    <row r="177" spans="1:16" x14ac:dyDescent="0.2">
      <c r="A177" s="114"/>
      <c r="B177" s="114"/>
      <c r="C177" s="114"/>
      <c r="D177" s="114"/>
      <c r="E177" s="114"/>
      <c r="F177" s="120" t="e">
        <f t="shared" ref="F177:O177" si="93">SUM(F171:F176)</f>
        <v>#REF!</v>
      </c>
      <c r="G177" s="121" t="e">
        <f t="shared" si="93"/>
        <v>#REF!</v>
      </c>
      <c r="H177" s="120" t="e">
        <f t="shared" si="93"/>
        <v>#REF!</v>
      </c>
      <c r="I177" s="121" t="e">
        <f t="shared" si="93"/>
        <v>#REF!</v>
      </c>
      <c r="J177" s="120" t="e">
        <f t="shared" si="93"/>
        <v>#REF!</v>
      </c>
      <c r="K177" s="122" t="e">
        <f t="shared" si="93"/>
        <v>#REF!</v>
      </c>
      <c r="L177" s="314" t="e">
        <f t="shared" si="93"/>
        <v>#REF!</v>
      </c>
      <c r="M177" s="314" t="e">
        <f t="shared" si="93"/>
        <v>#REF!</v>
      </c>
      <c r="N177" s="122" t="e">
        <f t="shared" si="93"/>
        <v>#REF!</v>
      </c>
      <c r="O177" s="122" t="e">
        <f t="shared" si="93"/>
        <v>#REF!</v>
      </c>
      <c r="P177" s="122" t="e">
        <f t="shared" si="92"/>
        <v>#REF!</v>
      </c>
    </row>
    <row r="178" spans="1:16" x14ac:dyDescent="0.2">
      <c r="A178" s="114"/>
      <c r="B178" s="114"/>
      <c r="C178" s="114"/>
      <c r="D178" s="114"/>
      <c r="E178" s="114"/>
      <c r="F178" s="117"/>
      <c r="G178" s="108"/>
      <c r="H178" s="117"/>
      <c r="I178" s="108"/>
      <c r="J178" s="117"/>
      <c r="K178" s="110" t="e">
        <f>K177-K169</f>
        <v>#REF!</v>
      </c>
      <c r="L178" s="118"/>
      <c r="M178" s="118"/>
      <c r="N178" s="118"/>
      <c r="O178" s="118"/>
      <c r="P178" s="110">
        <f t="shared" si="92"/>
        <v>0</v>
      </c>
    </row>
    <row r="179" spans="1:16" x14ac:dyDescent="0.2">
      <c r="A179" s="114" t="s">
        <v>80</v>
      </c>
      <c r="B179" s="114"/>
      <c r="C179" s="114"/>
      <c r="D179" s="114"/>
      <c r="E179" s="114"/>
      <c r="F179" s="117" t="e">
        <f>N157</f>
        <v>#REF!</v>
      </c>
      <c r="G179" s="108" t="e">
        <f>F179/J179</f>
        <v>#REF!</v>
      </c>
      <c r="H179" s="117" t="e">
        <f>O157</f>
        <v>#REF!</v>
      </c>
      <c r="I179" s="513" t="e">
        <f>H179/J179</f>
        <v>#REF!</v>
      </c>
      <c r="J179" s="110" t="e">
        <f>F179+H179</f>
        <v>#REF!</v>
      </c>
      <c r="K179" s="110">
        <f>-M186</f>
        <v>-1703486.17</v>
      </c>
      <c r="L179" s="315" t="e">
        <f>G179*K179</f>
        <v>#REF!</v>
      </c>
      <c r="M179" s="315" t="e">
        <f>I179*K179</f>
        <v>#REF!</v>
      </c>
      <c r="N179" s="118" t="e">
        <f>F179+L179</f>
        <v>#REF!</v>
      </c>
      <c r="O179" s="118" t="e">
        <f>H179+M179</f>
        <v>#REF!</v>
      </c>
      <c r="P179" s="110" t="e">
        <f t="shared" si="92"/>
        <v>#REF!</v>
      </c>
    </row>
    <row r="180" spans="1:16" ht="12.75" thickBot="1" x14ac:dyDescent="0.25">
      <c r="A180" s="86"/>
      <c r="B180" s="86"/>
      <c r="C180" s="86"/>
      <c r="D180" s="86"/>
      <c r="E180" s="86"/>
      <c r="F180" s="117"/>
      <c r="G180" s="108"/>
      <c r="H180" s="110"/>
      <c r="I180" s="108"/>
      <c r="J180" s="110"/>
      <c r="K180" s="110"/>
      <c r="L180" s="118"/>
      <c r="M180" s="118"/>
      <c r="N180" s="118"/>
      <c r="O180" s="118"/>
      <c r="P180" s="110">
        <f t="shared" si="92"/>
        <v>0</v>
      </c>
    </row>
    <row r="181" spans="1:16" ht="12.75" thickBot="1" x14ac:dyDescent="0.25">
      <c r="A181" s="123" t="s">
        <v>87</v>
      </c>
      <c r="B181" s="123"/>
      <c r="C181" s="123"/>
      <c r="D181" s="123"/>
      <c r="E181" s="123"/>
      <c r="F181" s="124" t="e">
        <f>F177+F179</f>
        <v>#REF!</v>
      </c>
      <c r="G181" s="125" t="e">
        <f>F182/$F$181</f>
        <v>#REF!</v>
      </c>
      <c r="H181" s="124" t="e">
        <f>H177+H179</f>
        <v>#REF!</v>
      </c>
      <c r="I181" s="125" t="e">
        <f>H182/$H$181</f>
        <v>#REF!</v>
      </c>
      <c r="J181" s="124" t="e">
        <f>J177+J179</f>
        <v>#REF!</v>
      </c>
      <c r="K181" s="126">
        <f>K179</f>
        <v>-1703486.17</v>
      </c>
      <c r="L181" s="126" t="e">
        <f>L179</f>
        <v>#REF!</v>
      </c>
      <c r="M181" s="126" t="e">
        <f>M179</f>
        <v>#REF!</v>
      </c>
      <c r="N181" s="126" t="e">
        <f>N179</f>
        <v>#REF!</v>
      </c>
      <c r="O181" s="126" t="e">
        <f>O179</f>
        <v>#REF!</v>
      </c>
      <c r="P181" s="127" t="e">
        <f t="shared" si="92"/>
        <v>#REF!</v>
      </c>
    </row>
    <row r="182" spans="1:16" ht="13.5" thickTop="1" thickBot="1" x14ac:dyDescent="0.25">
      <c r="A182" s="128" t="s">
        <v>82</v>
      </c>
      <c r="B182" s="128"/>
      <c r="C182" s="128"/>
      <c r="D182" s="128"/>
      <c r="E182" s="128"/>
      <c r="F182" s="129" t="e">
        <f>F181</f>
        <v>#REF!</v>
      </c>
      <c r="G182" s="130"/>
      <c r="H182" s="129" t="e">
        <f>H181</f>
        <v>#REF!</v>
      </c>
      <c r="I182" s="130"/>
      <c r="J182" s="131" t="e">
        <f>F182+H182</f>
        <v>#REF!</v>
      </c>
      <c r="K182" s="132" t="e">
        <f>K177+K181</f>
        <v>#REF!</v>
      </c>
      <c r="L182" s="132" t="e">
        <f>L177+L181</f>
        <v>#REF!</v>
      </c>
      <c r="M182" s="132" t="e">
        <f>M177+M181</f>
        <v>#REF!</v>
      </c>
      <c r="N182" s="132" t="e">
        <f>N177+N181</f>
        <v>#REF!</v>
      </c>
      <c r="O182" s="132" t="e">
        <f>O177+O181</f>
        <v>#REF!</v>
      </c>
      <c r="P182" s="133" t="e">
        <f t="shared" si="92"/>
        <v>#REF!</v>
      </c>
    </row>
    <row r="183" spans="1:16" ht="12.75" thickBot="1" x14ac:dyDescent="0.25">
      <c r="A183" s="134"/>
      <c r="B183" s="134"/>
      <c r="C183" s="134"/>
      <c r="D183" s="134"/>
      <c r="E183" s="134"/>
      <c r="F183" s="135"/>
      <c r="G183" s="134"/>
      <c r="H183" s="135"/>
      <c r="I183" s="134"/>
      <c r="J183" s="136"/>
      <c r="K183" s="137"/>
      <c r="L183" s="137"/>
      <c r="M183" s="137"/>
      <c r="N183" s="316" t="e">
        <f>F181-N182+L182</f>
        <v>#REF!</v>
      </c>
      <c r="O183" s="317" t="e">
        <f>H181-O182+M182</f>
        <v>#REF!</v>
      </c>
      <c r="P183" s="87"/>
    </row>
    <row r="184" spans="1:16" ht="12.75" thickBot="1" x14ac:dyDescent="0.25">
      <c r="J184" s="344"/>
      <c r="K184" s="345" t="s">
        <v>460</v>
      </c>
      <c r="L184" s="345" t="s">
        <v>461</v>
      </c>
      <c r="M184" s="346" t="s">
        <v>172</v>
      </c>
    </row>
    <row r="185" spans="1:16" ht="12.75" x14ac:dyDescent="0.2">
      <c r="H185" s="519">
        <v>6647247.6699999999</v>
      </c>
      <c r="J185" s="138" t="s">
        <v>171</v>
      </c>
      <c r="K185" s="514">
        <v>-7514596.8611948341</v>
      </c>
      <c r="L185" s="514">
        <v>-8710831.8807432484</v>
      </c>
      <c r="M185" s="347">
        <f>L185-K185</f>
        <v>-1196235.0195484143</v>
      </c>
      <c r="P185" s="82" t="e">
        <f>'1595 Continuity 2011'!H186</f>
        <v>#REF!</v>
      </c>
    </row>
    <row r="186" spans="1:16" ht="12.75" thickBot="1" x14ac:dyDescent="0.25">
      <c r="G186" s="306"/>
      <c r="H186" s="306"/>
      <c r="I186" s="306"/>
      <c r="J186" s="139" t="s">
        <v>142</v>
      </c>
      <c r="K186" s="515">
        <v>12130755.49</v>
      </c>
      <c r="L186" s="515">
        <v>13834241.66</v>
      </c>
      <c r="M186" s="348">
        <f>L186-K186</f>
        <v>1703486.17</v>
      </c>
    </row>
    <row r="187" spans="1:16" ht="12.75" thickBot="1" x14ac:dyDescent="0.25">
      <c r="G187" s="306"/>
      <c r="H187" s="307"/>
      <c r="I187" s="306"/>
      <c r="J187" s="349"/>
      <c r="K187" s="516">
        <v>4616158.6288051661</v>
      </c>
      <c r="L187" s="516">
        <v>4616158.6288051661</v>
      </c>
      <c r="M187" s="351">
        <f>SUM(M185:M186)</f>
        <v>507251.15045158565</v>
      </c>
    </row>
    <row r="188" spans="1:16" ht="12.75" thickBot="1" x14ac:dyDescent="0.25">
      <c r="A188" s="140" t="s">
        <v>66</v>
      </c>
      <c r="B188" s="141"/>
      <c r="C188" s="141"/>
      <c r="D188" s="141"/>
      <c r="E188" s="141"/>
      <c r="F188" s="95"/>
      <c r="G188" s="95"/>
      <c r="H188" s="95"/>
      <c r="I188" s="95"/>
      <c r="J188" s="143"/>
      <c r="K188" s="319">
        <v>40787</v>
      </c>
      <c r="L188" s="320"/>
      <c r="M188" s="320"/>
      <c r="N188" s="320"/>
    </row>
    <row r="189" spans="1:16" ht="12.75" thickBot="1" x14ac:dyDescent="0.25">
      <c r="A189" s="83" t="s">
        <v>167</v>
      </c>
      <c r="B189" s="83"/>
      <c r="C189" s="83"/>
      <c r="D189" s="83"/>
      <c r="E189" s="83"/>
      <c r="F189" s="94"/>
      <c r="G189" s="95"/>
      <c r="H189" s="95"/>
      <c r="I189" s="95"/>
      <c r="J189" s="85"/>
      <c r="K189" s="96"/>
      <c r="L189" s="97" t="s">
        <v>31</v>
      </c>
      <c r="M189" s="96"/>
      <c r="N189" s="96"/>
      <c r="O189" s="89"/>
      <c r="P189" s="142"/>
    </row>
    <row r="190" spans="1:16" ht="27" thickBot="1" x14ac:dyDescent="0.4">
      <c r="A190" s="98"/>
      <c r="B190" s="98"/>
      <c r="C190" s="98"/>
      <c r="D190" s="98"/>
      <c r="E190" s="98"/>
      <c r="F190" s="99" t="s">
        <v>68</v>
      </c>
      <c r="G190" s="100" t="s">
        <v>69</v>
      </c>
      <c r="H190" s="99" t="s">
        <v>70</v>
      </c>
      <c r="I190" s="100" t="s">
        <v>69</v>
      </c>
      <c r="J190" s="101" t="s">
        <v>62</v>
      </c>
      <c r="K190" s="102" t="s">
        <v>71</v>
      </c>
      <c r="L190" s="103" t="s">
        <v>72</v>
      </c>
      <c r="M190" s="104" t="s">
        <v>73</v>
      </c>
      <c r="N190" s="104" t="s">
        <v>68</v>
      </c>
      <c r="O190" s="104" t="s">
        <v>70</v>
      </c>
      <c r="P190" s="105" t="s">
        <v>62</v>
      </c>
    </row>
    <row r="191" spans="1:16" ht="14.25" x14ac:dyDescent="0.35">
      <c r="A191" s="106" t="s">
        <v>170</v>
      </c>
      <c r="B191" s="106"/>
      <c r="C191" s="106"/>
      <c r="D191" s="106"/>
      <c r="E191" s="106"/>
      <c r="F191" s="107"/>
      <c r="G191" s="108"/>
      <c r="H191" s="109"/>
      <c r="I191" s="108"/>
      <c r="J191" s="110"/>
      <c r="K191" s="111">
        <f>-M207</f>
        <v>1121664.3131474759</v>
      </c>
      <c r="L191" s="112">
        <f>$C$7*K191</f>
        <v>1047689.1186591069</v>
      </c>
      <c r="M191" s="112">
        <f>K191*$C$8</f>
        <v>73975.194488369001</v>
      </c>
      <c r="N191" s="112" t="e">
        <f>SUM(N199+N203)</f>
        <v>#REF!</v>
      </c>
      <c r="O191" s="112" t="e">
        <f>SUM(O199+O203)</f>
        <v>#REF!</v>
      </c>
      <c r="P191" s="113" t="e">
        <f>N191+O191</f>
        <v>#REF!</v>
      </c>
    </row>
    <row r="192" spans="1:16" x14ac:dyDescent="0.2">
      <c r="A192" s="114"/>
      <c r="B192" s="114"/>
      <c r="C192" s="114"/>
      <c r="D192" s="114"/>
      <c r="E192" s="114"/>
      <c r="F192" s="107"/>
      <c r="G192" s="108"/>
      <c r="H192" s="109"/>
      <c r="I192" s="108"/>
      <c r="J192" s="110"/>
      <c r="K192" s="115"/>
      <c r="L192" s="115"/>
      <c r="M192" s="115"/>
      <c r="N192" s="115"/>
      <c r="O192" s="115"/>
      <c r="P192" s="116"/>
    </row>
    <row r="193" spans="1:16" x14ac:dyDescent="0.2">
      <c r="A193" s="114" t="s">
        <v>86</v>
      </c>
      <c r="B193" s="114"/>
      <c r="C193" s="114"/>
      <c r="D193" s="114"/>
      <c r="E193" s="114"/>
      <c r="F193" s="117" t="e">
        <f t="shared" ref="F193:F198" si="94">N171</f>
        <v>#REF!</v>
      </c>
      <c r="G193" s="513" t="e">
        <f t="shared" ref="G193:G198" si="95">F193/$F$199</f>
        <v>#REF!</v>
      </c>
      <c r="H193" s="117" t="e">
        <f t="shared" ref="H193:H198" si="96">O171</f>
        <v>#REF!</v>
      </c>
      <c r="I193" s="108" t="e">
        <f t="shared" ref="I193:I198" si="97">H193/$H$199</f>
        <v>#REF!</v>
      </c>
      <c r="J193" s="110" t="e">
        <f t="shared" ref="J193:J198" si="98">F193+H193</f>
        <v>#REF!</v>
      </c>
      <c r="K193" s="110" t="e">
        <f t="shared" ref="K193:K198" si="99">L193+M193</f>
        <v>#REF!</v>
      </c>
      <c r="L193" s="118" t="e">
        <f t="shared" ref="L193:L198" si="100">G193*$L$191</f>
        <v>#REF!</v>
      </c>
      <c r="M193" s="118" t="e">
        <f t="shared" ref="M193:M198" si="101">I193*$M$191</f>
        <v>#REF!</v>
      </c>
      <c r="N193" s="118" t="e">
        <f t="shared" ref="N193:N198" si="102">F193+L193</f>
        <v>#REF!</v>
      </c>
      <c r="O193" s="118" t="e">
        <f t="shared" ref="O193:O198" si="103">H193+M193</f>
        <v>#REF!</v>
      </c>
      <c r="P193" s="110" t="e">
        <f t="shared" ref="P193:P204" si="104">N193+O193</f>
        <v>#REF!</v>
      </c>
    </row>
    <row r="194" spans="1:16" x14ac:dyDescent="0.2">
      <c r="A194" s="114" t="s">
        <v>75</v>
      </c>
      <c r="B194" s="114"/>
      <c r="C194" s="114"/>
      <c r="D194" s="114"/>
      <c r="E194" s="114"/>
      <c r="F194" s="117" t="e">
        <f t="shared" si="94"/>
        <v>#REF!</v>
      </c>
      <c r="G194" s="513" t="e">
        <f t="shared" si="95"/>
        <v>#REF!</v>
      </c>
      <c r="H194" s="117" t="e">
        <f t="shared" si="96"/>
        <v>#REF!</v>
      </c>
      <c r="I194" s="108" t="e">
        <f t="shared" si="97"/>
        <v>#REF!</v>
      </c>
      <c r="J194" s="110" t="e">
        <f t="shared" si="98"/>
        <v>#REF!</v>
      </c>
      <c r="K194" s="110" t="e">
        <f t="shared" si="99"/>
        <v>#REF!</v>
      </c>
      <c r="L194" s="118" t="e">
        <f t="shared" si="100"/>
        <v>#REF!</v>
      </c>
      <c r="M194" s="118" t="e">
        <f t="shared" si="101"/>
        <v>#REF!</v>
      </c>
      <c r="N194" s="118" t="e">
        <f t="shared" si="102"/>
        <v>#REF!</v>
      </c>
      <c r="O194" s="118" t="e">
        <f t="shared" si="103"/>
        <v>#REF!</v>
      </c>
      <c r="P194" s="110" t="e">
        <f t="shared" si="104"/>
        <v>#REF!</v>
      </c>
    </row>
    <row r="195" spans="1:16" x14ac:dyDescent="0.2">
      <c r="A195" s="114" t="s">
        <v>76</v>
      </c>
      <c r="B195" s="114"/>
      <c r="C195" s="114"/>
      <c r="D195" s="114"/>
      <c r="E195" s="114"/>
      <c r="F195" s="117" t="e">
        <f t="shared" si="94"/>
        <v>#REF!</v>
      </c>
      <c r="G195" s="513" t="e">
        <f t="shared" si="95"/>
        <v>#REF!</v>
      </c>
      <c r="H195" s="117" t="e">
        <f t="shared" si="96"/>
        <v>#REF!</v>
      </c>
      <c r="I195" s="108" t="e">
        <f t="shared" si="97"/>
        <v>#REF!</v>
      </c>
      <c r="J195" s="110" t="e">
        <f t="shared" si="98"/>
        <v>#REF!</v>
      </c>
      <c r="K195" s="110" t="e">
        <f t="shared" si="99"/>
        <v>#REF!</v>
      </c>
      <c r="L195" s="118" t="e">
        <f t="shared" si="100"/>
        <v>#REF!</v>
      </c>
      <c r="M195" s="118" t="e">
        <f t="shared" si="101"/>
        <v>#REF!</v>
      </c>
      <c r="N195" s="118" t="e">
        <f t="shared" si="102"/>
        <v>#REF!</v>
      </c>
      <c r="O195" s="118" t="e">
        <f t="shared" si="103"/>
        <v>#REF!</v>
      </c>
      <c r="P195" s="110" t="e">
        <f t="shared" si="104"/>
        <v>#REF!</v>
      </c>
    </row>
    <row r="196" spans="1:16" x14ac:dyDescent="0.2">
      <c r="A196" s="114" t="s">
        <v>77</v>
      </c>
      <c r="B196" s="114"/>
      <c r="C196" s="114"/>
      <c r="D196" s="114"/>
      <c r="E196" s="114"/>
      <c r="F196" s="117" t="e">
        <f t="shared" si="94"/>
        <v>#REF!</v>
      </c>
      <c r="G196" s="513" t="e">
        <f t="shared" si="95"/>
        <v>#REF!</v>
      </c>
      <c r="H196" s="117" t="e">
        <f t="shared" si="96"/>
        <v>#REF!</v>
      </c>
      <c r="I196" s="108" t="e">
        <f t="shared" si="97"/>
        <v>#REF!</v>
      </c>
      <c r="J196" s="110" t="e">
        <f t="shared" si="98"/>
        <v>#REF!</v>
      </c>
      <c r="K196" s="110" t="e">
        <f t="shared" si="99"/>
        <v>#REF!</v>
      </c>
      <c r="L196" s="118" t="e">
        <f t="shared" si="100"/>
        <v>#REF!</v>
      </c>
      <c r="M196" s="118" t="e">
        <f t="shared" si="101"/>
        <v>#REF!</v>
      </c>
      <c r="N196" s="118" t="e">
        <f t="shared" si="102"/>
        <v>#REF!</v>
      </c>
      <c r="O196" s="118" t="e">
        <f t="shared" si="103"/>
        <v>#REF!</v>
      </c>
      <c r="P196" s="110" t="e">
        <f t="shared" si="104"/>
        <v>#REF!</v>
      </c>
    </row>
    <row r="197" spans="1:16" x14ac:dyDescent="0.2">
      <c r="A197" s="114" t="s">
        <v>78</v>
      </c>
      <c r="B197" s="114"/>
      <c r="C197" s="114"/>
      <c r="D197" s="114"/>
      <c r="E197" s="114"/>
      <c r="F197" s="117" t="e">
        <f t="shared" si="94"/>
        <v>#REF!</v>
      </c>
      <c r="G197" s="513" t="e">
        <f t="shared" si="95"/>
        <v>#REF!</v>
      </c>
      <c r="H197" s="117" t="e">
        <f t="shared" si="96"/>
        <v>#REF!</v>
      </c>
      <c r="I197" s="108" t="e">
        <f t="shared" si="97"/>
        <v>#REF!</v>
      </c>
      <c r="J197" s="110" t="e">
        <f t="shared" si="98"/>
        <v>#REF!</v>
      </c>
      <c r="K197" s="110" t="e">
        <f t="shared" si="99"/>
        <v>#REF!</v>
      </c>
      <c r="L197" s="118" t="e">
        <f t="shared" si="100"/>
        <v>#REF!</v>
      </c>
      <c r="M197" s="118" t="e">
        <f t="shared" si="101"/>
        <v>#REF!</v>
      </c>
      <c r="N197" s="118" t="e">
        <f t="shared" si="102"/>
        <v>#REF!</v>
      </c>
      <c r="O197" s="118" t="e">
        <f t="shared" si="103"/>
        <v>#REF!</v>
      </c>
      <c r="P197" s="110" t="e">
        <f t="shared" si="104"/>
        <v>#REF!</v>
      </c>
    </row>
    <row r="198" spans="1:16" x14ac:dyDescent="0.2">
      <c r="A198" s="119" t="s">
        <v>79</v>
      </c>
      <c r="B198" s="119"/>
      <c r="C198" s="119"/>
      <c r="D198" s="119"/>
      <c r="E198" s="119"/>
      <c r="F198" s="117" t="e">
        <f t="shared" si="94"/>
        <v>#REF!</v>
      </c>
      <c r="G198" s="513" t="e">
        <f t="shared" si="95"/>
        <v>#REF!</v>
      </c>
      <c r="H198" s="117" t="e">
        <f t="shared" si="96"/>
        <v>#REF!</v>
      </c>
      <c r="I198" s="108" t="e">
        <f t="shared" si="97"/>
        <v>#REF!</v>
      </c>
      <c r="J198" s="110" t="e">
        <f t="shared" si="98"/>
        <v>#REF!</v>
      </c>
      <c r="K198" s="110" t="e">
        <f t="shared" si="99"/>
        <v>#REF!</v>
      </c>
      <c r="L198" s="118" t="e">
        <f t="shared" si="100"/>
        <v>#REF!</v>
      </c>
      <c r="M198" s="118" t="e">
        <f t="shared" si="101"/>
        <v>#REF!</v>
      </c>
      <c r="N198" s="118" t="e">
        <f t="shared" si="102"/>
        <v>#REF!</v>
      </c>
      <c r="O198" s="118" t="e">
        <f t="shared" si="103"/>
        <v>#REF!</v>
      </c>
      <c r="P198" s="110" t="e">
        <f t="shared" si="104"/>
        <v>#REF!</v>
      </c>
    </row>
    <row r="199" spans="1:16" x14ac:dyDescent="0.2">
      <c r="A199" s="114"/>
      <c r="B199" s="114"/>
      <c r="C199" s="114"/>
      <c r="D199" s="114"/>
      <c r="E199" s="114"/>
      <c r="F199" s="120" t="e">
        <f t="shared" ref="F199:O199" si="105">SUM(F193:F198)</f>
        <v>#REF!</v>
      </c>
      <c r="G199" s="121" t="e">
        <f t="shared" si="105"/>
        <v>#REF!</v>
      </c>
      <c r="H199" s="120" t="e">
        <f t="shared" si="105"/>
        <v>#REF!</v>
      </c>
      <c r="I199" s="121" t="e">
        <f t="shared" si="105"/>
        <v>#REF!</v>
      </c>
      <c r="J199" s="120" t="e">
        <f t="shared" si="105"/>
        <v>#REF!</v>
      </c>
      <c r="K199" s="122" t="e">
        <f t="shared" si="105"/>
        <v>#REF!</v>
      </c>
      <c r="L199" s="314" t="e">
        <f t="shared" si="105"/>
        <v>#REF!</v>
      </c>
      <c r="M199" s="314" t="e">
        <f t="shared" si="105"/>
        <v>#REF!</v>
      </c>
      <c r="N199" s="122" t="e">
        <f t="shared" si="105"/>
        <v>#REF!</v>
      </c>
      <c r="O199" s="122" t="e">
        <f t="shared" si="105"/>
        <v>#REF!</v>
      </c>
      <c r="P199" s="122" t="e">
        <f t="shared" si="104"/>
        <v>#REF!</v>
      </c>
    </row>
    <row r="200" spans="1:16" x14ac:dyDescent="0.2">
      <c r="A200" s="114"/>
      <c r="B200" s="114"/>
      <c r="C200" s="114"/>
      <c r="D200" s="114"/>
      <c r="E200" s="114"/>
      <c r="F200" s="117"/>
      <c r="G200" s="108"/>
      <c r="H200" s="117"/>
      <c r="I200" s="108"/>
      <c r="J200" s="117"/>
      <c r="K200" s="110" t="e">
        <f>K199-K191</f>
        <v>#REF!</v>
      </c>
      <c r="L200" s="118"/>
      <c r="M200" s="118"/>
      <c r="N200" s="118"/>
      <c r="O200" s="118"/>
      <c r="P200" s="110">
        <f t="shared" si="104"/>
        <v>0</v>
      </c>
    </row>
    <row r="201" spans="1:16" x14ac:dyDescent="0.2">
      <c r="A201" s="114" t="s">
        <v>80</v>
      </c>
      <c r="B201" s="114"/>
      <c r="C201" s="114"/>
      <c r="D201" s="114"/>
      <c r="E201" s="114"/>
      <c r="F201" s="117" t="e">
        <f>N179</f>
        <v>#REF!</v>
      </c>
      <c r="G201" s="108" t="e">
        <f>F201/J201</f>
        <v>#REF!</v>
      </c>
      <c r="H201" s="117" t="e">
        <f>O179</f>
        <v>#REF!</v>
      </c>
      <c r="I201" s="513" t="e">
        <f>H201/J201</f>
        <v>#REF!</v>
      </c>
      <c r="J201" s="110" t="e">
        <f>F201+H201</f>
        <v>#REF!</v>
      </c>
      <c r="K201" s="110">
        <f>-M208</f>
        <v>-1624844.3399999999</v>
      </c>
      <c r="L201" s="315" t="e">
        <f>G201*K201</f>
        <v>#REF!</v>
      </c>
      <c r="M201" s="315" t="e">
        <f>I201*K201</f>
        <v>#REF!</v>
      </c>
      <c r="N201" s="118" t="e">
        <f>F201+L201</f>
        <v>#REF!</v>
      </c>
      <c r="O201" s="118" t="e">
        <f>H201+M201</f>
        <v>#REF!</v>
      </c>
      <c r="P201" s="110" t="e">
        <f t="shared" si="104"/>
        <v>#REF!</v>
      </c>
    </row>
    <row r="202" spans="1:16" ht="12.75" thickBot="1" x14ac:dyDescent="0.25">
      <c r="A202" s="86"/>
      <c r="B202" s="86"/>
      <c r="C202" s="86"/>
      <c r="D202" s="86"/>
      <c r="E202" s="86"/>
      <c r="F202" s="117"/>
      <c r="G202" s="108"/>
      <c r="H202" s="110"/>
      <c r="I202" s="108"/>
      <c r="J202" s="110"/>
      <c r="K202" s="110"/>
      <c r="L202" s="118"/>
      <c r="M202" s="118"/>
      <c r="N202" s="118"/>
      <c r="O202" s="118"/>
      <c r="P202" s="110">
        <f t="shared" si="104"/>
        <v>0</v>
      </c>
    </row>
    <row r="203" spans="1:16" ht="12.75" thickBot="1" x14ac:dyDescent="0.25">
      <c r="A203" s="123" t="s">
        <v>87</v>
      </c>
      <c r="B203" s="123"/>
      <c r="C203" s="123"/>
      <c r="D203" s="123"/>
      <c r="E203" s="123"/>
      <c r="F203" s="124" t="e">
        <f>F199+F201</f>
        <v>#REF!</v>
      </c>
      <c r="G203" s="125" t="e">
        <f>F204/$F$203</f>
        <v>#REF!</v>
      </c>
      <c r="H203" s="124" t="e">
        <f>H199+H201</f>
        <v>#REF!</v>
      </c>
      <c r="I203" s="125" t="e">
        <f>H204/$H$203</f>
        <v>#REF!</v>
      </c>
      <c r="J203" s="124" t="e">
        <f>J199+J201</f>
        <v>#REF!</v>
      </c>
      <c r="K203" s="126">
        <f>K201</f>
        <v>-1624844.3399999999</v>
      </c>
      <c r="L203" s="126" t="e">
        <f>L201</f>
        <v>#REF!</v>
      </c>
      <c r="M203" s="126" t="e">
        <f>M201</f>
        <v>#REF!</v>
      </c>
      <c r="N203" s="126" t="e">
        <f>N201</f>
        <v>#REF!</v>
      </c>
      <c r="O203" s="126" t="e">
        <f>O201</f>
        <v>#REF!</v>
      </c>
      <c r="P203" s="127" t="e">
        <f t="shared" si="104"/>
        <v>#REF!</v>
      </c>
    </row>
    <row r="204" spans="1:16" ht="13.5" thickTop="1" thickBot="1" x14ac:dyDescent="0.25">
      <c r="A204" s="128" t="s">
        <v>82</v>
      </c>
      <c r="B204" s="128"/>
      <c r="C204" s="128"/>
      <c r="D204" s="128"/>
      <c r="E204" s="128"/>
      <c r="F204" s="129" t="e">
        <f>F203</f>
        <v>#REF!</v>
      </c>
      <c r="G204" s="130"/>
      <c r="H204" s="129" t="e">
        <f>H203</f>
        <v>#REF!</v>
      </c>
      <c r="I204" s="130"/>
      <c r="J204" s="131" t="e">
        <f>F204+H204</f>
        <v>#REF!</v>
      </c>
      <c r="K204" s="132" t="e">
        <f>K199+K203</f>
        <v>#REF!</v>
      </c>
      <c r="L204" s="132" t="e">
        <f>L199+L203</f>
        <v>#REF!</v>
      </c>
      <c r="M204" s="132" t="e">
        <f>M199+M203</f>
        <v>#REF!</v>
      </c>
      <c r="N204" s="132" t="e">
        <f>N199+N203</f>
        <v>#REF!</v>
      </c>
      <c r="O204" s="132" t="e">
        <f>O199+O203</f>
        <v>#REF!</v>
      </c>
      <c r="P204" s="133" t="e">
        <f t="shared" si="104"/>
        <v>#REF!</v>
      </c>
    </row>
    <row r="205" spans="1:16" ht="12.75" thickBot="1" x14ac:dyDescent="0.25">
      <c r="A205" s="134"/>
      <c r="B205" s="134"/>
      <c r="C205" s="134"/>
      <c r="D205" s="134"/>
      <c r="E205" s="134"/>
      <c r="F205" s="135"/>
      <c r="G205" s="134"/>
      <c r="H205" s="135"/>
      <c r="I205" s="134"/>
      <c r="J205" s="136"/>
      <c r="K205" s="137"/>
      <c r="L205" s="137"/>
      <c r="M205" s="137"/>
      <c r="N205" s="316" t="e">
        <f>F203-N204+L204</f>
        <v>#REF!</v>
      </c>
      <c r="O205" s="317" t="e">
        <f>H203-O204+M204</f>
        <v>#REF!</v>
      </c>
      <c r="P205" s="87"/>
    </row>
    <row r="206" spans="1:16" ht="12.75" thickBot="1" x14ac:dyDescent="0.25">
      <c r="J206" s="344"/>
      <c r="K206" s="345" t="s">
        <v>461</v>
      </c>
      <c r="L206" s="345" t="s">
        <v>462</v>
      </c>
      <c r="M206" s="346" t="s">
        <v>172</v>
      </c>
    </row>
    <row r="207" spans="1:16" ht="12.75" x14ac:dyDescent="0.2">
      <c r="H207" s="519">
        <v>6647247.6699999999</v>
      </c>
      <c r="J207" s="138" t="s">
        <v>171</v>
      </c>
      <c r="K207" s="514">
        <v>-8710831.8807432484</v>
      </c>
      <c r="L207" s="514">
        <v>-9832496.1938907243</v>
      </c>
      <c r="M207" s="347">
        <f>L207-K207</f>
        <v>-1121664.3131474759</v>
      </c>
      <c r="P207" s="82" t="e">
        <f>'1595 Continuity 2011'!H208</f>
        <v>#REF!</v>
      </c>
    </row>
    <row r="208" spans="1:16" ht="12.75" thickBot="1" x14ac:dyDescent="0.25">
      <c r="G208" s="306"/>
      <c r="H208" s="306"/>
      <c r="I208" s="306"/>
      <c r="J208" s="139" t="s">
        <v>142</v>
      </c>
      <c r="K208" s="515">
        <v>13834241.66</v>
      </c>
      <c r="L208" s="515">
        <v>15459086</v>
      </c>
      <c r="M208" s="348">
        <f>L208-K208</f>
        <v>1624844.3399999999</v>
      </c>
    </row>
    <row r="209" spans="1:16" ht="12.75" thickBot="1" x14ac:dyDescent="0.25">
      <c r="G209" s="306"/>
      <c r="H209" s="307"/>
      <c r="I209" s="306"/>
      <c r="J209" s="349"/>
      <c r="K209" s="516">
        <v>4616158.6288051661</v>
      </c>
      <c r="L209" s="516">
        <v>4616158.6288051661</v>
      </c>
      <c r="M209" s="351">
        <f>SUM(M207:M208)</f>
        <v>503180.02685252391</v>
      </c>
    </row>
    <row r="210" spans="1:16" ht="12.75" thickBot="1" x14ac:dyDescent="0.25">
      <c r="A210" s="140" t="s">
        <v>66</v>
      </c>
      <c r="B210" s="141"/>
      <c r="C210" s="141"/>
      <c r="D210" s="141"/>
      <c r="E210" s="141"/>
      <c r="F210" s="95"/>
      <c r="G210" s="95"/>
      <c r="H210" s="95"/>
      <c r="I210" s="95"/>
      <c r="J210" s="143"/>
      <c r="K210" s="319">
        <v>40817</v>
      </c>
      <c r="L210" s="320"/>
      <c r="M210" s="320"/>
      <c r="N210" s="320"/>
    </row>
    <row r="211" spans="1:16" ht="12.75" thickBot="1" x14ac:dyDescent="0.25">
      <c r="A211" s="83" t="s">
        <v>167</v>
      </c>
      <c r="B211" s="83"/>
      <c r="C211" s="83"/>
      <c r="D211" s="83"/>
      <c r="E211" s="83"/>
      <c r="F211" s="94"/>
      <c r="G211" s="95"/>
      <c r="H211" s="95"/>
      <c r="I211" s="95"/>
      <c r="J211" s="85"/>
      <c r="K211" s="96"/>
      <c r="L211" s="97" t="s">
        <v>31</v>
      </c>
      <c r="M211" s="96"/>
      <c r="N211" s="96"/>
      <c r="O211" s="89"/>
      <c r="P211" s="142"/>
    </row>
    <row r="212" spans="1:16" ht="27" thickBot="1" x14ac:dyDescent="0.4">
      <c r="A212" s="98"/>
      <c r="B212" s="98"/>
      <c r="C212" s="98"/>
      <c r="D212" s="98"/>
      <c r="E212" s="98"/>
      <c r="F212" s="99" t="s">
        <v>68</v>
      </c>
      <c r="G212" s="100" t="s">
        <v>69</v>
      </c>
      <c r="H212" s="99" t="s">
        <v>70</v>
      </c>
      <c r="I212" s="100" t="s">
        <v>69</v>
      </c>
      <c r="J212" s="101" t="s">
        <v>62</v>
      </c>
      <c r="K212" s="102" t="s">
        <v>71</v>
      </c>
      <c r="L212" s="103" t="s">
        <v>72</v>
      </c>
      <c r="M212" s="104" t="s">
        <v>73</v>
      </c>
      <c r="N212" s="104" t="s">
        <v>68</v>
      </c>
      <c r="O212" s="104" t="s">
        <v>70</v>
      </c>
      <c r="P212" s="105" t="s">
        <v>62</v>
      </c>
    </row>
    <row r="213" spans="1:16" ht="14.25" x14ac:dyDescent="0.35">
      <c r="A213" s="106" t="s">
        <v>170</v>
      </c>
      <c r="B213" s="106"/>
      <c r="C213" s="106"/>
      <c r="D213" s="106"/>
      <c r="E213" s="106"/>
      <c r="F213" s="107"/>
      <c r="G213" s="108"/>
      <c r="H213" s="109"/>
      <c r="I213" s="108"/>
      <c r="J213" s="110"/>
      <c r="K213" s="111">
        <f>-M229</f>
        <v>994264.77317601629</v>
      </c>
      <c r="L213" s="112">
        <f>$C$7*K213</f>
        <v>928691.74111418636</v>
      </c>
      <c r="M213" s="112">
        <f>K213*$C$8</f>
        <v>65573.032061829945</v>
      </c>
      <c r="N213" s="112" t="e">
        <f>SUM(N221+N225)</f>
        <v>#REF!</v>
      </c>
      <c r="O213" s="112" t="e">
        <f>SUM(O221+O225)</f>
        <v>#REF!</v>
      </c>
      <c r="P213" s="113" t="e">
        <f>N213+O213</f>
        <v>#REF!</v>
      </c>
    </row>
    <row r="214" spans="1:16" x14ac:dyDescent="0.2">
      <c r="A214" s="114"/>
      <c r="B214" s="114"/>
      <c r="C214" s="114"/>
      <c r="D214" s="114"/>
      <c r="E214" s="114"/>
      <c r="F214" s="107"/>
      <c r="G214" s="108"/>
      <c r="H214" s="109"/>
      <c r="I214" s="108"/>
      <c r="J214" s="110"/>
      <c r="K214" s="115"/>
      <c r="L214" s="115"/>
      <c r="M214" s="115"/>
      <c r="N214" s="115"/>
      <c r="O214" s="115"/>
      <c r="P214" s="116"/>
    </row>
    <row r="215" spans="1:16" x14ac:dyDescent="0.2">
      <c r="A215" s="114" t="s">
        <v>86</v>
      </c>
      <c r="B215" s="114"/>
      <c r="C215" s="114"/>
      <c r="D215" s="114"/>
      <c r="E215" s="114"/>
      <c r="F215" s="117" t="e">
        <f t="shared" ref="F215:F220" si="106">N193</f>
        <v>#REF!</v>
      </c>
      <c r="G215" s="513" t="e">
        <f t="shared" ref="G215:G220" si="107">F215/$F$221</f>
        <v>#REF!</v>
      </c>
      <c r="H215" s="117" t="e">
        <f t="shared" ref="H215:H220" si="108">O193</f>
        <v>#REF!</v>
      </c>
      <c r="I215" s="108" t="e">
        <f t="shared" ref="I215:I220" si="109">H215/$H$221</f>
        <v>#REF!</v>
      </c>
      <c r="J215" s="110" t="e">
        <f t="shared" ref="J215:J220" si="110">F215+H215</f>
        <v>#REF!</v>
      </c>
      <c r="K215" s="110" t="e">
        <f t="shared" ref="K215:K220" si="111">L215+M215</f>
        <v>#REF!</v>
      </c>
      <c r="L215" s="118" t="e">
        <f t="shared" ref="L215:L220" si="112">G215*$L$213</f>
        <v>#REF!</v>
      </c>
      <c r="M215" s="118" t="e">
        <f t="shared" ref="M215:M220" si="113">I215*$M$213</f>
        <v>#REF!</v>
      </c>
      <c r="N215" s="118" t="e">
        <f t="shared" ref="N215:N220" si="114">F215+L215</f>
        <v>#REF!</v>
      </c>
      <c r="O215" s="118" t="e">
        <f t="shared" ref="O215:O220" si="115">H215+M215</f>
        <v>#REF!</v>
      </c>
      <c r="P215" s="110" t="e">
        <f t="shared" ref="P215:P226" si="116">N215+O215</f>
        <v>#REF!</v>
      </c>
    </row>
    <row r="216" spans="1:16" x14ac:dyDescent="0.2">
      <c r="A216" s="114" t="s">
        <v>75</v>
      </c>
      <c r="B216" s="114"/>
      <c r="C216" s="114"/>
      <c r="D216" s="114"/>
      <c r="E216" s="114"/>
      <c r="F216" s="117" t="e">
        <f t="shared" si="106"/>
        <v>#REF!</v>
      </c>
      <c r="G216" s="513" t="e">
        <f t="shared" si="107"/>
        <v>#REF!</v>
      </c>
      <c r="H216" s="117" t="e">
        <f t="shared" si="108"/>
        <v>#REF!</v>
      </c>
      <c r="I216" s="108" t="e">
        <f t="shared" si="109"/>
        <v>#REF!</v>
      </c>
      <c r="J216" s="110" t="e">
        <f t="shared" si="110"/>
        <v>#REF!</v>
      </c>
      <c r="K216" s="110" t="e">
        <f t="shared" si="111"/>
        <v>#REF!</v>
      </c>
      <c r="L216" s="118" t="e">
        <f t="shared" si="112"/>
        <v>#REF!</v>
      </c>
      <c r="M216" s="118" t="e">
        <f t="shared" si="113"/>
        <v>#REF!</v>
      </c>
      <c r="N216" s="118" t="e">
        <f t="shared" si="114"/>
        <v>#REF!</v>
      </c>
      <c r="O216" s="118" t="e">
        <f t="shared" si="115"/>
        <v>#REF!</v>
      </c>
      <c r="P216" s="110" t="e">
        <f t="shared" si="116"/>
        <v>#REF!</v>
      </c>
    </row>
    <row r="217" spans="1:16" x14ac:dyDescent="0.2">
      <c r="A217" s="114" t="s">
        <v>76</v>
      </c>
      <c r="B217" s="114"/>
      <c r="C217" s="114"/>
      <c r="D217" s="114"/>
      <c r="E217" s="114"/>
      <c r="F217" s="117" t="e">
        <f t="shared" si="106"/>
        <v>#REF!</v>
      </c>
      <c r="G217" s="513" t="e">
        <f t="shared" si="107"/>
        <v>#REF!</v>
      </c>
      <c r="H217" s="117" t="e">
        <f t="shared" si="108"/>
        <v>#REF!</v>
      </c>
      <c r="I217" s="108" t="e">
        <f t="shared" si="109"/>
        <v>#REF!</v>
      </c>
      <c r="J217" s="110" t="e">
        <f t="shared" si="110"/>
        <v>#REF!</v>
      </c>
      <c r="K217" s="110" t="e">
        <f t="shared" si="111"/>
        <v>#REF!</v>
      </c>
      <c r="L217" s="118" t="e">
        <f t="shared" si="112"/>
        <v>#REF!</v>
      </c>
      <c r="M217" s="118" t="e">
        <f t="shared" si="113"/>
        <v>#REF!</v>
      </c>
      <c r="N217" s="118" t="e">
        <f t="shared" si="114"/>
        <v>#REF!</v>
      </c>
      <c r="O217" s="118" t="e">
        <f t="shared" si="115"/>
        <v>#REF!</v>
      </c>
      <c r="P217" s="110" t="e">
        <f t="shared" si="116"/>
        <v>#REF!</v>
      </c>
    </row>
    <row r="218" spans="1:16" x14ac:dyDescent="0.2">
      <c r="A218" s="114" t="s">
        <v>77</v>
      </c>
      <c r="B218" s="114"/>
      <c r="C218" s="114"/>
      <c r="D218" s="114"/>
      <c r="E218" s="114"/>
      <c r="F218" s="117" t="e">
        <f t="shared" si="106"/>
        <v>#REF!</v>
      </c>
      <c r="G218" s="513" t="e">
        <f t="shared" si="107"/>
        <v>#REF!</v>
      </c>
      <c r="H218" s="117" t="e">
        <f t="shared" si="108"/>
        <v>#REF!</v>
      </c>
      <c r="I218" s="108" t="e">
        <f t="shared" si="109"/>
        <v>#REF!</v>
      </c>
      <c r="J218" s="110" t="e">
        <f t="shared" si="110"/>
        <v>#REF!</v>
      </c>
      <c r="K218" s="110" t="e">
        <f t="shared" si="111"/>
        <v>#REF!</v>
      </c>
      <c r="L218" s="118" t="e">
        <f t="shared" si="112"/>
        <v>#REF!</v>
      </c>
      <c r="M218" s="118" t="e">
        <f t="shared" si="113"/>
        <v>#REF!</v>
      </c>
      <c r="N218" s="118" t="e">
        <f t="shared" si="114"/>
        <v>#REF!</v>
      </c>
      <c r="O218" s="118" t="e">
        <f t="shared" si="115"/>
        <v>#REF!</v>
      </c>
      <c r="P218" s="110" t="e">
        <f t="shared" si="116"/>
        <v>#REF!</v>
      </c>
    </row>
    <row r="219" spans="1:16" x14ac:dyDescent="0.2">
      <c r="A219" s="114" t="s">
        <v>78</v>
      </c>
      <c r="B219" s="114"/>
      <c r="C219" s="114"/>
      <c r="D219" s="114"/>
      <c r="E219" s="114"/>
      <c r="F219" s="117" t="e">
        <f t="shared" si="106"/>
        <v>#REF!</v>
      </c>
      <c r="G219" s="513" t="e">
        <f t="shared" si="107"/>
        <v>#REF!</v>
      </c>
      <c r="H219" s="117" t="e">
        <f t="shared" si="108"/>
        <v>#REF!</v>
      </c>
      <c r="I219" s="108" t="e">
        <f t="shared" si="109"/>
        <v>#REF!</v>
      </c>
      <c r="J219" s="110" t="e">
        <f t="shared" si="110"/>
        <v>#REF!</v>
      </c>
      <c r="K219" s="110" t="e">
        <f t="shared" si="111"/>
        <v>#REF!</v>
      </c>
      <c r="L219" s="118" t="e">
        <f t="shared" si="112"/>
        <v>#REF!</v>
      </c>
      <c r="M219" s="118" t="e">
        <f t="shared" si="113"/>
        <v>#REF!</v>
      </c>
      <c r="N219" s="118" t="e">
        <f t="shared" si="114"/>
        <v>#REF!</v>
      </c>
      <c r="O219" s="118" t="e">
        <f t="shared" si="115"/>
        <v>#REF!</v>
      </c>
      <c r="P219" s="110" t="e">
        <f t="shared" si="116"/>
        <v>#REF!</v>
      </c>
    </row>
    <row r="220" spans="1:16" x14ac:dyDescent="0.2">
      <c r="A220" s="119" t="s">
        <v>79</v>
      </c>
      <c r="B220" s="119"/>
      <c r="C220" s="119"/>
      <c r="D220" s="119"/>
      <c r="E220" s="119"/>
      <c r="F220" s="117" t="e">
        <f t="shared" si="106"/>
        <v>#REF!</v>
      </c>
      <c r="G220" s="513" t="e">
        <f t="shared" si="107"/>
        <v>#REF!</v>
      </c>
      <c r="H220" s="117" t="e">
        <f t="shared" si="108"/>
        <v>#REF!</v>
      </c>
      <c r="I220" s="108" t="e">
        <f t="shared" si="109"/>
        <v>#REF!</v>
      </c>
      <c r="J220" s="110" t="e">
        <f t="shared" si="110"/>
        <v>#REF!</v>
      </c>
      <c r="K220" s="110" t="e">
        <f t="shared" si="111"/>
        <v>#REF!</v>
      </c>
      <c r="L220" s="118" t="e">
        <f t="shared" si="112"/>
        <v>#REF!</v>
      </c>
      <c r="M220" s="118" t="e">
        <f t="shared" si="113"/>
        <v>#REF!</v>
      </c>
      <c r="N220" s="118" t="e">
        <f t="shared" si="114"/>
        <v>#REF!</v>
      </c>
      <c r="O220" s="118" t="e">
        <f t="shared" si="115"/>
        <v>#REF!</v>
      </c>
      <c r="P220" s="110" t="e">
        <f t="shared" si="116"/>
        <v>#REF!</v>
      </c>
    </row>
    <row r="221" spans="1:16" x14ac:dyDescent="0.2">
      <c r="A221" s="114"/>
      <c r="B221" s="114"/>
      <c r="C221" s="114"/>
      <c r="D221" s="114"/>
      <c r="E221" s="114"/>
      <c r="F221" s="120" t="e">
        <f t="shared" ref="F221:O221" si="117">SUM(F215:F220)</f>
        <v>#REF!</v>
      </c>
      <c r="G221" s="121" t="e">
        <f t="shared" si="117"/>
        <v>#REF!</v>
      </c>
      <c r="H221" s="120" t="e">
        <f t="shared" si="117"/>
        <v>#REF!</v>
      </c>
      <c r="I221" s="121" t="e">
        <f t="shared" si="117"/>
        <v>#REF!</v>
      </c>
      <c r="J221" s="120" t="e">
        <f t="shared" si="117"/>
        <v>#REF!</v>
      </c>
      <c r="K221" s="122" t="e">
        <f t="shared" si="117"/>
        <v>#REF!</v>
      </c>
      <c r="L221" s="314" t="e">
        <f t="shared" si="117"/>
        <v>#REF!</v>
      </c>
      <c r="M221" s="314" t="e">
        <f t="shared" si="117"/>
        <v>#REF!</v>
      </c>
      <c r="N221" s="122" t="e">
        <f t="shared" si="117"/>
        <v>#REF!</v>
      </c>
      <c r="O221" s="122" t="e">
        <f t="shared" si="117"/>
        <v>#REF!</v>
      </c>
      <c r="P221" s="122" t="e">
        <f t="shared" si="116"/>
        <v>#REF!</v>
      </c>
    </row>
    <row r="222" spans="1:16" x14ac:dyDescent="0.2">
      <c r="A222" s="114"/>
      <c r="B222" s="114"/>
      <c r="C222" s="114"/>
      <c r="D222" s="114"/>
      <c r="E222" s="114"/>
      <c r="F222" s="117"/>
      <c r="G222" s="108"/>
      <c r="H222" s="117"/>
      <c r="I222" s="108"/>
      <c r="J222" s="117"/>
      <c r="K222" s="110" t="e">
        <f>K221-K213</f>
        <v>#REF!</v>
      </c>
      <c r="L222" s="118"/>
      <c r="M222" s="118"/>
      <c r="N222" s="118"/>
      <c r="O222" s="118"/>
      <c r="P222" s="110">
        <f t="shared" si="116"/>
        <v>0</v>
      </c>
    </row>
    <row r="223" spans="1:16" x14ac:dyDescent="0.2">
      <c r="A223" s="114" t="s">
        <v>80</v>
      </c>
      <c r="B223" s="114"/>
      <c r="C223" s="114"/>
      <c r="D223" s="114"/>
      <c r="E223" s="114"/>
      <c r="F223" s="117" t="e">
        <f>N201</f>
        <v>#REF!</v>
      </c>
      <c r="G223" s="108" t="e">
        <f>F223/J223</f>
        <v>#REF!</v>
      </c>
      <c r="H223" s="117" t="e">
        <f>O201</f>
        <v>#REF!</v>
      </c>
      <c r="I223" s="513" t="e">
        <f>H223/J223</f>
        <v>#REF!</v>
      </c>
      <c r="J223" s="110" t="e">
        <f>F223+H223</f>
        <v>#REF!</v>
      </c>
      <c r="K223" s="110">
        <f>-M230</f>
        <v>-1782833.1000000015</v>
      </c>
      <c r="L223" s="315" t="e">
        <f>G223*K223</f>
        <v>#REF!</v>
      </c>
      <c r="M223" s="315" t="e">
        <f>I223*K223</f>
        <v>#REF!</v>
      </c>
      <c r="N223" s="118" t="e">
        <f>F223+L223</f>
        <v>#REF!</v>
      </c>
      <c r="O223" s="118" t="e">
        <f>H223+M223</f>
        <v>#REF!</v>
      </c>
      <c r="P223" s="110" t="e">
        <f t="shared" si="116"/>
        <v>#REF!</v>
      </c>
    </row>
    <row r="224" spans="1:16" ht="12.75" thickBot="1" x14ac:dyDescent="0.25">
      <c r="A224" s="86"/>
      <c r="B224" s="86"/>
      <c r="C224" s="86"/>
      <c r="D224" s="86"/>
      <c r="E224" s="86"/>
      <c r="F224" s="117"/>
      <c r="G224" s="108"/>
      <c r="H224" s="110"/>
      <c r="I224" s="108"/>
      <c r="J224" s="110"/>
      <c r="K224" s="110"/>
      <c r="L224" s="118"/>
      <c r="M224" s="118"/>
      <c r="N224" s="118"/>
      <c r="O224" s="118"/>
      <c r="P224" s="110">
        <f t="shared" si="116"/>
        <v>0</v>
      </c>
    </row>
    <row r="225" spans="1:16" ht="12.75" thickBot="1" x14ac:dyDescent="0.25">
      <c r="A225" s="123" t="s">
        <v>87</v>
      </c>
      <c r="B225" s="123"/>
      <c r="C225" s="123"/>
      <c r="D225" s="123"/>
      <c r="E225" s="123"/>
      <c r="F225" s="124" t="e">
        <f>F221+F223</f>
        <v>#REF!</v>
      </c>
      <c r="G225" s="125" t="e">
        <f>F225/$F$226</f>
        <v>#REF!</v>
      </c>
      <c r="H225" s="124" t="e">
        <f>H221+H223</f>
        <v>#REF!</v>
      </c>
      <c r="I225" s="125" t="e">
        <f>H225/$H$226</f>
        <v>#REF!</v>
      </c>
      <c r="J225" s="124" t="e">
        <f>J221+J223</f>
        <v>#REF!</v>
      </c>
      <c r="K225" s="126">
        <f>K223</f>
        <v>-1782833.1000000015</v>
      </c>
      <c r="L225" s="126" t="e">
        <f>L223</f>
        <v>#REF!</v>
      </c>
      <c r="M225" s="126" t="e">
        <f>M223</f>
        <v>#REF!</v>
      </c>
      <c r="N225" s="126" t="e">
        <f>N223</f>
        <v>#REF!</v>
      </c>
      <c r="O225" s="126" t="e">
        <f>O223</f>
        <v>#REF!</v>
      </c>
      <c r="P225" s="127" t="e">
        <f t="shared" si="116"/>
        <v>#REF!</v>
      </c>
    </row>
    <row r="226" spans="1:16" ht="13.5" thickTop="1" thickBot="1" x14ac:dyDescent="0.25">
      <c r="A226" s="128" t="s">
        <v>82</v>
      </c>
      <c r="B226" s="128"/>
      <c r="C226" s="128"/>
      <c r="D226" s="128"/>
      <c r="E226" s="128"/>
      <c r="F226" s="129" t="e">
        <f>F225</f>
        <v>#REF!</v>
      </c>
      <c r="G226" s="129" t="e">
        <f>G225</f>
        <v>#REF!</v>
      </c>
      <c r="H226" s="129" t="e">
        <f>H225</f>
        <v>#REF!</v>
      </c>
      <c r="I226" s="130"/>
      <c r="J226" s="131" t="e">
        <f>F226+H226</f>
        <v>#REF!</v>
      </c>
      <c r="K226" s="132" t="e">
        <f>K221+K225</f>
        <v>#REF!</v>
      </c>
      <c r="L226" s="132" t="e">
        <f>L221+L225</f>
        <v>#REF!</v>
      </c>
      <c r="M226" s="132" t="e">
        <f>M221+M225</f>
        <v>#REF!</v>
      </c>
      <c r="N226" s="132" t="e">
        <f>N221+N225</f>
        <v>#REF!</v>
      </c>
      <c r="O226" s="132" t="e">
        <f>O221+O225</f>
        <v>#REF!</v>
      </c>
      <c r="P226" s="133" t="e">
        <f t="shared" si="116"/>
        <v>#REF!</v>
      </c>
    </row>
    <row r="227" spans="1:16" ht="12.75" thickBot="1" x14ac:dyDescent="0.25">
      <c r="A227" s="134"/>
      <c r="B227" s="134"/>
      <c r="C227" s="134"/>
      <c r="D227" s="134"/>
      <c r="E227" s="134"/>
      <c r="F227" s="135"/>
      <c r="G227" s="134"/>
      <c r="H227" s="135"/>
      <c r="I227" s="134"/>
      <c r="J227" s="136"/>
      <c r="K227" s="137"/>
      <c r="L227" s="137"/>
      <c r="M227" s="137"/>
      <c r="N227" s="316" t="e">
        <f>F225-N226+L226</f>
        <v>#REF!</v>
      </c>
      <c r="O227" s="317" t="e">
        <f>H225-O226+M226</f>
        <v>#REF!</v>
      </c>
      <c r="P227" s="87"/>
    </row>
    <row r="228" spans="1:16" ht="12.75" thickBot="1" x14ac:dyDescent="0.25">
      <c r="J228" s="344"/>
      <c r="K228" s="345" t="s">
        <v>462</v>
      </c>
      <c r="L228" s="345" t="s">
        <v>463</v>
      </c>
      <c r="M228" s="346" t="s">
        <v>172</v>
      </c>
    </row>
    <row r="229" spans="1:16" ht="12.75" x14ac:dyDescent="0.2">
      <c r="H229" s="519">
        <v>6647247.6699999999</v>
      </c>
      <c r="J229" s="138" t="s">
        <v>171</v>
      </c>
      <c r="K229" s="514">
        <v>-9832496.1938907243</v>
      </c>
      <c r="L229" s="514">
        <v>-10826760.967066741</v>
      </c>
      <c r="M229" s="347">
        <f>L229-K229</f>
        <v>-994264.77317601629</v>
      </c>
      <c r="P229" s="82">
        <f>'1595 Continuity 2011'!H230</f>
        <v>0</v>
      </c>
    </row>
    <row r="230" spans="1:16" ht="12.75" thickBot="1" x14ac:dyDescent="0.25">
      <c r="G230" s="306"/>
      <c r="H230" s="306"/>
      <c r="I230" s="306"/>
      <c r="J230" s="139" t="s">
        <v>142</v>
      </c>
      <c r="K230" s="515">
        <v>15459086</v>
      </c>
      <c r="L230" s="515">
        <v>17241919.100000001</v>
      </c>
      <c r="M230" s="348">
        <f>L230-K230</f>
        <v>1782833.1000000015</v>
      </c>
    </row>
    <row r="231" spans="1:16" ht="12.75" thickBot="1" x14ac:dyDescent="0.25">
      <c r="G231" s="306"/>
      <c r="H231" s="307"/>
      <c r="I231" s="306"/>
      <c r="J231" s="349"/>
      <c r="K231" s="516">
        <f>SUM(K229:K230)</f>
        <v>5626589.8061092757</v>
      </c>
      <c r="L231" s="516">
        <f>SUM(L229:L230)</f>
        <v>6415158.1329332609</v>
      </c>
      <c r="M231" s="351">
        <f>SUM(M229:M230)</f>
        <v>788568.3268239852</v>
      </c>
    </row>
    <row r="232" spans="1:16" ht="12.75" thickBot="1" x14ac:dyDescent="0.25">
      <c r="A232" s="140" t="s">
        <v>66</v>
      </c>
      <c r="B232" s="141"/>
      <c r="C232" s="141"/>
      <c r="D232" s="141"/>
      <c r="E232" s="141"/>
      <c r="F232" s="95"/>
      <c r="G232" s="95"/>
      <c r="H232" s="95"/>
      <c r="I232" s="95"/>
      <c r="J232" s="143"/>
      <c r="K232" s="319">
        <v>40848</v>
      </c>
      <c r="L232" s="320"/>
      <c r="M232" s="320"/>
      <c r="N232" s="320"/>
    </row>
    <row r="233" spans="1:16" ht="12.75" thickBot="1" x14ac:dyDescent="0.25">
      <c r="A233" s="83" t="s">
        <v>167</v>
      </c>
      <c r="B233" s="83"/>
      <c r="C233" s="83"/>
      <c r="D233" s="83"/>
      <c r="E233" s="83"/>
      <c r="F233" s="94"/>
      <c r="G233" s="95"/>
      <c r="H233" s="95"/>
      <c r="I233" s="95"/>
      <c r="J233" s="85"/>
      <c r="K233" s="96"/>
      <c r="L233" s="97" t="s">
        <v>31</v>
      </c>
      <c r="M233" s="96"/>
      <c r="N233" s="96"/>
      <c r="O233" s="89"/>
      <c r="P233" s="142"/>
    </row>
    <row r="234" spans="1:16" ht="27" thickBot="1" x14ac:dyDescent="0.4">
      <c r="A234" s="98"/>
      <c r="B234" s="98"/>
      <c r="C234" s="98"/>
      <c r="D234" s="98"/>
      <c r="E234" s="98"/>
      <c r="F234" s="99" t="s">
        <v>68</v>
      </c>
      <c r="G234" s="100" t="s">
        <v>69</v>
      </c>
      <c r="H234" s="99" t="s">
        <v>70</v>
      </c>
      <c r="I234" s="100" t="s">
        <v>69</v>
      </c>
      <c r="J234" s="101" t="s">
        <v>62</v>
      </c>
      <c r="K234" s="102" t="s">
        <v>71</v>
      </c>
      <c r="L234" s="103" t="s">
        <v>72</v>
      </c>
      <c r="M234" s="104" t="s">
        <v>73</v>
      </c>
      <c r="N234" s="104" t="s">
        <v>68</v>
      </c>
      <c r="O234" s="104" t="s">
        <v>70</v>
      </c>
      <c r="P234" s="105" t="s">
        <v>62</v>
      </c>
    </row>
    <row r="235" spans="1:16" ht="14.25" x14ac:dyDescent="0.35">
      <c r="A235" s="106" t="s">
        <v>170</v>
      </c>
      <c r="B235" s="106"/>
      <c r="C235" s="106"/>
      <c r="D235" s="106"/>
      <c r="E235" s="106"/>
      <c r="F235" s="107"/>
      <c r="G235" s="108"/>
      <c r="H235" s="109"/>
      <c r="I235" s="108"/>
      <c r="J235" s="110"/>
      <c r="K235" s="111">
        <f>-M251</f>
        <v>936986.27252690494</v>
      </c>
      <c r="L235" s="112">
        <f>$C$7*K235</f>
        <v>875190.83076179249</v>
      </c>
      <c r="M235" s="112">
        <f>K235*$C$8</f>
        <v>61795.44176511246</v>
      </c>
      <c r="N235" s="112" t="e">
        <f>SUM(N243+N247)</f>
        <v>#REF!</v>
      </c>
      <c r="O235" s="112" t="e">
        <f>SUM(O243+O247)</f>
        <v>#REF!</v>
      </c>
      <c r="P235" s="113" t="e">
        <f>N235+O235</f>
        <v>#REF!</v>
      </c>
    </row>
    <row r="236" spans="1:16" x14ac:dyDescent="0.2">
      <c r="A236" s="114"/>
      <c r="B236" s="114"/>
      <c r="C236" s="114"/>
      <c r="D236" s="114"/>
      <c r="E236" s="114"/>
      <c r="F236" s="107"/>
      <c r="G236" s="108"/>
      <c r="H236" s="109"/>
      <c r="I236" s="108"/>
      <c r="J236" s="110"/>
      <c r="K236" s="115"/>
      <c r="L236" s="115"/>
      <c r="M236" s="115"/>
      <c r="N236" s="115"/>
      <c r="O236" s="115"/>
      <c r="P236" s="116"/>
    </row>
    <row r="237" spans="1:16" x14ac:dyDescent="0.2">
      <c r="A237" s="114" t="s">
        <v>86</v>
      </c>
      <c r="B237" s="114"/>
      <c r="C237" s="114"/>
      <c r="D237" s="114"/>
      <c r="E237" s="114"/>
      <c r="F237" s="117" t="e">
        <f t="shared" ref="F237:F242" si="118">N215</f>
        <v>#REF!</v>
      </c>
      <c r="G237" s="513" t="e">
        <f t="shared" ref="G237:G242" si="119">F237/$F$243</f>
        <v>#REF!</v>
      </c>
      <c r="H237" s="117" t="e">
        <f t="shared" ref="H237:H242" si="120">O215</f>
        <v>#REF!</v>
      </c>
      <c r="I237" s="108" t="e">
        <f t="shared" ref="I237:I242" si="121">H237/$H$243</f>
        <v>#REF!</v>
      </c>
      <c r="J237" s="110" t="e">
        <f t="shared" ref="J237:J242" si="122">F237+H237</f>
        <v>#REF!</v>
      </c>
      <c r="K237" s="110" t="e">
        <f t="shared" ref="K237:K242" si="123">L237+M237</f>
        <v>#REF!</v>
      </c>
      <c r="L237" s="118" t="e">
        <f t="shared" ref="L237:L242" si="124">G237*$L$235</f>
        <v>#REF!</v>
      </c>
      <c r="M237" s="118" t="e">
        <f t="shared" ref="M237:M242" si="125">I237*$M$235</f>
        <v>#REF!</v>
      </c>
      <c r="N237" s="118" t="e">
        <f t="shared" ref="N237:N242" si="126">F237+L237</f>
        <v>#REF!</v>
      </c>
      <c r="O237" s="118" t="e">
        <f t="shared" ref="O237:O242" si="127">H237+M237</f>
        <v>#REF!</v>
      </c>
      <c r="P237" s="110" t="e">
        <f t="shared" ref="P237:P248" si="128">N237+O237</f>
        <v>#REF!</v>
      </c>
    </row>
    <row r="238" spans="1:16" x14ac:dyDescent="0.2">
      <c r="A238" s="114" t="s">
        <v>75</v>
      </c>
      <c r="B238" s="114"/>
      <c r="C238" s="114"/>
      <c r="D238" s="114"/>
      <c r="E238" s="114"/>
      <c r="F238" s="117" t="e">
        <f t="shared" si="118"/>
        <v>#REF!</v>
      </c>
      <c r="G238" s="513" t="e">
        <f t="shared" si="119"/>
        <v>#REF!</v>
      </c>
      <c r="H238" s="117" t="e">
        <f t="shared" si="120"/>
        <v>#REF!</v>
      </c>
      <c r="I238" s="108" t="e">
        <f t="shared" si="121"/>
        <v>#REF!</v>
      </c>
      <c r="J238" s="110" t="e">
        <f t="shared" si="122"/>
        <v>#REF!</v>
      </c>
      <c r="K238" s="110" t="e">
        <f t="shared" si="123"/>
        <v>#REF!</v>
      </c>
      <c r="L238" s="118" t="e">
        <f t="shared" si="124"/>
        <v>#REF!</v>
      </c>
      <c r="M238" s="118" t="e">
        <f t="shared" si="125"/>
        <v>#REF!</v>
      </c>
      <c r="N238" s="118" t="e">
        <f t="shared" si="126"/>
        <v>#REF!</v>
      </c>
      <c r="O238" s="118" t="e">
        <f t="shared" si="127"/>
        <v>#REF!</v>
      </c>
      <c r="P238" s="110" t="e">
        <f t="shared" si="128"/>
        <v>#REF!</v>
      </c>
    </row>
    <row r="239" spans="1:16" x14ac:dyDescent="0.2">
      <c r="A239" s="114" t="s">
        <v>76</v>
      </c>
      <c r="B239" s="114"/>
      <c r="C239" s="114"/>
      <c r="D239" s="114"/>
      <c r="E239" s="114"/>
      <c r="F239" s="117" t="e">
        <f t="shared" si="118"/>
        <v>#REF!</v>
      </c>
      <c r="G239" s="513" t="e">
        <f t="shared" si="119"/>
        <v>#REF!</v>
      </c>
      <c r="H239" s="117" t="e">
        <f t="shared" si="120"/>
        <v>#REF!</v>
      </c>
      <c r="I239" s="108" t="e">
        <f t="shared" si="121"/>
        <v>#REF!</v>
      </c>
      <c r="J239" s="110" t="e">
        <f t="shared" si="122"/>
        <v>#REF!</v>
      </c>
      <c r="K239" s="110" t="e">
        <f t="shared" si="123"/>
        <v>#REF!</v>
      </c>
      <c r="L239" s="118" t="e">
        <f t="shared" si="124"/>
        <v>#REF!</v>
      </c>
      <c r="M239" s="118" t="e">
        <f t="shared" si="125"/>
        <v>#REF!</v>
      </c>
      <c r="N239" s="118" t="e">
        <f t="shared" si="126"/>
        <v>#REF!</v>
      </c>
      <c r="O239" s="118" t="e">
        <f t="shared" si="127"/>
        <v>#REF!</v>
      </c>
      <c r="P239" s="110" t="e">
        <f t="shared" si="128"/>
        <v>#REF!</v>
      </c>
    </row>
    <row r="240" spans="1:16" x14ac:dyDescent="0.2">
      <c r="A240" s="114" t="s">
        <v>77</v>
      </c>
      <c r="B240" s="114"/>
      <c r="C240" s="114"/>
      <c r="D240" s="114"/>
      <c r="E240" s="114"/>
      <c r="F240" s="117" t="e">
        <f t="shared" si="118"/>
        <v>#REF!</v>
      </c>
      <c r="G240" s="513" t="e">
        <f t="shared" si="119"/>
        <v>#REF!</v>
      </c>
      <c r="H240" s="117" t="e">
        <f t="shared" si="120"/>
        <v>#REF!</v>
      </c>
      <c r="I240" s="108" t="e">
        <f t="shared" si="121"/>
        <v>#REF!</v>
      </c>
      <c r="J240" s="110" t="e">
        <f t="shared" si="122"/>
        <v>#REF!</v>
      </c>
      <c r="K240" s="110" t="e">
        <f t="shared" si="123"/>
        <v>#REF!</v>
      </c>
      <c r="L240" s="118" t="e">
        <f t="shared" si="124"/>
        <v>#REF!</v>
      </c>
      <c r="M240" s="118" t="e">
        <f t="shared" si="125"/>
        <v>#REF!</v>
      </c>
      <c r="N240" s="118" t="e">
        <f t="shared" si="126"/>
        <v>#REF!</v>
      </c>
      <c r="O240" s="118" t="e">
        <f t="shared" si="127"/>
        <v>#REF!</v>
      </c>
      <c r="P240" s="110" t="e">
        <f t="shared" si="128"/>
        <v>#REF!</v>
      </c>
    </row>
    <row r="241" spans="1:16" x14ac:dyDescent="0.2">
      <c r="A241" s="114" t="s">
        <v>78</v>
      </c>
      <c r="B241" s="114"/>
      <c r="C241" s="114"/>
      <c r="D241" s="114"/>
      <c r="E241" s="114"/>
      <c r="F241" s="117" t="e">
        <f t="shared" si="118"/>
        <v>#REF!</v>
      </c>
      <c r="G241" s="513" t="e">
        <f t="shared" si="119"/>
        <v>#REF!</v>
      </c>
      <c r="H241" s="117" t="e">
        <f t="shared" si="120"/>
        <v>#REF!</v>
      </c>
      <c r="I241" s="108" t="e">
        <f t="shared" si="121"/>
        <v>#REF!</v>
      </c>
      <c r="J241" s="110" t="e">
        <f t="shared" si="122"/>
        <v>#REF!</v>
      </c>
      <c r="K241" s="110" t="e">
        <f t="shared" si="123"/>
        <v>#REF!</v>
      </c>
      <c r="L241" s="118" t="e">
        <f t="shared" si="124"/>
        <v>#REF!</v>
      </c>
      <c r="M241" s="118" t="e">
        <f t="shared" si="125"/>
        <v>#REF!</v>
      </c>
      <c r="N241" s="118" t="e">
        <f t="shared" si="126"/>
        <v>#REF!</v>
      </c>
      <c r="O241" s="118" t="e">
        <f t="shared" si="127"/>
        <v>#REF!</v>
      </c>
      <c r="P241" s="110" t="e">
        <f t="shared" si="128"/>
        <v>#REF!</v>
      </c>
    </row>
    <row r="242" spans="1:16" x14ac:dyDescent="0.2">
      <c r="A242" s="119" t="s">
        <v>79</v>
      </c>
      <c r="B242" s="119"/>
      <c r="C242" s="119"/>
      <c r="D242" s="119"/>
      <c r="E242" s="119"/>
      <c r="F242" s="117" t="e">
        <f t="shared" si="118"/>
        <v>#REF!</v>
      </c>
      <c r="G242" s="513" t="e">
        <f t="shared" si="119"/>
        <v>#REF!</v>
      </c>
      <c r="H242" s="117" t="e">
        <f t="shared" si="120"/>
        <v>#REF!</v>
      </c>
      <c r="I242" s="108" t="e">
        <f t="shared" si="121"/>
        <v>#REF!</v>
      </c>
      <c r="J242" s="110" t="e">
        <f t="shared" si="122"/>
        <v>#REF!</v>
      </c>
      <c r="K242" s="110" t="e">
        <f t="shared" si="123"/>
        <v>#REF!</v>
      </c>
      <c r="L242" s="118" t="e">
        <f t="shared" si="124"/>
        <v>#REF!</v>
      </c>
      <c r="M242" s="118" t="e">
        <f t="shared" si="125"/>
        <v>#REF!</v>
      </c>
      <c r="N242" s="118" t="e">
        <f t="shared" si="126"/>
        <v>#REF!</v>
      </c>
      <c r="O242" s="118" t="e">
        <f t="shared" si="127"/>
        <v>#REF!</v>
      </c>
      <c r="P242" s="110" t="e">
        <f t="shared" si="128"/>
        <v>#REF!</v>
      </c>
    </row>
    <row r="243" spans="1:16" x14ac:dyDescent="0.2">
      <c r="A243" s="114"/>
      <c r="B243" s="114"/>
      <c r="C243" s="114"/>
      <c r="D243" s="114"/>
      <c r="E243" s="114"/>
      <c r="F243" s="120" t="e">
        <f t="shared" ref="F243:O243" si="129">SUM(F237:F242)</f>
        <v>#REF!</v>
      </c>
      <c r="G243" s="121" t="e">
        <f t="shared" si="129"/>
        <v>#REF!</v>
      </c>
      <c r="H243" s="120" t="e">
        <f t="shared" si="129"/>
        <v>#REF!</v>
      </c>
      <c r="I243" s="121" t="e">
        <f t="shared" si="129"/>
        <v>#REF!</v>
      </c>
      <c r="J243" s="120" t="e">
        <f t="shared" si="129"/>
        <v>#REF!</v>
      </c>
      <c r="K243" s="122" t="e">
        <f t="shared" si="129"/>
        <v>#REF!</v>
      </c>
      <c r="L243" s="314" t="e">
        <f t="shared" si="129"/>
        <v>#REF!</v>
      </c>
      <c r="M243" s="314" t="e">
        <f t="shared" si="129"/>
        <v>#REF!</v>
      </c>
      <c r="N243" s="122" t="e">
        <f t="shared" si="129"/>
        <v>#REF!</v>
      </c>
      <c r="O243" s="122" t="e">
        <f t="shared" si="129"/>
        <v>#REF!</v>
      </c>
      <c r="P243" s="122" t="e">
        <f t="shared" si="128"/>
        <v>#REF!</v>
      </c>
    </row>
    <row r="244" spans="1:16" x14ac:dyDescent="0.2">
      <c r="A244" s="114"/>
      <c r="B244" s="114"/>
      <c r="C244" s="114"/>
      <c r="D244" s="114"/>
      <c r="E244" s="114"/>
      <c r="F244" s="117"/>
      <c r="G244" s="108"/>
      <c r="H244" s="117"/>
      <c r="I244" s="108"/>
      <c r="J244" s="117"/>
      <c r="K244" s="110" t="e">
        <f>K243-K235</f>
        <v>#REF!</v>
      </c>
      <c r="L244" s="118"/>
      <c r="M244" s="118"/>
      <c r="N244" s="118"/>
      <c r="O244" s="118"/>
      <c r="P244" s="110">
        <f t="shared" si="128"/>
        <v>0</v>
      </c>
    </row>
    <row r="245" spans="1:16" x14ac:dyDescent="0.2">
      <c r="A245" s="114" t="s">
        <v>80</v>
      </c>
      <c r="B245" s="114"/>
      <c r="C245" s="114"/>
      <c r="D245" s="114"/>
      <c r="E245" s="114"/>
      <c r="F245" s="117" t="e">
        <f>N223</f>
        <v>#REF!</v>
      </c>
      <c r="G245" s="108" t="e">
        <f>F245/J245</f>
        <v>#REF!</v>
      </c>
      <c r="H245" s="117" t="e">
        <f>O223</f>
        <v>#REF!</v>
      </c>
      <c r="I245" s="513" t="e">
        <f>H245/J245</f>
        <v>#REF!</v>
      </c>
      <c r="J245" s="110" t="e">
        <f>F245+H245</f>
        <v>#REF!</v>
      </c>
      <c r="K245" s="110">
        <f>-M252</f>
        <v>-1669976.4299999997</v>
      </c>
      <c r="L245" s="315" t="e">
        <f>G245*K245</f>
        <v>#REF!</v>
      </c>
      <c r="M245" s="315" t="e">
        <f>I245*K245</f>
        <v>#REF!</v>
      </c>
      <c r="N245" s="118" t="e">
        <f>F245+L245</f>
        <v>#REF!</v>
      </c>
      <c r="O245" s="118" t="e">
        <f>H245+M245</f>
        <v>#REF!</v>
      </c>
      <c r="P245" s="110" t="e">
        <f t="shared" si="128"/>
        <v>#REF!</v>
      </c>
    </row>
    <row r="246" spans="1:16" ht="12.75" thickBot="1" x14ac:dyDescent="0.25">
      <c r="A246" s="86"/>
      <c r="B246" s="86"/>
      <c r="C246" s="86"/>
      <c r="D246" s="86"/>
      <c r="E246" s="86"/>
      <c r="F246" s="117"/>
      <c r="G246" s="108"/>
      <c r="H246" s="110"/>
      <c r="I246" s="108"/>
      <c r="J246" s="110"/>
      <c r="K246" s="110"/>
      <c r="L246" s="118"/>
      <c r="M246" s="118"/>
      <c r="N246" s="118"/>
      <c r="O246" s="118"/>
      <c r="P246" s="110">
        <f t="shared" si="128"/>
        <v>0</v>
      </c>
    </row>
    <row r="247" spans="1:16" ht="12.75" thickBot="1" x14ac:dyDescent="0.25">
      <c r="A247" s="123" t="s">
        <v>87</v>
      </c>
      <c r="B247" s="123"/>
      <c r="C247" s="123"/>
      <c r="D247" s="123"/>
      <c r="E247" s="123"/>
      <c r="F247" s="124" t="e">
        <f>F243+F245</f>
        <v>#REF!</v>
      </c>
      <c r="G247" s="125" t="e">
        <f>F247/$F$226</f>
        <v>#REF!</v>
      </c>
      <c r="H247" s="124" t="e">
        <f>H243+H245</f>
        <v>#REF!</v>
      </c>
      <c r="I247" s="125" t="e">
        <f>H247/$H$226</f>
        <v>#REF!</v>
      </c>
      <c r="J247" s="124" t="e">
        <f>J243+J245</f>
        <v>#REF!</v>
      </c>
      <c r="K247" s="126">
        <f>K245</f>
        <v>-1669976.4299999997</v>
      </c>
      <c r="L247" s="126" t="e">
        <f>L245</f>
        <v>#REF!</v>
      </c>
      <c r="M247" s="126" t="e">
        <f>M245</f>
        <v>#REF!</v>
      </c>
      <c r="N247" s="126" t="e">
        <f>N245</f>
        <v>#REF!</v>
      </c>
      <c r="O247" s="126" t="e">
        <f>O245</f>
        <v>#REF!</v>
      </c>
      <c r="P247" s="127" t="e">
        <f t="shared" si="128"/>
        <v>#REF!</v>
      </c>
    </row>
    <row r="248" spans="1:16" ht="13.5" thickTop="1" thickBot="1" x14ac:dyDescent="0.25">
      <c r="A248" s="128" t="s">
        <v>82</v>
      </c>
      <c r="B248" s="128"/>
      <c r="C248" s="128"/>
      <c r="D248" s="128"/>
      <c r="E248" s="128"/>
      <c r="F248" s="129" t="e">
        <f>F247</f>
        <v>#REF!</v>
      </c>
      <c r="G248" s="130"/>
      <c r="H248" s="129" t="e">
        <f>H247</f>
        <v>#REF!</v>
      </c>
      <c r="I248" s="130"/>
      <c r="J248" s="131" t="e">
        <f>F248+H248</f>
        <v>#REF!</v>
      </c>
      <c r="K248" s="132" t="e">
        <f>K243+K247</f>
        <v>#REF!</v>
      </c>
      <c r="L248" s="132" t="e">
        <f>L243+L247</f>
        <v>#REF!</v>
      </c>
      <c r="M248" s="132" t="e">
        <f>M243+M247</f>
        <v>#REF!</v>
      </c>
      <c r="N248" s="132" t="e">
        <f>N243+N247</f>
        <v>#REF!</v>
      </c>
      <c r="O248" s="132" t="e">
        <f>O243+O247</f>
        <v>#REF!</v>
      </c>
      <c r="P248" s="133" t="e">
        <f t="shared" si="128"/>
        <v>#REF!</v>
      </c>
    </row>
    <row r="249" spans="1:16" ht="12.75" thickBot="1" x14ac:dyDescent="0.25">
      <c r="A249" s="134"/>
      <c r="B249" s="134"/>
      <c r="C249" s="134"/>
      <c r="D249" s="134"/>
      <c r="E249" s="134"/>
      <c r="F249" s="135"/>
      <c r="G249" s="134"/>
      <c r="H249" s="135"/>
      <c r="I249" s="134"/>
      <c r="J249" s="136"/>
      <c r="K249" s="137"/>
      <c r="L249" s="137"/>
      <c r="M249" s="137"/>
      <c r="N249" s="316" t="e">
        <f>F247-N248+L248</f>
        <v>#REF!</v>
      </c>
      <c r="O249" s="317" t="e">
        <f>H247-O248+M248</f>
        <v>#REF!</v>
      </c>
      <c r="P249" s="87"/>
    </row>
    <row r="250" spans="1:16" ht="12.75" thickBot="1" x14ac:dyDescent="0.25">
      <c r="J250" s="344"/>
      <c r="K250" s="345" t="s">
        <v>463</v>
      </c>
      <c r="L250" s="345" t="s">
        <v>464</v>
      </c>
      <c r="M250" s="346" t="s">
        <v>172</v>
      </c>
    </row>
    <row r="251" spans="1:16" ht="12.75" x14ac:dyDescent="0.2">
      <c r="H251" s="519">
        <v>6647247.6699999999</v>
      </c>
      <c r="J251" s="138" t="s">
        <v>171</v>
      </c>
      <c r="K251" s="514">
        <v>-10826760.967066741</v>
      </c>
      <c r="L251" s="514">
        <v>-11763747.239593646</v>
      </c>
      <c r="M251" s="347">
        <f>L251-K251</f>
        <v>-936986.27252690494</v>
      </c>
      <c r="P251" s="82">
        <f>'1595 Continuity 2011'!H252</f>
        <v>0</v>
      </c>
    </row>
    <row r="252" spans="1:16" ht="12.75" thickBot="1" x14ac:dyDescent="0.25">
      <c r="G252" s="306"/>
      <c r="H252" s="306"/>
      <c r="I252" s="306"/>
      <c r="J252" s="139" t="s">
        <v>142</v>
      </c>
      <c r="K252" s="515">
        <v>17241919.100000001</v>
      </c>
      <c r="L252" s="515">
        <v>18911895.530000001</v>
      </c>
      <c r="M252" s="348">
        <f>L252-K252</f>
        <v>1669976.4299999997</v>
      </c>
    </row>
    <row r="253" spans="1:16" ht="12.75" thickBot="1" x14ac:dyDescent="0.25">
      <c r="G253" s="306"/>
      <c r="H253" s="307"/>
      <c r="I253" s="306"/>
      <c r="J253" s="349"/>
      <c r="K253" s="516">
        <v>6415158.1329332609</v>
      </c>
      <c r="L253" s="516">
        <f>SUM(L251:L252)</f>
        <v>7148148.2904063556</v>
      </c>
      <c r="M253" s="351">
        <f>SUM(M251:M252)</f>
        <v>732990.15747309476</v>
      </c>
    </row>
    <row r="254" spans="1:16" ht="12.75" thickBot="1" x14ac:dyDescent="0.25">
      <c r="A254" s="140" t="s">
        <v>66</v>
      </c>
      <c r="B254" s="141"/>
      <c r="C254" s="141"/>
      <c r="D254" s="141"/>
      <c r="E254" s="141"/>
      <c r="F254" s="95"/>
      <c r="G254" s="95"/>
      <c r="H254" s="95"/>
      <c r="I254" s="95"/>
      <c r="J254" s="143"/>
      <c r="K254" s="319">
        <v>40878</v>
      </c>
      <c r="L254" s="320"/>
      <c r="M254" s="320"/>
      <c r="N254" s="320"/>
    </row>
    <row r="255" spans="1:16" ht="12.75" thickBot="1" x14ac:dyDescent="0.25">
      <c r="A255" s="83" t="s">
        <v>167</v>
      </c>
      <c r="B255" s="83"/>
      <c r="C255" s="83"/>
      <c r="D255" s="83"/>
      <c r="E255" s="83"/>
      <c r="F255" s="94"/>
      <c r="G255" s="95"/>
      <c r="H255" s="95"/>
      <c r="I255" s="95"/>
      <c r="J255" s="85"/>
      <c r="K255" s="96"/>
      <c r="L255" s="97" t="s">
        <v>31</v>
      </c>
      <c r="M255" s="96"/>
      <c r="N255" s="96"/>
      <c r="O255" s="89"/>
      <c r="P255" s="142"/>
    </row>
    <row r="256" spans="1:16" ht="27" thickBot="1" x14ac:dyDescent="0.4">
      <c r="A256" s="98"/>
      <c r="B256" s="98"/>
      <c r="C256" s="98"/>
      <c r="D256" s="98"/>
      <c r="E256" s="98"/>
      <c r="F256" s="99" t="s">
        <v>68</v>
      </c>
      <c r="G256" s="100" t="s">
        <v>69</v>
      </c>
      <c r="H256" s="99" t="s">
        <v>70</v>
      </c>
      <c r="I256" s="100" t="s">
        <v>69</v>
      </c>
      <c r="J256" s="101" t="s">
        <v>62</v>
      </c>
      <c r="K256" s="102" t="s">
        <v>71</v>
      </c>
      <c r="L256" s="103" t="s">
        <v>72</v>
      </c>
      <c r="M256" s="104" t="s">
        <v>73</v>
      </c>
      <c r="N256" s="104" t="s">
        <v>68</v>
      </c>
      <c r="O256" s="104" t="s">
        <v>70</v>
      </c>
      <c r="P256" s="105" t="s">
        <v>62</v>
      </c>
    </row>
    <row r="257" spans="1:16" ht="14.25" x14ac:dyDescent="0.35">
      <c r="A257" s="106" t="s">
        <v>170</v>
      </c>
      <c r="B257" s="106"/>
      <c r="C257" s="106"/>
      <c r="D257" s="106"/>
      <c r="E257" s="106"/>
      <c r="F257" s="107"/>
      <c r="G257" s="108"/>
      <c r="H257" s="109"/>
      <c r="I257" s="108"/>
      <c r="J257" s="110"/>
      <c r="K257" s="111">
        <f>-M273</f>
        <v>973398.74974665977</v>
      </c>
      <c r="L257" s="112">
        <f>$C$7*K257</f>
        <v>909201.85858838959</v>
      </c>
      <c r="M257" s="112">
        <f>K257*$C$8</f>
        <v>64196.891158270169</v>
      </c>
      <c r="N257" s="112" t="e">
        <f>SUM(N265+N269)</f>
        <v>#REF!</v>
      </c>
      <c r="O257" s="112" t="e">
        <f>SUM(O265+O269)</f>
        <v>#REF!</v>
      </c>
      <c r="P257" s="113" t="e">
        <f>N257+O257</f>
        <v>#REF!</v>
      </c>
    </row>
    <row r="258" spans="1:16" x14ac:dyDescent="0.2">
      <c r="A258" s="114"/>
      <c r="B258" s="114"/>
      <c r="C258" s="114"/>
      <c r="D258" s="114"/>
      <c r="E258" s="114"/>
      <c r="F258" s="107"/>
      <c r="G258" s="108"/>
      <c r="H258" s="109"/>
      <c r="I258" s="108"/>
      <c r="J258" s="110"/>
      <c r="K258" s="115"/>
      <c r="L258" s="115"/>
      <c r="M258" s="115"/>
      <c r="N258" s="115"/>
      <c r="O258" s="115"/>
      <c r="P258" s="116"/>
    </row>
    <row r="259" spans="1:16" x14ac:dyDescent="0.2">
      <c r="A259" s="114" t="s">
        <v>86</v>
      </c>
      <c r="B259" s="114"/>
      <c r="C259" s="114"/>
      <c r="D259" s="114"/>
      <c r="E259" s="114"/>
      <c r="F259" s="117" t="e">
        <f t="shared" ref="F259:F264" si="130">N237</f>
        <v>#REF!</v>
      </c>
      <c r="G259" s="513" t="e">
        <f t="shared" ref="G259:G264" si="131">F259/$F$265</f>
        <v>#REF!</v>
      </c>
      <c r="H259" s="117" t="e">
        <f t="shared" ref="H259:H264" si="132">O237</f>
        <v>#REF!</v>
      </c>
      <c r="I259" s="108" t="e">
        <f t="shared" ref="I259:I264" si="133">H259/$H$265</f>
        <v>#REF!</v>
      </c>
      <c r="J259" s="110" t="e">
        <f t="shared" ref="J259:J264" si="134">F259+H259</f>
        <v>#REF!</v>
      </c>
      <c r="K259" s="110" t="e">
        <f t="shared" ref="K259:K264" si="135">L259+M259</f>
        <v>#REF!</v>
      </c>
      <c r="L259" s="118" t="e">
        <f t="shared" ref="L259:L264" si="136">G259*$L$257</f>
        <v>#REF!</v>
      </c>
      <c r="M259" s="118" t="e">
        <f t="shared" ref="M259:M264" si="137">I259*$M$257</f>
        <v>#REF!</v>
      </c>
      <c r="N259" s="118" t="e">
        <f t="shared" ref="N259:N264" si="138">F259+L259</f>
        <v>#REF!</v>
      </c>
      <c r="O259" s="118" t="e">
        <f t="shared" ref="O259:O264" si="139">H259+M259</f>
        <v>#REF!</v>
      </c>
      <c r="P259" s="110" t="e">
        <f t="shared" ref="P259:P270" si="140">N259+O259</f>
        <v>#REF!</v>
      </c>
    </row>
    <row r="260" spans="1:16" x14ac:dyDescent="0.2">
      <c r="A260" s="114" t="s">
        <v>75</v>
      </c>
      <c r="B260" s="114"/>
      <c r="C260" s="114"/>
      <c r="D260" s="114"/>
      <c r="E260" s="114"/>
      <c r="F260" s="117" t="e">
        <f t="shared" si="130"/>
        <v>#REF!</v>
      </c>
      <c r="G260" s="513" t="e">
        <f t="shared" si="131"/>
        <v>#REF!</v>
      </c>
      <c r="H260" s="117" t="e">
        <f t="shared" si="132"/>
        <v>#REF!</v>
      </c>
      <c r="I260" s="108" t="e">
        <f t="shared" si="133"/>
        <v>#REF!</v>
      </c>
      <c r="J260" s="110" t="e">
        <f t="shared" si="134"/>
        <v>#REF!</v>
      </c>
      <c r="K260" s="110" t="e">
        <f t="shared" si="135"/>
        <v>#REF!</v>
      </c>
      <c r="L260" s="118" t="e">
        <f t="shared" si="136"/>
        <v>#REF!</v>
      </c>
      <c r="M260" s="118" t="e">
        <f t="shared" si="137"/>
        <v>#REF!</v>
      </c>
      <c r="N260" s="118" t="e">
        <f t="shared" si="138"/>
        <v>#REF!</v>
      </c>
      <c r="O260" s="118" t="e">
        <f t="shared" si="139"/>
        <v>#REF!</v>
      </c>
      <c r="P260" s="110" t="e">
        <f t="shared" si="140"/>
        <v>#REF!</v>
      </c>
    </row>
    <row r="261" spans="1:16" x14ac:dyDescent="0.2">
      <c r="A261" s="114" t="s">
        <v>76</v>
      </c>
      <c r="B261" s="114"/>
      <c r="C261" s="114"/>
      <c r="D261" s="114"/>
      <c r="E261" s="114"/>
      <c r="F261" s="117" t="e">
        <f t="shared" si="130"/>
        <v>#REF!</v>
      </c>
      <c r="G261" s="513" t="e">
        <f t="shared" si="131"/>
        <v>#REF!</v>
      </c>
      <c r="H261" s="117" t="e">
        <f t="shared" si="132"/>
        <v>#REF!</v>
      </c>
      <c r="I261" s="108" t="e">
        <f t="shared" si="133"/>
        <v>#REF!</v>
      </c>
      <c r="J261" s="110" t="e">
        <f t="shared" si="134"/>
        <v>#REF!</v>
      </c>
      <c r="K261" s="110" t="e">
        <f t="shared" si="135"/>
        <v>#REF!</v>
      </c>
      <c r="L261" s="118" t="e">
        <f t="shared" si="136"/>
        <v>#REF!</v>
      </c>
      <c r="M261" s="118" t="e">
        <f t="shared" si="137"/>
        <v>#REF!</v>
      </c>
      <c r="N261" s="118" t="e">
        <f t="shared" si="138"/>
        <v>#REF!</v>
      </c>
      <c r="O261" s="118" t="e">
        <f t="shared" si="139"/>
        <v>#REF!</v>
      </c>
      <c r="P261" s="110" t="e">
        <f t="shared" si="140"/>
        <v>#REF!</v>
      </c>
    </row>
    <row r="262" spans="1:16" x14ac:dyDescent="0.2">
      <c r="A262" s="114" t="s">
        <v>77</v>
      </c>
      <c r="B262" s="114"/>
      <c r="C262" s="114"/>
      <c r="D262" s="114"/>
      <c r="E262" s="114"/>
      <c r="F262" s="117" t="e">
        <f t="shared" si="130"/>
        <v>#REF!</v>
      </c>
      <c r="G262" s="513" t="e">
        <f t="shared" si="131"/>
        <v>#REF!</v>
      </c>
      <c r="H262" s="117" t="e">
        <f t="shared" si="132"/>
        <v>#REF!</v>
      </c>
      <c r="I262" s="108" t="e">
        <f t="shared" si="133"/>
        <v>#REF!</v>
      </c>
      <c r="J262" s="110" t="e">
        <f t="shared" si="134"/>
        <v>#REF!</v>
      </c>
      <c r="K262" s="110" t="e">
        <f t="shared" si="135"/>
        <v>#REF!</v>
      </c>
      <c r="L262" s="118" t="e">
        <f t="shared" si="136"/>
        <v>#REF!</v>
      </c>
      <c r="M262" s="118" t="e">
        <f t="shared" si="137"/>
        <v>#REF!</v>
      </c>
      <c r="N262" s="118" t="e">
        <f t="shared" si="138"/>
        <v>#REF!</v>
      </c>
      <c r="O262" s="118" t="e">
        <f t="shared" si="139"/>
        <v>#REF!</v>
      </c>
      <c r="P262" s="110" t="e">
        <f t="shared" si="140"/>
        <v>#REF!</v>
      </c>
    </row>
    <row r="263" spans="1:16" x14ac:dyDescent="0.2">
      <c r="A263" s="114" t="s">
        <v>78</v>
      </c>
      <c r="B263" s="114"/>
      <c r="C263" s="114"/>
      <c r="D263" s="114"/>
      <c r="E263" s="114"/>
      <c r="F263" s="117" t="e">
        <f t="shared" si="130"/>
        <v>#REF!</v>
      </c>
      <c r="G263" s="513" t="e">
        <f t="shared" si="131"/>
        <v>#REF!</v>
      </c>
      <c r="H263" s="117" t="e">
        <f t="shared" si="132"/>
        <v>#REF!</v>
      </c>
      <c r="I263" s="108" t="e">
        <f t="shared" si="133"/>
        <v>#REF!</v>
      </c>
      <c r="J263" s="110" t="e">
        <f t="shared" si="134"/>
        <v>#REF!</v>
      </c>
      <c r="K263" s="110" t="e">
        <f t="shared" si="135"/>
        <v>#REF!</v>
      </c>
      <c r="L263" s="118" t="e">
        <f t="shared" si="136"/>
        <v>#REF!</v>
      </c>
      <c r="M263" s="118" t="e">
        <f t="shared" si="137"/>
        <v>#REF!</v>
      </c>
      <c r="N263" s="118" t="e">
        <f t="shared" si="138"/>
        <v>#REF!</v>
      </c>
      <c r="O263" s="118" t="e">
        <f t="shared" si="139"/>
        <v>#REF!</v>
      </c>
      <c r="P263" s="110" t="e">
        <f t="shared" si="140"/>
        <v>#REF!</v>
      </c>
    </row>
    <row r="264" spans="1:16" x14ac:dyDescent="0.2">
      <c r="A264" s="119" t="s">
        <v>79</v>
      </c>
      <c r="B264" s="119"/>
      <c r="C264" s="119"/>
      <c r="D264" s="119"/>
      <c r="E264" s="119"/>
      <c r="F264" s="117" t="e">
        <f t="shared" si="130"/>
        <v>#REF!</v>
      </c>
      <c r="G264" s="513" t="e">
        <f t="shared" si="131"/>
        <v>#REF!</v>
      </c>
      <c r="H264" s="117" t="e">
        <f t="shared" si="132"/>
        <v>#REF!</v>
      </c>
      <c r="I264" s="108" t="e">
        <f t="shared" si="133"/>
        <v>#REF!</v>
      </c>
      <c r="J264" s="110" t="e">
        <f t="shared" si="134"/>
        <v>#REF!</v>
      </c>
      <c r="K264" s="110" t="e">
        <f t="shared" si="135"/>
        <v>#REF!</v>
      </c>
      <c r="L264" s="118" t="e">
        <f t="shared" si="136"/>
        <v>#REF!</v>
      </c>
      <c r="M264" s="118" t="e">
        <f t="shared" si="137"/>
        <v>#REF!</v>
      </c>
      <c r="N264" s="118" t="e">
        <f t="shared" si="138"/>
        <v>#REF!</v>
      </c>
      <c r="O264" s="118" t="e">
        <f t="shared" si="139"/>
        <v>#REF!</v>
      </c>
      <c r="P264" s="110" t="e">
        <f t="shared" si="140"/>
        <v>#REF!</v>
      </c>
    </row>
    <row r="265" spans="1:16" x14ac:dyDescent="0.2">
      <c r="A265" s="114"/>
      <c r="B265" s="114"/>
      <c r="C265" s="114"/>
      <c r="D265" s="114"/>
      <c r="E265" s="114"/>
      <c r="F265" s="120" t="e">
        <f t="shared" ref="F265:O265" si="141">SUM(F259:F264)</f>
        <v>#REF!</v>
      </c>
      <c r="G265" s="121" t="e">
        <f t="shared" si="141"/>
        <v>#REF!</v>
      </c>
      <c r="H265" s="120" t="e">
        <f t="shared" si="141"/>
        <v>#REF!</v>
      </c>
      <c r="I265" s="121" t="e">
        <f t="shared" si="141"/>
        <v>#REF!</v>
      </c>
      <c r="J265" s="120" t="e">
        <f t="shared" si="141"/>
        <v>#REF!</v>
      </c>
      <c r="K265" s="122" t="e">
        <f t="shared" si="141"/>
        <v>#REF!</v>
      </c>
      <c r="L265" s="314" t="e">
        <f t="shared" si="141"/>
        <v>#REF!</v>
      </c>
      <c r="M265" s="314" t="e">
        <f t="shared" si="141"/>
        <v>#REF!</v>
      </c>
      <c r="N265" s="122" t="e">
        <f t="shared" si="141"/>
        <v>#REF!</v>
      </c>
      <c r="O265" s="122" t="e">
        <f t="shared" si="141"/>
        <v>#REF!</v>
      </c>
      <c r="P265" s="122" t="e">
        <f t="shared" si="140"/>
        <v>#REF!</v>
      </c>
    </row>
    <row r="266" spans="1:16" x14ac:dyDescent="0.2">
      <c r="A266" s="114"/>
      <c r="B266" s="114"/>
      <c r="C266" s="114"/>
      <c r="D266" s="114"/>
      <c r="E266" s="114"/>
      <c r="F266" s="117"/>
      <c r="G266" s="108"/>
      <c r="H266" s="117"/>
      <c r="I266" s="108"/>
      <c r="J266" s="117"/>
      <c r="K266" s="110" t="e">
        <f>K265-K257</f>
        <v>#REF!</v>
      </c>
      <c r="L266" s="118"/>
      <c r="M266" s="118"/>
      <c r="N266" s="118"/>
      <c r="O266" s="118"/>
      <c r="P266" s="110">
        <f t="shared" si="140"/>
        <v>0</v>
      </c>
    </row>
    <row r="267" spans="1:16" x14ac:dyDescent="0.2">
      <c r="A267" s="114" t="s">
        <v>80</v>
      </c>
      <c r="B267" s="114"/>
      <c r="C267" s="114"/>
      <c r="D267" s="114"/>
      <c r="E267" s="114"/>
      <c r="F267" s="117" t="e">
        <f>N245</f>
        <v>#REF!</v>
      </c>
      <c r="G267" s="108" t="e">
        <f>F267/J267</f>
        <v>#REF!</v>
      </c>
      <c r="H267" s="117" t="e">
        <f>O245</f>
        <v>#REF!</v>
      </c>
      <c r="I267" s="513" t="e">
        <f>H267/J267</f>
        <v>#REF!</v>
      </c>
      <c r="J267" s="110" t="e">
        <f>F267+H267</f>
        <v>#REF!</v>
      </c>
      <c r="K267" s="110">
        <f>-M274</f>
        <v>-1597491.8599999994</v>
      </c>
      <c r="L267" s="315" t="e">
        <f>G267*K267</f>
        <v>#REF!</v>
      </c>
      <c r="M267" s="315" t="e">
        <f>I267*K267</f>
        <v>#REF!</v>
      </c>
      <c r="N267" s="118" t="e">
        <f>F267+L267</f>
        <v>#REF!</v>
      </c>
      <c r="O267" s="118" t="e">
        <f>H267+M267</f>
        <v>#REF!</v>
      </c>
      <c r="P267" s="110" t="e">
        <f t="shared" si="140"/>
        <v>#REF!</v>
      </c>
    </row>
    <row r="268" spans="1:16" ht="12.75" thickBot="1" x14ac:dyDescent="0.25">
      <c r="A268" s="86"/>
      <c r="B268" s="86"/>
      <c r="C268" s="86"/>
      <c r="D268" s="86"/>
      <c r="E268" s="86"/>
      <c r="F268" s="117"/>
      <c r="G268" s="108"/>
      <c r="H268" s="110"/>
      <c r="I268" s="108"/>
      <c r="J268" s="110"/>
      <c r="K268" s="110"/>
      <c r="L268" s="118"/>
      <c r="M268" s="118"/>
      <c r="N268" s="118"/>
      <c r="O268" s="118"/>
      <c r="P268" s="110">
        <f t="shared" si="140"/>
        <v>0</v>
      </c>
    </row>
    <row r="269" spans="1:16" ht="12.75" thickBot="1" x14ac:dyDescent="0.25">
      <c r="A269" s="123" t="s">
        <v>87</v>
      </c>
      <c r="B269" s="123"/>
      <c r="C269" s="123"/>
      <c r="D269" s="123"/>
      <c r="E269" s="123"/>
      <c r="F269" s="124" t="e">
        <f>F265+F267</f>
        <v>#REF!</v>
      </c>
      <c r="G269" s="125" t="e">
        <f>F269/$F$270</f>
        <v>#REF!</v>
      </c>
      <c r="H269" s="124" t="e">
        <f>H265+H267</f>
        <v>#REF!</v>
      </c>
      <c r="I269" s="125" t="e">
        <f>H269/$H$270</f>
        <v>#REF!</v>
      </c>
      <c r="J269" s="124" t="e">
        <f>J265+J267</f>
        <v>#REF!</v>
      </c>
      <c r="K269" s="126">
        <f>K267</f>
        <v>-1597491.8599999994</v>
      </c>
      <c r="L269" s="126" t="e">
        <f>L267</f>
        <v>#REF!</v>
      </c>
      <c r="M269" s="126" t="e">
        <f>M267</f>
        <v>#REF!</v>
      </c>
      <c r="N269" s="126" t="e">
        <f>N267</f>
        <v>#REF!</v>
      </c>
      <c r="O269" s="126" t="e">
        <f>O267</f>
        <v>#REF!</v>
      </c>
      <c r="P269" s="127" t="e">
        <f t="shared" si="140"/>
        <v>#REF!</v>
      </c>
    </row>
    <row r="270" spans="1:16" ht="13.5" thickTop="1" thickBot="1" x14ac:dyDescent="0.25">
      <c r="A270" s="128" t="s">
        <v>82</v>
      </c>
      <c r="B270" s="128"/>
      <c r="C270" s="128"/>
      <c r="D270" s="128"/>
      <c r="E270" s="128"/>
      <c r="F270" s="129" t="e">
        <f>F269</f>
        <v>#REF!</v>
      </c>
      <c r="G270" s="130"/>
      <c r="H270" s="129" t="e">
        <f>H269</f>
        <v>#REF!</v>
      </c>
      <c r="I270" s="130"/>
      <c r="J270" s="131" t="e">
        <f>F270+H270</f>
        <v>#REF!</v>
      </c>
      <c r="K270" s="132" t="e">
        <f>K265+K269</f>
        <v>#REF!</v>
      </c>
      <c r="L270" s="132" t="e">
        <f>L265+L269</f>
        <v>#REF!</v>
      </c>
      <c r="M270" s="132" t="e">
        <f>M265+M269</f>
        <v>#REF!</v>
      </c>
      <c r="N270" s="132" t="e">
        <f>N265+N269</f>
        <v>#REF!</v>
      </c>
      <c r="O270" s="132" t="e">
        <f>O265+O269</f>
        <v>#REF!</v>
      </c>
      <c r="P270" s="133" t="e">
        <f t="shared" si="140"/>
        <v>#REF!</v>
      </c>
    </row>
    <row r="271" spans="1:16" ht="12.75" thickBot="1" x14ac:dyDescent="0.25">
      <c r="A271" s="134"/>
      <c r="B271" s="134"/>
      <c r="C271" s="134"/>
      <c r="D271" s="134"/>
      <c r="E271" s="134"/>
      <c r="F271" s="135"/>
      <c r="G271" s="134"/>
      <c r="H271" s="135"/>
      <c r="I271" s="134"/>
      <c r="J271" s="136"/>
      <c r="K271" s="137"/>
      <c r="L271" s="137"/>
      <c r="M271" s="137"/>
      <c r="N271" s="316" t="e">
        <f>F269-N270+L270</f>
        <v>#REF!</v>
      </c>
      <c r="O271" s="317" t="e">
        <f>H269-O270+M270</f>
        <v>#REF!</v>
      </c>
      <c r="P271" s="87"/>
    </row>
    <row r="272" spans="1:16" ht="12.75" thickBot="1" x14ac:dyDescent="0.25">
      <c r="J272" s="344"/>
      <c r="K272" s="345" t="s">
        <v>464</v>
      </c>
      <c r="L272" s="345" t="s">
        <v>465</v>
      </c>
      <c r="M272" s="346" t="s">
        <v>172</v>
      </c>
    </row>
    <row r="273" spans="1:16" ht="12.75" x14ac:dyDescent="0.2">
      <c r="H273" s="519">
        <v>6647247.6699999999</v>
      </c>
      <c r="J273" s="138" t="s">
        <v>171</v>
      </c>
      <c r="K273" s="514">
        <v>-11763747.239593646</v>
      </c>
      <c r="L273" s="514">
        <f>'[38]1. Hydro Report'!$L$14</f>
        <v>-12737145.989340305</v>
      </c>
      <c r="M273" s="347">
        <f>L273-K273</f>
        <v>-973398.74974665977</v>
      </c>
      <c r="P273" s="82">
        <f>'1595 Continuity 2011'!H274</f>
        <v>0</v>
      </c>
    </row>
    <row r="274" spans="1:16" ht="12.75" thickBot="1" x14ac:dyDescent="0.25">
      <c r="G274" s="306"/>
      <c r="H274" s="306"/>
      <c r="I274" s="306"/>
      <c r="J274" s="139" t="s">
        <v>142</v>
      </c>
      <c r="K274" s="515">
        <v>18911895.530000001</v>
      </c>
      <c r="L274" s="515">
        <f>'[38]1. Hydro Report'!$L$18</f>
        <v>20509387.390000001</v>
      </c>
      <c r="M274" s="348">
        <f>L274-K274</f>
        <v>1597491.8599999994</v>
      </c>
    </row>
    <row r="275" spans="1:16" ht="12.75" thickBot="1" x14ac:dyDescent="0.25">
      <c r="G275" s="306"/>
      <c r="H275" s="307"/>
      <c r="I275" s="306"/>
      <c r="J275" s="349"/>
      <c r="K275" s="516">
        <f>SUM(K273:K274)</f>
        <v>7148148.2904063556</v>
      </c>
      <c r="L275" s="516">
        <f>SUM(L273:L274)</f>
        <v>7772241.4006596953</v>
      </c>
      <c r="M275" s="351">
        <f>SUM(M273:M274)</f>
        <v>624093.11025333963</v>
      </c>
    </row>
    <row r="276" spans="1:16" ht="12.75" thickBot="1" x14ac:dyDescent="0.25">
      <c r="A276" s="140" t="s">
        <v>66</v>
      </c>
      <c r="B276" s="141"/>
      <c r="C276" s="141"/>
      <c r="D276" s="141"/>
      <c r="E276" s="141"/>
      <c r="F276" s="95"/>
      <c r="G276" s="95"/>
      <c r="H276" s="95"/>
      <c r="I276" s="95"/>
      <c r="J276" s="143"/>
      <c r="K276" s="319">
        <v>40909</v>
      </c>
      <c r="L276" s="320"/>
      <c r="M276" s="320"/>
      <c r="N276" s="320"/>
    </row>
    <row r="277" spans="1:16" ht="12.75" thickBot="1" x14ac:dyDescent="0.25">
      <c r="A277" s="83" t="s">
        <v>167</v>
      </c>
      <c r="B277" s="83"/>
      <c r="C277" s="83"/>
      <c r="D277" s="83"/>
      <c r="E277" s="83"/>
      <c r="F277" s="94"/>
      <c r="G277" s="95"/>
      <c r="H277" s="95"/>
      <c r="I277" s="95"/>
      <c r="J277" s="85"/>
      <c r="K277" s="96"/>
      <c r="L277" s="97" t="s">
        <v>31</v>
      </c>
      <c r="M277" s="96"/>
      <c r="N277" s="96"/>
      <c r="O277" s="89"/>
      <c r="P277" s="142"/>
    </row>
    <row r="278" spans="1:16" ht="27" thickBot="1" x14ac:dyDescent="0.4">
      <c r="A278" s="98"/>
      <c r="B278" s="98"/>
      <c r="C278" s="98"/>
      <c r="D278" s="98"/>
      <c r="E278" s="98"/>
      <c r="F278" s="99" t="s">
        <v>68</v>
      </c>
      <c r="G278" s="100" t="s">
        <v>69</v>
      </c>
      <c r="H278" s="99" t="s">
        <v>70</v>
      </c>
      <c r="I278" s="100" t="s">
        <v>69</v>
      </c>
      <c r="J278" s="101" t="s">
        <v>62</v>
      </c>
      <c r="K278" s="102" t="s">
        <v>71</v>
      </c>
      <c r="L278" s="103" t="s">
        <v>72</v>
      </c>
      <c r="M278" s="104" t="s">
        <v>73</v>
      </c>
      <c r="N278" s="104" t="s">
        <v>68</v>
      </c>
      <c r="O278" s="104" t="s">
        <v>70</v>
      </c>
      <c r="P278" s="105" t="s">
        <v>62</v>
      </c>
    </row>
    <row r="279" spans="1:16" ht="14.25" x14ac:dyDescent="0.35">
      <c r="A279" s="106" t="s">
        <v>170</v>
      </c>
      <c r="B279" s="106"/>
      <c r="C279" s="106"/>
      <c r="D279" s="106"/>
      <c r="E279" s="106"/>
      <c r="F279" s="107"/>
      <c r="G279" s="108"/>
      <c r="H279" s="109"/>
      <c r="I279" s="108"/>
      <c r="J279" s="110"/>
      <c r="K279" s="111">
        <f>-M295</f>
        <v>1706864.6407103227</v>
      </c>
      <c r="L279" s="112">
        <f>$C$7*K279</f>
        <v>1594294.7369683064</v>
      </c>
      <c r="M279" s="112">
        <f>K279*$C$8</f>
        <v>112569.90374201631</v>
      </c>
      <c r="N279" s="112" t="e">
        <f>SUM(N287+N291)</f>
        <v>#REF!</v>
      </c>
      <c r="O279" s="112" t="e">
        <f>SUM(O287+O291)</f>
        <v>#REF!</v>
      </c>
      <c r="P279" s="113" t="e">
        <f>N279+O279</f>
        <v>#REF!</v>
      </c>
    </row>
    <row r="280" spans="1:16" x14ac:dyDescent="0.2">
      <c r="A280" s="114"/>
      <c r="B280" s="114"/>
      <c r="C280" s="114"/>
      <c r="D280" s="114"/>
      <c r="E280" s="114"/>
      <c r="F280" s="107"/>
      <c r="G280" s="108"/>
      <c r="H280" s="109"/>
      <c r="I280" s="108"/>
      <c r="J280" s="110"/>
      <c r="K280" s="115"/>
      <c r="L280" s="115"/>
      <c r="M280" s="115"/>
      <c r="N280" s="115"/>
      <c r="O280" s="115"/>
      <c r="P280" s="116"/>
    </row>
    <row r="281" spans="1:16" x14ac:dyDescent="0.2">
      <c r="A281" s="114" t="s">
        <v>86</v>
      </c>
      <c r="B281" s="114"/>
      <c r="C281" s="114"/>
      <c r="D281" s="114"/>
      <c r="E281" s="114"/>
      <c r="F281" s="117" t="e">
        <f t="shared" ref="F281:F286" si="142">N259</f>
        <v>#REF!</v>
      </c>
      <c r="G281" s="513" t="e">
        <f t="shared" ref="G281:G286" si="143">F281/$F$287</f>
        <v>#REF!</v>
      </c>
      <c r="H281" s="117" t="e">
        <f t="shared" ref="H281:H286" si="144">O259</f>
        <v>#REF!</v>
      </c>
      <c r="I281" s="108" t="e">
        <f t="shared" ref="I281:I286" si="145">H281/$H$287</f>
        <v>#REF!</v>
      </c>
      <c r="J281" s="110" t="e">
        <f t="shared" ref="J281:J286" si="146">F281+H281</f>
        <v>#REF!</v>
      </c>
      <c r="K281" s="110" t="e">
        <f t="shared" ref="K281:K286" si="147">L281+M281</f>
        <v>#REF!</v>
      </c>
      <c r="L281" s="118" t="e">
        <f t="shared" ref="L281:L286" si="148">G281*$L$279</f>
        <v>#REF!</v>
      </c>
      <c r="M281" s="118" t="e">
        <f t="shared" ref="M281:M286" si="149">I281*$M$279</f>
        <v>#REF!</v>
      </c>
      <c r="N281" s="118" t="e">
        <f t="shared" ref="N281:N286" si="150">F281+L281</f>
        <v>#REF!</v>
      </c>
      <c r="O281" s="118" t="e">
        <f t="shared" ref="O281:O286" si="151">H281+M281</f>
        <v>#REF!</v>
      </c>
      <c r="P281" s="110" t="e">
        <f t="shared" ref="P281:P292" si="152">N281+O281</f>
        <v>#REF!</v>
      </c>
    </row>
    <row r="282" spans="1:16" x14ac:dyDescent="0.2">
      <c r="A282" s="114" t="s">
        <v>75</v>
      </c>
      <c r="B282" s="114"/>
      <c r="C282" s="114"/>
      <c r="D282" s="114"/>
      <c r="E282" s="114"/>
      <c r="F282" s="117" t="e">
        <f t="shared" si="142"/>
        <v>#REF!</v>
      </c>
      <c r="G282" s="513" t="e">
        <f t="shared" si="143"/>
        <v>#REF!</v>
      </c>
      <c r="H282" s="117" t="e">
        <f t="shared" si="144"/>
        <v>#REF!</v>
      </c>
      <c r="I282" s="108" t="e">
        <f t="shared" si="145"/>
        <v>#REF!</v>
      </c>
      <c r="J282" s="110" t="e">
        <f t="shared" si="146"/>
        <v>#REF!</v>
      </c>
      <c r="K282" s="110" t="e">
        <f t="shared" si="147"/>
        <v>#REF!</v>
      </c>
      <c r="L282" s="118" t="e">
        <f t="shared" si="148"/>
        <v>#REF!</v>
      </c>
      <c r="M282" s="118" t="e">
        <f t="shared" si="149"/>
        <v>#REF!</v>
      </c>
      <c r="N282" s="118" t="e">
        <f t="shared" si="150"/>
        <v>#REF!</v>
      </c>
      <c r="O282" s="118" t="e">
        <f t="shared" si="151"/>
        <v>#REF!</v>
      </c>
      <c r="P282" s="110" t="e">
        <f t="shared" si="152"/>
        <v>#REF!</v>
      </c>
    </row>
    <row r="283" spans="1:16" x14ac:dyDescent="0.2">
      <c r="A283" s="114" t="s">
        <v>76</v>
      </c>
      <c r="B283" s="114"/>
      <c r="C283" s="114"/>
      <c r="D283" s="114"/>
      <c r="E283" s="114"/>
      <c r="F283" s="117" t="e">
        <f t="shared" si="142"/>
        <v>#REF!</v>
      </c>
      <c r="G283" s="513" t="e">
        <f t="shared" si="143"/>
        <v>#REF!</v>
      </c>
      <c r="H283" s="117" t="e">
        <f t="shared" si="144"/>
        <v>#REF!</v>
      </c>
      <c r="I283" s="108" t="e">
        <f t="shared" si="145"/>
        <v>#REF!</v>
      </c>
      <c r="J283" s="110" t="e">
        <f t="shared" si="146"/>
        <v>#REF!</v>
      </c>
      <c r="K283" s="110" t="e">
        <f t="shared" si="147"/>
        <v>#REF!</v>
      </c>
      <c r="L283" s="118" t="e">
        <f t="shared" si="148"/>
        <v>#REF!</v>
      </c>
      <c r="M283" s="118" t="e">
        <f t="shared" si="149"/>
        <v>#REF!</v>
      </c>
      <c r="N283" s="118" t="e">
        <f t="shared" si="150"/>
        <v>#REF!</v>
      </c>
      <c r="O283" s="118" t="e">
        <f t="shared" si="151"/>
        <v>#REF!</v>
      </c>
      <c r="P283" s="110" t="e">
        <f t="shared" si="152"/>
        <v>#REF!</v>
      </c>
    </row>
    <row r="284" spans="1:16" x14ac:dyDescent="0.2">
      <c r="A284" s="114" t="s">
        <v>77</v>
      </c>
      <c r="B284" s="114"/>
      <c r="C284" s="114"/>
      <c r="D284" s="114"/>
      <c r="E284" s="114"/>
      <c r="F284" s="117" t="e">
        <f t="shared" si="142"/>
        <v>#REF!</v>
      </c>
      <c r="G284" s="513" t="e">
        <f t="shared" si="143"/>
        <v>#REF!</v>
      </c>
      <c r="H284" s="117" t="e">
        <f t="shared" si="144"/>
        <v>#REF!</v>
      </c>
      <c r="I284" s="108" t="e">
        <f t="shared" si="145"/>
        <v>#REF!</v>
      </c>
      <c r="J284" s="110" t="e">
        <f t="shared" si="146"/>
        <v>#REF!</v>
      </c>
      <c r="K284" s="110" t="e">
        <f t="shared" si="147"/>
        <v>#REF!</v>
      </c>
      <c r="L284" s="118" t="e">
        <f t="shared" si="148"/>
        <v>#REF!</v>
      </c>
      <c r="M284" s="118" t="e">
        <f t="shared" si="149"/>
        <v>#REF!</v>
      </c>
      <c r="N284" s="118" t="e">
        <f t="shared" si="150"/>
        <v>#REF!</v>
      </c>
      <c r="O284" s="118" t="e">
        <f t="shared" si="151"/>
        <v>#REF!</v>
      </c>
      <c r="P284" s="110" t="e">
        <f t="shared" si="152"/>
        <v>#REF!</v>
      </c>
    </row>
    <row r="285" spans="1:16" x14ac:dyDescent="0.2">
      <c r="A285" s="114" t="s">
        <v>78</v>
      </c>
      <c r="B285" s="114"/>
      <c r="C285" s="114"/>
      <c r="D285" s="114"/>
      <c r="E285" s="114"/>
      <c r="F285" s="117" t="e">
        <f t="shared" si="142"/>
        <v>#REF!</v>
      </c>
      <c r="G285" s="513" t="e">
        <f t="shared" si="143"/>
        <v>#REF!</v>
      </c>
      <c r="H285" s="117" t="e">
        <f t="shared" si="144"/>
        <v>#REF!</v>
      </c>
      <c r="I285" s="108" t="e">
        <f t="shared" si="145"/>
        <v>#REF!</v>
      </c>
      <c r="J285" s="110" t="e">
        <f t="shared" si="146"/>
        <v>#REF!</v>
      </c>
      <c r="K285" s="110" t="e">
        <f t="shared" si="147"/>
        <v>#REF!</v>
      </c>
      <c r="L285" s="118" t="e">
        <f t="shared" si="148"/>
        <v>#REF!</v>
      </c>
      <c r="M285" s="118" t="e">
        <f t="shared" si="149"/>
        <v>#REF!</v>
      </c>
      <c r="N285" s="118" t="e">
        <f t="shared" si="150"/>
        <v>#REF!</v>
      </c>
      <c r="O285" s="118" t="e">
        <f t="shared" si="151"/>
        <v>#REF!</v>
      </c>
      <c r="P285" s="110" t="e">
        <f t="shared" si="152"/>
        <v>#REF!</v>
      </c>
    </row>
    <row r="286" spans="1:16" x14ac:dyDescent="0.2">
      <c r="A286" s="119" t="s">
        <v>79</v>
      </c>
      <c r="B286" s="119"/>
      <c r="C286" s="119"/>
      <c r="D286" s="119"/>
      <c r="E286" s="119"/>
      <c r="F286" s="117" t="e">
        <f t="shared" si="142"/>
        <v>#REF!</v>
      </c>
      <c r="G286" s="513" t="e">
        <f t="shared" si="143"/>
        <v>#REF!</v>
      </c>
      <c r="H286" s="117" t="e">
        <f t="shared" si="144"/>
        <v>#REF!</v>
      </c>
      <c r="I286" s="108" t="e">
        <f t="shared" si="145"/>
        <v>#REF!</v>
      </c>
      <c r="J286" s="110" t="e">
        <f t="shared" si="146"/>
        <v>#REF!</v>
      </c>
      <c r="K286" s="110" t="e">
        <f t="shared" si="147"/>
        <v>#REF!</v>
      </c>
      <c r="L286" s="118" t="e">
        <f t="shared" si="148"/>
        <v>#REF!</v>
      </c>
      <c r="M286" s="118" t="e">
        <f t="shared" si="149"/>
        <v>#REF!</v>
      </c>
      <c r="N286" s="118" t="e">
        <f t="shared" si="150"/>
        <v>#REF!</v>
      </c>
      <c r="O286" s="118" t="e">
        <f t="shared" si="151"/>
        <v>#REF!</v>
      </c>
      <c r="P286" s="110" t="e">
        <f t="shared" si="152"/>
        <v>#REF!</v>
      </c>
    </row>
    <row r="287" spans="1:16" x14ac:dyDescent="0.2">
      <c r="A287" s="114"/>
      <c r="B287" s="114"/>
      <c r="C287" s="114"/>
      <c r="D287" s="114"/>
      <c r="E287" s="114"/>
      <c r="F287" s="120" t="e">
        <f t="shared" ref="F287:O287" si="153">SUM(F281:F286)</f>
        <v>#REF!</v>
      </c>
      <c r="G287" s="121" t="e">
        <f t="shared" si="153"/>
        <v>#REF!</v>
      </c>
      <c r="H287" s="120" t="e">
        <f t="shared" si="153"/>
        <v>#REF!</v>
      </c>
      <c r="I287" s="121" t="e">
        <f t="shared" si="153"/>
        <v>#REF!</v>
      </c>
      <c r="J287" s="120" t="e">
        <f t="shared" si="153"/>
        <v>#REF!</v>
      </c>
      <c r="K287" s="122" t="e">
        <f t="shared" si="153"/>
        <v>#REF!</v>
      </c>
      <c r="L287" s="314" t="e">
        <f t="shared" si="153"/>
        <v>#REF!</v>
      </c>
      <c r="M287" s="314" t="e">
        <f t="shared" si="153"/>
        <v>#REF!</v>
      </c>
      <c r="N287" s="122" t="e">
        <f t="shared" si="153"/>
        <v>#REF!</v>
      </c>
      <c r="O287" s="122" t="e">
        <f t="shared" si="153"/>
        <v>#REF!</v>
      </c>
      <c r="P287" s="122" t="e">
        <f t="shared" si="152"/>
        <v>#REF!</v>
      </c>
    </row>
    <row r="288" spans="1:16" x14ac:dyDescent="0.2">
      <c r="A288" s="114"/>
      <c r="B288" s="114"/>
      <c r="C288" s="114"/>
      <c r="D288" s="114"/>
      <c r="E288" s="114"/>
      <c r="F288" s="117"/>
      <c r="G288" s="108"/>
      <c r="H288" s="117"/>
      <c r="I288" s="108"/>
      <c r="J288" s="117"/>
      <c r="K288" s="110" t="e">
        <f>K287-K279</f>
        <v>#REF!</v>
      </c>
      <c r="L288" s="118"/>
      <c r="M288" s="118"/>
      <c r="N288" s="118"/>
      <c r="O288" s="118"/>
      <c r="P288" s="110">
        <f t="shared" si="152"/>
        <v>0</v>
      </c>
    </row>
    <row r="289" spans="1:16" x14ac:dyDescent="0.2">
      <c r="A289" s="114" t="s">
        <v>80</v>
      </c>
      <c r="B289" s="114"/>
      <c r="C289" s="114"/>
      <c r="D289" s="114"/>
      <c r="E289" s="114"/>
      <c r="F289" s="117" t="e">
        <f>N267</f>
        <v>#REF!</v>
      </c>
      <c r="G289" s="108" t="e">
        <f>F289/J289</f>
        <v>#REF!</v>
      </c>
      <c r="H289" s="117" t="e">
        <f>O267</f>
        <v>#REF!</v>
      </c>
      <c r="I289" s="513" t="e">
        <f>H289/J289</f>
        <v>#REF!</v>
      </c>
      <c r="J289" s="110" t="e">
        <f>F289+H289</f>
        <v>#REF!</v>
      </c>
      <c r="K289" s="110">
        <f>-M296</f>
        <v>0</v>
      </c>
      <c r="L289" s="315" t="e">
        <f>G289*K289</f>
        <v>#REF!</v>
      </c>
      <c r="M289" s="315" t="e">
        <f>I289*K289</f>
        <v>#REF!</v>
      </c>
      <c r="N289" s="118" t="e">
        <f>F289+L289</f>
        <v>#REF!</v>
      </c>
      <c r="O289" s="118" t="e">
        <f>H289+M289</f>
        <v>#REF!</v>
      </c>
      <c r="P289" s="110" t="e">
        <f t="shared" si="152"/>
        <v>#REF!</v>
      </c>
    </row>
    <row r="290" spans="1:16" ht="12.75" thickBot="1" x14ac:dyDescent="0.25">
      <c r="A290" s="86"/>
      <c r="B290" s="86"/>
      <c r="C290" s="86"/>
      <c r="D290" s="86"/>
      <c r="E290" s="86"/>
      <c r="F290" s="117"/>
      <c r="G290" s="108"/>
      <c r="H290" s="110"/>
      <c r="I290" s="108"/>
      <c r="J290" s="110"/>
      <c r="K290" s="110"/>
      <c r="L290" s="118"/>
      <c r="M290" s="118"/>
      <c r="N290" s="118"/>
      <c r="O290" s="118"/>
      <c r="P290" s="110">
        <f t="shared" si="152"/>
        <v>0</v>
      </c>
    </row>
    <row r="291" spans="1:16" ht="12.75" thickBot="1" x14ac:dyDescent="0.25">
      <c r="A291" s="123" t="s">
        <v>87</v>
      </c>
      <c r="B291" s="123"/>
      <c r="C291" s="123"/>
      <c r="D291" s="123"/>
      <c r="E291" s="123"/>
      <c r="F291" s="124" t="e">
        <f>F287+F289</f>
        <v>#REF!</v>
      </c>
      <c r="G291" s="125" t="e">
        <f>F291/$F$292</f>
        <v>#REF!</v>
      </c>
      <c r="H291" s="124" t="e">
        <f>H287+H289</f>
        <v>#REF!</v>
      </c>
      <c r="I291" s="125" t="e">
        <f>H291/$H$292</f>
        <v>#REF!</v>
      </c>
      <c r="J291" s="124" t="e">
        <f>J287+J289</f>
        <v>#REF!</v>
      </c>
      <c r="K291" s="126">
        <f>K289</f>
        <v>0</v>
      </c>
      <c r="L291" s="126" t="e">
        <f>L289</f>
        <v>#REF!</v>
      </c>
      <c r="M291" s="126" t="e">
        <f>M289</f>
        <v>#REF!</v>
      </c>
      <c r="N291" s="126" t="e">
        <f>N289</f>
        <v>#REF!</v>
      </c>
      <c r="O291" s="126" t="e">
        <f>O289</f>
        <v>#REF!</v>
      </c>
      <c r="P291" s="127" t="e">
        <f t="shared" si="152"/>
        <v>#REF!</v>
      </c>
    </row>
    <row r="292" spans="1:16" ht="13.5" thickTop="1" thickBot="1" x14ac:dyDescent="0.25">
      <c r="A292" s="128" t="s">
        <v>82</v>
      </c>
      <c r="B292" s="128"/>
      <c r="C292" s="128"/>
      <c r="D292" s="128"/>
      <c r="E292" s="128"/>
      <c r="F292" s="129" t="e">
        <f>F291</f>
        <v>#REF!</v>
      </c>
      <c r="G292" s="130"/>
      <c r="H292" s="129" t="e">
        <f>H291</f>
        <v>#REF!</v>
      </c>
      <c r="I292" s="130"/>
      <c r="J292" s="131" t="e">
        <f>F292+H292</f>
        <v>#REF!</v>
      </c>
      <c r="K292" s="132" t="e">
        <f>K287+K291</f>
        <v>#REF!</v>
      </c>
      <c r="L292" s="132" t="e">
        <f>L287+L291</f>
        <v>#REF!</v>
      </c>
      <c r="M292" s="132" t="e">
        <f>M287+M291</f>
        <v>#REF!</v>
      </c>
      <c r="N292" s="132" t="e">
        <f>N287+N291</f>
        <v>#REF!</v>
      </c>
      <c r="O292" s="132" t="e">
        <f>O287+O291</f>
        <v>#REF!</v>
      </c>
      <c r="P292" s="133" t="e">
        <f t="shared" si="152"/>
        <v>#REF!</v>
      </c>
    </row>
    <row r="293" spans="1:16" ht="12.75" thickBot="1" x14ac:dyDescent="0.25">
      <c r="A293" s="134"/>
      <c r="B293" s="134"/>
      <c r="C293" s="134"/>
      <c r="D293" s="134"/>
      <c r="E293" s="134"/>
      <c r="F293" s="135"/>
      <c r="G293" s="134"/>
      <c r="H293" s="135"/>
      <c r="I293" s="134"/>
      <c r="J293" s="136"/>
      <c r="K293" s="137"/>
      <c r="L293" s="137"/>
      <c r="M293" s="137"/>
      <c r="N293" s="316" t="e">
        <f>F291-N292+L292</f>
        <v>#REF!</v>
      </c>
      <c r="O293" s="317" t="e">
        <f>H291-O292+M292</f>
        <v>#REF!</v>
      </c>
      <c r="P293" s="87"/>
    </row>
    <row r="294" spans="1:16" ht="12.75" thickBot="1" x14ac:dyDescent="0.25">
      <c r="J294" s="344"/>
      <c r="K294" s="345"/>
      <c r="L294" s="719" t="s">
        <v>472</v>
      </c>
      <c r="M294" s="346" t="s">
        <v>172</v>
      </c>
    </row>
    <row r="295" spans="1:16" ht="12.75" x14ac:dyDescent="0.2">
      <c r="H295" s="519">
        <v>6647247.6699999999</v>
      </c>
      <c r="J295" s="138" t="s">
        <v>171</v>
      </c>
      <c r="K295" s="514"/>
      <c r="L295" s="514">
        <f>'[39]10.Actuals'!$C$414</f>
        <v>-1706864.6407103227</v>
      </c>
      <c r="M295" s="347">
        <f>L295-K295</f>
        <v>-1706864.6407103227</v>
      </c>
      <c r="P295" s="82">
        <f>'1595 Continuity 2011'!H296</f>
        <v>0</v>
      </c>
    </row>
    <row r="296" spans="1:16" ht="12.75" thickBot="1" x14ac:dyDescent="0.25">
      <c r="G296" s="306"/>
      <c r="H296" s="306"/>
      <c r="I296" s="306"/>
      <c r="J296" s="139" t="s">
        <v>142</v>
      </c>
      <c r="K296" s="515"/>
      <c r="L296" s="515">
        <f>-'[39]16.JDE summarized'!$E$492</f>
        <v>0</v>
      </c>
      <c r="M296" s="348">
        <f>L296-K296</f>
        <v>0</v>
      </c>
    </row>
    <row r="297" spans="1:16" ht="12.75" thickBot="1" x14ac:dyDescent="0.25">
      <c r="G297" s="306"/>
      <c r="H297" s="307"/>
      <c r="I297" s="306"/>
      <c r="J297" s="349"/>
      <c r="K297" s="516">
        <f>SUM(K295:K296)</f>
        <v>0</v>
      </c>
      <c r="L297" s="516">
        <f>SUM(L295:L296)</f>
        <v>-1706864.6407103227</v>
      </c>
      <c r="M297" s="351">
        <f>SUM(M295:M296)</f>
        <v>-1706864.6407103227</v>
      </c>
    </row>
    <row r="305" spans="10:13" x14ac:dyDescent="0.2">
      <c r="J305" s="311" t="s">
        <v>83</v>
      </c>
      <c r="K305" s="713" t="e">
        <f>L265</f>
        <v>#REF!</v>
      </c>
      <c r="L305" s="1">
        <v>916070.93231563712</v>
      </c>
      <c r="M305" s="714" t="e">
        <f>K305-L305</f>
        <v>#REF!</v>
      </c>
    </row>
    <row r="306" spans="10:13" x14ac:dyDescent="0.2">
      <c r="J306" s="312" t="s">
        <v>84</v>
      </c>
      <c r="K306" s="713" t="e">
        <f>M265</f>
        <v>#REF!</v>
      </c>
      <c r="L306" s="1">
        <v>64681.902461602622</v>
      </c>
      <c r="M306" s="714" t="e">
        <f>K306-L306</f>
        <v>#REF!</v>
      </c>
    </row>
    <row r="307" spans="10:13" x14ac:dyDescent="0.2">
      <c r="J307" s="312" t="s">
        <v>98</v>
      </c>
      <c r="K307" s="713" t="e">
        <f>SUM(K305:K306)</f>
        <v>#REF!</v>
      </c>
      <c r="L307" s="1">
        <v>980752.83477723994</v>
      </c>
      <c r="M307" s="714" t="e">
        <f>K307-L307</f>
        <v>#REF!</v>
      </c>
    </row>
    <row r="309" spans="10:13" x14ac:dyDescent="0.2">
      <c r="J309" s="13" t="s">
        <v>458</v>
      </c>
      <c r="K309" s="318">
        <v>-1649040.87</v>
      </c>
      <c r="L309" s="318">
        <v>-1597491.8599999994</v>
      </c>
      <c r="M309" s="318">
        <f>L309-K309</f>
        <v>51549.010000000708</v>
      </c>
    </row>
    <row r="310" spans="10:13" x14ac:dyDescent="0.2">
      <c r="J310" s="13" t="s">
        <v>83</v>
      </c>
      <c r="K310" s="318">
        <v>-1637130.96</v>
      </c>
      <c r="L310" s="318">
        <v>-1585954.2541911711</v>
      </c>
      <c r="M310" s="318">
        <f>L310-K310</f>
        <v>51176.705808828818</v>
      </c>
    </row>
    <row r="311" spans="10:13" x14ac:dyDescent="0.2">
      <c r="J311" s="13" t="s">
        <v>84</v>
      </c>
      <c r="K311" s="318">
        <v>-11909.91</v>
      </c>
      <c r="L311" s="318">
        <v>-11537.605808828097</v>
      </c>
      <c r="M311" s="318">
        <f>L311-K311</f>
        <v>372.30419117190286</v>
      </c>
    </row>
  </sheetData>
  <phoneticPr fontId="18" type="noConversion"/>
  <pageMargins left="0.75" right="0.75" top="1" bottom="1" header="0.5" footer="0.5"/>
  <pageSetup scale="58" orientation="landscape" r:id="rId1"/>
  <headerFooter alignWithMargins="0"/>
  <drawing r:id="rId2"/>
  <legacyDrawing r:id="rId3"/>
  <oleObjects>
    <mc:AlternateContent xmlns:mc="http://schemas.openxmlformats.org/markup-compatibility/2006">
      <mc:Choice Requires="x14">
        <oleObject progId="Excel.Sheet.8" shapeId="11279" r:id="rId4">
          <objectPr defaultSize="0" r:id="rId5">
            <anchor moveWithCells="1">
              <from>
                <xdr:col>7</xdr:col>
                <xdr:colOff>9525</xdr:colOff>
                <xdr:row>94</xdr:row>
                <xdr:rowOff>57150</xdr:rowOff>
              </from>
              <to>
                <xdr:col>7</xdr:col>
                <xdr:colOff>838200</xdr:colOff>
                <xdr:row>95</xdr:row>
                <xdr:rowOff>66675</xdr:rowOff>
              </to>
            </anchor>
          </objectPr>
        </oleObject>
      </mc:Choice>
      <mc:Fallback>
        <oleObject progId="Excel.Sheet.8" shapeId="11279" r:id="rId4"/>
      </mc:Fallback>
    </mc:AlternateContent>
  </oleObjec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4"/>
  </sheetPr>
  <dimension ref="A1:AM366"/>
  <sheetViews>
    <sheetView topLeftCell="A80" zoomScale="75" zoomScaleNormal="75" workbookViewId="0">
      <selection activeCell="F110" sqref="F110"/>
    </sheetView>
  </sheetViews>
  <sheetFormatPr defaultRowHeight="12.75" x14ac:dyDescent="0.2"/>
  <cols>
    <col min="1" max="1" width="51.5703125" style="354" customWidth="1"/>
    <col min="2" max="2" width="11.85546875" style="354" customWidth="1"/>
    <col min="3" max="3" width="28.28515625" style="356" customWidth="1"/>
    <col min="4" max="6" width="20.7109375" style="356" customWidth="1"/>
    <col min="7" max="8" width="21.5703125" style="356" customWidth="1"/>
    <col min="9" max="10" width="21.5703125" style="356" hidden="1" customWidth="1"/>
    <col min="11" max="11" width="18" style="356" hidden="1" customWidth="1"/>
    <col min="12" max="12" width="17.5703125" style="356" hidden="1" customWidth="1"/>
    <col min="13" max="16" width="21.5703125" style="356" customWidth="1"/>
    <col min="17" max="19" width="19.7109375" style="356" customWidth="1"/>
    <col min="20" max="20" width="21.5703125" style="356" customWidth="1"/>
    <col min="21" max="21" width="19.28515625" style="356" customWidth="1"/>
    <col min="22" max="22" width="19.140625" style="354" customWidth="1"/>
    <col min="23" max="23" width="20.140625" style="354" hidden="1" customWidth="1"/>
    <col min="24" max="24" width="20.42578125" style="354" customWidth="1"/>
    <col min="25" max="26" width="0" style="354" hidden="1" customWidth="1"/>
    <col min="27" max="27" width="21.5703125" style="354" hidden="1" customWidth="1"/>
    <col min="28" max="28" width="12.7109375" style="354" hidden="1" customWidth="1"/>
    <col min="29" max="29" width="0" style="354" hidden="1" customWidth="1"/>
    <col min="30" max="30" width="22.85546875" style="354" hidden="1" customWidth="1"/>
    <col min="31" max="31" width="18.28515625" style="354" hidden="1" customWidth="1"/>
    <col min="32" max="35" width="9.140625" style="354"/>
    <col min="36" max="36" width="19.85546875" style="354" customWidth="1"/>
    <col min="37" max="37" width="24.85546875" style="354" customWidth="1"/>
    <col min="38" max="38" width="12.42578125" style="354" customWidth="1"/>
    <col min="39" max="39" width="14.140625" style="354" customWidth="1"/>
    <col min="40" max="16384" width="9.140625" style="354"/>
  </cols>
  <sheetData>
    <row r="1" spans="1:39" ht="18.75" x14ac:dyDescent="0.3">
      <c r="A1" s="353" t="s">
        <v>57</v>
      </c>
      <c r="C1" s="355"/>
    </row>
    <row r="2" spans="1:39" ht="18.75" x14ac:dyDescent="0.3">
      <c r="A2" s="353" t="s">
        <v>180</v>
      </c>
      <c r="C2" s="355"/>
    </row>
    <row r="3" spans="1:39" ht="19.5" thickBot="1" x14ac:dyDescent="0.35">
      <c r="A3" s="357" t="s">
        <v>181</v>
      </c>
      <c r="C3" s="355"/>
    </row>
    <row r="4" spans="1:39" ht="16.5" thickBot="1" x14ac:dyDescent="0.3">
      <c r="A4" s="358"/>
      <c r="B4" s="359"/>
      <c r="C4" s="360"/>
      <c r="D4" s="361" t="s">
        <v>182</v>
      </c>
      <c r="E4" s="361" t="s">
        <v>183</v>
      </c>
      <c r="F4" s="361"/>
      <c r="G4" s="361" t="s">
        <v>184</v>
      </c>
      <c r="H4" s="361"/>
      <c r="I4" s="361"/>
      <c r="J4" s="361"/>
      <c r="K4" s="361"/>
      <c r="L4" s="361"/>
      <c r="M4" s="361"/>
      <c r="N4" s="361"/>
      <c r="O4" s="361"/>
      <c r="P4" s="361"/>
      <c r="Q4" s="361"/>
      <c r="R4" s="361"/>
      <c r="S4" s="361"/>
      <c r="T4" s="361"/>
      <c r="U4" s="361"/>
      <c r="V4" s="362"/>
      <c r="W4" s="362"/>
      <c r="AB4" s="354" t="s">
        <v>185</v>
      </c>
    </row>
    <row r="5" spans="1:39" ht="33.75" customHeight="1" thickBot="1" x14ac:dyDescent="0.25">
      <c r="A5" s="363" t="s">
        <v>186</v>
      </c>
      <c r="B5" s="359"/>
      <c r="C5" s="364" t="s">
        <v>187</v>
      </c>
      <c r="D5" s="365" t="s">
        <v>188</v>
      </c>
      <c r="E5" s="365" t="s">
        <v>189</v>
      </c>
      <c r="F5" s="365" t="s">
        <v>190</v>
      </c>
      <c r="G5" s="366" t="s">
        <v>191</v>
      </c>
      <c r="H5" s="365" t="s">
        <v>169</v>
      </c>
      <c r="I5" s="365" t="s">
        <v>192</v>
      </c>
      <c r="J5" s="366" t="s">
        <v>193</v>
      </c>
      <c r="K5" s="365" t="s">
        <v>169</v>
      </c>
      <c r="L5" s="365" t="s">
        <v>194</v>
      </c>
      <c r="M5" s="365" t="s">
        <v>195</v>
      </c>
      <c r="N5" s="365" t="s">
        <v>196</v>
      </c>
      <c r="O5" s="365" t="s">
        <v>197</v>
      </c>
      <c r="P5" s="365" t="s">
        <v>198</v>
      </c>
      <c r="Q5" s="366" t="s">
        <v>199</v>
      </c>
      <c r="R5" s="365" t="s">
        <v>200</v>
      </c>
      <c r="S5" s="366" t="s">
        <v>201</v>
      </c>
      <c r="T5" s="365" t="s">
        <v>202</v>
      </c>
      <c r="U5" s="366" t="s">
        <v>203</v>
      </c>
      <c r="V5" s="367" t="s">
        <v>204</v>
      </c>
      <c r="W5" s="367" t="s">
        <v>205</v>
      </c>
      <c r="Y5" s="368" t="s">
        <v>206</v>
      </c>
      <c r="Z5" s="369" t="s">
        <v>207</v>
      </c>
      <c r="AA5" s="369" t="s">
        <v>208</v>
      </c>
      <c r="AB5" s="369" t="s">
        <v>209</v>
      </c>
      <c r="AC5" s="369" t="s">
        <v>210</v>
      </c>
      <c r="AD5" s="369" t="s">
        <v>211</v>
      </c>
      <c r="AE5" s="370" t="s">
        <v>212</v>
      </c>
      <c r="AG5" s="354">
        <v>10</v>
      </c>
      <c r="AI5" s="354">
        <v>134005</v>
      </c>
      <c r="AJ5" s="354" t="s">
        <v>213</v>
      </c>
      <c r="AK5" s="354" t="s">
        <v>214</v>
      </c>
      <c r="AL5" s="371">
        <v>30466.62</v>
      </c>
      <c r="AM5" s="371">
        <v>892583.19</v>
      </c>
    </row>
    <row r="6" spans="1:39" ht="18" customHeight="1" x14ac:dyDescent="0.2">
      <c r="A6" s="372"/>
      <c r="B6" s="373"/>
      <c r="C6" s="374"/>
      <c r="D6" s="375"/>
      <c r="E6" s="376"/>
      <c r="F6" s="376"/>
      <c r="G6" s="376"/>
      <c r="H6" s="376"/>
      <c r="I6" s="376"/>
      <c r="J6" s="376"/>
      <c r="K6" s="376"/>
      <c r="L6" s="376"/>
      <c r="M6" s="376"/>
      <c r="N6" s="376"/>
      <c r="O6" s="376"/>
      <c r="P6" s="376"/>
      <c r="Q6" s="376"/>
      <c r="R6" s="376"/>
      <c r="S6" s="376"/>
      <c r="T6" s="376"/>
      <c r="U6" s="376"/>
      <c r="V6" s="377"/>
      <c r="W6" s="377"/>
      <c r="Y6" s="378" t="s">
        <v>215</v>
      </c>
      <c r="Z6" s="379" t="s">
        <v>216</v>
      </c>
      <c r="AA6" s="379" t="str">
        <f>CONCATENATE(Z6,".",AB6,".",AC6)</f>
        <v>10.135155.</v>
      </c>
      <c r="AB6" s="379" t="s">
        <v>217</v>
      </c>
      <c r="AC6" s="379" t="s">
        <v>218</v>
      </c>
      <c r="AD6" s="379" t="s">
        <v>219</v>
      </c>
      <c r="AE6" s="380">
        <v>-1794462.94</v>
      </c>
      <c r="AG6" s="354">
        <v>10</v>
      </c>
      <c r="AI6" s="354">
        <v>134005</v>
      </c>
      <c r="AJ6" s="354" t="s">
        <v>220</v>
      </c>
      <c r="AK6" s="354" t="s">
        <v>221</v>
      </c>
      <c r="AL6" s="354">
        <v>639.41</v>
      </c>
      <c r="AM6" s="371">
        <v>2782.8</v>
      </c>
    </row>
    <row r="7" spans="1:39" x14ac:dyDescent="0.2">
      <c r="A7" s="381" t="s">
        <v>222</v>
      </c>
      <c r="B7" s="373"/>
      <c r="C7" s="382"/>
      <c r="D7" s="383" t="s">
        <v>31</v>
      </c>
      <c r="E7" s="383" t="s">
        <v>31</v>
      </c>
      <c r="F7" s="383"/>
      <c r="G7" s="383" t="s">
        <v>31</v>
      </c>
      <c r="H7" s="383"/>
      <c r="I7" s="383"/>
      <c r="J7" s="383"/>
      <c r="K7" s="383"/>
      <c r="L7" s="383"/>
      <c r="M7" s="383"/>
      <c r="N7" s="383"/>
      <c r="O7" s="383"/>
      <c r="P7" s="383"/>
      <c r="Q7" s="383"/>
      <c r="R7" s="383"/>
      <c r="S7" s="383"/>
      <c r="T7" s="383"/>
      <c r="U7" s="383"/>
      <c r="V7" s="384"/>
      <c r="W7" s="384"/>
      <c r="Y7" s="378" t="s">
        <v>215</v>
      </c>
      <c r="Z7" s="379" t="s">
        <v>216</v>
      </c>
      <c r="AA7" s="379" t="str">
        <f>CONCATENATE(Z7,".",AB7,".",AC7)</f>
        <v>10.135155.CARRYCHG</v>
      </c>
      <c r="AB7" s="379" t="s">
        <v>217</v>
      </c>
      <c r="AC7" s="379" t="s">
        <v>223</v>
      </c>
      <c r="AD7" s="379" t="s">
        <v>224</v>
      </c>
      <c r="AE7" s="380">
        <v>318725.23</v>
      </c>
      <c r="AG7" s="354">
        <v>10</v>
      </c>
      <c r="AI7" s="354">
        <v>134005</v>
      </c>
      <c r="AJ7" s="354" t="s">
        <v>225</v>
      </c>
      <c r="AK7" s="354" t="s">
        <v>226</v>
      </c>
      <c r="AL7" s="371">
        <v>-9518.44</v>
      </c>
      <c r="AM7" s="371">
        <v>44036.28</v>
      </c>
    </row>
    <row r="8" spans="1:39" ht="12.75" customHeight="1" x14ac:dyDescent="0.2">
      <c r="A8" s="385" t="s">
        <v>227</v>
      </c>
      <c r="B8" s="386" t="s">
        <v>228</v>
      </c>
      <c r="C8" s="387">
        <v>10.135154999999999</v>
      </c>
      <c r="D8" s="383">
        <v>-3365064.88</v>
      </c>
      <c r="E8" s="383">
        <v>-1819063.78</v>
      </c>
      <c r="F8" s="383">
        <f>G8-E8</f>
        <v>-260928.54000000004</v>
      </c>
      <c r="G8" s="383">
        <v>-2079992.32</v>
      </c>
      <c r="H8" s="383">
        <v>0</v>
      </c>
      <c r="I8" s="383">
        <f>J8-H8-G8</f>
        <v>350544.32000000007</v>
      </c>
      <c r="J8" s="383">
        <v>-1729448</v>
      </c>
      <c r="K8" s="383">
        <v>0</v>
      </c>
      <c r="L8" s="383">
        <v>-56703.129999999888</v>
      </c>
      <c r="M8" s="383">
        <v>-1786151.13</v>
      </c>
      <c r="N8" s="383">
        <v>65892.579999999842</v>
      </c>
      <c r="O8" s="383">
        <v>-1720258.55</v>
      </c>
      <c r="P8" s="383">
        <f>Q8-O8</f>
        <v>-74204.389999999898</v>
      </c>
      <c r="Q8" s="383">
        <v>-1794462.94</v>
      </c>
      <c r="R8" s="383">
        <v>-310712.78000000003</v>
      </c>
      <c r="S8" s="383">
        <v>-2105175.7200000002</v>
      </c>
      <c r="T8" s="383">
        <f>U8-S8</f>
        <v>-35972.119999999646</v>
      </c>
      <c r="U8" s="383">
        <v>-2141147.84</v>
      </c>
      <c r="V8" s="376">
        <f>+U8-E8</f>
        <v>-322084.05999999982</v>
      </c>
      <c r="W8" s="376">
        <f>U8-M8</f>
        <v>-354996.70999999996</v>
      </c>
      <c r="Y8" s="378" t="s">
        <v>215</v>
      </c>
      <c r="Z8" s="379" t="s">
        <v>216</v>
      </c>
      <c r="AA8" s="379" t="str">
        <f>CONCATENATE(Z8,".",AB8,".",AC8)</f>
        <v>10.135155.SMSAR</v>
      </c>
      <c r="AB8" s="379" t="s">
        <v>217</v>
      </c>
      <c r="AC8" s="379" t="s">
        <v>229</v>
      </c>
      <c r="AD8" s="379" t="s">
        <v>230</v>
      </c>
      <c r="AE8" s="380">
        <v>8569569.5</v>
      </c>
      <c r="AG8" s="354">
        <v>10</v>
      </c>
      <c r="AI8" s="354">
        <v>134005</v>
      </c>
      <c r="AJ8" s="354" t="s">
        <v>231</v>
      </c>
      <c r="AK8" s="354" t="s">
        <v>232</v>
      </c>
      <c r="AL8" s="354">
        <v>39.72</v>
      </c>
      <c r="AM8" s="354">
        <v>166.56</v>
      </c>
    </row>
    <row r="9" spans="1:39" ht="9" customHeight="1" x14ac:dyDescent="0.2">
      <c r="A9" s="385"/>
      <c r="B9" s="386"/>
      <c r="C9" s="387"/>
      <c r="D9" s="383"/>
      <c r="E9" s="383"/>
      <c r="F9" s="383"/>
      <c r="G9" s="383"/>
      <c r="H9" s="383"/>
      <c r="I9" s="383"/>
      <c r="J9" s="383"/>
      <c r="K9" s="383"/>
      <c r="L9" s="383"/>
      <c r="M9" s="383"/>
      <c r="N9" s="383"/>
      <c r="O9" s="383"/>
      <c r="P9" s="383"/>
      <c r="Q9" s="383"/>
      <c r="R9" s="383"/>
      <c r="S9" s="383"/>
      <c r="T9" s="383"/>
      <c r="U9" s="383"/>
      <c r="V9" s="376"/>
      <c r="W9" s="376"/>
      <c r="Y9" s="378" t="s">
        <v>215</v>
      </c>
      <c r="Z9" s="379" t="s">
        <v>216</v>
      </c>
      <c r="AA9" s="379" t="str">
        <f>CONCATENATE(Z9,".",AB9,".",AC9)</f>
        <v>10.135160.</v>
      </c>
      <c r="AB9" s="379" t="s">
        <v>233</v>
      </c>
      <c r="AC9" s="379" t="s">
        <v>218</v>
      </c>
      <c r="AD9" s="379" t="s">
        <v>234</v>
      </c>
      <c r="AE9" s="380">
        <v>-90838.25</v>
      </c>
      <c r="AG9" s="354">
        <v>10</v>
      </c>
      <c r="AI9" s="354">
        <v>134021</v>
      </c>
      <c r="AJ9" s="354" t="s">
        <v>223</v>
      </c>
      <c r="AK9" s="354" t="s">
        <v>235</v>
      </c>
      <c r="AL9" s="371">
        <v>2236.5700000000002</v>
      </c>
      <c r="AM9" s="371">
        <v>2236.5700000000002</v>
      </c>
    </row>
    <row r="10" spans="1:39" x14ac:dyDescent="0.2">
      <c r="A10" s="385" t="s">
        <v>236</v>
      </c>
      <c r="B10" s="386" t="s">
        <v>229</v>
      </c>
      <c r="C10" s="387">
        <v>10.135154999999999</v>
      </c>
      <c r="D10" s="383">
        <v>3927415</v>
      </c>
      <c r="E10" s="383">
        <v>7562280.5</v>
      </c>
      <c r="F10" s="383">
        <f>G10-E10</f>
        <v>166059</v>
      </c>
      <c r="G10" s="383">
        <v>7728339.5</v>
      </c>
      <c r="H10" s="383">
        <v>0</v>
      </c>
      <c r="I10" s="383">
        <f>J10-H10-G10</f>
        <v>236151</v>
      </c>
      <c r="J10" s="383">
        <v>7964490.5</v>
      </c>
      <c r="K10" s="383">
        <v>0</v>
      </c>
      <c r="L10" s="383">
        <v>230319</v>
      </c>
      <c r="M10" s="383">
        <v>8194809.5</v>
      </c>
      <c r="N10" s="383">
        <v>179667</v>
      </c>
      <c r="O10" s="383">
        <v>8374476.5</v>
      </c>
      <c r="P10" s="383">
        <f>Q10-O10</f>
        <v>195093</v>
      </c>
      <c r="Q10" s="383">
        <v>8569569.5</v>
      </c>
      <c r="R10" s="383">
        <v>298044</v>
      </c>
      <c r="S10" s="383">
        <v>8867613.5</v>
      </c>
      <c r="T10" s="383">
        <f>U10-S10</f>
        <v>198963</v>
      </c>
      <c r="U10" s="383">
        <v>9066576.5</v>
      </c>
      <c r="V10" s="376">
        <f>+U10-E10</f>
        <v>1504296</v>
      </c>
      <c r="W10" s="376">
        <f>U10-M10</f>
        <v>871767</v>
      </c>
      <c r="Y10" s="378" t="s">
        <v>215</v>
      </c>
      <c r="Z10" s="379" t="s">
        <v>216</v>
      </c>
      <c r="AA10" s="379" t="str">
        <f>CONCATENATE(Z10,".",AB10,".",AC10)</f>
        <v>10.135160.CARRYCHG</v>
      </c>
      <c r="AB10" s="379" t="s">
        <v>233</v>
      </c>
      <c r="AC10" s="379" t="s">
        <v>223</v>
      </c>
      <c r="AD10" s="379" t="s">
        <v>237</v>
      </c>
      <c r="AE10" s="380">
        <v>122187.54</v>
      </c>
      <c r="AG10" s="354">
        <v>10</v>
      </c>
      <c r="AI10" s="354">
        <v>134021</v>
      </c>
      <c r="AJ10" s="354" t="s">
        <v>238</v>
      </c>
      <c r="AK10" s="354" t="s">
        <v>239</v>
      </c>
      <c r="AL10" s="354">
        <v>0</v>
      </c>
      <c r="AM10" s="371">
        <v>3015604</v>
      </c>
    </row>
    <row r="11" spans="1:39" x14ac:dyDescent="0.2">
      <c r="A11" s="385" t="s">
        <v>236</v>
      </c>
      <c r="B11" s="386" t="s">
        <v>240</v>
      </c>
      <c r="C11" s="387">
        <v>10.135154999999999</v>
      </c>
      <c r="D11" s="383"/>
      <c r="E11" s="383">
        <v>0</v>
      </c>
      <c r="F11" s="383">
        <f>G11-E11</f>
        <v>0</v>
      </c>
      <c r="G11" s="383"/>
      <c r="H11" s="383"/>
      <c r="I11" s="383"/>
      <c r="J11" s="383"/>
      <c r="K11" s="383"/>
      <c r="L11" s="383"/>
      <c r="M11" s="383">
        <v>0</v>
      </c>
      <c r="N11" s="383"/>
      <c r="O11" s="383"/>
      <c r="P11" s="383"/>
      <c r="Q11" s="383">
        <v>0</v>
      </c>
      <c r="R11" s="383">
        <v>24022.07</v>
      </c>
      <c r="S11" s="383">
        <v>24022.07</v>
      </c>
      <c r="T11" s="383">
        <f>U11-S11</f>
        <v>0</v>
      </c>
      <c r="U11" s="383">
        <v>24022.07</v>
      </c>
      <c r="V11" s="376">
        <f>+U11-E11</f>
        <v>24022.07</v>
      </c>
      <c r="W11" s="376">
        <f>U11-M11</f>
        <v>24022.07</v>
      </c>
      <c r="Y11" s="378"/>
      <c r="Z11" s="379"/>
      <c r="AA11" s="379"/>
      <c r="AB11" s="379"/>
      <c r="AC11" s="379"/>
      <c r="AD11" s="379"/>
      <c r="AE11" s="380"/>
      <c r="AG11" s="354">
        <v>10</v>
      </c>
      <c r="AI11" s="354">
        <v>134380</v>
      </c>
      <c r="AK11" s="354" t="s">
        <v>241</v>
      </c>
      <c r="AL11" s="371">
        <v>1918.91</v>
      </c>
      <c r="AM11" s="371">
        <v>35616.61</v>
      </c>
    </row>
    <row r="12" spans="1:39" x14ac:dyDescent="0.2">
      <c r="A12" s="385" t="s">
        <v>242</v>
      </c>
      <c r="B12" s="386" t="s">
        <v>243</v>
      </c>
      <c r="C12" s="387">
        <v>10.135154999999999</v>
      </c>
      <c r="D12" s="383">
        <v>285345.31</v>
      </c>
      <c r="E12" s="383">
        <v>321095.63</v>
      </c>
      <c r="F12" s="383">
        <f>G12-E12</f>
        <v>-833.73999999999069</v>
      </c>
      <c r="G12" s="383">
        <v>320261.89</v>
      </c>
      <c r="H12" s="383">
        <v>0</v>
      </c>
      <c r="I12" s="383">
        <f>J12-H12-G12</f>
        <v>-319.40000000002328</v>
      </c>
      <c r="J12" s="383">
        <v>319942.49</v>
      </c>
      <c r="K12" s="383">
        <v>0</v>
      </c>
      <c r="L12" s="383">
        <v>-918.52999999996973</v>
      </c>
      <c r="M12" s="383">
        <v>319023.96000000002</v>
      </c>
      <c r="N12" s="383">
        <v>-254.49000000004889</v>
      </c>
      <c r="O12" s="383">
        <v>318769.46999999997</v>
      </c>
      <c r="P12" s="383">
        <f>Q12-O12</f>
        <v>-44.239999999990687</v>
      </c>
      <c r="Q12" s="383">
        <v>318725.23</v>
      </c>
      <c r="R12" s="383">
        <v>495.42999999999302</v>
      </c>
      <c r="S12" s="383">
        <v>319220.65999999997</v>
      </c>
      <c r="T12" s="383">
        <f>U12-S12</f>
        <v>766.32000000000698</v>
      </c>
      <c r="U12" s="383">
        <v>319986.98</v>
      </c>
      <c r="V12" s="376">
        <f>+U12-E12</f>
        <v>-1108.6500000000233</v>
      </c>
      <c r="W12" s="376">
        <f>U12-M12</f>
        <v>963.01999999996042</v>
      </c>
      <c r="Y12" s="378" t="s">
        <v>215</v>
      </c>
      <c r="Z12" s="379" t="s">
        <v>216</v>
      </c>
      <c r="AA12" s="379" t="str">
        <f t="shared" ref="AA12:AA17" si="0">CONCATENATE(Z12,".",AB12,".",AC12)</f>
        <v>10.134005.IFRS</v>
      </c>
      <c r="AB12" s="379" t="s">
        <v>244</v>
      </c>
      <c r="AC12" s="379" t="s">
        <v>213</v>
      </c>
      <c r="AD12" s="379" t="s">
        <v>214</v>
      </c>
      <c r="AE12" s="380">
        <v>807724.3</v>
      </c>
      <c r="AG12" s="354">
        <v>10</v>
      </c>
      <c r="AI12" s="354">
        <v>134380</v>
      </c>
      <c r="AJ12" s="354" t="s">
        <v>223</v>
      </c>
      <c r="AK12" s="354" t="s">
        <v>245</v>
      </c>
      <c r="AL12" s="354">
        <v>25</v>
      </c>
      <c r="AM12" s="371">
        <v>7925.84</v>
      </c>
    </row>
    <row r="13" spans="1:39" x14ac:dyDescent="0.2">
      <c r="A13" s="385"/>
      <c r="B13" s="386"/>
      <c r="C13" s="382"/>
      <c r="D13" s="383"/>
      <c r="E13" s="383"/>
      <c r="F13" s="383"/>
      <c r="G13" s="383"/>
      <c r="H13" s="383"/>
      <c r="I13" s="383"/>
      <c r="J13" s="383"/>
      <c r="K13" s="383"/>
      <c r="L13" s="383"/>
      <c r="M13" s="383"/>
      <c r="N13" s="383"/>
      <c r="O13" s="383"/>
      <c r="P13" s="383"/>
      <c r="Q13" s="383"/>
      <c r="R13" s="383"/>
      <c r="S13" s="383"/>
      <c r="T13" s="383"/>
      <c r="U13" s="383"/>
      <c r="V13" s="384"/>
      <c r="W13" s="384"/>
      <c r="Y13" s="378" t="s">
        <v>215</v>
      </c>
      <c r="Z13" s="379" t="s">
        <v>216</v>
      </c>
      <c r="AA13" s="379" t="str">
        <f t="shared" si="0"/>
        <v>10.134005.IFRSCARR</v>
      </c>
      <c r="AB13" s="379" t="s">
        <v>244</v>
      </c>
      <c r="AC13" s="379" t="s">
        <v>220</v>
      </c>
      <c r="AD13" s="379" t="s">
        <v>221</v>
      </c>
      <c r="AE13" s="380">
        <v>1773.18</v>
      </c>
      <c r="AG13" s="354">
        <v>10</v>
      </c>
      <c r="AI13" s="354">
        <v>134390</v>
      </c>
      <c r="AK13" s="354" t="s">
        <v>246</v>
      </c>
      <c r="AL13" s="371">
        <v>3292</v>
      </c>
      <c r="AM13" s="371">
        <v>207183.78</v>
      </c>
    </row>
    <row r="14" spans="1:39" x14ac:dyDescent="0.2">
      <c r="A14" s="385" t="s">
        <v>247</v>
      </c>
      <c r="B14" s="386" t="s">
        <v>228</v>
      </c>
      <c r="C14" s="387">
        <v>10.135160000000001</v>
      </c>
      <c r="D14" s="383">
        <v>1418790.78</v>
      </c>
      <c r="E14" s="383">
        <v>194824.15</v>
      </c>
      <c r="F14" s="383">
        <f>G14-E14</f>
        <v>128034.29000000001</v>
      </c>
      <c r="G14" s="383">
        <v>322858.44</v>
      </c>
      <c r="H14" s="383">
        <v>0</v>
      </c>
      <c r="I14" s="383">
        <f>J14-H14-G14</f>
        <v>70728.44</v>
      </c>
      <c r="J14" s="383">
        <v>393586.88</v>
      </c>
      <c r="K14" s="383">
        <v>0</v>
      </c>
      <c r="L14" s="383">
        <v>-233669.48</v>
      </c>
      <c r="M14" s="383">
        <v>159917.4</v>
      </c>
      <c r="N14" s="383">
        <v>-82236.53</v>
      </c>
      <c r="O14" s="383">
        <v>77680.87</v>
      </c>
      <c r="P14" s="383">
        <f>Q14-O14</f>
        <v>-168519.12</v>
      </c>
      <c r="Q14" s="383">
        <v>-90838.25</v>
      </c>
      <c r="R14" s="383">
        <v>423931.39</v>
      </c>
      <c r="S14" s="383">
        <v>333093.14</v>
      </c>
      <c r="T14" s="383">
        <f>U14-S14</f>
        <v>48100.539999999979</v>
      </c>
      <c r="U14" s="383">
        <f>AM45</f>
        <v>381193.68</v>
      </c>
      <c r="V14" s="376">
        <f>+U14-E14</f>
        <v>186369.53</v>
      </c>
      <c r="W14" s="376">
        <f>U14-M14</f>
        <v>221276.28</v>
      </c>
      <c r="Y14" s="378" t="s">
        <v>215</v>
      </c>
      <c r="Z14" s="379" t="s">
        <v>216</v>
      </c>
      <c r="AA14" s="379" t="str">
        <f t="shared" si="0"/>
        <v>10.134005.INCRCAP</v>
      </c>
      <c r="AB14" s="379" t="s">
        <v>244</v>
      </c>
      <c r="AC14" s="379" t="s">
        <v>225</v>
      </c>
      <c r="AD14" s="379" t="s">
        <v>226</v>
      </c>
      <c r="AE14" s="380">
        <v>49048.959999999999</v>
      </c>
      <c r="AG14" s="354">
        <v>10</v>
      </c>
      <c r="AI14" s="354">
        <v>134390</v>
      </c>
      <c r="AJ14" s="354" t="s">
        <v>223</v>
      </c>
      <c r="AK14" s="354" t="s">
        <v>248</v>
      </c>
      <c r="AL14" s="354">
        <v>151</v>
      </c>
      <c r="AM14" s="371">
        <v>20149.87</v>
      </c>
    </row>
    <row r="15" spans="1:39" x14ac:dyDescent="0.2">
      <c r="A15" s="385" t="s">
        <v>249</v>
      </c>
      <c r="B15" s="386" t="s">
        <v>243</v>
      </c>
      <c r="C15" s="387">
        <v>10.135160000000001</v>
      </c>
      <c r="D15" s="383">
        <v>104723.75</v>
      </c>
      <c r="E15" s="383">
        <v>120913.45</v>
      </c>
      <c r="F15" s="383">
        <f>G15-E15</f>
        <v>291.88000000000466</v>
      </c>
      <c r="G15" s="383">
        <v>121205.33</v>
      </c>
      <c r="H15" s="383">
        <v>0</v>
      </c>
      <c r="I15" s="383">
        <f>J15-H15-G15</f>
        <v>350.31999999999243</v>
      </c>
      <c r="J15" s="383">
        <v>121555.65</v>
      </c>
      <c r="K15" s="383">
        <v>0</v>
      </c>
      <c r="L15" s="383">
        <v>-231.04999999998836</v>
      </c>
      <c r="M15" s="383">
        <v>121324.6</v>
      </c>
      <c r="N15" s="383">
        <v>155.84999999999127</v>
      </c>
      <c r="O15" s="383">
        <v>121480.45</v>
      </c>
      <c r="P15" s="383">
        <f>Q15-O15</f>
        <v>707.08999999999651</v>
      </c>
      <c r="Q15" s="383">
        <v>122187.54</v>
      </c>
      <c r="R15" s="383">
        <v>160.45000000001164</v>
      </c>
      <c r="S15" s="383">
        <v>122347.99</v>
      </c>
      <c r="T15" s="383">
        <f>U15-S15</f>
        <v>355.04999999998836</v>
      </c>
      <c r="U15" s="383">
        <v>122703.03999999999</v>
      </c>
      <c r="V15" s="376">
        <f>+U15-E15</f>
        <v>1789.5899999999965</v>
      </c>
      <c r="W15" s="376">
        <f>U15-M15</f>
        <v>1378.4399999999878</v>
      </c>
      <c r="Y15" s="378" t="s">
        <v>215</v>
      </c>
      <c r="Z15" s="379" t="s">
        <v>216</v>
      </c>
      <c r="AA15" s="379" t="str">
        <f t="shared" si="0"/>
        <v>10.134005.INCRCARR</v>
      </c>
      <c r="AB15" s="379" t="s">
        <v>244</v>
      </c>
      <c r="AC15" s="379" t="s">
        <v>231</v>
      </c>
      <c r="AD15" s="379" t="s">
        <v>232</v>
      </c>
      <c r="AE15" s="380">
        <v>104.36</v>
      </c>
      <c r="AG15" s="354">
        <v>10</v>
      </c>
      <c r="AI15" s="354">
        <v>134505</v>
      </c>
      <c r="AK15" s="354" t="s">
        <v>250</v>
      </c>
      <c r="AL15" s="354">
        <v>0</v>
      </c>
      <c r="AM15" s="371">
        <v>-61972.01</v>
      </c>
    </row>
    <row r="16" spans="1:39" x14ac:dyDescent="0.2">
      <c r="A16" s="385"/>
      <c r="B16" s="386"/>
      <c r="C16" s="387"/>
      <c r="D16" s="383"/>
      <c r="E16" s="383"/>
      <c r="F16" s="383"/>
      <c r="G16" s="383"/>
      <c r="H16" s="383"/>
      <c r="I16" s="383"/>
      <c r="J16" s="383"/>
      <c r="K16" s="383"/>
      <c r="L16" s="383"/>
      <c r="M16" s="383"/>
      <c r="N16" s="383"/>
      <c r="O16" s="383"/>
      <c r="P16" s="383"/>
      <c r="Q16" s="383"/>
      <c r="R16" s="383"/>
      <c r="S16" s="383"/>
      <c r="T16" s="383"/>
      <c r="U16" s="383"/>
      <c r="V16" s="376"/>
      <c r="W16" s="376"/>
      <c r="Y16" s="378" t="s">
        <v>215</v>
      </c>
      <c r="Z16" s="379" t="s">
        <v>216</v>
      </c>
      <c r="AA16" s="379" t="str">
        <f t="shared" si="0"/>
        <v>10.135010.</v>
      </c>
      <c r="AB16" s="379" t="s">
        <v>251</v>
      </c>
      <c r="AC16" s="379" t="s">
        <v>218</v>
      </c>
      <c r="AD16" s="379" t="s">
        <v>252</v>
      </c>
      <c r="AE16" s="380">
        <v>914035.97</v>
      </c>
      <c r="AG16" s="354">
        <v>10</v>
      </c>
      <c r="AI16" s="354">
        <v>134505</v>
      </c>
      <c r="AJ16" s="354" t="s">
        <v>223</v>
      </c>
      <c r="AK16" s="354" t="s">
        <v>253</v>
      </c>
      <c r="AL16" s="354">
        <v>-45.96</v>
      </c>
      <c r="AM16" s="371">
        <v>-28943.1</v>
      </c>
    </row>
    <row r="17" spans="1:39" x14ac:dyDescent="0.2">
      <c r="A17" s="385" t="s">
        <v>254</v>
      </c>
      <c r="B17" s="386" t="s">
        <v>255</v>
      </c>
      <c r="C17" s="387">
        <v>10.134005</v>
      </c>
      <c r="D17" s="383">
        <v>0</v>
      </c>
      <c r="E17" s="383">
        <v>490588.36</v>
      </c>
      <c r="F17" s="383">
        <f>G17-E17</f>
        <v>73243.719999999972</v>
      </c>
      <c r="G17" s="383">
        <v>563832.07999999996</v>
      </c>
      <c r="H17" s="383">
        <v>0</v>
      </c>
      <c r="I17" s="383">
        <f>J17-H17-G17</f>
        <v>68033.650000000023</v>
      </c>
      <c r="J17" s="383">
        <v>631865.73</v>
      </c>
      <c r="K17" s="383">
        <v>0</v>
      </c>
      <c r="L17" s="383">
        <v>55395.09</v>
      </c>
      <c r="M17" s="383">
        <v>687260.82</v>
      </c>
      <c r="N17" s="383">
        <v>55111.25</v>
      </c>
      <c r="O17" s="383">
        <v>742372.07</v>
      </c>
      <c r="P17" s="383">
        <f>Q17-O17</f>
        <v>65352.230000000098</v>
      </c>
      <c r="Q17" s="383">
        <v>807724.3</v>
      </c>
      <c r="R17" s="383">
        <v>54392.269999999902</v>
      </c>
      <c r="S17" s="383">
        <v>862116.57</v>
      </c>
      <c r="T17" s="383">
        <f>U17-S17</f>
        <v>30466.619999999995</v>
      </c>
      <c r="U17" s="383">
        <v>892583.19</v>
      </c>
      <c r="V17" s="376">
        <f>+U17-E17</f>
        <v>401994.82999999996</v>
      </c>
      <c r="W17" s="376">
        <f>U17-M17</f>
        <v>205322.37</v>
      </c>
      <c r="Y17" s="378" t="s">
        <v>215</v>
      </c>
      <c r="Z17" s="379" t="s">
        <v>216</v>
      </c>
      <c r="AA17" s="379" t="str">
        <f t="shared" si="0"/>
        <v>10.135010.CARRYCHG</v>
      </c>
      <c r="AB17" s="379" t="s">
        <v>251</v>
      </c>
      <c r="AC17" s="379" t="s">
        <v>223</v>
      </c>
      <c r="AD17" s="379" t="s">
        <v>256</v>
      </c>
      <c r="AE17" s="380">
        <v>4354.18</v>
      </c>
      <c r="AG17" s="354">
        <v>10</v>
      </c>
      <c r="AI17" s="354">
        <v>134510</v>
      </c>
      <c r="AK17" s="354" t="s">
        <v>257</v>
      </c>
      <c r="AL17" s="354">
        <v>0</v>
      </c>
      <c r="AM17" s="371">
        <v>-264396.25</v>
      </c>
    </row>
    <row r="18" spans="1:39" ht="13.5" thickBot="1" x14ac:dyDescent="0.25">
      <c r="A18" s="385" t="s">
        <v>258</v>
      </c>
      <c r="B18" s="386" t="s">
        <v>243</v>
      </c>
      <c r="C18" s="387">
        <v>10.134005</v>
      </c>
      <c r="D18" s="383">
        <v>0</v>
      </c>
      <c r="E18" s="383">
        <v>345.06</v>
      </c>
      <c r="F18" s="383">
        <f>G18-E18</f>
        <v>224.84999999999997</v>
      </c>
      <c r="G18" s="383">
        <v>569.91</v>
      </c>
      <c r="H18" s="383">
        <v>0</v>
      </c>
      <c r="I18" s="383">
        <f>J18-H18-G18</f>
        <v>258.42000000000007</v>
      </c>
      <c r="J18" s="383">
        <v>828.33</v>
      </c>
      <c r="K18" s="383">
        <v>0</v>
      </c>
      <c r="L18" s="383">
        <v>289.61</v>
      </c>
      <c r="M18" s="383">
        <v>1117.94</v>
      </c>
      <c r="N18" s="383">
        <v>314.99</v>
      </c>
      <c r="O18" s="383">
        <v>1432.93</v>
      </c>
      <c r="P18" s="383">
        <f>Q18-O18</f>
        <v>340.25</v>
      </c>
      <c r="Q18" s="383">
        <v>1773.18</v>
      </c>
      <c r="R18" s="383">
        <v>370.21</v>
      </c>
      <c r="S18" s="383">
        <v>2143.39</v>
      </c>
      <c r="T18" s="383">
        <f>U18-S18</f>
        <v>639.41000000000031</v>
      </c>
      <c r="U18" s="383">
        <f>AM6</f>
        <v>2782.8</v>
      </c>
      <c r="V18" s="376">
        <f>+U18-E18</f>
        <v>2437.7400000000002</v>
      </c>
      <c r="W18" s="376">
        <f>U18-M18</f>
        <v>1664.8600000000001</v>
      </c>
      <c r="Y18" s="378"/>
      <c r="Z18" s="379"/>
      <c r="AA18" s="379"/>
      <c r="AB18" s="379"/>
      <c r="AC18" s="379"/>
      <c r="AD18" s="379"/>
      <c r="AE18" s="388">
        <f>SUM(AE6:AE17)</f>
        <v>8902222.0299999993</v>
      </c>
      <c r="AG18" s="354">
        <v>10</v>
      </c>
      <c r="AI18" s="354">
        <v>134520</v>
      </c>
      <c r="AK18" s="354" t="s">
        <v>259</v>
      </c>
      <c r="AL18" s="354">
        <v>0</v>
      </c>
      <c r="AM18" s="371">
        <v>150122.91</v>
      </c>
    </row>
    <row r="19" spans="1:39" ht="13.5" thickTop="1" x14ac:dyDescent="0.2">
      <c r="A19" s="372"/>
      <c r="B19" s="373"/>
      <c r="C19" s="389"/>
      <c r="D19" s="383"/>
      <c r="E19" s="383"/>
      <c r="F19" s="383"/>
      <c r="G19" s="383"/>
      <c r="H19" s="383"/>
      <c r="I19" s="383"/>
      <c r="J19" s="383"/>
      <c r="K19" s="383"/>
      <c r="L19" s="383"/>
      <c r="M19" s="383"/>
      <c r="N19" s="383"/>
      <c r="O19" s="383"/>
      <c r="P19" s="383"/>
      <c r="Q19" s="383"/>
      <c r="R19" s="383"/>
      <c r="S19" s="383"/>
      <c r="T19" s="383"/>
      <c r="U19" s="383"/>
      <c r="V19" s="376"/>
      <c r="W19" s="376"/>
      <c r="Y19" s="378"/>
      <c r="Z19" s="379"/>
      <c r="AA19" s="379"/>
      <c r="AB19" s="379"/>
      <c r="AC19" s="379"/>
      <c r="AD19" s="379"/>
      <c r="AE19" s="380"/>
      <c r="AG19" s="354">
        <v>10</v>
      </c>
      <c r="AI19" s="354">
        <v>134530</v>
      </c>
      <c r="AK19" s="354" t="s">
        <v>260</v>
      </c>
      <c r="AL19" s="354">
        <v>0</v>
      </c>
      <c r="AM19" s="371">
        <v>264396.25</v>
      </c>
    </row>
    <row r="20" spans="1:39" x14ac:dyDescent="0.2">
      <c r="A20" s="385" t="s">
        <v>261</v>
      </c>
      <c r="B20" s="386" t="s">
        <v>255</v>
      </c>
      <c r="C20" s="387">
        <v>10.134005</v>
      </c>
      <c r="D20" s="383">
        <v>0</v>
      </c>
      <c r="E20" s="383">
        <v>28559.53</v>
      </c>
      <c r="F20" s="383">
        <f>G20-E20</f>
        <v>4049.3199999999997</v>
      </c>
      <c r="G20" s="383">
        <v>32608.85</v>
      </c>
      <c r="H20" s="383">
        <v>0</v>
      </c>
      <c r="I20" s="383">
        <f>J20-H20-G20</f>
        <v>4108.4800000000032</v>
      </c>
      <c r="J20" s="383">
        <v>36717.33</v>
      </c>
      <c r="K20" s="383">
        <v>0</v>
      </c>
      <c r="L20" s="383">
        <v>3842.56</v>
      </c>
      <c r="M20" s="383">
        <v>40559.89</v>
      </c>
      <c r="N20" s="383">
        <v>3825.8</v>
      </c>
      <c r="O20" s="383">
        <v>44385.69</v>
      </c>
      <c r="P20" s="383">
        <f>Q20-O20</f>
        <v>4663.2699999999968</v>
      </c>
      <c r="Q20" s="383">
        <v>49048.959999999999</v>
      </c>
      <c r="R20" s="383">
        <v>4505.76</v>
      </c>
      <c r="S20" s="383">
        <v>53554.720000000001</v>
      </c>
      <c r="T20" s="383">
        <f>U20-S20</f>
        <v>-9518.4400000000023</v>
      </c>
      <c r="U20" s="383">
        <v>44036.28</v>
      </c>
      <c r="V20" s="376">
        <f>+U20-E20</f>
        <v>15476.75</v>
      </c>
      <c r="W20" s="376">
        <f>U20-M20</f>
        <v>3476.3899999999994</v>
      </c>
      <c r="Y20" s="378" t="s">
        <v>215</v>
      </c>
      <c r="Z20" s="379" t="s">
        <v>216</v>
      </c>
      <c r="AA20" s="379" t="str">
        <f t="shared" ref="AA20:AA30" si="1">CONCATENATE(Z20,".",AB20,".",AC20)</f>
        <v>10.134380.</v>
      </c>
      <c r="AB20" s="379" t="s">
        <v>262</v>
      </c>
      <c r="AC20" s="379" t="s">
        <v>218</v>
      </c>
      <c r="AD20" s="379" t="s">
        <v>241</v>
      </c>
      <c r="AE20" s="380">
        <v>31719.99</v>
      </c>
      <c r="AG20" s="354">
        <v>10</v>
      </c>
      <c r="AI20" s="354">
        <v>134540</v>
      </c>
      <c r="AK20" s="354" t="s">
        <v>263</v>
      </c>
      <c r="AL20" s="354">
        <v>0</v>
      </c>
      <c r="AM20" s="371">
        <v>-150122.91</v>
      </c>
    </row>
    <row r="21" spans="1:39" x14ac:dyDescent="0.2">
      <c r="A21" s="385" t="s">
        <v>264</v>
      </c>
      <c r="B21" s="386" t="s">
        <v>243</v>
      </c>
      <c r="C21" s="387">
        <v>10.134005</v>
      </c>
      <c r="D21" s="383">
        <v>0</v>
      </c>
      <c r="E21" s="383">
        <v>18.7</v>
      </c>
      <c r="F21" s="383">
        <f>G21-E21</f>
        <v>13.09</v>
      </c>
      <c r="G21" s="383">
        <v>31.79</v>
      </c>
      <c r="H21" s="383">
        <v>0</v>
      </c>
      <c r="I21" s="383">
        <f>J21-H21-G21</f>
        <v>14.950000000000003</v>
      </c>
      <c r="J21" s="383">
        <v>46.74</v>
      </c>
      <c r="K21" s="383">
        <v>0</v>
      </c>
      <c r="L21" s="383">
        <v>18.690000000000001</v>
      </c>
      <c r="M21" s="383">
        <v>65.430000000000007</v>
      </c>
      <c r="N21" s="383">
        <v>18.59</v>
      </c>
      <c r="O21" s="383">
        <v>84.02</v>
      </c>
      <c r="P21" s="383">
        <f>Q21-O21</f>
        <v>20.340000000000003</v>
      </c>
      <c r="Q21" s="383">
        <v>104.36</v>
      </c>
      <c r="R21" s="383">
        <v>22.48</v>
      </c>
      <c r="S21" s="383">
        <v>126.84</v>
      </c>
      <c r="T21" s="383">
        <f>U21-S21</f>
        <v>39.72</v>
      </c>
      <c r="U21" s="383">
        <f>AM8</f>
        <v>166.56</v>
      </c>
      <c r="V21" s="376">
        <f>+U21-E21</f>
        <v>147.86000000000001</v>
      </c>
      <c r="W21" s="376">
        <f>U21-M21</f>
        <v>101.13</v>
      </c>
      <c r="Y21" s="378" t="s">
        <v>215</v>
      </c>
      <c r="Z21" s="379" t="s">
        <v>216</v>
      </c>
      <c r="AA21" s="379" t="str">
        <f t="shared" si="1"/>
        <v>10.134380.CARRYCHG</v>
      </c>
      <c r="AB21" s="379" t="s">
        <v>262</v>
      </c>
      <c r="AC21" s="379" t="s">
        <v>223</v>
      </c>
      <c r="AD21" s="379" t="s">
        <v>245</v>
      </c>
      <c r="AE21" s="380">
        <v>7885.84</v>
      </c>
      <c r="AG21" s="354">
        <v>10</v>
      </c>
      <c r="AI21" s="354">
        <v>134550</v>
      </c>
      <c r="AJ21" s="354" t="s">
        <v>265</v>
      </c>
      <c r="AK21" s="354" t="s">
        <v>266</v>
      </c>
      <c r="AL21" s="354">
        <v>0</v>
      </c>
      <c r="AM21" s="371">
        <v>3443136.16</v>
      </c>
    </row>
    <row r="22" spans="1:39" x14ac:dyDescent="0.2">
      <c r="A22" s="385"/>
      <c r="B22" s="386"/>
      <c r="C22" s="387"/>
      <c r="D22" s="383"/>
      <c r="E22" s="383"/>
      <c r="F22" s="383"/>
      <c r="G22" s="383"/>
      <c r="H22" s="383"/>
      <c r="I22" s="383"/>
      <c r="J22" s="383"/>
      <c r="K22" s="383"/>
      <c r="L22" s="383"/>
      <c r="M22" s="383"/>
      <c r="N22" s="383"/>
      <c r="O22" s="383"/>
      <c r="P22" s="383"/>
      <c r="Q22" s="383"/>
      <c r="R22" s="383"/>
      <c r="S22" s="383"/>
      <c r="T22" s="383">
        <f>U22-S22</f>
        <v>0</v>
      </c>
      <c r="U22" s="383"/>
      <c r="V22" s="376"/>
      <c r="W22" s="376"/>
      <c r="Y22" s="378" t="s">
        <v>215</v>
      </c>
      <c r="Z22" s="379" t="s">
        <v>216</v>
      </c>
      <c r="AA22" s="379" t="str">
        <f t="shared" si="1"/>
        <v>10.134390.</v>
      </c>
      <c r="AB22" s="379" t="s">
        <v>267</v>
      </c>
      <c r="AC22" s="379" t="s">
        <v>218</v>
      </c>
      <c r="AD22" s="379" t="s">
        <v>246</v>
      </c>
      <c r="AE22" s="380">
        <v>200560.03</v>
      </c>
      <c r="AG22" s="354">
        <v>10</v>
      </c>
      <c r="AI22" s="354">
        <v>134550</v>
      </c>
      <c r="AJ22" s="354" t="s">
        <v>268</v>
      </c>
      <c r="AK22" s="354" t="s">
        <v>266</v>
      </c>
      <c r="AL22" s="354">
        <v>0</v>
      </c>
      <c r="AM22" s="371">
        <v>4760412.79</v>
      </c>
    </row>
    <row r="23" spans="1:39" x14ac:dyDescent="0.2">
      <c r="A23" s="385" t="s">
        <v>269</v>
      </c>
      <c r="B23" s="386" t="str">
        <f>B40</f>
        <v>deferral</v>
      </c>
      <c r="C23" s="387">
        <v>10.135009999999999</v>
      </c>
      <c r="D23" s="383">
        <v>0</v>
      </c>
      <c r="E23" s="383">
        <v>911329.85</v>
      </c>
      <c r="F23" s="383">
        <f>G23-E23</f>
        <v>1558.1199999999953</v>
      </c>
      <c r="G23" s="383">
        <v>912887.97</v>
      </c>
      <c r="H23" s="383">
        <v>0</v>
      </c>
      <c r="I23" s="383">
        <f>J23-H23-G23</f>
        <v>0</v>
      </c>
      <c r="J23" s="383">
        <v>912887.97</v>
      </c>
      <c r="K23" s="383">
        <v>0</v>
      </c>
      <c r="L23" s="383">
        <v>244</v>
      </c>
      <c r="M23" s="383">
        <v>913131.97</v>
      </c>
      <c r="N23" s="383">
        <v>0</v>
      </c>
      <c r="O23" s="383">
        <v>913131.97</v>
      </c>
      <c r="P23" s="383">
        <f>Q23-O23</f>
        <v>904</v>
      </c>
      <c r="Q23" s="383">
        <v>914035.97</v>
      </c>
      <c r="R23" s="383">
        <v>12070.52</v>
      </c>
      <c r="S23" s="383">
        <v>926106.49</v>
      </c>
      <c r="T23" s="383">
        <f>U23-S23</f>
        <v>0</v>
      </c>
      <c r="U23" s="383">
        <v>926106.49</v>
      </c>
      <c r="V23" s="376">
        <f>+U23-E23</f>
        <v>14776.640000000014</v>
      </c>
      <c r="W23" s="376">
        <f>U23-M23</f>
        <v>12974.520000000019</v>
      </c>
      <c r="Y23" s="378" t="s">
        <v>215</v>
      </c>
      <c r="Z23" s="379" t="s">
        <v>216</v>
      </c>
      <c r="AA23" s="379" t="str">
        <f t="shared" si="1"/>
        <v>10.134390.CARRYCHG</v>
      </c>
      <c r="AB23" s="379" t="s">
        <v>267</v>
      </c>
      <c r="AC23" s="379" t="s">
        <v>223</v>
      </c>
      <c r="AD23" s="379" t="s">
        <v>248</v>
      </c>
      <c r="AE23" s="380">
        <v>19906.87</v>
      </c>
      <c r="AG23" s="354">
        <v>10</v>
      </c>
      <c r="AI23" s="354">
        <v>134550</v>
      </c>
      <c r="AJ23" s="354" t="s">
        <v>270</v>
      </c>
      <c r="AK23" s="354" t="s">
        <v>266</v>
      </c>
      <c r="AL23" s="354">
        <v>0</v>
      </c>
      <c r="AM23" s="371">
        <v>-8262996</v>
      </c>
    </row>
    <row r="24" spans="1:39" x14ac:dyDescent="0.2">
      <c r="A24" s="385" t="s">
        <v>271</v>
      </c>
      <c r="B24" s="386" t="str">
        <f>B23</f>
        <v>deferral</v>
      </c>
      <c r="C24" s="387">
        <v>10.135009999999999</v>
      </c>
      <c r="D24" s="383">
        <v>0</v>
      </c>
      <c r="E24" s="383">
        <v>2262.63</v>
      </c>
      <c r="F24" s="383">
        <f>G24-E24</f>
        <v>417.69000000000005</v>
      </c>
      <c r="G24" s="383">
        <v>2680.32</v>
      </c>
      <c r="H24" s="383">
        <v>0</v>
      </c>
      <c r="I24" s="383">
        <f>J24-H24-G24</f>
        <v>418.40999999999985</v>
      </c>
      <c r="J24" s="383">
        <v>3098.73</v>
      </c>
      <c r="K24" s="383">
        <v>0</v>
      </c>
      <c r="L24" s="383">
        <v>418.41</v>
      </c>
      <c r="M24" s="383">
        <v>3517.14</v>
      </c>
      <c r="N24" s="383">
        <v>418.52</v>
      </c>
      <c r="O24" s="383">
        <v>3935.66</v>
      </c>
      <c r="P24" s="383">
        <f>Q24-O24</f>
        <v>418.52000000000044</v>
      </c>
      <c r="Q24" s="383">
        <v>4354.18</v>
      </c>
      <c r="R24" s="383">
        <v>418.92999999999938</v>
      </c>
      <c r="S24" s="383">
        <v>4773.1099999999997</v>
      </c>
      <c r="T24" s="383">
        <f>U24-S24</f>
        <v>686.86000000000058</v>
      </c>
      <c r="U24" s="383">
        <v>5459.97</v>
      </c>
      <c r="V24" s="376">
        <f>+U24-E24</f>
        <v>3197.34</v>
      </c>
      <c r="W24" s="376">
        <f>U24-M24</f>
        <v>1942.8300000000004</v>
      </c>
      <c r="Y24" s="378" t="s">
        <v>215</v>
      </c>
      <c r="Z24" s="379" t="s">
        <v>216</v>
      </c>
      <c r="AA24" s="379" t="str">
        <f t="shared" si="1"/>
        <v>10.134505.</v>
      </c>
      <c r="AB24" s="379" t="s">
        <v>272</v>
      </c>
      <c r="AC24" s="379" t="s">
        <v>218</v>
      </c>
      <c r="AD24" s="379" t="s">
        <v>250</v>
      </c>
      <c r="AE24" s="380">
        <v>-61972.01</v>
      </c>
      <c r="AG24" s="354">
        <v>10</v>
      </c>
      <c r="AI24" s="354">
        <v>134551</v>
      </c>
      <c r="AJ24" s="354" t="s">
        <v>265</v>
      </c>
      <c r="AK24" s="354" t="s">
        <v>266</v>
      </c>
      <c r="AL24" s="354">
        <v>0</v>
      </c>
      <c r="AM24" s="371">
        <v>-3443136.16</v>
      </c>
    </row>
    <row r="25" spans="1:39" ht="13.5" thickBot="1" x14ac:dyDescent="0.25">
      <c r="A25" s="390" t="s">
        <v>222</v>
      </c>
      <c r="B25" s="391"/>
      <c r="C25" s="392"/>
      <c r="D25" s="393">
        <f>SUM(D8:D15)</f>
        <v>2371209.96</v>
      </c>
      <c r="E25" s="393">
        <f t="shared" ref="E25:K25" si="2">SUM(E8:E24)</f>
        <v>7813154.0800000001</v>
      </c>
      <c r="F25" s="393">
        <f t="shared" si="2"/>
        <v>112129.67999999996</v>
      </c>
      <c r="G25" s="393">
        <f t="shared" si="2"/>
        <v>7925283.7599999998</v>
      </c>
      <c r="H25" s="393">
        <f t="shared" si="2"/>
        <v>0</v>
      </c>
      <c r="I25" s="393">
        <f t="shared" si="2"/>
        <v>730288.59000000008</v>
      </c>
      <c r="J25" s="393">
        <f t="shared" si="2"/>
        <v>8655572.3500000015</v>
      </c>
      <c r="K25" s="393">
        <f t="shared" si="2"/>
        <v>0</v>
      </c>
      <c r="L25" s="393">
        <v>-994.82999999989215</v>
      </c>
      <c r="M25" s="393">
        <v>8654577.5200000014</v>
      </c>
      <c r="N25" s="393">
        <v>222913.56</v>
      </c>
      <c r="O25" s="393">
        <v>8877491.0800000001</v>
      </c>
      <c r="P25" s="393">
        <f>SUM(P8:P24)</f>
        <v>24730.950000000208</v>
      </c>
      <c r="Q25" s="393">
        <f>SUM(Q8:Q24)</f>
        <v>8902222.0300000012</v>
      </c>
      <c r="R25" s="393">
        <v>507720.73</v>
      </c>
      <c r="S25" s="393">
        <v>9409942.7599999998</v>
      </c>
      <c r="T25" s="393">
        <f>SUM(T8:T24)</f>
        <v>234526.96000000031</v>
      </c>
      <c r="U25" s="393">
        <f>SUM(U8:U24)</f>
        <v>9644469.7200000025</v>
      </c>
      <c r="V25" s="394">
        <f>+U25-E25</f>
        <v>1831315.6400000025</v>
      </c>
      <c r="W25" s="393">
        <f>SUM(W8:W24)</f>
        <v>989892.19999999984</v>
      </c>
      <c r="Y25" s="378" t="s">
        <v>215</v>
      </c>
      <c r="Z25" s="379" t="s">
        <v>216</v>
      </c>
      <c r="AA25" s="379" t="str">
        <f t="shared" si="1"/>
        <v>10.134505.CARRYCHG</v>
      </c>
      <c r="AB25" s="379" t="s">
        <v>272</v>
      </c>
      <c r="AC25" s="379" t="s">
        <v>223</v>
      </c>
      <c r="AD25" s="379" t="s">
        <v>253</v>
      </c>
      <c r="AE25" s="380">
        <v>-28868.74</v>
      </c>
      <c r="AG25" s="354">
        <v>10</v>
      </c>
      <c r="AI25" s="354">
        <v>134551</v>
      </c>
      <c r="AJ25" s="354" t="s">
        <v>268</v>
      </c>
      <c r="AK25" s="354" t="s">
        <v>266</v>
      </c>
      <c r="AL25" s="354">
        <v>0</v>
      </c>
      <c r="AM25" s="371">
        <v>-4760412.79</v>
      </c>
    </row>
    <row r="26" spans="1:39" ht="6.75" customHeight="1" x14ac:dyDescent="0.2">
      <c r="A26" s="385"/>
      <c r="B26" s="386"/>
      <c r="C26" s="382"/>
      <c r="D26" s="383"/>
      <c r="E26" s="383"/>
      <c r="F26" s="383"/>
      <c r="G26" s="383"/>
      <c r="H26" s="383"/>
      <c r="I26" s="383"/>
      <c r="J26" s="383"/>
      <c r="K26" s="383"/>
      <c r="L26" s="383"/>
      <c r="M26" s="383"/>
      <c r="N26" s="383"/>
      <c r="O26" s="383"/>
      <c r="P26" s="383"/>
      <c r="Q26" s="383"/>
      <c r="R26" s="383"/>
      <c r="S26" s="383"/>
      <c r="T26" s="383"/>
      <c r="U26" s="383"/>
      <c r="V26" s="377"/>
      <c r="W26" s="377"/>
      <c r="Y26" s="378" t="s">
        <v>215</v>
      </c>
      <c r="Z26" s="379" t="s">
        <v>216</v>
      </c>
      <c r="AA26" s="379" t="str">
        <f t="shared" si="1"/>
        <v>10.134510.</v>
      </c>
      <c r="AB26" s="379" t="s">
        <v>273</v>
      </c>
      <c r="AC26" s="379" t="s">
        <v>218</v>
      </c>
      <c r="AD26" s="379" t="s">
        <v>257</v>
      </c>
      <c r="AE26" s="380">
        <v>-264396.25</v>
      </c>
      <c r="AG26" s="354">
        <v>10</v>
      </c>
      <c r="AI26" s="354">
        <v>134551</v>
      </c>
      <c r="AJ26" s="354" t="s">
        <v>270</v>
      </c>
      <c r="AK26" s="354" t="s">
        <v>266</v>
      </c>
      <c r="AL26" s="354">
        <v>0</v>
      </c>
      <c r="AM26" s="371">
        <v>8262996</v>
      </c>
    </row>
    <row r="27" spans="1:39" x14ac:dyDescent="0.2">
      <c r="A27" s="381" t="s">
        <v>274</v>
      </c>
      <c r="B27" s="386"/>
      <c r="C27" s="387"/>
      <c r="D27" s="383"/>
      <c r="E27" s="383"/>
      <c r="F27" s="383"/>
      <c r="G27" s="383"/>
      <c r="H27" s="383"/>
      <c r="I27" s="383"/>
      <c r="J27" s="383"/>
      <c r="K27" s="383"/>
      <c r="L27" s="383"/>
      <c r="M27" s="383"/>
      <c r="N27" s="383"/>
      <c r="O27" s="383"/>
      <c r="P27" s="383"/>
      <c r="Q27" s="383"/>
      <c r="R27" s="383"/>
      <c r="S27" s="383"/>
      <c r="T27" s="383"/>
      <c r="U27" s="383"/>
      <c r="V27" s="376"/>
      <c r="W27" s="376"/>
      <c r="Y27" s="378" t="s">
        <v>215</v>
      </c>
      <c r="Z27" s="379" t="s">
        <v>216</v>
      </c>
      <c r="AA27" s="379" t="str">
        <f t="shared" si="1"/>
        <v>10.134520.</v>
      </c>
      <c r="AB27" s="379" t="s">
        <v>275</v>
      </c>
      <c r="AC27" s="379" t="s">
        <v>218</v>
      </c>
      <c r="AD27" s="379" t="s">
        <v>259</v>
      </c>
      <c r="AE27" s="380">
        <v>150122.91</v>
      </c>
      <c r="AG27" s="354">
        <v>10</v>
      </c>
      <c r="AI27" s="354">
        <v>135010</v>
      </c>
      <c r="AK27" s="354" t="s">
        <v>252</v>
      </c>
      <c r="AL27" s="354">
        <v>0</v>
      </c>
      <c r="AM27" s="371">
        <v>926106.49</v>
      </c>
    </row>
    <row r="28" spans="1:39" x14ac:dyDescent="0.2">
      <c r="A28" s="385" t="s">
        <v>276</v>
      </c>
      <c r="B28" s="386" t="s">
        <v>255</v>
      </c>
      <c r="C28" s="387">
        <v>10.13438</v>
      </c>
      <c r="D28" s="383">
        <v>18923.060000000001</v>
      </c>
      <c r="E28" s="383">
        <v>27190.34</v>
      </c>
      <c r="F28" s="383">
        <f>G28-E28</f>
        <v>961.90999999999985</v>
      </c>
      <c r="G28" s="383">
        <v>28152.25</v>
      </c>
      <c r="H28" s="383">
        <v>0</v>
      </c>
      <c r="I28" s="383">
        <f>J28-H28-G28</f>
        <v>1344.1100000000006</v>
      </c>
      <c r="J28" s="383">
        <v>29496.36</v>
      </c>
      <c r="K28" s="383">
        <v>0</v>
      </c>
      <c r="L28" s="383">
        <v>1674.91</v>
      </c>
      <c r="M28" s="383">
        <v>31171.27</v>
      </c>
      <c r="N28" s="383">
        <v>-1288.3900000000001</v>
      </c>
      <c r="O28" s="383">
        <v>29882.880000000001</v>
      </c>
      <c r="P28" s="383">
        <f>Q28-O28</f>
        <v>1837.1100000000006</v>
      </c>
      <c r="Q28" s="383">
        <v>31719.99</v>
      </c>
      <c r="R28" s="383">
        <v>1977.71</v>
      </c>
      <c r="S28" s="383">
        <v>33697.699999999997</v>
      </c>
      <c r="T28" s="383">
        <f>U28-S28</f>
        <v>1918.9100000000035</v>
      </c>
      <c r="U28" s="383">
        <v>35616.61</v>
      </c>
      <c r="V28" s="376">
        <f>+U28-E28</f>
        <v>8426.27</v>
      </c>
      <c r="W28" s="376">
        <f>U28-M28</f>
        <v>4445.34</v>
      </c>
      <c r="Y28" s="378" t="s">
        <v>215</v>
      </c>
      <c r="Z28" s="379" t="s">
        <v>216</v>
      </c>
      <c r="AA28" s="379" t="str">
        <f t="shared" si="1"/>
        <v>10.134530.</v>
      </c>
      <c r="AB28" s="379" t="s">
        <v>277</v>
      </c>
      <c r="AC28" s="379" t="s">
        <v>218</v>
      </c>
      <c r="AD28" s="379" t="s">
        <v>260</v>
      </c>
      <c r="AE28" s="380">
        <v>264396.25</v>
      </c>
      <c r="AG28" s="354">
        <v>10</v>
      </c>
      <c r="AI28" s="354">
        <v>135010</v>
      </c>
      <c r="AJ28" s="354" t="s">
        <v>223</v>
      </c>
      <c r="AK28" s="354" t="s">
        <v>256</v>
      </c>
      <c r="AL28" s="354">
        <v>686.86</v>
      </c>
      <c r="AM28" s="371">
        <v>5459.97</v>
      </c>
    </row>
    <row r="29" spans="1:39" x14ac:dyDescent="0.2">
      <c r="A29" s="385" t="s">
        <v>278</v>
      </c>
      <c r="B29" s="386" t="s">
        <v>243</v>
      </c>
      <c r="C29" s="387">
        <v>10.13438</v>
      </c>
      <c r="D29" s="383">
        <v>7544.84</v>
      </c>
      <c r="E29" s="383">
        <v>7818.84</v>
      </c>
      <c r="F29" s="383">
        <f>G29-E29</f>
        <v>12</v>
      </c>
      <c r="G29" s="383">
        <v>7830.84</v>
      </c>
      <c r="H29" s="383">
        <v>0</v>
      </c>
      <c r="I29" s="383">
        <f>J29-H29-G29</f>
        <v>13</v>
      </c>
      <c r="J29" s="383">
        <v>7843.84</v>
      </c>
      <c r="K29" s="383">
        <v>0</v>
      </c>
      <c r="L29" s="383">
        <v>14</v>
      </c>
      <c r="M29" s="383">
        <v>7857.84</v>
      </c>
      <c r="N29" s="383">
        <v>14</v>
      </c>
      <c r="O29" s="383">
        <v>7871.84</v>
      </c>
      <c r="P29" s="383">
        <f>Q29-O29</f>
        <v>14</v>
      </c>
      <c r="Q29" s="383">
        <v>7885.84</v>
      </c>
      <c r="R29" s="383">
        <v>15</v>
      </c>
      <c r="S29" s="383">
        <v>7900.84</v>
      </c>
      <c r="T29" s="383">
        <f>U29-S29</f>
        <v>25</v>
      </c>
      <c r="U29" s="383">
        <v>7925.84</v>
      </c>
      <c r="V29" s="376">
        <f>+U29-E29</f>
        <v>107</v>
      </c>
      <c r="W29" s="376">
        <f>U29-M29</f>
        <v>68</v>
      </c>
      <c r="Y29" s="378" t="s">
        <v>215</v>
      </c>
      <c r="Z29" s="379" t="s">
        <v>216</v>
      </c>
      <c r="AA29" s="379" t="str">
        <f t="shared" si="1"/>
        <v>10.134540.</v>
      </c>
      <c r="AB29" s="379" t="s">
        <v>279</v>
      </c>
      <c r="AC29" s="379" t="s">
        <v>218</v>
      </c>
      <c r="AD29" s="379" t="s">
        <v>263</v>
      </c>
      <c r="AE29" s="380">
        <v>-150122.91</v>
      </c>
      <c r="AG29" s="354">
        <v>10</v>
      </c>
      <c r="AI29" s="354">
        <v>135110</v>
      </c>
      <c r="AK29" s="354" t="s">
        <v>280</v>
      </c>
      <c r="AL29" s="371">
        <v>-630673.41</v>
      </c>
      <c r="AM29" s="371">
        <v>-6888152.6699999999</v>
      </c>
    </row>
    <row r="30" spans="1:39" ht="9.75" customHeight="1" x14ac:dyDescent="0.2">
      <c r="A30" s="385"/>
      <c r="B30" s="386"/>
      <c r="C30" s="382"/>
      <c r="D30" s="383" t="s">
        <v>31</v>
      </c>
      <c r="E30" s="383" t="s">
        <v>31</v>
      </c>
      <c r="F30" s="383"/>
      <c r="G30" s="383" t="s">
        <v>31</v>
      </c>
      <c r="H30" s="383"/>
      <c r="I30" s="383"/>
      <c r="J30" s="383"/>
      <c r="K30" s="383"/>
      <c r="L30" s="383"/>
      <c r="M30" s="383"/>
      <c r="N30" s="383"/>
      <c r="O30" s="383"/>
      <c r="P30" s="383"/>
      <c r="Q30" s="383"/>
      <c r="R30" s="383"/>
      <c r="S30" s="383"/>
      <c r="T30" s="383"/>
      <c r="U30" s="383"/>
      <c r="V30" s="376"/>
      <c r="W30" s="376"/>
      <c r="Y30" s="378" t="s">
        <v>215</v>
      </c>
      <c r="Z30" s="379" t="s">
        <v>216</v>
      </c>
      <c r="AA30" s="379" t="str">
        <f t="shared" si="1"/>
        <v>10.134550.CAPITAL</v>
      </c>
      <c r="AB30" s="379" t="s">
        <v>281</v>
      </c>
      <c r="AC30" s="379" t="s">
        <v>265</v>
      </c>
      <c r="AD30" s="379" t="s">
        <v>266</v>
      </c>
      <c r="AE30" s="380">
        <v>3443136.16</v>
      </c>
      <c r="AG30" s="354">
        <v>10</v>
      </c>
      <c r="AI30" s="354">
        <v>135110</v>
      </c>
      <c r="AJ30" s="354" t="s">
        <v>223</v>
      </c>
      <c r="AK30" s="354" t="s">
        <v>282</v>
      </c>
      <c r="AL30" s="371">
        <v>-4792</v>
      </c>
      <c r="AM30" s="371">
        <v>-29931.99</v>
      </c>
    </row>
    <row r="31" spans="1:39" x14ac:dyDescent="0.2">
      <c r="A31" s="385" t="s">
        <v>283</v>
      </c>
      <c r="B31" s="386" t="s">
        <v>284</v>
      </c>
      <c r="C31" s="387">
        <v>10.134021000000001</v>
      </c>
      <c r="D31" s="383"/>
      <c r="E31" s="383">
        <v>0</v>
      </c>
      <c r="F31" s="383">
        <f>G31-E31</f>
        <v>0</v>
      </c>
      <c r="G31" s="383"/>
      <c r="H31" s="383"/>
      <c r="I31" s="383"/>
      <c r="J31" s="383"/>
      <c r="K31" s="383"/>
      <c r="L31" s="383"/>
      <c r="M31" s="383">
        <v>0</v>
      </c>
      <c r="N31" s="383"/>
      <c r="O31" s="383"/>
      <c r="P31" s="383"/>
      <c r="Q31" s="383">
        <v>0</v>
      </c>
      <c r="R31" s="383">
        <v>3015604</v>
      </c>
      <c r="S31" s="383">
        <v>3015604</v>
      </c>
      <c r="T31" s="383">
        <f>U31-S31</f>
        <v>0</v>
      </c>
      <c r="U31" s="383">
        <v>3015604</v>
      </c>
      <c r="V31" s="376">
        <f>+U31-E31</f>
        <v>3015604</v>
      </c>
      <c r="W31" s="376">
        <f>U31-M31</f>
        <v>3015604</v>
      </c>
      <c r="Y31" s="378"/>
      <c r="Z31" s="379"/>
      <c r="AA31" s="379"/>
      <c r="AB31" s="379"/>
      <c r="AC31" s="379"/>
      <c r="AD31" s="379"/>
      <c r="AE31" s="380"/>
      <c r="AG31" s="354">
        <v>10</v>
      </c>
      <c r="AI31" s="354">
        <v>135120</v>
      </c>
      <c r="AK31" s="354" t="s">
        <v>285</v>
      </c>
      <c r="AL31" s="354">
        <v>0</v>
      </c>
      <c r="AM31" s="354">
        <v>80.52</v>
      </c>
    </row>
    <row r="32" spans="1:39" x14ac:dyDescent="0.2">
      <c r="A32" s="385" t="s">
        <v>283</v>
      </c>
      <c r="B32" s="386" t="s">
        <v>243</v>
      </c>
      <c r="C32" s="387">
        <v>10.134021000000001</v>
      </c>
      <c r="D32" s="383"/>
      <c r="E32" s="383">
        <v>0</v>
      </c>
      <c r="F32" s="383">
        <f>G32-E32</f>
        <v>0</v>
      </c>
      <c r="G32" s="383"/>
      <c r="H32" s="383"/>
      <c r="I32" s="383"/>
      <c r="J32" s="383"/>
      <c r="K32" s="383"/>
      <c r="L32" s="383"/>
      <c r="M32" s="383">
        <v>0</v>
      </c>
      <c r="N32" s="383"/>
      <c r="O32" s="383"/>
      <c r="P32" s="383"/>
      <c r="Q32" s="383">
        <v>0</v>
      </c>
      <c r="R32" s="383">
        <v>0</v>
      </c>
      <c r="S32" s="383">
        <v>0</v>
      </c>
      <c r="T32" s="383">
        <f>U32-S32</f>
        <v>2236.5700000000002</v>
      </c>
      <c r="U32" s="383">
        <v>2236.5700000000002</v>
      </c>
      <c r="V32" s="376">
        <f>+U32-E32</f>
        <v>2236.5700000000002</v>
      </c>
      <c r="W32" s="376">
        <f>U32-M32</f>
        <v>2236.5700000000002</v>
      </c>
      <c r="Y32" s="378"/>
      <c r="Z32" s="379"/>
      <c r="AA32" s="379"/>
      <c r="AB32" s="379"/>
      <c r="AC32" s="379"/>
      <c r="AD32" s="379"/>
      <c r="AE32" s="380"/>
      <c r="AG32" s="354">
        <v>10</v>
      </c>
      <c r="AI32" s="354">
        <v>135120</v>
      </c>
      <c r="AJ32" s="354" t="s">
        <v>223</v>
      </c>
      <c r="AK32" s="354" t="s">
        <v>286</v>
      </c>
      <c r="AL32" s="354">
        <v>0</v>
      </c>
      <c r="AM32" s="371">
        <v>29111.83</v>
      </c>
    </row>
    <row r="33" spans="1:39" ht="9.75" customHeight="1" x14ac:dyDescent="0.2">
      <c r="A33" s="385"/>
      <c r="B33" s="386"/>
      <c r="C33" s="382"/>
      <c r="D33" s="383"/>
      <c r="E33" s="383"/>
      <c r="F33" s="383"/>
      <c r="G33" s="383"/>
      <c r="H33" s="383"/>
      <c r="I33" s="383"/>
      <c r="J33" s="383"/>
      <c r="K33" s="383"/>
      <c r="L33" s="383"/>
      <c r="M33" s="383"/>
      <c r="N33" s="383"/>
      <c r="O33" s="383"/>
      <c r="P33" s="383"/>
      <c r="Q33" s="383"/>
      <c r="R33" s="383"/>
      <c r="S33" s="383"/>
      <c r="T33" s="383"/>
      <c r="U33" s="383"/>
      <c r="V33" s="376"/>
      <c r="W33" s="376"/>
      <c r="Y33" s="378"/>
      <c r="Z33" s="379"/>
      <c r="AA33" s="379"/>
      <c r="AB33" s="379"/>
      <c r="AC33" s="379"/>
      <c r="AD33" s="379"/>
      <c r="AE33" s="380"/>
      <c r="AG33" s="354">
        <v>10</v>
      </c>
      <c r="AI33" s="354">
        <v>135130</v>
      </c>
      <c r="AK33" s="354" t="s">
        <v>287</v>
      </c>
      <c r="AL33" s="371">
        <v>24496.49</v>
      </c>
      <c r="AM33" s="371">
        <v>-4039788.05</v>
      </c>
    </row>
    <row r="34" spans="1:39" x14ac:dyDescent="0.2">
      <c r="A34" s="385" t="s">
        <v>288</v>
      </c>
      <c r="B34" s="386" t="s">
        <v>255</v>
      </c>
      <c r="C34" s="387">
        <v>10.13439</v>
      </c>
      <c r="D34" s="383">
        <v>147143.73000000001</v>
      </c>
      <c r="E34" s="383">
        <v>187942.78</v>
      </c>
      <c r="F34" s="383">
        <f>G34-E34</f>
        <v>3389.5</v>
      </c>
      <c r="G34" s="383">
        <v>191332.28</v>
      </c>
      <c r="H34" s="383">
        <v>0</v>
      </c>
      <c r="I34" s="383">
        <f>J34-H34-G34</f>
        <v>3833.75</v>
      </c>
      <c r="J34" s="383">
        <v>195166.03</v>
      </c>
      <c r="K34" s="383">
        <v>0</v>
      </c>
      <c r="L34" s="383">
        <v>3826.5</v>
      </c>
      <c r="M34" s="383">
        <v>198992.53</v>
      </c>
      <c r="N34" s="383">
        <v>-1576.25</v>
      </c>
      <c r="O34" s="383">
        <v>197416.28</v>
      </c>
      <c r="P34" s="383">
        <f>Q34-O34</f>
        <v>3143.75</v>
      </c>
      <c r="Q34" s="383">
        <v>200560.03</v>
      </c>
      <c r="R34" s="383">
        <v>3331.75</v>
      </c>
      <c r="S34" s="383">
        <v>203891.78</v>
      </c>
      <c r="T34" s="383">
        <f>U34-S34</f>
        <v>3292</v>
      </c>
      <c r="U34" s="383">
        <v>207183.78</v>
      </c>
      <c r="V34" s="376">
        <f>+U34-E34</f>
        <v>19241</v>
      </c>
      <c r="W34" s="376">
        <f>U34-M34</f>
        <v>8191.25</v>
      </c>
      <c r="Y34" s="378" t="s">
        <v>215</v>
      </c>
      <c r="Z34" s="379" t="s">
        <v>216</v>
      </c>
      <c r="AA34" s="379" t="str">
        <f t="shared" ref="AA34:AA62" si="3">CONCATENATE(Z34,".",AB34,".",AC34)</f>
        <v>10.134550.EXPENSE</v>
      </c>
      <c r="AB34" s="379" t="s">
        <v>281</v>
      </c>
      <c r="AC34" s="379" t="s">
        <v>268</v>
      </c>
      <c r="AD34" s="379" t="s">
        <v>266</v>
      </c>
      <c r="AE34" s="380">
        <v>4760412.79</v>
      </c>
      <c r="AG34" s="354">
        <v>10</v>
      </c>
      <c r="AI34" s="354">
        <v>135130</v>
      </c>
      <c r="AJ34" s="354" t="s">
        <v>223</v>
      </c>
      <c r="AK34" s="354" t="s">
        <v>289</v>
      </c>
      <c r="AL34" s="371">
        <v>-3015</v>
      </c>
      <c r="AM34" s="371">
        <v>-20194.080000000002</v>
      </c>
    </row>
    <row r="35" spans="1:39" x14ac:dyDescent="0.2">
      <c r="A35" s="385" t="s">
        <v>290</v>
      </c>
      <c r="B35" s="386" t="s">
        <v>243</v>
      </c>
      <c r="C35" s="387">
        <v>10.1349</v>
      </c>
      <c r="D35" s="383">
        <v>17681.87</v>
      </c>
      <c r="E35" s="383">
        <v>19462.87</v>
      </c>
      <c r="F35" s="383">
        <f>G35-E35</f>
        <v>86</v>
      </c>
      <c r="G35" s="383">
        <v>19548.87</v>
      </c>
      <c r="H35" s="383">
        <v>0</v>
      </c>
      <c r="I35" s="383">
        <f>J35-H35-G35</f>
        <v>88</v>
      </c>
      <c r="J35" s="383">
        <v>19636.87</v>
      </c>
      <c r="K35" s="383">
        <v>0</v>
      </c>
      <c r="L35" s="383">
        <v>89</v>
      </c>
      <c r="M35" s="383">
        <v>19725.87</v>
      </c>
      <c r="N35" s="383">
        <v>91</v>
      </c>
      <c r="O35" s="383">
        <v>19816.87</v>
      </c>
      <c r="P35" s="383">
        <f>Q35-O35</f>
        <v>90</v>
      </c>
      <c r="Q35" s="383">
        <v>19906.87</v>
      </c>
      <c r="R35" s="383">
        <v>92</v>
      </c>
      <c r="S35" s="383">
        <v>19998.87</v>
      </c>
      <c r="T35" s="383">
        <f>U35-S35</f>
        <v>151</v>
      </c>
      <c r="U35" s="383">
        <v>20149.87</v>
      </c>
      <c r="V35" s="376">
        <f>+U35-E35</f>
        <v>687</v>
      </c>
      <c r="W35" s="376">
        <f>U35-M35</f>
        <v>424</v>
      </c>
      <c r="Y35" s="378" t="s">
        <v>215</v>
      </c>
      <c r="Z35" s="379" t="s">
        <v>216</v>
      </c>
      <c r="AA35" s="379" t="str">
        <f t="shared" si="3"/>
        <v>10.134550.REVENUE</v>
      </c>
      <c r="AB35" s="379" t="s">
        <v>281</v>
      </c>
      <c r="AC35" s="379" t="s">
        <v>270</v>
      </c>
      <c r="AD35" s="379" t="s">
        <v>266</v>
      </c>
      <c r="AE35" s="380">
        <v>-8262996</v>
      </c>
      <c r="AG35" s="354">
        <v>10</v>
      </c>
      <c r="AI35" s="354">
        <v>135140</v>
      </c>
      <c r="AK35" s="354" t="s">
        <v>291</v>
      </c>
      <c r="AL35" s="371">
        <v>-37880.400000000001</v>
      </c>
      <c r="AM35" s="371">
        <v>-3994309.33</v>
      </c>
    </row>
    <row r="36" spans="1:39" ht="9" customHeight="1" x14ac:dyDescent="0.2">
      <c r="A36" s="385"/>
      <c r="B36" s="386"/>
      <c r="C36" s="382"/>
      <c r="D36" s="383" t="s">
        <v>31</v>
      </c>
      <c r="E36" s="383" t="s">
        <v>31</v>
      </c>
      <c r="F36" s="383"/>
      <c r="G36" s="383" t="s">
        <v>31</v>
      </c>
      <c r="H36" s="383"/>
      <c r="I36" s="383"/>
      <c r="J36" s="383"/>
      <c r="K36" s="383"/>
      <c r="L36" s="383"/>
      <c r="M36" s="383"/>
      <c r="N36" s="383"/>
      <c r="O36" s="383"/>
      <c r="P36" s="383"/>
      <c r="Q36" s="383"/>
      <c r="R36" s="383"/>
      <c r="S36" s="383"/>
      <c r="T36" s="383"/>
      <c r="U36" s="383"/>
      <c r="V36" s="376"/>
      <c r="W36" s="376"/>
      <c r="Y36" s="378" t="s">
        <v>215</v>
      </c>
      <c r="Z36" s="379" t="s">
        <v>216</v>
      </c>
      <c r="AA36" s="379" t="str">
        <f t="shared" si="3"/>
        <v>10.134551.CAPITAL</v>
      </c>
      <c r="AB36" s="379" t="s">
        <v>292</v>
      </c>
      <c r="AC36" s="379" t="s">
        <v>265</v>
      </c>
      <c r="AD36" s="379" t="s">
        <v>266</v>
      </c>
      <c r="AE36" s="380">
        <v>-3443136.16</v>
      </c>
      <c r="AG36" s="354">
        <v>10</v>
      </c>
      <c r="AI36" s="354">
        <v>135140</v>
      </c>
      <c r="AJ36" s="354" t="s">
        <v>223</v>
      </c>
      <c r="AK36" s="354" t="s">
        <v>293</v>
      </c>
      <c r="AL36" s="371">
        <v>-2934</v>
      </c>
      <c r="AM36" s="371">
        <v>-17192.09</v>
      </c>
    </row>
    <row r="37" spans="1:39" x14ac:dyDescent="0.2">
      <c r="A37" s="395" t="s">
        <v>294</v>
      </c>
      <c r="B37" s="373" t="s">
        <v>255</v>
      </c>
      <c r="C37" s="396" t="s">
        <v>295</v>
      </c>
      <c r="D37" s="383">
        <v>-114273.34</v>
      </c>
      <c r="E37" s="383">
        <v>-114273.34</v>
      </c>
      <c r="F37" s="383">
        <f>G37-E37</f>
        <v>0</v>
      </c>
      <c r="G37" s="383">
        <v>-114273.34</v>
      </c>
      <c r="H37" s="383">
        <v>0</v>
      </c>
      <c r="I37" s="383">
        <f>J37-H37-G37</f>
        <v>0</v>
      </c>
      <c r="J37" s="383">
        <v>-114273.34</v>
      </c>
      <c r="K37" s="383">
        <v>0</v>
      </c>
      <c r="L37" s="383">
        <v>0</v>
      </c>
      <c r="M37" s="383">
        <v>-114273.34</v>
      </c>
      <c r="N37" s="383">
        <v>0</v>
      </c>
      <c r="O37" s="383">
        <v>-114273.34</v>
      </c>
      <c r="P37" s="383">
        <f>Q37-O37</f>
        <v>0</v>
      </c>
      <c r="Q37" s="383">
        <v>-114273.34</v>
      </c>
      <c r="R37" s="383">
        <v>0</v>
      </c>
      <c r="S37" s="383">
        <v>-114273.34</v>
      </c>
      <c r="T37" s="383">
        <f>U37-S37</f>
        <v>0</v>
      </c>
      <c r="U37" s="383">
        <f>SUM(AE26:AE27)</f>
        <v>-114273.34</v>
      </c>
      <c r="V37" s="376">
        <f>+U37-E37</f>
        <v>0</v>
      </c>
      <c r="W37" s="376">
        <f>U37-M37</f>
        <v>0</v>
      </c>
      <c r="Y37" s="378" t="s">
        <v>215</v>
      </c>
      <c r="Z37" s="379" t="s">
        <v>216</v>
      </c>
      <c r="AA37" s="379" t="str">
        <f t="shared" si="3"/>
        <v>10.134551.EXPENSE</v>
      </c>
      <c r="AB37" s="379" t="s">
        <v>292</v>
      </c>
      <c r="AC37" s="379" t="s">
        <v>268</v>
      </c>
      <c r="AD37" s="379" t="s">
        <v>266</v>
      </c>
      <c r="AE37" s="380">
        <v>-4760412.79</v>
      </c>
      <c r="AG37" s="354">
        <v>10</v>
      </c>
      <c r="AI37" s="354">
        <v>135150</v>
      </c>
      <c r="AK37" s="354" t="s">
        <v>296</v>
      </c>
      <c r="AL37" s="371">
        <v>-151140.14000000001</v>
      </c>
      <c r="AM37" s="371">
        <v>3011028.76</v>
      </c>
    </row>
    <row r="38" spans="1:39" x14ac:dyDescent="0.2">
      <c r="A38" s="395" t="s">
        <v>297</v>
      </c>
      <c r="B38" s="373" t="s">
        <v>298</v>
      </c>
      <c r="C38" s="396" t="s">
        <v>299</v>
      </c>
      <c r="D38" s="383">
        <v>114273.34</v>
      </c>
      <c r="E38" s="383">
        <v>114273.34</v>
      </c>
      <c r="F38" s="383">
        <f>G38-E38</f>
        <v>0</v>
      </c>
      <c r="G38" s="383">
        <v>114273.34</v>
      </c>
      <c r="H38" s="383">
        <v>0</v>
      </c>
      <c r="I38" s="383">
        <f>J38-H38-G38</f>
        <v>0</v>
      </c>
      <c r="J38" s="383">
        <v>114273.34</v>
      </c>
      <c r="K38" s="383">
        <v>0</v>
      </c>
      <c r="L38" s="383">
        <v>0</v>
      </c>
      <c r="M38" s="383">
        <v>114273.34</v>
      </c>
      <c r="N38" s="383">
        <v>0</v>
      </c>
      <c r="O38" s="383">
        <v>114273.34</v>
      </c>
      <c r="P38" s="383">
        <f>Q38-O38</f>
        <v>0</v>
      </c>
      <c r="Q38" s="383">
        <v>114273.34</v>
      </c>
      <c r="R38" s="383">
        <v>0</v>
      </c>
      <c r="S38" s="383">
        <v>114273.34</v>
      </c>
      <c r="T38" s="383">
        <f>U38-S38</f>
        <v>0</v>
      </c>
      <c r="U38" s="383">
        <f>SUM(AE28:AE29)</f>
        <v>114273.34</v>
      </c>
      <c r="V38" s="376">
        <f>+U38-E38</f>
        <v>0</v>
      </c>
      <c r="W38" s="376">
        <f>U38-M38</f>
        <v>0</v>
      </c>
      <c r="Y38" s="378" t="s">
        <v>215</v>
      </c>
      <c r="Z38" s="379" t="s">
        <v>216</v>
      </c>
      <c r="AA38" s="379" t="str">
        <f t="shared" si="3"/>
        <v>10.134551.REVENUE</v>
      </c>
      <c r="AB38" s="379" t="s">
        <v>292</v>
      </c>
      <c r="AC38" s="379" t="s">
        <v>270</v>
      </c>
      <c r="AD38" s="379" t="s">
        <v>266</v>
      </c>
      <c r="AE38" s="380">
        <v>8262996</v>
      </c>
      <c r="AG38" s="354">
        <v>10</v>
      </c>
      <c r="AI38" s="354">
        <v>135150</v>
      </c>
      <c r="AJ38" s="354" t="s">
        <v>223</v>
      </c>
      <c r="AK38" s="354" t="s">
        <v>300</v>
      </c>
      <c r="AL38" s="371">
        <v>2319</v>
      </c>
      <c r="AM38" s="371">
        <v>10755.63</v>
      </c>
    </row>
    <row r="39" spans="1:39" ht="7.5" customHeight="1" x14ac:dyDescent="0.2">
      <c r="A39" s="385"/>
      <c r="B39" s="386"/>
      <c r="C39" s="382"/>
      <c r="D39" s="383"/>
      <c r="E39" s="383"/>
      <c r="F39" s="383"/>
      <c r="G39" s="383"/>
      <c r="H39" s="383"/>
      <c r="I39" s="383"/>
      <c r="J39" s="383"/>
      <c r="K39" s="383"/>
      <c r="L39" s="383"/>
      <c r="M39" s="383"/>
      <c r="N39" s="383"/>
      <c r="O39" s="383"/>
      <c r="P39" s="383"/>
      <c r="Q39" s="383"/>
      <c r="R39" s="383"/>
      <c r="S39" s="383"/>
      <c r="T39" s="383"/>
      <c r="U39" s="383"/>
      <c r="V39" s="376"/>
      <c r="W39" s="376"/>
      <c r="X39" s="397" t="s">
        <v>31</v>
      </c>
      <c r="Y39" s="378" t="s">
        <v>215</v>
      </c>
      <c r="Z39" s="379" t="s">
        <v>216</v>
      </c>
      <c r="AA39" s="379" t="str">
        <f t="shared" si="3"/>
        <v>10.135110.</v>
      </c>
      <c r="AB39" s="379" t="s">
        <v>301</v>
      </c>
      <c r="AC39" s="379" t="s">
        <v>218</v>
      </c>
      <c r="AD39" s="379" t="s">
        <v>280</v>
      </c>
      <c r="AE39" s="380">
        <v>-6416456.1799999997</v>
      </c>
      <c r="AG39" s="354">
        <v>10</v>
      </c>
      <c r="AI39" s="354">
        <v>135150</v>
      </c>
      <c r="AJ39" s="354" t="s">
        <v>302</v>
      </c>
      <c r="AK39" s="354" t="s">
        <v>303</v>
      </c>
      <c r="AL39" s="371">
        <v>-5853293.2999999998</v>
      </c>
      <c r="AM39" s="371">
        <v>-25851167.239999998</v>
      </c>
    </row>
    <row r="40" spans="1:39" x14ac:dyDescent="0.2">
      <c r="A40" s="385" t="s">
        <v>304</v>
      </c>
      <c r="B40" s="386" t="s">
        <v>255</v>
      </c>
      <c r="C40" s="396">
        <v>10.134550000000001</v>
      </c>
      <c r="D40" s="383">
        <v>-94627.89</v>
      </c>
      <c r="E40" s="383">
        <v>-59303.17</v>
      </c>
      <c r="F40" s="383">
        <f>G40-E40</f>
        <v>-147.88000000000466</v>
      </c>
      <c r="G40" s="383">
        <v>-59451.05</v>
      </c>
      <c r="H40" s="383">
        <v>0</v>
      </c>
      <c r="I40" s="383">
        <f>J40-H40-G40</f>
        <v>0</v>
      </c>
      <c r="J40" s="383">
        <v>-59451.05</v>
      </c>
      <c r="K40" s="383">
        <v>0</v>
      </c>
      <c r="L40" s="383">
        <v>4</v>
      </c>
      <c r="M40" s="383">
        <v>-59447.05</v>
      </c>
      <c r="N40" s="383">
        <v>0</v>
      </c>
      <c r="O40" s="383">
        <v>-59447.05</v>
      </c>
      <c r="P40" s="383">
        <f>Q40-O40</f>
        <v>1.8917489796876907E-10</v>
      </c>
      <c r="Q40" s="383">
        <v>-59447.049999999814</v>
      </c>
      <c r="R40" s="383">
        <v>0</v>
      </c>
      <c r="S40" s="383">
        <v>-59447.049999999814</v>
      </c>
      <c r="T40" s="383">
        <f>U40-S40</f>
        <v>0</v>
      </c>
      <c r="U40" s="383">
        <f>SUM(AE30:AE35)</f>
        <v>-59447.049999999814</v>
      </c>
      <c r="V40" s="376">
        <f>+U40-E40</f>
        <v>-143.87999999981548</v>
      </c>
      <c r="W40" s="376">
        <f>U40-M40</f>
        <v>1.8917489796876907E-10</v>
      </c>
      <c r="Y40" s="378" t="s">
        <v>215</v>
      </c>
      <c r="Z40" s="379" t="s">
        <v>216</v>
      </c>
      <c r="AA40" s="379" t="str">
        <f t="shared" si="3"/>
        <v>10.135110.CARRYCHG</v>
      </c>
      <c r="AB40" s="379" t="s">
        <v>301</v>
      </c>
      <c r="AC40" s="379" t="s">
        <v>223</v>
      </c>
      <c r="AD40" s="379" t="s">
        <v>282</v>
      </c>
      <c r="AE40" s="380">
        <v>-22289.99</v>
      </c>
      <c r="AG40" s="354">
        <v>10</v>
      </c>
      <c r="AI40" s="354">
        <v>135150</v>
      </c>
      <c r="AJ40" s="354" t="s">
        <v>305</v>
      </c>
      <c r="AK40" s="354" t="s">
        <v>306</v>
      </c>
      <c r="AL40" s="371">
        <v>-15379</v>
      </c>
      <c r="AM40" s="371">
        <v>-27088.03</v>
      </c>
    </row>
    <row r="41" spans="1:39" x14ac:dyDescent="0.2">
      <c r="A41" s="385" t="s">
        <v>307</v>
      </c>
      <c r="B41" s="386" t="str">
        <f>+B40</f>
        <v>deferral</v>
      </c>
      <c r="C41" s="396">
        <v>10.134551</v>
      </c>
      <c r="D41" s="383">
        <f>-D40</f>
        <v>94627.89</v>
      </c>
      <c r="E41" s="383">
        <v>59303.17</v>
      </c>
      <c r="F41" s="383">
        <f>G41-E41</f>
        <v>147.88000000000466</v>
      </c>
      <c r="G41" s="383">
        <f>-G40</f>
        <v>59451.05</v>
      </c>
      <c r="H41" s="383">
        <v>0</v>
      </c>
      <c r="I41" s="383">
        <f>J41-H41-G41</f>
        <v>0</v>
      </c>
      <c r="J41" s="383">
        <v>59451.05</v>
      </c>
      <c r="K41" s="383">
        <v>0</v>
      </c>
      <c r="L41" s="383">
        <v>-4</v>
      </c>
      <c r="M41" s="383">
        <v>59447.05</v>
      </c>
      <c r="N41" s="383">
        <v>0</v>
      </c>
      <c r="O41" s="383">
        <v>59447.05</v>
      </c>
      <c r="P41" s="383">
        <f>Q41-O41</f>
        <v>-1.8917489796876907E-10</v>
      </c>
      <c r="Q41" s="383">
        <v>59447.049999999814</v>
      </c>
      <c r="R41" s="383">
        <v>0</v>
      </c>
      <c r="S41" s="383">
        <v>59447.049999999814</v>
      </c>
      <c r="T41" s="383">
        <f>U41-S41</f>
        <v>0</v>
      </c>
      <c r="U41" s="383">
        <f>SUM(AE36:AE38)</f>
        <v>59447.049999999814</v>
      </c>
      <c r="V41" s="376">
        <f>+U41-E41</f>
        <v>143.87999999981548</v>
      </c>
      <c r="W41" s="376">
        <f>U41-M41</f>
        <v>-1.8917489796876907E-10</v>
      </c>
      <c r="Y41" s="378" t="s">
        <v>215</v>
      </c>
      <c r="Z41" s="379" t="s">
        <v>216</v>
      </c>
      <c r="AA41" s="379" t="str">
        <f t="shared" si="3"/>
        <v>10.135120.</v>
      </c>
      <c r="AB41" s="379" t="s">
        <v>308</v>
      </c>
      <c r="AC41" s="379" t="s">
        <v>218</v>
      </c>
      <c r="AD41" s="379" t="s">
        <v>285</v>
      </c>
      <c r="AE41" s="380">
        <v>80.52</v>
      </c>
      <c r="AG41" s="354">
        <v>10</v>
      </c>
      <c r="AI41" s="354">
        <v>135155</v>
      </c>
      <c r="AK41" s="354" t="s">
        <v>219</v>
      </c>
      <c r="AL41" s="371">
        <v>-35972.120000000003</v>
      </c>
      <c r="AM41" s="371">
        <v>-2141147.84</v>
      </c>
    </row>
    <row r="42" spans="1:39" ht="9" customHeight="1" x14ac:dyDescent="0.2">
      <c r="A42" s="385"/>
      <c r="B42" s="386"/>
      <c r="C42" s="382"/>
      <c r="D42" s="383"/>
      <c r="E42" s="383"/>
      <c r="F42" s="383"/>
      <c r="G42" s="383"/>
      <c r="H42" s="383"/>
      <c r="I42" s="383"/>
      <c r="J42" s="383"/>
      <c r="K42" s="383"/>
      <c r="L42" s="383"/>
      <c r="M42" s="383"/>
      <c r="N42" s="383"/>
      <c r="O42" s="383"/>
      <c r="P42" s="383"/>
      <c r="Q42" s="383"/>
      <c r="R42" s="383"/>
      <c r="S42" s="383"/>
      <c r="T42" s="383"/>
      <c r="U42" s="383"/>
      <c r="V42" s="376"/>
      <c r="W42" s="376"/>
      <c r="Y42" s="378" t="s">
        <v>215</v>
      </c>
      <c r="Z42" s="379" t="s">
        <v>216</v>
      </c>
      <c r="AA42" s="379" t="str">
        <f t="shared" si="3"/>
        <v>10.135120.CARRYCHG</v>
      </c>
      <c r="AB42" s="379" t="s">
        <v>308</v>
      </c>
      <c r="AC42" s="379" t="s">
        <v>223</v>
      </c>
      <c r="AD42" s="379" t="s">
        <v>286</v>
      </c>
      <c r="AE42" s="380">
        <v>29111.83</v>
      </c>
      <c r="AG42" s="354">
        <v>10</v>
      </c>
      <c r="AI42" s="354">
        <v>135155</v>
      </c>
      <c r="AJ42" s="354" t="s">
        <v>223</v>
      </c>
      <c r="AK42" s="354" t="s">
        <v>224</v>
      </c>
      <c r="AL42" s="354">
        <v>766.32</v>
      </c>
      <c r="AM42" s="371">
        <v>319986.98</v>
      </c>
    </row>
    <row r="43" spans="1:39" x14ac:dyDescent="0.2">
      <c r="A43" s="395" t="s">
        <v>309</v>
      </c>
      <c r="B43" s="373" t="s">
        <v>255</v>
      </c>
      <c r="C43" s="387">
        <v>10.134505000000001</v>
      </c>
      <c r="D43" s="383">
        <v>-710973.08</v>
      </c>
      <c r="E43" s="383">
        <v>-61972.01</v>
      </c>
      <c r="F43" s="383">
        <f>G43-E43</f>
        <v>0</v>
      </c>
      <c r="G43" s="383">
        <v>-61972.01</v>
      </c>
      <c r="H43" s="383">
        <v>0</v>
      </c>
      <c r="I43" s="383">
        <f>J43-H43-G43</f>
        <v>0</v>
      </c>
      <c r="J43" s="383">
        <v>-61972.01</v>
      </c>
      <c r="K43" s="383">
        <v>0</v>
      </c>
      <c r="L43" s="383">
        <v>0</v>
      </c>
      <c r="M43" s="383">
        <v>-61972.01</v>
      </c>
      <c r="N43" s="383">
        <v>0</v>
      </c>
      <c r="O43" s="383">
        <v>-61972.01</v>
      </c>
      <c r="P43" s="383">
        <f>Q43-O43</f>
        <v>0</v>
      </c>
      <c r="Q43" s="383">
        <v>-61972.01</v>
      </c>
      <c r="R43" s="383">
        <v>0</v>
      </c>
      <c r="S43" s="383">
        <v>-61972.01</v>
      </c>
      <c r="T43" s="383">
        <f>U43-S43</f>
        <v>0</v>
      </c>
      <c r="U43" s="383">
        <f>AE24</f>
        <v>-61972.01</v>
      </c>
      <c r="V43" s="376">
        <f>+U43-E43</f>
        <v>0</v>
      </c>
      <c r="W43" s="376">
        <f>U43-M43</f>
        <v>0</v>
      </c>
      <c r="Y43" s="378" t="s">
        <v>215</v>
      </c>
      <c r="Z43" s="379" t="s">
        <v>216</v>
      </c>
      <c r="AA43" s="379" t="str">
        <f t="shared" si="3"/>
        <v>10.135130.</v>
      </c>
      <c r="AB43" s="379" t="s">
        <v>310</v>
      </c>
      <c r="AC43" s="379" t="s">
        <v>218</v>
      </c>
      <c r="AD43" s="379" t="s">
        <v>287</v>
      </c>
      <c r="AE43" s="380">
        <v>-4228791.54</v>
      </c>
      <c r="AG43" s="354">
        <v>10</v>
      </c>
      <c r="AI43" s="354">
        <v>135155</v>
      </c>
      <c r="AJ43" s="354" t="s">
        <v>229</v>
      </c>
      <c r="AK43" s="354" t="s">
        <v>230</v>
      </c>
      <c r="AL43" s="371">
        <v>198963</v>
      </c>
      <c r="AM43" s="371">
        <v>9066576.5</v>
      </c>
    </row>
    <row r="44" spans="1:39" x14ac:dyDescent="0.2">
      <c r="A44" s="395" t="s">
        <v>311</v>
      </c>
      <c r="B44" s="386" t="s">
        <v>243</v>
      </c>
      <c r="C44" s="387">
        <v>10.134505000000001</v>
      </c>
      <c r="D44" s="383">
        <v>-20492.5</v>
      </c>
      <c r="E44" s="383">
        <v>-28726.73</v>
      </c>
      <c r="F44" s="383">
        <f>G44-E44</f>
        <v>-28.400000000001455</v>
      </c>
      <c r="G44" s="383">
        <v>-28755.13</v>
      </c>
      <c r="H44" s="383">
        <v>0</v>
      </c>
      <c r="I44" s="383">
        <f>J44-H44-G44</f>
        <v>-28.399999999997817</v>
      </c>
      <c r="J44" s="383">
        <v>-28783.53</v>
      </c>
      <c r="K44" s="383">
        <v>0</v>
      </c>
      <c r="L44" s="383">
        <v>0</v>
      </c>
      <c r="M44" s="383">
        <v>-28783.53</v>
      </c>
      <c r="N44" s="383">
        <v>-56.81000000000131</v>
      </c>
      <c r="O44" s="383">
        <v>-28840.34</v>
      </c>
      <c r="P44" s="383">
        <f>Q44-O44</f>
        <v>-28.400000000001455</v>
      </c>
      <c r="Q44" s="383">
        <v>-28868.74</v>
      </c>
      <c r="R44" s="383">
        <v>-28.399999999997817</v>
      </c>
      <c r="S44" s="383">
        <v>-28897.14</v>
      </c>
      <c r="T44" s="383">
        <f>U44-S44</f>
        <v>-45.959999999999127</v>
      </c>
      <c r="U44" s="383">
        <v>-28943.1</v>
      </c>
      <c r="V44" s="376">
        <f>+U44-E44</f>
        <v>-216.36999999999898</v>
      </c>
      <c r="W44" s="376">
        <f>U44-M44</f>
        <v>-159.56999999999971</v>
      </c>
      <c r="Y44" s="378" t="s">
        <v>215</v>
      </c>
      <c r="Z44" s="379" t="s">
        <v>216</v>
      </c>
      <c r="AA44" s="379" t="str">
        <f t="shared" si="3"/>
        <v>10.135130.CARRYCHG</v>
      </c>
      <c r="AB44" s="379" t="s">
        <v>310</v>
      </c>
      <c r="AC44" s="379" t="s">
        <v>223</v>
      </c>
      <c r="AD44" s="379" t="s">
        <v>289</v>
      </c>
      <c r="AE44" s="380">
        <v>-15240.08</v>
      </c>
      <c r="AG44" s="354">
        <v>10</v>
      </c>
      <c r="AI44" s="354">
        <v>135155</v>
      </c>
      <c r="AJ44" s="354" t="s">
        <v>240</v>
      </c>
      <c r="AK44" s="354" t="s">
        <v>312</v>
      </c>
      <c r="AL44" s="354">
        <v>0</v>
      </c>
      <c r="AM44" s="371">
        <v>24022.07</v>
      </c>
    </row>
    <row r="45" spans="1:39" x14ac:dyDescent="0.2">
      <c r="A45" s="385"/>
      <c r="B45" s="386"/>
      <c r="C45" s="382"/>
      <c r="D45" s="383"/>
      <c r="E45" s="383"/>
      <c r="F45" s="383"/>
      <c r="G45" s="383"/>
      <c r="H45" s="383"/>
      <c r="I45" s="383"/>
      <c r="J45" s="383"/>
      <c r="K45" s="383"/>
      <c r="L45" s="383"/>
      <c r="M45" s="383"/>
      <c r="N45" s="383"/>
      <c r="O45" s="383"/>
      <c r="P45" s="383"/>
      <c r="Q45" s="383"/>
      <c r="R45" s="383"/>
      <c r="S45" s="383"/>
      <c r="T45" s="383"/>
      <c r="U45" s="383"/>
      <c r="V45" s="376"/>
      <c r="W45" s="376"/>
      <c r="Y45" s="378" t="s">
        <v>215</v>
      </c>
      <c r="Z45" s="379" t="s">
        <v>216</v>
      </c>
      <c r="AA45" s="379" t="str">
        <f t="shared" si="3"/>
        <v>10.135140.</v>
      </c>
      <c r="AB45" s="379" t="s">
        <v>313</v>
      </c>
      <c r="AC45" s="379" t="s">
        <v>218</v>
      </c>
      <c r="AD45" s="379" t="s">
        <v>291</v>
      </c>
      <c r="AE45" s="380">
        <v>-4252657.38</v>
      </c>
      <c r="AG45" s="354">
        <v>10</v>
      </c>
      <c r="AI45" s="354">
        <v>135160</v>
      </c>
      <c r="AK45" s="354" t="s">
        <v>234</v>
      </c>
      <c r="AL45" s="371">
        <v>48100.54</v>
      </c>
      <c r="AM45" s="371">
        <v>381193.68</v>
      </c>
    </row>
    <row r="46" spans="1:39" x14ac:dyDescent="0.2">
      <c r="A46" s="395" t="s">
        <v>314</v>
      </c>
      <c r="B46" s="373" t="s">
        <v>315</v>
      </c>
      <c r="C46" s="396" t="s">
        <v>316</v>
      </c>
      <c r="D46" s="383">
        <v>-183553.1099999994</v>
      </c>
      <c r="E46" s="383">
        <v>-183553.1099999994</v>
      </c>
      <c r="F46" s="383">
        <f>G46-E46</f>
        <v>0</v>
      </c>
      <c r="G46" s="383">
        <v>-183553.1099999994</v>
      </c>
      <c r="H46" s="383">
        <v>67008.689882056788</v>
      </c>
      <c r="I46" s="383">
        <f>J46-H46-G46</f>
        <v>76020.120117942613</v>
      </c>
      <c r="J46" s="383">
        <v>-40524.300000000003</v>
      </c>
      <c r="K46" s="383">
        <v>0</v>
      </c>
      <c r="L46" s="383">
        <v>40524.300000000003</v>
      </c>
      <c r="M46" s="383">
        <v>0</v>
      </c>
      <c r="N46" s="383">
        <v>0</v>
      </c>
      <c r="O46" s="383">
        <v>0</v>
      </c>
      <c r="P46" s="383">
        <f>Q46-O46</f>
        <v>0</v>
      </c>
      <c r="Q46" s="398">
        <v>0</v>
      </c>
      <c r="R46" s="383">
        <v>0</v>
      </c>
      <c r="S46" s="398">
        <v>0</v>
      </c>
      <c r="T46" s="383">
        <f>U46-S46</f>
        <v>0</v>
      </c>
      <c r="U46" s="398">
        <v>0</v>
      </c>
      <c r="V46" s="376">
        <f>+U46-E46</f>
        <v>183553.1099999994</v>
      </c>
      <c r="W46" s="376">
        <f>U46-M46</f>
        <v>0</v>
      </c>
      <c r="Y46" s="378" t="s">
        <v>215</v>
      </c>
      <c r="Z46" s="379" t="s">
        <v>216</v>
      </c>
      <c r="AA46" s="379" t="str">
        <f t="shared" si="3"/>
        <v>10.135140.CARRYCHG</v>
      </c>
      <c r="AB46" s="379" t="s">
        <v>313</v>
      </c>
      <c r="AC46" s="379" t="s">
        <v>223</v>
      </c>
      <c r="AD46" s="379" t="s">
        <v>293</v>
      </c>
      <c r="AE46" s="380">
        <v>-12338.09</v>
      </c>
      <c r="AG46" s="354">
        <v>10</v>
      </c>
      <c r="AI46" s="354">
        <v>135160</v>
      </c>
      <c r="AJ46" s="354" t="s">
        <v>223</v>
      </c>
      <c r="AK46" s="354" t="s">
        <v>237</v>
      </c>
      <c r="AL46" s="354">
        <v>355.05</v>
      </c>
      <c r="AM46" s="371">
        <v>122703.03999999999</v>
      </c>
    </row>
    <row r="47" spans="1:39" x14ac:dyDescent="0.2">
      <c r="A47" s="395" t="s">
        <v>317</v>
      </c>
      <c r="B47" s="386" t="s">
        <v>243</v>
      </c>
      <c r="C47" s="396">
        <v>10.13608</v>
      </c>
      <c r="D47" s="383">
        <v>157857.21</v>
      </c>
      <c r="E47" s="383">
        <v>157857.21</v>
      </c>
      <c r="F47" s="383">
        <f>G47-E47</f>
        <v>0</v>
      </c>
      <c r="G47" s="383">
        <v>157857.21</v>
      </c>
      <c r="H47" s="383">
        <v>-40524.258928373216</v>
      </c>
      <c r="I47" s="383">
        <f>J47-H47-G47</f>
        <v>-76808.691071626774</v>
      </c>
      <c r="J47" s="383">
        <v>40524.26</v>
      </c>
      <c r="K47" s="383">
        <v>0</v>
      </c>
      <c r="L47" s="383">
        <v>-40524.26</v>
      </c>
      <c r="M47" s="383">
        <v>0</v>
      </c>
      <c r="N47" s="383">
        <v>0</v>
      </c>
      <c r="O47" s="383">
        <v>0</v>
      </c>
      <c r="P47" s="383">
        <f>Q47-O47</f>
        <v>0</v>
      </c>
      <c r="Q47" s="398">
        <v>0</v>
      </c>
      <c r="R47" s="383">
        <v>0</v>
      </c>
      <c r="S47" s="398">
        <v>0</v>
      </c>
      <c r="T47" s="383">
        <f>U47-S47</f>
        <v>0</v>
      </c>
      <c r="U47" s="398">
        <v>0</v>
      </c>
      <c r="V47" s="376">
        <f>+U47-E47</f>
        <v>-157857.21</v>
      </c>
      <c r="W47" s="376">
        <f>U47-M47</f>
        <v>0</v>
      </c>
      <c r="Y47" s="378" t="s">
        <v>215</v>
      </c>
      <c r="Z47" s="379" t="s">
        <v>216</v>
      </c>
      <c r="AA47" s="379" t="str">
        <f t="shared" si="3"/>
        <v>10.135150.</v>
      </c>
      <c r="AB47" s="379" t="s">
        <v>318</v>
      </c>
      <c r="AC47" s="379" t="s">
        <v>218</v>
      </c>
      <c r="AD47" s="379" t="s">
        <v>296</v>
      </c>
      <c r="AE47" s="380">
        <v>6446084.8799999999</v>
      </c>
      <c r="AG47" s="354">
        <v>10</v>
      </c>
      <c r="AI47" s="354">
        <v>135163</v>
      </c>
      <c r="AJ47" s="354" t="s">
        <v>319</v>
      </c>
      <c r="AK47" s="354" t="s">
        <v>320</v>
      </c>
      <c r="AL47" s="354">
        <v>0</v>
      </c>
      <c r="AM47" s="371">
        <v>-1201293.19</v>
      </c>
    </row>
    <row r="48" spans="1:39" x14ac:dyDescent="0.2">
      <c r="A48" s="395"/>
      <c r="B48" s="373"/>
      <c r="C48" s="382"/>
      <c r="D48" s="383" t="s">
        <v>31</v>
      </c>
      <c r="E48" s="383" t="s">
        <v>31</v>
      </c>
      <c r="F48" s="383"/>
      <c r="G48" s="383" t="s">
        <v>31</v>
      </c>
      <c r="H48" s="383"/>
      <c r="I48" s="383"/>
      <c r="J48" s="383"/>
      <c r="K48" s="383"/>
      <c r="L48" s="383"/>
      <c r="M48" s="383"/>
      <c r="N48" s="383"/>
      <c r="O48" s="383"/>
      <c r="P48" s="383"/>
      <c r="Q48" s="383"/>
      <c r="R48" s="383"/>
      <c r="S48" s="383"/>
      <c r="T48" s="383"/>
      <c r="U48" s="383"/>
      <c r="V48" s="376"/>
      <c r="W48" s="376"/>
      <c r="Y48" s="378" t="s">
        <v>215</v>
      </c>
      <c r="Z48" s="379" t="s">
        <v>216</v>
      </c>
      <c r="AA48" s="379" t="str">
        <f t="shared" si="3"/>
        <v>10.135150.CARRYCHG</v>
      </c>
      <c r="AB48" s="379" t="s">
        <v>318</v>
      </c>
      <c r="AC48" s="379" t="s">
        <v>223</v>
      </c>
      <c r="AD48" s="379" t="s">
        <v>300</v>
      </c>
      <c r="AE48" s="380">
        <v>5502.63</v>
      </c>
      <c r="AG48" s="354">
        <v>10</v>
      </c>
      <c r="AI48" s="354">
        <v>135163</v>
      </c>
      <c r="AJ48" s="354" t="s">
        <v>321</v>
      </c>
      <c r="AK48" s="354" t="s">
        <v>322</v>
      </c>
      <c r="AL48" s="354">
        <v>0</v>
      </c>
      <c r="AM48" s="371">
        <v>1201293.19</v>
      </c>
    </row>
    <row r="49" spans="1:39" x14ac:dyDescent="0.2">
      <c r="A49" s="395" t="s">
        <v>323</v>
      </c>
      <c r="B49" s="373" t="s">
        <v>315</v>
      </c>
      <c r="C49" s="396">
        <v>10.136505</v>
      </c>
      <c r="D49" s="383">
        <v>-2426078.038969744</v>
      </c>
      <c r="E49" s="383">
        <v>-147787.39000000001</v>
      </c>
      <c r="F49" s="383">
        <f>G49-E49</f>
        <v>0</v>
      </c>
      <c r="G49" s="383">
        <v>-147787.39000000001</v>
      </c>
      <c r="H49" s="383">
        <v>0</v>
      </c>
      <c r="I49" s="383">
        <f>J49-H49-G49</f>
        <v>0</v>
      </c>
      <c r="J49" s="383">
        <v>-147787.39000000001</v>
      </c>
      <c r="K49" s="383">
        <v>0</v>
      </c>
      <c r="L49" s="383">
        <v>0</v>
      </c>
      <c r="M49" s="383">
        <v>-147787.39000000001</v>
      </c>
      <c r="N49" s="383">
        <v>0</v>
      </c>
      <c r="O49" s="383">
        <v>-147787.39000000001</v>
      </c>
      <c r="P49" s="383">
        <f>Q49-O49</f>
        <v>0</v>
      </c>
      <c r="Q49" s="383">
        <v>-147787.39000000001</v>
      </c>
      <c r="R49" s="383">
        <v>0</v>
      </c>
      <c r="S49" s="383">
        <v>-147787.39000000001</v>
      </c>
      <c r="T49" s="383">
        <f>U49-S49</f>
        <v>0</v>
      </c>
      <c r="U49" s="383">
        <f>SUM(AE57:AE58)</f>
        <v>-147787.39000000013</v>
      </c>
      <c r="V49" s="376">
        <f>+U49-E49</f>
        <v>0</v>
      </c>
      <c r="W49" s="376">
        <f>U49-M49</f>
        <v>0</v>
      </c>
      <c r="Y49" s="378" t="s">
        <v>215</v>
      </c>
      <c r="Z49" s="379" t="s">
        <v>216</v>
      </c>
      <c r="AA49" s="379" t="str">
        <f t="shared" si="3"/>
        <v>10.135150.GLOBADJM</v>
      </c>
      <c r="AB49" s="379" t="s">
        <v>318</v>
      </c>
      <c r="AC49" s="379" t="s">
        <v>302</v>
      </c>
      <c r="AD49" s="379" t="s">
        <v>303</v>
      </c>
      <c r="AE49" s="380">
        <v>-15730774.040000001</v>
      </c>
      <c r="AG49" s="354">
        <v>10</v>
      </c>
      <c r="AI49" s="354">
        <v>135165</v>
      </c>
      <c r="AK49" s="354" t="s">
        <v>86</v>
      </c>
      <c r="AL49" s="371">
        <v>106910.78</v>
      </c>
      <c r="AM49" s="371">
        <v>1507062.46</v>
      </c>
    </row>
    <row r="50" spans="1:39" x14ac:dyDescent="0.2">
      <c r="A50" s="395" t="s">
        <v>324</v>
      </c>
      <c r="B50" s="386" t="s">
        <v>243</v>
      </c>
      <c r="C50" s="396">
        <v>10.136509999999999</v>
      </c>
      <c r="D50" s="383">
        <v>-111297.64152990832</v>
      </c>
      <c r="E50" s="383">
        <v>-131475.29999999999</v>
      </c>
      <c r="F50" s="383">
        <f>G50-E50</f>
        <v>-68</v>
      </c>
      <c r="G50" s="383">
        <v>-131543.29999999999</v>
      </c>
      <c r="H50" s="383">
        <v>0</v>
      </c>
      <c r="I50" s="383">
        <f>J50-H50-G50</f>
        <v>-68</v>
      </c>
      <c r="J50" s="383">
        <v>-131611.29999999999</v>
      </c>
      <c r="K50" s="383">
        <v>0</v>
      </c>
      <c r="L50" s="383">
        <v>-68</v>
      </c>
      <c r="M50" s="383">
        <v>-131679.29999999999</v>
      </c>
      <c r="N50" s="383">
        <v>-68</v>
      </c>
      <c r="O50" s="383">
        <v>-131747.29999999999</v>
      </c>
      <c r="P50" s="383">
        <f>Q50-O50</f>
        <v>-68</v>
      </c>
      <c r="Q50" s="383">
        <v>-131815.29999999999</v>
      </c>
      <c r="R50" s="383">
        <v>-68</v>
      </c>
      <c r="S50" s="383">
        <v>-131883.29999999999</v>
      </c>
      <c r="T50" s="383">
        <f>U50-S50</f>
        <v>-110</v>
      </c>
      <c r="U50" s="383">
        <v>-131993.29999999999</v>
      </c>
      <c r="V50" s="376">
        <f>+U50-E50</f>
        <v>-518</v>
      </c>
      <c r="W50" s="376">
        <f>U50-M50</f>
        <v>-314</v>
      </c>
      <c r="Y50" s="378" t="s">
        <v>215</v>
      </c>
      <c r="Z50" s="379" t="s">
        <v>216</v>
      </c>
      <c r="AA50" s="379" t="str">
        <f t="shared" si="3"/>
        <v>10.135150.GLOBCARR</v>
      </c>
      <c r="AB50" s="379" t="s">
        <v>318</v>
      </c>
      <c r="AC50" s="379" t="s">
        <v>305</v>
      </c>
      <c r="AD50" s="379" t="s">
        <v>306</v>
      </c>
      <c r="AE50" s="380">
        <v>-4242.03</v>
      </c>
      <c r="AG50" s="354">
        <v>10</v>
      </c>
      <c r="AI50" s="354">
        <v>135165</v>
      </c>
      <c r="AJ50" s="354" t="s">
        <v>223</v>
      </c>
      <c r="AK50" s="354" t="s">
        <v>325</v>
      </c>
      <c r="AL50" s="371">
        <v>1038</v>
      </c>
      <c r="AM50" s="371">
        <v>3915.75</v>
      </c>
    </row>
    <row r="51" spans="1:39" x14ac:dyDescent="0.2">
      <c r="A51" s="395"/>
      <c r="B51" s="386"/>
      <c r="C51" s="396"/>
      <c r="D51" s="383"/>
      <c r="E51" s="383"/>
      <c r="F51" s="383"/>
      <c r="G51" s="383"/>
      <c r="H51" s="383"/>
      <c r="I51" s="383"/>
      <c r="J51" s="383"/>
      <c r="K51" s="383"/>
      <c r="L51" s="383"/>
      <c r="M51" s="383"/>
      <c r="N51" s="383"/>
      <c r="O51" s="383"/>
      <c r="P51" s="383"/>
      <c r="Q51" s="383"/>
      <c r="R51" s="383"/>
      <c r="S51" s="383"/>
      <c r="T51" s="383"/>
      <c r="U51" s="383"/>
      <c r="V51" s="376"/>
      <c r="W51" s="376"/>
      <c r="Y51" s="378" t="s">
        <v>215</v>
      </c>
      <c r="Z51" s="379" t="s">
        <v>216</v>
      </c>
      <c r="AA51" s="379" t="str">
        <f t="shared" si="3"/>
        <v>10.135163.LVBILLED</v>
      </c>
      <c r="AB51" s="379" t="s">
        <v>326</v>
      </c>
      <c r="AC51" s="379" t="s">
        <v>319</v>
      </c>
      <c r="AD51" s="379" t="s">
        <v>320</v>
      </c>
      <c r="AE51" s="380">
        <v>-1201293.19</v>
      </c>
      <c r="AG51" s="354">
        <v>10</v>
      </c>
      <c r="AI51" s="354">
        <v>135199</v>
      </c>
      <c r="AK51" s="354" t="s">
        <v>327</v>
      </c>
      <c r="AL51" s="354">
        <v>0</v>
      </c>
      <c r="AM51" s="371">
        <v>17402545.77</v>
      </c>
    </row>
    <row r="52" spans="1:39" x14ac:dyDescent="0.2">
      <c r="A52" s="395" t="s">
        <v>328</v>
      </c>
      <c r="B52" s="373" t="s">
        <v>315</v>
      </c>
      <c r="C52" s="396">
        <v>10.136520000000001</v>
      </c>
      <c r="D52" s="383">
        <v>0</v>
      </c>
      <c r="E52" s="383">
        <v>0</v>
      </c>
      <c r="F52" s="383">
        <f>G52-E52</f>
        <v>0</v>
      </c>
      <c r="G52" s="383">
        <v>0</v>
      </c>
      <c r="H52" s="383">
        <v>0</v>
      </c>
      <c r="I52" s="383">
        <f>J52-H52-G52</f>
        <v>13600662.33</v>
      </c>
      <c r="J52" s="383">
        <v>13600662.33</v>
      </c>
      <c r="K52" s="383">
        <v>0</v>
      </c>
      <c r="L52" s="383">
        <v>-747770.11999999918</v>
      </c>
      <c r="M52" s="383">
        <v>12852892.210000001</v>
      </c>
      <c r="N52" s="383">
        <v>-342724.48</v>
      </c>
      <c r="O52" s="383">
        <v>12510167.73</v>
      </c>
      <c r="P52" s="383">
        <f>Q52-O52</f>
        <v>-916371.45000000112</v>
      </c>
      <c r="Q52" s="383">
        <v>11593796.279999999</v>
      </c>
      <c r="R52" s="383">
        <v>-856918.51</v>
      </c>
      <c r="S52" s="383">
        <v>10736877.77</v>
      </c>
      <c r="T52" s="383">
        <f>U52-S52</f>
        <v>-865019.03999999911</v>
      </c>
      <c r="U52" s="383">
        <v>9871858.7300000004</v>
      </c>
      <c r="V52" s="376">
        <f>+U52-E52</f>
        <v>9871858.7300000004</v>
      </c>
      <c r="W52" s="376">
        <f>U52-M52</f>
        <v>-2981033.4800000004</v>
      </c>
      <c r="Y52" s="378" t="s">
        <v>215</v>
      </c>
      <c r="Z52" s="379" t="s">
        <v>216</v>
      </c>
      <c r="AA52" s="379" t="str">
        <f t="shared" si="3"/>
        <v>10.135163.LVCHARGE</v>
      </c>
      <c r="AB52" s="379" t="s">
        <v>326</v>
      </c>
      <c r="AC52" s="379" t="s">
        <v>321</v>
      </c>
      <c r="AD52" s="379" t="s">
        <v>322</v>
      </c>
      <c r="AE52" s="380">
        <v>1201293.19</v>
      </c>
      <c r="AF52" s="354">
        <f>41485/24</f>
        <v>1728.5416666666667</v>
      </c>
      <c r="AG52" s="354">
        <v>10</v>
      </c>
      <c r="AI52" s="354">
        <v>136005</v>
      </c>
      <c r="AK52" s="354" t="s">
        <v>329</v>
      </c>
      <c r="AL52" s="354">
        <v>0</v>
      </c>
      <c r="AM52" s="371">
        <v>31024838.050000001</v>
      </c>
    </row>
    <row r="53" spans="1:39" ht="13.5" thickBot="1" x14ac:dyDescent="0.25">
      <c r="A53" s="395" t="s">
        <v>330</v>
      </c>
      <c r="B53" s="373" t="s">
        <v>315</v>
      </c>
      <c r="C53" s="396">
        <v>10.136520000000001</v>
      </c>
      <c r="D53" s="383">
        <v>0</v>
      </c>
      <c r="E53" s="383">
        <v>0</v>
      </c>
      <c r="F53" s="383">
        <f>G53-E53</f>
        <v>0</v>
      </c>
      <c r="G53" s="383">
        <v>0</v>
      </c>
      <c r="H53" s="383"/>
      <c r="I53" s="383">
        <f>J53-H53-G53</f>
        <v>-1554953.91</v>
      </c>
      <c r="J53" s="383">
        <v>-1554953.91</v>
      </c>
      <c r="K53" s="383"/>
      <c r="L53" s="383">
        <v>50264.77</v>
      </c>
      <c r="M53" s="383">
        <v>-1504689.14</v>
      </c>
      <c r="N53" s="383">
        <v>60140.75</v>
      </c>
      <c r="O53" s="383">
        <v>-1444548.39</v>
      </c>
      <c r="P53" s="383">
        <f>Q53-O53</f>
        <v>61701.35999999987</v>
      </c>
      <c r="Q53" s="383">
        <v>-1382847.03</v>
      </c>
      <c r="R53" s="383">
        <v>51223.49</v>
      </c>
      <c r="S53" s="383">
        <v>-1331623.54</v>
      </c>
      <c r="T53" s="383">
        <f>U53-S53</f>
        <v>67166.719999999972</v>
      </c>
      <c r="U53" s="383">
        <v>-1264456.82</v>
      </c>
      <c r="V53" s="376">
        <f>+U53-E53</f>
        <v>-1264456.82</v>
      </c>
      <c r="W53" s="376">
        <f>U53-M53</f>
        <v>240232.31999999983</v>
      </c>
      <c r="Y53" s="378" t="s">
        <v>215</v>
      </c>
      <c r="Z53" s="379" t="s">
        <v>216</v>
      </c>
      <c r="AA53" s="379" t="str">
        <f t="shared" si="3"/>
        <v>10.135165.</v>
      </c>
      <c r="AB53" s="379" t="s">
        <v>331</v>
      </c>
      <c r="AC53" s="379" t="s">
        <v>218</v>
      </c>
      <c r="AD53" s="379" t="s">
        <v>86</v>
      </c>
      <c r="AE53" s="380">
        <v>1293757.4399999999</v>
      </c>
      <c r="AF53" s="354">
        <f>-29008/24</f>
        <v>-1208.6666666666667</v>
      </c>
      <c r="AG53" s="354">
        <v>10</v>
      </c>
      <c r="AI53" s="354">
        <v>136010</v>
      </c>
      <c r="AK53" s="354" t="s">
        <v>332</v>
      </c>
      <c r="AL53" s="354">
        <v>0</v>
      </c>
      <c r="AM53" s="371">
        <v>-31024838.050000001</v>
      </c>
    </row>
    <row r="54" spans="1:39" ht="13.5" thickBot="1" x14ac:dyDescent="0.25">
      <c r="A54" s="395" t="s">
        <v>333</v>
      </c>
      <c r="B54" s="386" t="s">
        <v>243</v>
      </c>
      <c r="C54" s="396">
        <v>10.13653</v>
      </c>
      <c r="D54" s="383">
        <v>0</v>
      </c>
      <c r="E54" s="383">
        <v>0</v>
      </c>
      <c r="F54" s="383">
        <f>G54-E54</f>
        <v>0</v>
      </c>
      <c r="G54" s="383">
        <v>0</v>
      </c>
      <c r="H54" s="383"/>
      <c r="I54" s="383">
        <v>0</v>
      </c>
      <c r="J54" s="383">
        <v>0</v>
      </c>
      <c r="K54" s="383"/>
      <c r="L54" s="383">
        <v>6233.64</v>
      </c>
      <c r="M54" s="383">
        <v>6233.64</v>
      </c>
      <c r="N54" s="383">
        <v>5890.91</v>
      </c>
      <c r="O54" s="383">
        <v>12124.55</v>
      </c>
      <c r="P54" s="383">
        <f>Q54-O54</f>
        <v>5733.8300000000017</v>
      </c>
      <c r="Q54" s="383">
        <v>17858.38</v>
      </c>
      <c r="R54" s="383">
        <v>5313.82</v>
      </c>
      <c r="S54" s="383">
        <v>23172.2</v>
      </c>
      <c r="T54" s="383">
        <f>U54-S54</f>
        <v>4921.07</v>
      </c>
      <c r="U54" s="383">
        <v>28093.27</v>
      </c>
      <c r="V54" s="376">
        <f>+U54-E54</f>
        <v>28093.27</v>
      </c>
      <c r="W54" s="376">
        <f>U54-M54</f>
        <v>21859.63</v>
      </c>
      <c r="Y54" s="378" t="s">
        <v>215</v>
      </c>
      <c r="Z54" s="379" t="s">
        <v>216</v>
      </c>
      <c r="AA54" s="379" t="str">
        <f t="shared" si="3"/>
        <v>10.135165.CARRYCHG</v>
      </c>
      <c r="AB54" s="379" t="s">
        <v>331</v>
      </c>
      <c r="AC54" s="379" t="s">
        <v>223</v>
      </c>
      <c r="AD54" s="379" t="s">
        <v>325</v>
      </c>
      <c r="AE54" s="380">
        <v>2284.75</v>
      </c>
      <c r="AG54" s="354">
        <v>10</v>
      </c>
      <c r="AI54" s="354">
        <v>136505</v>
      </c>
      <c r="AJ54" s="354" t="s">
        <v>223</v>
      </c>
      <c r="AK54" s="399" t="s">
        <v>334</v>
      </c>
      <c r="AL54" s="354">
        <v>0</v>
      </c>
      <c r="AM54" s="371">
        <v>1163101</v>
      </c>
    </row>
    <row r="55" spans="1:39" x14ac:dyDescent="0.2">
      <c r="A55" s="395"/>
      <c r="B55" s="373"/>
      <c r="C55" s="382"/>
      <c r="D55" s="383" t="s">
        <v>31</v>
      </c>
      <c r="E55" s="383" t="s">
        <v>31</v>
      </c>
      <c r="F55" s="383"/>
      <c r="G55" s="383" t="s">
        <v>31</v>
      </c>
      <c r="H55" s="383"/>
      <c r="I55" s="383"/>
      <c r="J55" s="383"/>
      <c r="K55" s="383"/>
      <c r="L55" s="383"/>
      <c r="M55" s="383"/>
      <c r="N55" s="383"/>
      <c r="O55" s="383"/>
      <c r="P55" s="383"/>
      <c r="Q55" s="383"/>
      <c r="R55" s="383"/>
      <c r="S55" s="383"/>
      <c r="T55" s="383"/>
      <c r="U55" s="383"/>
      <c r="V55" s="384"/>
      <c r="W55" s="384"/>
      <c r="Y55" s="378" t="s">
        <v>215</v>
      </c>
      <c r="Z55" s="379" t="s">
        <v>216</v>
      </c>
      <c r="AA55" s="379" t="str">
        <f t="shared" si="3"/>
        <v>10.136005.</v>
      </c>
      <c r="AB55" s="379" t="s">
        <v>335</v>
      </c>
      <c r="AC55" s="379" t="s">
        <v>218</v>
      </c>
      <c r="AD55" s="379" t="s">
        <v>329</v>
      </c>
      <c r="AE55" s="380">
        <v>31024838.050000001</v>
      </c>
      <c r="AG55" s="354">
        <v>10</v>
      </c>
      <c r="AI55" s="354">
        <v>136505</v>
      </c>
      <c r="AJ55" s="354" t="s">
        <v>336</v>
      </c>
      <c r="AK55" s="354" t="s">
        <v>337</v>
      </c>
      <c r="AL55" s="354">
        <v>0</v>
      </c>
      <c r="AM55" s="371">
        <v>-1310888.3899999999</v>
      </c>
    </row>
    <row r="56" spans="1:39" x14ac:dyDescent="0.2">
      <c r="A56" s="395" t="s">
        <v>338</v>
      </c>
      <c r="B56" s="373" t="s">
        <v>339</v>
      </c>
      <c r="C56" s="396">
        <v>10.135109999999999</v>
      </c>
      <c r="D56" s="383">
        <v>-14805516.109999999</v>
      </c>
      <c r="E56" s="383">
        <v>-16956153.579999998</v>
      </c>
      <c r="F56" s="383">
        <f>G56-E56</f>
        <v>-801698.17000000179</v>
      </c>
      <c r="G56" s="383">
        <v>-17757851.75</v>
      </c>
      <c r="H56" s="383">
        <v>14805516.411715433</v>
      </c>
      <c r="I56" s="383">
        <f>J56-H56-G56</f>
        <v>-795076.57171543315</v>
      </c>
      <c r="J56" s="383">
        <v>-3747411.91</v>
      </c>
      <c r="K56" s="383">
        <v>0</v>
      </c>
      <c r="L56" s="383">
        <v>-637795.46</v>
      </c>
      <c r="M56" s="383">
        <v>-4385207.37</v>
      </c>
      <c r="N56" s="383">
        <v>-508931.02</v>
      </c>
      <c r="O56" s="383">
        <v>-4894138.3899999997</v>
      </c>
      <c r="P56" s="383">
        <f>Q56-O56</f>
        <v>-1522317.79</v>
      </c>
      <c r="Q56" s="383">
        <v>-6416456.1799999997</v>
      </c>
      <c r="R56" s="383">
        <v>158976.92000000001</v>
      </c>
      <c r="S56" s="383">
        <v>-6257479.2599999998</v>
      </c>
      <c r="T56" s="383">
        <f>U56-S56</f>
        <v>-630673.41000000015</v>
      </c>
      <c r="U56" s="383">
        <v>-6888152.6699999999</v>
      </c>
      <c r="V56" s="376">
        <f>+U56-E56</f>
        <v>10068000.909999998</v>
      </c>
      <c r="W56" s="376">
        <f>U56-M56</f>
        <v>-2502945.2999999998</v>
      </c>
      <c r="Y56" s="378" t="s">
        <v>215</v>
      </c>
      <c r="Z56" s="379" t="s">
        <v>216</v>
      </c>
      <c r="AA56" s="379" t="str">
        <f t="shared" si="3"/>
        <v>10.136010.</v>
      </c>
      <c r="AB56" s="379" t="s">
        <v>340</v>
      </c>
      <c r="AC56" s="379" t="s">
        <v>218</v>
      </c>
      <c r="AD56" s="379" t="s">
        <v>332</v>
      </c>
      <c r="AE56" s="380">
        <v>-31024838.050000001</v>
      </c>
      <c r="AG56" s="354">
        <v>10</v>
      </c>
      <c r="AI56" s="354">
        <v>136510</v>
      </c>
      <c r="AK56" s="354" t="s">
        <v>341</v>
      </c>
      <c r="AL56" s="354">
        <v>-110</v>
      </c>
      <c r="AM56" s="371">
        <v>-131993.29999999999</v>
      </c>
    </row>
    <row r="57" spans="1:39" x14ac:dyDescent="0.2">
      <c r="A57" s="395" t="s">
        <v>342</v>
      </c>
      <c r="B57" s="386" t="s">
        <v>243</v>
      </c>
      <c r="C57" s="396">
        <v>10.135109999999999</v>
      </c>
      <c r="D57" s="383">
        <v>-1030834.47</v>
      </c>
      <c r="E57" s="383">
        <v>-1205207.47</v>
      </c>
      <c r="F57" s="383">
        <f>G57-E57</f>
        <v>-7772</v>
      </c>
      <c r="G57" s="383">
        <v>-1212979.47</v>
      </c>
      <c r="H57" s="383">
        <v>1205024.4792706985</v>
      </c>
      <c r="I57" s="383">
        <f>J57-H57-G57</f>
        <v>-8166.9992706985213</v>
      </c>
      <c r="J57" s="383">
        <v>-16121.99</v>
      </c>
      <c r="K57" s="383">
        <v>0</v>
      </c>
      <c r="L57" s="383">
        <v>-1847</v>
      </c>
      <c r="M57" s="383">
        <v>-17968.990000000002</v>
      </c>
      <c r="N57" s="383">
        <v>-1983</v>
      </c>
      <c r="O57" s="383">
        <v>-19951.990000000002</v>
      </c>
      <c r="P57" s="383">
        <f>Q57-O57</f>
        <v>-2338</v>
      </c>
      <c r="Q57" s="383">
        <v>-22289.99</v>
      </c>
      <c r="R57" s="383">
        <v>-2850</v>
      </c>
      <c r="S57" s="383">
        <v>-25139.99</v>
      </c>
      <c r="T57" s="383">
        <f>U57-S57</f>
        <v>-4792</v>
      </c>
      <c r="U57" s="383">
        <v>-29931.99</v>
      </c>
      <c r="V57" s="376">
        <f>+U57-E57</f>
        <v>1175275.48</v>
      </c>
      <c r="W57" s="376">
        <f>U57-M57</f>
        <v>-11963</v>
      </c>
      <c r="Y57" s="378" t="s">
        <v>215</v>
      </c>
      <c r="Z57" s="379" t="s">
        <v>216</v>
      </c>
      <c r="AA57" s="379" t="str">
        <f t="shared" si="3"/>
        <v>10.136505.CARRYCHG</v>
      </c>
      <c r="AB57" s="379" t="s">
        <v>343</v>
      </c>
      <c r="AC57" s="379" t="s">
        <v>223</v>
      </c>
      <c r="AD57" s="379" t="s">
        <v>334</v>
      </c>
      <c r="AE57" s="380">
        <v>1163101</v>
      </c>
      <c r="AG57" s="354">
        <v>10</v>
      </c>
      <c r="AI57" s="354">
        <v>136520</v>
      </c>
      <c r="AJ57" s="354" t="s">
        <v>223</v>
      </c>
      <c r="AK57" s="354" t="s">
        <v>344</v>
      </c>
      <c r="AL57" s="371">
        <v>67166.720000000001</v>
      </c>
      <c r="AM57" s="371">
        <v>-1264456.82</v>
      </c>
    </row>
    <row r="58" spans="1:39" x14ac:dyDescent="0.2">
      <c r="A58" s="395"/>
      <c r="B58" s="373"/>
      <c r="C58" s="382"/>
      <c r="D58" s="383" t="s">
        <v>31</v>
      </c>
      <c r="E58" s="383" t="s">
        <v>31</v>
      </c>
      <c r="F58" s="383"/>
      <c r="G58" s="383" t="s">
        <v>31</v>
      </c>
      <c r="H58" s="383"/>
      <c r="I58" s="383"/>
      <c r="J58" s="383"/>
      <c r="K58" s="383"/>
      <c r="L58" s="383"/>
      <c r="M58" s="383"/>
      <c r="N58" s="383"/>
      <c r="O58" s="383"/>
      <c r="P58" s="383"/>
      <c r="Q58" s="383"/>
      <c r="R58" s="383"/>
      <c r="S58" s="383"/>
      <c r="T58" s="383"/>
      <c r="U58" s="383"/>
      <c r="V58" s="384"/>
      <c r="W58" s="384"/>
      <c r="Y58" s="378" t="s">
        <v>215</v>
      </c>
      <c r="Z58" s="379" t="s">
        <v>216</v>
      </c>
      <c r="AA58" s="379" t="str">
        <f t="shared" si="3"/>
        <v>10.136505.PRINCIP</v>
      </c>
      <c r="AB58" s="379" t="s">
        <v>343</v>
      </c>
      <c r="AC58" s="379" t="s">
        <v>336</v>
      </c>
      <c r="AD58" s="379" t="s">
        <v>337</v>
      </c>
      <c r="AE58" s="380">
        <v>-1310888.3900000001</v>
      </c>
      <c r="AG58" s="354">
        <v>10</v>
      </c>
      <c r="AI58" s="354">
        <v>136520</v>
      </c>
      <c r="AJ58" s="354" t="s">
        <v>336</v>
      </c>
      <c r="AK58" s="354" t="s">
        <v>345</v>
      </c>
      <c r="AL58" s="371">
        <v>-865019.04</v>
      </c>
      <c r="AM58" s="371">
        <v>9871858.7300000004</v>
      </c>
    </row>
    <row r="59" spans="1:39" x14ac:dyDescent="0.2">
      <c r="A59" s="395" t="s">
        <v>346</v>
      </c>
      <c r="B59" s="373" t="s">
        <v>339</v>
      </c>
      <c r="C59" s="396">
        <v>10.135120000000001</v>
      </c>
      <c r="D59" s="383">
        <v>80.52</v>
      </c>
      <c r="E59" s="383">
        <v>80.52</v>
      </c>
      <c r="F59" s="383">
        <f>G59-E59</f>
        <v>0</v>
      </c>
      <c r="G59" s="383">
        <v>80.52</v>
      </c>
      <c r="H59" s="383">
        <v>0</v>
      </c>
      <c r="I59" s="383">
        <f>J59-H59-G59</f>
        <v>0</v>
      </c>
      <c r="J59" s="383">
        <v>80.52</v>
      </c>
      <c r="K59" s="383">
        <v>0</v>
      </c>
      <c r="L59" s="383">
        <v>0</v>
      </c>
      <c r="M59" s="383">
        <v>80.52</v>
      </c>
      <c r="N59" s="383">
        <v>0</v>
      </c>
      <c r="O59" s="383">
        <v>80.52</v>
      </c>
      <c r="P59" s="383">
        <f>Q59-O59</f>
        <v>0</v>
      </c>
      <c r="Q59" s="383">
        <v>80.52</v>
      </c>
      <c r="R59" s="383">
        <v>0</v>
      </c>
      <c r="S59" s="383">
        <v>80.52</v>
      </c>
      <c r="T59" s="383">
        <f>U59-S59</f>
        <v>0</v>
      </c>
      <c r="U59" s="383">
        <f>AE41</f>
        <v>80.52</v>
      </c>
      <c r="V59" s="376">
        <f>+U59-E59</f>
        <v>0</v>
      </c>
      <c r="W59" s="376">
        <f>U59-M59</f>
        <v>0</v>
      </c>
      <c r="Y59" s="378" t="s">
        <v>215</v>
      </c>
      <c r="Z59" s="379" t="s">
        <v>216</v>
      </c>
      <c r="AA59" s="379" t="str">
        <f t="shared" si="3"/>
        <v>10.136510.</v>
      </c>
      <c r="AB59" s="379" t="s">
        <v>347</v>
      </c>
      <c r="AC59" s="379" t="s">
        <v>218</v>
      </c>
      <c r="AD59" s="379" t="s">
        <v>341</v>
      </c>
      <c r="AE59" s="380">
        <v>-131815.29999999999</v>
      </c>
      <c r="AG59" s="354">
        <v>10</v>
      </c>
      <c r="AI59" s="354">
        <v>136530</v>
      </c>
      <c r="AK59" s="354" t="s">
        <v>348</v>
      </c>
      <c r="AL59" s="371">
        <v>4921.07</v>
      </c>
      <c r="AM59" s="371">
        <v>28093.27</v>
      </c>
    </row>
    <row r="60" spans="1:39" x14ac:dyDescent="0.2">
      <c r="A60" s="395" t="s">
        <v>349</v>
      </c>
      <c r="B60" s="386" t="s">
        <v>243</v>
      </c>
      <c r="C60" s="396">
        <v>10.135120000000001</v>
      </c>
      <c r="D60" s="383">
        <v>29111.83</v>
      </c>
      <c r="E60" s="383">
        <v>29111.83</v>
      </c>
      <c r="F60" s="383">
        <f>G60-E60</f>
        <v>0</v>
      </c>
      <c r="G60" s="383">
        <v>29111.83</v>
      </c>
      <c r="H60" s="383">
        <v>0</v>
      </c>
      <c r="I60" s="383">
        <f>J60-H60-G60</f>
        <v>0</v>
      </c>
      <c r="J60" s="383">
        <v>29111.83</v>
      </c>
      <c r="K60" s="383">
        <v>0</v>
      </c>
      <c r="L60" s="383">
        <v>0</v>
      </c>
      <c r="M60" s="383">
        <v>29111.83</v>
      </c>
      <c r="N60" s="383">
        <v>0</v>
      </c>
      <c r="O60" s="383">
        <v>29111.83</v>
      </c>
      <c r="P60" s="383">
        <f>Q60-O60</f>
        <v>0</v>
      </c>
      <c r="Q60" s="383">
        <v>29111.83</v>
      </c>
      <c r="R60" s="383">
        <v>0</v>
      </c>
      <c r="S60" s="383">
        <v>29111.83</v>
      </c>
      <c r="T60" s="383">
        <f>U60-S60</f>
        <v>0</v>
      </c>
      <c r="U60" s="383">
        <f>AE42</f>
        <v>29111.83</v>
      </c>
      <c r="V60" s="376">
        <f>+U60-E60</f>
        <v>0</v>
      </c>
      <c r="W60" s="376">
        <f>U60-M60</f>
        <v>0</v>
      </c>
      <c r="Y60" s="378" t="s">
        <v>215</v>
      </c>
      <c r="Z60" s="379" t="s">
        <v>216</v>
      </c>
      <c r="AA60" s="379" t="str">
        <f t="shared" si="3"/>
        <v>10.136520.CARRYCHG</v>
      </c>
      <c r="AB60" s="379" t="s">
        <v>350</v>
      </c>
      <c r="AC60" s="379" t="s">
        <v>223</v>
      </c>
      <c r="AD60" s="379" t="s">
        <v>344</v>
      </c>
      <c r="AE60" s="380">
        <v>-1382847.03</v>
      </c>
      <c r="AG60" s="354">
        <v>10</v>
      </c>
      <c r="AI60" s="354">
        <v>136670</v>
      </c>
      <c r="AK60" s="354" t="s">
        <v>351</v>
      </c>
      <c r="AL60" s="371">
        <v>-4231.4799999999996</v>
      </c>
      <c r="AM60" s="371">
        <v>29975.75</v>
      </c>
    </row>
    <row r="61" spans="1:39" x14ac:dyDescent="0.2">
      <c r="A61" s="395"/>
      <c r="B61" s="373"/>
      <c r="C61" s="382"/>
      <c r="D61" s="383" t="s">
        <v>31</v>
      </c>
      <c r="E61" s="383" t="s">
        <v>31</v>
      </c>
      <c r="F61" s="383"/>
      <c r="G61" s="383" t="s">
        <v>31</v>
      </c>
      <c r="H61" s="383"/>
      <c r="I61" s="383"/>
      <c r="J61" s="383"/>
      <c r="K61" s="383"/>
      <c r="L61" s="383"/>
      <c r="M61" s="383"/>
      <c r="N61" s="383"/>
      <c r="O61" s="383"/>
      <c r="P61" s="383"/>
      <c r="Q61" s="383"/>
      <c r="R61" s="383"/>
      <c r="S61" s="383"/>
      <c r="T61" s="383"/>
      <c r="U61" s="383"/>
      <c r="V61" s="384"/>
      <c r="W61" s="384"/>
      <c r="Y61" s="378" t="s">
        <v>215</v>
      </c>
      <c r="Z61" s="379" t="s">
        <v>216</v>
      </c>
      <c r="AA61" s="379" t="str">
        <f t="shared" si="3"/>
        <v>10.136520.PRINCIP</v>
      </c>
      <c r="AB61" s="379" t="s">
        <v>350</v>
      </c>
      <c r="AC61" s="379" t="s">
        <v>336</v>
      </c>
      <c r="AD61" s="379" t="s">
        <v>345</v>
      </c>
      <c r="AE61" s="380">
        <v>11593796.279999999</v>
      </c>
      <c r="AG61" s="354">
        <v>10</v>
      </c>
      <c r="AI61" s="354">
        <v>136680</v>
      </c>
      <c r="AK61" s="354" t="s">
        <v>352</v>
      </c>
      <c r="AL61" s="371">
        <v>-173384.06</v>
      </c>
      <c r="AM61" s="371">
        <v>7958274.5800000001</v>
      </c>
    </row>
    <row r="62" spans="1:39" x14ac:dyDescent="0.2">
      <c r="A62" s="395" t="s">
        <v>353</v>
      </c>
      <c r="B62" s="373" t="s">
        <v>339</v>
      </c>
      <c r="C62" s="396">
        <v>10.13513</v>
      </c>
      <c r="D62" s="383">
        <v>-2407007.71</v>
      </c>
      <c r="E62" s="383">
        <v>-5641838.7300000004</v>
      </c>
      <c r="F62" s="383">
        <f>G62-E62</f>
        <v>-218608.84999999963</v>
      </c>
      <c r="G62" s="383">
        <v>-5860447.5800000001</v>
      </c>
      <c r="H62" s="383">
        <v>2407007.5856417045</v>
      </c>
      <c r="I62" s="383">
        <f>J62-H62-G62</f>
        <v>45931.454358295538</v>
      </c>
      <c r="J62" s="383">
        <v>-3407508.54</v>
      </c>
      <c r="K62" s="383">
        <v>0</v>
      </c>
      <c r="L62" s="383">
        <v>-18369.950000000186</v>
      </c>
      <c r="M62" s="383">
        <v>-3425878.49</v>
      </c>
      <c r="N62" s="383">
        <v>-527780.53</v>
      </c>
      <c r="O62" s="383">
        <v>-3953659.02</v>
      </c>
      <c r="P62" s="383">
        <f>Q62-O62</f>
        <v>-275132.52</v>
      </c>
      <c r="Q62" s="383">
        <v>-4228791.54</v>
      </c>
      <c r="R62" s="383">
        <v>164507</v>
      </c>
      <c r="S62" s="383">
        <v>-4064284.54</v>
      </c>
      <c r="T62" s="383">
        <f>U62-S62</f>
        <v>24496.490000000224</v>
      </c>
      <c r="U62" s="383">
        <v>-4039788.05</v>
      </c>
      <c r="V62" s="376">
        <f>+U62-E62</f>
        <v>1602050.6800000006</v>
      </c>
      <c r="W62" s="376">
        <f>U62-M62</f>
        <v>-613909.55999999959</v>
      </c>
      <c r="Y62" s="378" t="s">
        <v>215</v>
      </c>
      <c r="Z62" s="379" t="s">
        <v>216</v>
      </c>
      <c r="AA62" s="379" t="str">
        <f t="shared" si="3"/>
        <v>10.136530.</v>
      </c>
      <c r="AB62" s="379" t="s">
        <v>354</v>
      </c>
      <c r="AC62" s="379" t="s">
        <v>218</v>
      </c>
      <c r="AD62" s="379" t="s">
        <v>348</v>
      </c>
      <c r="AE62" s="380">
        <v>17858.38</v>
      </c>
      <c r="AG62" s="354">
        <v>10</v>
      </c>
      <c r="AI62" s="354">
        <v>222300</v>
      </c>
      <c r="AK62" s="354" t="s">
        <v>355</v>
      </c>
      <c r="AL62" s="371">
        <v>14979.48</v>
      </c>
      <c r="AM62" s="371">
        <v>-106114.3</v>
      </c>
    </row>
    <row r="63" spans="1:39" ht="13.5" thickBot="1" x14ac:dyDescent="0.25">
      <c r="A63" s="395" t="s">
        <v>356</v>
      </c>
      <c r="B63" s="386" t="s">
        <v>243</v>
      </c>
      <c r="C63" s="396">
        <v>10.13513</v>
      </c>
      <c r="D63" s="383">
        <v>99836.96</v>
      </c>
      <c r="E63" s="383">
        <v>66493.960000000006</v>
      </c>
      <c r="F63" s="383">
        <f>G63-E63</f>
        <v>-2586.0000000000073</v>
      </c>
      <c r="G63" s="383">
        <v>63907.96</v>
      </c>
      <c r="H63" s="383">
        <v>-71518.035906198202</v>
      </c>
      <c r="I63" s="383">
        <f>J63-H63-G63</f>
        <v>-2686.0040938017992</v>
      </c>
      <c r="J63" s="383">
        <v>-10296.08</v>
      </c>
      <c r="K63" s="383">
        <v>0</v>
      </c>
      <c r="L63" s="383">
        <v>-1562</v>
      </c>
      <c r="M63" s="383">
        <v>-11858.08</v>
      </c>
      <c r="N63" s="383">
        <v>-1570</v>
      </c>
      <c r="O63" s="383">
        <v>-13428.08</v>
      </c>
      <c r="P63" s="383">
        <f>Q63-O63</f>
        <v>-1812</v>
      </c>
      <c r="Q63" s="383">
        <v>-15240.08</v>
      </c>
      <c r="R63" s="383">
        <v>-1939</v>
      </c>
      <c r="S63" s="383">
        <v>-17179.080000000002</v>
      </c>
      <c r="T63" s="383">
        <f>U63-S63</f>
        <v>-3015</v>
      </c>
      <c r="U63" s="383">
        <v>-20194.080000000002</v>
      </c>
      <c r="V63" s="376">
        <f>+U63-E63</f>
        <v>-86688.040000000008</v>
      </c>
      <c r="W63" s="376">
        <f>U63-M63</f>
        <v>-8336.0000000000018</v>
      </c>
      <c r="Y63" s="400"/>
      <c r="Z63" s="92"/>
      <c r="AA63" s="92"/>
      <c r="AB63" s="92"/>
      <c r="AC63" s="92"/>
      <c r="AD63" s="92"/>
      <c r="AE63" s="401">
        <f>SUM(AE20:AE62)</f>
        <v>-12787530.360000003</v>
      </c>
      <c r="AG63" s="354">
        <v>10</v>
      </c>
      <c r="AI63" s="354">
        <v>222350</v>
      </c>
      <c r="AK63" s="354" t="s">
        <v>357</v>
      </c>
      <c r="AL63" s="371">
        <v>365192.1</v>
      </c>
      <c r="AM63" s="371">
        <v>-32912797.370000001</v>
      </c>
    </row>
    <row r="64" spans="1:39" ht="13.5" thickTop="1" x14ac:dyDescent="0.2">
      <c r="A64" s="395"/>
      <c r="B64" s="373"/>
      <c r="C64" s="382"/>
      <c r="D64" s="383" t="s">
        <v>31</v>
      </c>
      <c r="E64" s="383" t="s">
        <v>31</v>
      </c>
      <c r="F64" s="383"/>
      <c r="G64" s="383" t="s">
        <v>31</v>
      </c>
      <c r="H64" s="383"/>
      <c r="I64" s="383"/>
      <c r="J64" s="383"/>
      <c r="K64" s="383"/>
      <c r="L64" s="383"/>
      <c r="M64" s="383"/>
      <c r="N64" s="383"/>
      <c r="O64" s="383"/>
      <c r="P64" s="383"/>
      <c r="Q64" s="383"/>
      <c r="R64" s="383"/>
      <c r="S64" s="383"/>
      <c r="T64" s="383"/>
      <c r="U64" s="383"/>
      <c r="V64" s="384"/>
      <c r="W64" s="384"/>
      <c r="Y64" s="400"/>
      <c r="Z64" s="92"/>
      <c r="AA64" s="92"/>
      <c r="AB64" s="92"/>
      <c r="AC64" s="92"/>
      <c r="AD64" s="92"/>
      <c r="AE64" s="402"/>
      <c r="AL64" s="371">
        <v>-6912723.71</v>
      </c>
      <c r="AM64" s="371">
        <v>-22735998.329999998</v>
      </c>
    </row>
    <row r="65" spans="1:31" x14ac:dyDescent="0.2">
      <c r="A65" s="403" t="s">
        <v>358</v>
      </c>
      <c r="B65" s="373" t="s">
        <v>339</v>
      </c>
      <c r="C65" s="396">
        <v>10.13514</v>
      </c>
      <c r="D65" s="383">
        <v>-887816.98</v>
      </c>
      <c r="E65" s="383">
        <v>-3596514.15</v>
      </c>
      <c r="F65" s="383">
        <f>G65-E65</f>
        <v>-290767.48</v>
      </c>
      <c r="G65" s="383">
        <v>-3887281.63</v>
      </c>
      <c r="H65" s="383">
        <v>887817.59285152191</v>
      </c>
      <c r="I65" s="383">
        <f>J65-H65-G65</f>
        <v>-203538.48285152204</v>
      </c>
      <c r="J65" s="383">
        <v>-3203002.52</v>
      </c>
      <c r="K65" s="383">
        <v>0</v>
      </c>
      <c r="L65" s="383">
        <v>-236931.91</v>
      </c>
      <c r="M65" s="383">
        <v>-3439934.43</v>
      </c>
      <c r="N65" s="383">
        <v>-659423.04</v>
      </c>
      <c r="O65" s="383">
        <v>-4099357.47</v>
      </c>
      <c r="P65" s="383">
        <f>Q65-O65</f>
        <v>-153299.90999999968</v>
      </c>
      <c r="Q65" s="383">
        <v>-4252657.38</v>
      </c>
      <c r="R65" s="383">
        <v>296228.45</v>
      </c>
      <c r="S65" s="383">
        <v>-3956428.93</v>
      </c>
      <c r="T65" s="383">
        <f>U65-S65</f>
        <v>-37880.399999999907</v>
      </c>
      <c r="U65" s="383">
        <v>-3994309.33</v>
      </c>
      <c r="V65" s="376">
        <f>+U65-E65</f>
        <v>-397795.18000000017</v>
      </c>
      <c r="W65" s="376">
        <f>U65-M65</f>
        <v>-554374.89999999991</v>
      </c>
      <c r="Y65" s="400"/>
      <c r="Z65" s="92"/>
      <c r="AA65" s="92"/>
      <c r="AB65" s="92"/>
      <c r="AC65" s="92"/>
      <c r="AD65" s="92"/>
      <c r="AE65" s="402"/>
    </row>
    <row r="66" spans="1:31" x14ac:dyDescent="0.2">
      <c r="A66" s="395" t="s">
        <v>359</v>
      </c>
      <c r="B66" s="386" t="s">
        <v>243</v>
      </c>
      <c r="C66" s="396">
        <v>10.13514</v>
      </c>
      <c r="D66" s="383">
        <v>-116360.17</v>
      </c>
      <c r="E66" s="383">
        <v>-130789.17</v>
      </c>
      <c r="F66" s="383">
        <f>G66-E66</f>
        <v>-1648.0000000000146</v>
      </c>
      <c r="G66" s="383">
        <v>-132437.17000000001</v>
      </c>
      <c r="H66" s="383">
        <v>126805.08446761187</v>
      </c>
      <c r="I66" s="383">
        <f>J66-H66-G66</f>
        <v>-1782.0044676118705</v>
      </c>
      <c r="J66" s="383">
        <v>-7414.09</v>
      </c>
      <c r="K66" s="383">
        <v>0</v>
      </c>
      <c r="L66" s="383">
        <v>-1468</v>
      </c>
      <c r="M66" s="383">
        <v>-8882.09</v>
      </c>
      <c r="N66" s="383">
        <v>-1577</v>
      </c>
      <c r="O66" s="383">
        <v>-10459.09</v>
      </c>
      <c r="P66" s="383">
        <f>Q66-O66</f>
        <v>-1879</v>
      </c>
      <c r="Q66" s="383">
        <v>-12338.09</v>
      </c>
      <c r="R66" s="383">
        <v>-1920</v>
      </c>
      <c r="S66" s="383">
        <v>-14258.09</v>
      </c>
      <c r="T66" s="383">
        <f>U66-S66</f>
        <v>-2934</v>
      </c>
      <c r="U66" s="383">
        <v>-17192.09</v>
      </c>
      <c r="V66" s="376">
        <f>+U66-E66</f>
        <v>113597.08</v>
      </c>
      <c r="W66" s="376">
        <f>U66-M66</f>
        <v>-8310</v>
      </c>
      <c r="Y66" s="378" t="s">
        <v>215</v>
      </c>
      <c r="Z66" s="379" t="s">
        <v>216</v>
      </c>
      <c r="AA66" s="379" t="str">
        <f>CONCATENATE(Z66,".",AB66,".",AC66)</f>
        <v>10.222300.</v>
      </c>
      <c r="AB66" s="379" t="s">
        <v>360</v>
      </c>
      <c r="AC66" s="379" t="s">
        <v>218</v>
      </c>
      <c r="AD66" s="379" t="s">
        <v>355</v>
      </c>
      <c r="AE66" s="380">
        <v>-124071.88</v>
      </c>
    </row>
    <row r="67" spans="1:31" x14ac:dyDescent="0.2">
      <c r="A67" s="403"/>
      <c r="B67" s="373"/>
      <c r="C67" s="382"/>
      <c r="D67" s="383" t="s">
        <v>31</v>
      </c>
      <c r="E67" s="383" t="s">
        <v>31</v>
      </c>
      <c r="F67" s="383"/>
      <c r="G67" s="383" t="s">
        <v>31</v>
      </c>
      <c r="H67" s="383"/>
      <c r="I67" s="383"/>
      <c r="J67" s="383"/>
      <c r="K67" s="383">
        <v>0</v>
      </c>
      <c r="L67" s="383"/>
      <c r="M67" s="383"/>
      <c r="N67" s="383"/>
      <c r="O67" s="383"/>
      <c r="P67" s="383"/>
      <c r="Q67" s="383"/>
      <c r="R67" s="383"/>
      <c r="S67" s="383"/>
      <c r="T67" s="383"/>
      <c r="U67" s="383"/>
      <c r="V67" s="384"/>
      <c r="W67" s="384"/>
      <c r="Y67" s="378" t="s">
        <v>215</v>
      </c>
      <c r="Z67" s="379" t="s">
        <v>216</v>
      </c>
      <c r="AA67" s="379" t="str">
        <f>CONCATENATE(Z67,".",AB67,".",AC67)</f>
        <v>10.222350.</v>
      </c>
      <c r="AB67" s="379" t="s">
        <v>361</v>
      </c>
      <c r="AC67" s="379" t="s">
        <v>218</v>
      </c>
      <c r="AD67" s="379" t="s">
        <v>357</v>
      </c>
      <c r="AE67" s="380">
        <v>-32825016.789999999</v>
      </c>
    </row>
    <row r="68" spans="1:31" ht="13.5" thickBot="1" x14ac:dyDescent="0.25">
      <c r="A68" s="395" t="s">
        <v>362</v>
      </c>
      <c r="B68" s="373" t="s">
        <v>339</v>
      </c>
      <c r="C68" s="396">
        <v>10.135149999999999</v>
      </c>
      <c r="D68" s="383">
        <v>-2212351.15</v>
      </c>
      <c r="E68" s="383">
        <v>-4900025.7699999996</v>
      </c>
      <c r="F68" s="383">
        <f>G68-E68</f>
        <v>-414266.74000000022</v>
      </c>
      <c r="G68" s="383">
        <f>-5212669.51-101623</f>
        <v>-5314292.51</v>
      </c>
      <c r="H68" s="383">
        <v>8288867.9836186981</v>
      </c>
      <c r="I68" s="383">
        <f>J68-H68-G68</f>
        <v>826870.18638130184</v>
      </c>
      <c r="J68" s="383">
        <v>3801445.66</v>
      </c>
      <c r="K68" s="383">
        <v>0</v>
      </c>
      <c r="L68" s="383">
        <v>-1186516.42</v>
      </c>
      <c r="M68" s="383">
        <v>2614929.2400000002</v>
      </c>
      <c r="N68" s="383">
        <v>2810301.63</v>
      </c>
      <c r="O68" s="383">
        <v>5425230.8700000001</v>
      </c>
      <c r="P68" s="383">
        <f>Q68-O68</f>
        <v>1020854.0099999998</v>
      </c>
      <c r="Q68" s="383">
        <v>6446084.8799999999</v>
      </c>
      <c r="R68" s="383">
        <v>-3283915.98</v>
      </c>
      <c r="S68" s="383">
        <v>3162168.9</v>
      </c>
      <c r="T68" s="383">
        <f>U68-S68</f>
        <v>-151140.14000000013</v>
      </c>
      <c r="U68" s="383">
        <v>3011028.76</v>
      </c>
      <c r="V68" s="376">
        <f>+U68-E68</f>
        <v>7911054.5299999993</v>
      </c>
      <c r="W68" s="376">
        <f>U68-M68</f>
        <v>396099.51999999955</v>
      </c>
      <c r="Y68" s="400"/>
      <c r="Z68" s="92"/>
      <c r="AA68" s="92"/>
      <c r="AB68" s="92"/>
      <c r="AC68" s="92"/>
      <c r="AD68" s="92"/>
      <c r="AE68" s="401">
        <f>SUM(AE66:AE67)</f>
        <v>-32949088.669999998</v>
      </c>
    </row>
    <row r="69" spans="1:31" ht="13.5" thickTop="1" x14ac:dyDescent="0.2">
      <c r="A69" s="395" t="s">
        <v>363</v>
      </c>
      <c r="B69" s="386" t="s">
        <v>243</v>
      </c>
      <c r="C69" s="396">
        <v>10.135149999999999</v>
      </c>
      <c r="D69" s="383">
        <v>-496831.24</v>
      </c>
      <c r="E69" s="383">
        <v>-628152.14</v>
      </c>
      <c r="F69" s="383">
        <f>G69-E69</f>
        <v>-2334</v>
      </c>
      <c r="G69" s="383">
        <v>-630486.14</v>
      </c>
      <c r="H69" s="383">
        <v>633009.76593668316</v>
      </c>
      <c r="I69" s="383">
        <f>J69-H69-G69</f>
        <v>-2407.9959366831463</v>
      </c>
      <c r="J69" s="383">
        <v>115.63</v>
      </c>
      <c r="K69" s="383">
        <v>0</v>
      </c>
      <c r="L69" s="383">
        <v>1722</v>
      </c>
      <c r="M69" s="383">
        <v>1837.63</v>
      </c>
      <c r="N69" s="383">
        <v>1188</v>
      </c>
      <c r="O69" s="383">
        <v>3025.63</v>
      </c>
      <c r="P69" s="383">
        <f>Q69-O69</f>
        <v>2477</v>
      </c>
      <c r="Q69" s="383">
        <v>5502.63</v>
      </c>
      <c r="R69" s="383">
        <v>2934</v>
      </c>
      <c r="S69" s="383">
        <v>8436.6299999999992</v>
      </c>
      <c r="T69" s="383">
        <f>U69-S69</f>
        <v>2319</v>
      </c>
      <c r="U69" s="383">
        <v>10755.63</v>
      </c>
      <c r="V69" s="376">
        <f>+U69-E69</f>
        <v>638907.77</v>
      </c>
      <c r="W69" s="376">
        <f>U69-M69</f>
        <v>8918</v>
      </c>
      <c r="Y69" s="400"/>
      <c r="Z69" s="92"/>
      <c r="AA69" s="92"/>
      <c r="AB69" s="92"/>
      <c r="AC69" s="92"/>
      <c r="AD69" s="92"/>
      <c r="AE69" s="402"/>
    </row>
    <row r="70" spans="1:31" s="404" customFormat="1" x14ac:dyDescent="0.2">
      <c r="A70" s="385" t="s">
        <v>364</v>
      </c>
      <c r="B70" s="386" t="s">
        <v>339</v>
      </c>
      <c r="C70" s="396">
        <v>10.135149999999999</v>
      </c>
      <c r="D70" s="383">
        <v>7327301.9699999997</v>
      </c>
      <c r="E70" s="383">
        <v>37098530.520000003</v>
      </c>
      <c r="F70" s="383">
        <f>G70-E70</f>
        <v>-2864979.8500000015</v>
      </c>
      <c r="G70" s="383">
        <v>34233550.670000002</v>
      </c>
      <c r="H70" s="383">
        <v>-41485836.800444126</v>
      </c>
      <c r="I70" s="383">
        <f>J70-H70-G70</f>
        <v>-3557315.1695558764</v>
      </c>
      <c r="J70" s="383">
        <v>-10809601.300000001</v>
      </c>
      <c r="K70" s="383">
        <v>0</v>
      </c>
      <c r="L70" s="383">
        <v>958692.70000000112</v>
      </c>
      <c r="M70" s="383">
        <v>-9850908.5999999996</v>
      </c>
      <c r="N70" s="383">
        <v>1568630.41</v>
      </c>
      <c r="O70" s="383">
        <v>-8282278.1900000004</v>
      </c>
      <c r="P70" s="383">
        <f>Q70-O70</f>
        <v>-7448495.8500000006</v>
      </c>
      <c r="Q70" s="383">
        <v>-15730774.040000001</v>
      </c>
      <c r="R70" s="383">
        <v>-4267099.9000000004</v>
      </c>
      <c r="S70" s="383">
        <v>-19997873.940000001</v>
      </c>
      <c r="T70" s="383">
        <f>U70-S70</f>
        <v>-5853293.299999997</v>
      </c>
      <c r="U70" s="383">
        <v>-25851167.239999998</v>
      </c>
      <c r="V70" s="383">
        <f>+U70-E70</f>
        <v>-62949697.760000005</v>
      </c>
      <c r="W70" s="376">
        <f>U70-M70</f>
        <v>-16000258.639999999</v>
      </c>
      <c r="Y70" s="405" t="s">
        <v>62</v>
      </c>
      <c r="Z70" s="406"/>
      <c r="AA70" s="406"/>
      <c r="AB70" s="406"/>
      <c r="AC70" s="406"/>
      <c r="AD70" s="406"/>
      <c r="AE70" s="407">
        <f>AE18+AE63+AE68</f>
        <v>-36834397</v>
      </c>
    </row>
    <row r="71" spans="1:31" x14ac:dyDescent="0.2">
      <c r="A71" s="395" t="s">
        <v>365</v>
      </c>
      <c r="B71" s="386" t="s">
        <v>243</v>
      </c>
      <c r="C71" s="396">
        <v>10.135149999999999</v>
      </c>
      <c r="D71" s="383">
        <v>0</v>
      </c>
      <c r="E71" s="383">
        <v>279300.90000000002</v>
      </c>
      <c r="F71" s="383">
        <f>G71-E71</f>
        <v>17003</v>
      </c>
      <c r="G71" s="383">
        <v>296303.90000000002</v>
      </c>
      <c r="H71" s="383">
        <v>-301803.93311344681</v>
      </c>
      <c r="I71" s="383">
        <f>J71-H71-G71</f>
        <v>15224.003113446757</v>
      </c>
      <c r="J71" s="383">
        <v>9723.9699999999993</v>
      </c>
      <c r="K71" s="383">
        <v>0</v>
      </c>
      <c r="L71" s="383">
        <v>-5197</v>
      </c>
      <c r="M71" s="383">
        <v>4526.97</v>
      </c>
      <c r="N71" s="383">
        <v>-4737</v>
      </c>
      <c r="O71" s="383">
        <v>-210.03</v>
      </c>
      <c r="P71" s="383">
        <f>Q71-O71</f>
        <v>-4031.9999999999995</v>
      </c>
      <c r="Q71" s="383">
        <v>-4242.03</v>
      </c>
      <c r="R71" s="383">
        <v>-7467</v>
      </c>
      <c r="S71" s="383">
        <v>-11709.03</v>
      </c>
      <c r="T71" s="383">
        <f>U71-S71</f>
        <v>-15378.999999999998</v>
      </c>
      <c r="U71" s="383">
        <v>-27088.03</v>
      </c>
      <c r="V71" s="376">
        <f>+U71-E71</f>
        <v>-306388.93000000005</v>
      </c>
      <c r="W71" s="376">
        <f>U71-M71</f>
        <v>-31615</v>
      </c>
      <c r="AD71" s="408" t="s">
        <v>163</v>
      </c>
      <c r="AE71" s="409">
        <f>AE70-U79</f>
        <v>11292397.429999992</v>
      </c>
    </row>
    <row r="72" spans="1:31" x14ac:dyDescent="0.2">
      <c r="A72" s="395"/>
      <c r="B72" s="373"/>
      <c r="C72" s="382"/>
      <c r="D72" s="383" t="s">
        <v>31</v>
      </c>
      <c r="E72" s="383" t="s">
        <v>31</v>
      </c>
      <c r="F72" s="383"/>
      <c r="G72" s="383" t="s">
        <v>31</v>
      </c>
      <c r="H72" s="383"/>
      <c r="I72" s="383"/>
      <c r="J72" s="383"/>
      <c r="K72" s="383"/>
      <c r="L72" s="383"/>
      <c r="M72" s="383"/>
      <c r="N72" s="383"/>
      <c r="O72" s="383"/>
      <c r="P72" s="383"/>
      <c r="Q72" s="383"/>
      <c r="R72" s="383"/>
      <c r="S72" s="383"/>
      <c r="T72" s="383"/>
      <c r="U72" s="383"/>
      <c r="V72" s="384"/>
      <c r="W72" s="384"/>
    </row>
    <row r="73" spans="1:31" x14ac:dyDescent="0.2">
      <c r="A73" s="395" t="s">
        <v>366</v>
      </c>
      <c r="B73" s="373" t="s">
        <v>339</v>
      </c>
      <c r="C73" s="396">
        <v>10.135165000000001</v>
      </c>
      <c r="D73" s="383">
        <v>-638727.9</v>
      </c>
      <c r="E73" s="383">
        <v>222741</v>
      </c>
      <c r="F73" s="383">
        <f>G73-E73</f>
        <v>85698.409999999974</v>
      </c>
      <c r="G73" s="383">
        <v>308439.40999999997</v>
      </c>
      <c r="H73" s="383">
        <v>638727.9</v>
      </c>
      <c r="I73" s="383">
        <f>J73-H73-G73</f>
        <v>87715.049999999988</v>
      </c>
      <c r="J73" s="383">
        <v>1034882.36</v>
      </c>
      <c r="K73" s="383">
        <v>0</v>
      </c>
      <c r="L73" s="383">
        <v>80182.690000000061</v>
      </c>
      <c r="M73" s="383">
        <v>1115065.05</v>
      </c>
      <c r="N73" s="383">
        <v>84374.09999999986</v>
      </c>
      <c r="O73" s="383">
        <v>1199439.1499999999</v>
      </c>
      <c r="P73" s="383">
        <f>Q73-O73</f>
        <v>94318.290000000037</v>
      </c>
      <c r="Q73" s="383">
        <v>1293757.4399999999</v>
      </c>
      <c r="R73" s="383">
        <v>106394.24000000001</v>
      </c>
      <c r="S73" s="383">
        <v>1400151.68</v>
      </c>
      <c r="T73" s="383">
        <f>U73-S73</f>
        <v>106910.78000000003</v>
      </c>
      <c r="U73" s="383">
        <v>1507062.46</v>
      </c>
      <c r="V73" s="376">
        <f t="shared" ref="V73:V79" si="4">+U73-E73</f>
        <v>1284321.46</v>
      </c>
      <c r="W73" s="376">
        <f>U73-M73</f>
        <v>391997.40999999992</v>
      </c>
    </row>
    <row r="74" spans="1:31" x14ac:dyDescent="0.2">
      <c r="A74" s="395" t="s">
        <v>367</v>
      </c>
      <c r="B74" s="386" t="s">
        <v>243</v>
      </c>
      <c r="C74" s="396">
        <v>10.135165000000001</v>
      </c>
      <c r="D74" s="383">
        <v>-52807.17</v>
      </c>
      <c r="E74" s="383">
        <v>-59815.17</v>
      </c>
      <c r="F74" s="383">
        <f>G74-E74</f>
        <v>102</v>
      </c>
      <c r="G74" s="383">
        <v>-59713.17</v>
      </c>
      <c r="H74" s="383">
        <v>60321.920406130143</v>
      </c>
      <c r="I74" s="383">
        <f>J74-H74-G74</f>
        <v>748466.2495938699</v>
      </c>
      <c r="J74" s="383">
        <v>749075</v>
      </c>
      <c r="K74" s="383">
        <v>0</v>
      </c>
      <c r="L74" s="383">
        <v>-747851.25</v>
      </c>
      <c r="M74" s="383">
        <v>1223.75</v>
      </c>
      <c r="N74" s="383">
        <v>511</v>
      </c>
      <c r="O74" s="383">
        <v>1734.75</v>
      </c>
      <c r="P74" s="383">
        <f>Q74-O74</f>
        <v>550</v>
      </c>
      <c r="Q74" s="383">
        <v>2284.75</v>
      </c>
      <c r="R74" s="383">
        <v>593</v>
      </c>
      <c r="S74" s="383">
        <v>2877.75</v>
      </c>
      <c r="T74" s="383">
        <f>U74-S74</f>
        <v>1038</v>
      </c>
      <c r="U74" s="383">
        <v>3915.75</v>
      </c>
      <c r="V74" s="376">
        <f t="shared" si="4"/>
        <v>63730.92</v>
      </c>
      <c r="W74" s="376">
        <f>U74-M74</f>
        <v>2692</v>
      </c>
    </row>
    <row r="75" spans="1:31" ht="13.5" thickBot="1" x14ac:dyDescent="0.25">
      <c r="A75" s="390" t="s">
        <v>368</v>
      </c>
      <c r="B75" s="391"/>
      <c r="C75" s="410"/>
      <c r="D75" s="411">
        <f>SUM(D56:D74)</f>
        <v>-15191921.620000001</v>
      </c>
      <c r="E75" s="411">
        <f t="shared" ref="E75:K75" si="5">SUM(E28:E74)</f>
        <v>4424520.0500000045</v>
      </c>
      <c r="F75" s="411">
        <f t="shared" si="5"/>
        <v>-4497504.6700000027</v>
      </c>
      <c r="G75" s="411">
        <f t="shared" si="5"/>
        <v>-72984.619999997914</v>
      </c>
      <c r="H75" s="411">
        <f t="shared" si="5"/>
        <v>-12779575.614601605</v>
      </c>
      <c r="I75" s="411">
        <f t="shared" si="5"/>
        <v>9203336.0246016029</v>
      </c>
      <c r="J75" s="411">
        <f t="shared" si="5"/>
        <v>-3649224.2100000018</v>
      </c>
      <c r="K75" s="411">
        <f t="shared" si="5"/>
        <v>0</v>
      </c>
      <c r="L75" s="411">
        <v>-2482676.86</v>
      </c>
      <c r="M75" s="411">
        <v>-6131901.0700000003</v>
      </c>
      <c r="N75" s="411">
        <v>2479426.2799999998</v>
      </c>
      <c r="O75" s="411">
        <v>-3652474.79</v>
      </c>
      <c r="P75" s="411">
        <f>SUM(P28:P74)</f>
        <v>-9135055.5700000003</v>
      </c>
      <c r="Q75" s="411">
        <f>SUM(Q28:Q74)</f>
        <v>-12787530.359999999</v>
      </c>
      <c r="R75" s="411">
        <v>-4615015.41</v>
      </c>
      <c r="S75" s="411">
        <v>-17402545.770000007</v>
      </c>
      <c r="T75" s="411">
        <f>SUM(T28:T74)</f>
        <v>-7349806.7099999962</v>
      </c>
      <c r="U75" s="411">
        <f>SUM(U28:U74)</f>
        <v>-24752352.479999997</v>
      </c>
      <c r="V75" s="411">
        <f t="shared" si="4"/>
        <v>-29176872.530000001</v>
      </c>
      <c r="W75" s="411">
        <f>SUM(W28:W74)</f>
        <v>-18620451.41</v>
      </c>
    </row>
    <row r="76" spans="1:31" x14ac:dyDescent="0.2">
      <c r="A76" s="395" t="s">
        <v>369</v>
      </c>
      <c r="B76" s="386" t="s">
        <v>370</v>
      </c>
      <c r="C76" s="396">
        <v>10.222300000000001</v>
      </c>
      <c r="D76" s="412">
        <v>0</v>
      </c>
      <c r="E76" s="383">
        <v>-251753.26</v>
      </c>
      <c r="F76" s="383">
        <f>G76-E76</f>
        <v>31134.869999999995</v>
      </c>
      <c r="G76" s="383">
        <v>-220618.39</v>
      </c>
      <c r="H76" s="383">
        <v>0</v>
      </c>
      <c r="I76" s="383">
        <f>J76-H76-G76</f>
        <v>-31134.869999999995</v>
      </c>
      <c r="J76" s="383">
        <v>-251753.26</v>
      </c>
      <c r="K76" s="383">
        <v>0</v>
      </c>
      <c r="L76" s="383">
        <v>119855.8</v>
      </c>
      <c r="M76" s="383">
        <v>-131897.46</v>
      </c>
      <c r="N76" s="383">
        <v>1454.3999999999942</v>
      </c>
      <c r="O76" s="383">
        <v>-130443.06</v>
      </c>
      <c r="P76" s="383">
        <f>Q76-O76</f>
        <v>6371.179999999993</v>
      </c>
      <c r="Q76" s="383">
        <v>-124071.88</v>
      </c>
      <c r="R76" s="383">
        <v>2978.1000000000058</v>
      </c>
      <c r="S76" s="383">
        <v>-121093.78</v>
      </c>
      <c r="T76" s="383">
        <f>U76-S76</f>
        <v>14979.479999999996</v>
      </c>
      <c r="U76" s="383">
        <f>AM62</f>
        <v>-106114.3</v>
      </c>
      <c r="V76" s="383">
        <f t="shared" si="4"/>
        <v>145638.96000000002</v>
      </c>
      <c r="W76" s="376">
        <f>U76-M76</f>
        <v>25783.159999999989</v>
      </c>
    </row>
    <row r="77" spans="1:31" x14ac:dyDescent="0.2">
      <c r="A77" s="395" t="s">
        <v>371</v>
      </c>
      <c r="B77" s="386" t="s">
        <v>370</v>
      </c>
      <c r="C77" s="396">
        <v>10.22235</v>
      </c>
      <c r="D77" s="412">
        <v>0</v>
      </c>
      <c r="E77" s="383">
        <v>-33491138.039999999</v>
      </c>
      <c r="F77" s="383">
        <f>G77-E77</f>
        <v>-271201.27000000328</v>
      </c>
      <c r="G77" s="383">
        <v>-33762339.310000002</v>
      </c>
      <c r="H77" s="383">
        <v>0</v>
      </c>
      <c r="I77" s="383">
        <f>J77-H77-G77</f>
        <v>271201.27000000328</v>
      </c>
      <c r="J77" s="383">
        <v>-33491138.039999999</v>
      </c>
      <c r="K77" s="383">
        <v>0</v>
      </c>
      <c r="L77" s="383">
        <v>-122102.75999999791</v>
      </c>
      <c r="M77" s="383">
        <v>-33613240.799999997</v>
      </c>
      <c r="N77" s="383">
        <v>338225.36999999732</v>
      </c>
      <c r="O77" s="383">
        <v>-33275015.43</v>
      </c>
      <c r="P77" s="383">
        <f>Q77-O77</f>
        <v>449998.6400000006</v>
      </c>
      <c r="Q77" s="383">
        <v>-32825016.789999999</v>
      </c>
      <c r="R77" s="383">
        <v>-452972.68</v>
      </c>
      <c r="S77" s="383">
        <v>-33277989.469999999</v>
      </c>
      <c r="T77" s="383">
        <f>U77-S77</f>
        <v>365192.09999999776</v>
      </c>
      <c r="U77" s="383">
        <f>AM63</f>
        <v>-32912797.370000001</v>
      </c>
      <c r="V77" s="383">
        <f t="shared" si="4"/>
        <v>578340.66999999806</v>
      </c>
      <c r="W77" s="376">
        <f>U77-M77</f>
        <v>700443.42999999598</v>
      </c>
    </row>
    <row r="78" spans="1:31" ht="13.5" thickBot="1" x14ac:dyDescent="0.25">
      <c r="A78" s="390" t="s">
        <v>372</v>
      </c>
      <c r="B78" s="413"/>
      <c r="C78" s="414"/>
      <c r="D78" s="393">
        <f t="shared" ref="D78:K78" si="6">SUM(D76:D77)</f>
        <v>0</v>
      </c>
      <c r="E78" s="393">
        <f t="shared" si="6"/>
        <v>-33742891.299999997</v>
      </c>
      <c r="F78" s="393">
        <f t="shared" si="6"/>
        <v>-240066.40000000328</v>
      </c>
      <c r="G78" s="393">
        <f t="shared" si="6"/>
        <v>-33982957.700000003</v>
      </c>
      <c r="H78" s="393">
        <f t="shared" si="6"/>
        <v>0</v>
      </c>
      <c r="I78" s="393">
        <f t="shared" si="6"/>
        <v>240066.40000000328</v>
      </c>
      <c r="J78" s="393">
        <f t="shared" si="6"/>
        <v>-33742891.299999997</v>
      </c>
      <c r="K78" s="393">
        <f t="shared" si="6"/>
        <v>0</v>
      </c>
      <c r="L78" s="393">
        <v>-2246.9599999978964</v>
      </c>
      <c r="M78" s="393">
        <v>-33745138.259999998</v>
      </c>
      <c r="N78" s="393">
        <v>339679.76999999734</v>
      </c>
      <c r="O78" s="393">
        <v>-33405458.489999998</v>
      </c>
      <c r="P78" s="393">
        <f>SUM(P76:P77)</f>
        <v>456369.82000000059</v>
      </c>
      <c r="Q78" s="393">
        <f>SUM(Q76:Q77)</f>
        <v>-32949088.669999998</v>
      </c>
      <c r="R78" s="393">
        <v>-449994.58</v>
      </c>
      <c r="S78" s="393">
        <v>-33399083.25</v>
      </c>
      <c r="T78" s="393">
        <f>SUM(T76:T77)</f>
        <v>380171.57999999775</v>
      </c>
      <c r="U78" s="393">
        <f>SUM(U76:U77)</f>
        <v>-33018911.670000002</v>
      </c>
      <c r="V78" s="393">
        <f t="shared" si="4"/>
        <v>723979.62999999523</v>
      </c>
      <c r="W78" s="393">
        <f>SUM(W76:W77)</f>
        <v>726226.58999999601</v>
      </c>
    </row>
    <row r="79" spans="1:31" ht="13.5" thickBot="1" x14ac:dyDescent="0.25">
      <c r="A79" s="415" t="s">
        <v>368</v>
      </c>
      <c r="B79" s="416"/>
      <c r="C79" s="417"/>
      <c r="D79" s="418">
        <f t="shared" ref="D79:K79" si="7">D25+D75+D78</f>
        <v>-12820711.66</v>
      </c>
      <c r="E79" s="418">
        <f t="shared" si="7"/>
        <v>-21505217.169999994</v>
      </c>
      <c r="F79" s="418">
        <f t="shared" si="7"/>
        <v>-4625441.3900000062</v>
      </c>
      <c r="G79" s="418">
        <f t="shared" si="7"/>
        <v>-26130658.560000002</v>
      </c>
      <c r="H79" s="418">
        <f t="shared" si="7"/>
        <v>-12779575.614601605</v>
      </c>
      <c r="I79" s="418">
        <f t="shared" si="7"/>
        <v>10173691.014601607</v>
      </c>
      <c r="J79" s="418">
        <f t="shared" si="7"/>
        <v>-28736543.159999996</v>
      </c>
      <c r="K79" s="418">
        <f t="shared" si="7"/>
        <v>0</v>
      </c>
      <c r="L79" s="418">
        <v>-2485918.65</v>
      </c>
      <c r="M79" s="418">
        <v>-31222461.809999995</v>
      </c>
      <c r="N79" s="418">
        <v>3042019.61</v>
      </c>
      <c r="O79" s="418">
        <v>-28180442.199999999</v>
      </c>
      <c r="P79" s="418">
        <f>P25+P75+P78</f>
        <v>-8653954.7999999989</v>
      </c>
      <c r="Q79" s="418">
        <f>Q25+Q75+Q78</f>
        <v>-36834397</v>
      </c>
      <c r="R79" s="418">
        <v>-4557289.26</v>
      </c>
      <c r="S79" s="418">
        <v>-41391686.260000005</v>
      </c>
      <c r="T79" s="418">
        <f>T25+T75+T78</f>
        <v>-6735108.1699999981</v>
      </c>
      <c r="U79" s="418">
        <f>U25+U75+U78</f>
        <v>-48126794.429999992</v>
      </c>
      <c r="V79" s="418">
        <f t="shared" si="4"/>
        <v>-26621577.259999998</v>
      </c>
      <c r="W79" s="418">
        <f>W25+W75+W78</f>
        <v>-16904332.620000005</v>
      </c>
      <c r="X79" s="356">
        <f>+U79-E79-V79</f>
        <v>0</v>
      </c>
    </row>
    <row r="80" spans="1:31" s="404" customFormat="1" x14ac:dyDescent="0.2">
      <c r="A80" s="419"/>
      <c r="B80" s="386"/>
      <c r="C80" s="420"/>
      <c r="D80" s="420"/>
      <c r="E80" s="420"/>
      <c r="F80" s="420"/>
      <c r="G80" s="420"/>
      <c r="H80" s="420"/>
      <c r="I80" s="420"/>
      <c r="J80" s="421">
        <f>SUM(G79:I79)</f>
        <v>-28736543.16</v>
      </c>
      <c r="K80" s="420"/>
      <c r="L80" s="420"/>
      <c r="M80" s="420"/>
      <c r="N80" s="420"/>
      <c r="O80" s="420"/>
      <c r="P80" s="420"/>
      <c r="Q80" s="420"/>
      <c r="R80" s="420"/>
      <c r="S80" s="420"/>
      <c r="T80" s="420"/>
      <c r="U80" s="420"/>
      <c r="V80" s="386"/>
      <c r="W80" s="386"/>
    </row>
    <row r="81" spans="1:24" s="404" customFormat="1" x14ac:dyDescent="0.2">
      <c r="A81" s="419"/>
      <c r="B81" s="386"/>
      <c r="C81" s="420"/>
      <c r="D81" s="420"/>
      <c r="E81" s="420"/>
      <c r="F81" s="420"/>
      <c r="G81" s="420"/>
      <c r="H81" s="420"/>
      <c r="I81" s="420"/>
      <c r="J81" s="421">
        <f>J79-J80</f>
        <v>0</v>
      </c>
      <c r="K81" s="420"/>
      <c r="L81" s="420"/>
      <c r="M81" s="420"/>
      <c r="N81" s="420"/>
      <c r="O81" s="420"/>
      <c r="P81" s="420"/>
      <c r="Q81" s="420"/>
      <c r="R81" s="420"/>
      <c r="S81" s="420"/>
      <c r="T81" s="420"/>
      <c r="U81" s="420"/>
      <c r="V81" s="386"/>
      <c r="W81" s="386"/>
    </row>
    <row r="82" spans="1:24" s="404" customFormat="1" ht="13.5" thickBot="1" x14ac:dyDescent="0.25">
      <c r="A82" s="419"/>
      <c r="B82" s="386"/>
      <c r="C82" s="420"/>
      <c r="D82" s="420"/>
      <c r="E82" s="420"/>
      <c r="F82" s="420"/>
      <c r="G82" s="420"/>
      <c r="H82" s="420"/>
      <c r="I82" s="420"/>
      <c r="J82" s="420"/>
      <c r="K82" s="420"/>
      <c r="L82" s="420"/>
      <c r="M82" s="420"/>
      <c r="N82" s="420"/>
      <c r="O82" s="420"/>
      <c r="P82" s="420"/>
      <c r="Q82" s="420"/>
      <c r="R82" s="420"/>
      <c r="S82" s="420"/>
      <c r="T82" s="420"/>
      <c r="U82" s="420"/>
      <c r="V82" s="386"/>
      <c r="W82" s="386"/>
    </row>
    <row r="83" spans="1:24" s="404" customFormat="1" x14ac:dyDescent="0.2">
      <c r="A83" s="422" t="s">
        <v>373</v>
      </c>
      <c r="B83" s="423"/>
      <c r="C83" s="424"/>
      <c r="D83" s="425"/>
      <c r="E83" s="425"/>
      <c r="F83" s="425"/>
      <c r="G83" s="423"/>
      <c r="H83" s="426"/>
      <c r="I83" s="423"/>
      <c r="J83" s="423"/>
      <c r="K83" s="423"/>
      <c r="L83" s="423"/>
      <c r="M83" s="427"/>
      <c r="N83" s="423"/>
      <c r="O83" s="423"/>
      <c r="P83" s="423"/>
      <c r="Q83" s="423"/>
      <c r="R83" s="423"/>
      <c r="S83" s="423"/>
      <c r="T83" s="423"/>
      <c r="U83" s="423"/>
      <c r="V83" s="428"/>
      <c r="W83" s="425"/>
      <c r="X83" s="429"/>
    </row>
    <row r="84" spans="1:24" s="404" customFormat="1" ht="51.75" customHeight="1" x14ac:dyDescent="0.2">
      <c r="A84" s="430" t="s">
        <v>374</v>
      </c>
      <c r="B84" s="420"/>
      <c r="C84" s="431"/>
      <c r="D84" s="432">
        <v>39813</v>
      </c>
      <c r="E84" s="432">
        <v>40086</v>
      </c>
      <c r="F84" s="432">
        <v>40178</v>
      </c>
      <c r="G84" s="432" t="s">
        <v>166</v>
      </c>
      <c r="H84" s="433" t="s">
        <v>375</v>
      </c>
      <c r="I84" s="432"/>
      <c r="J84" s="434"/>
      <c r="K84" s="435">
        <v>40176</v>
      </c>
      <c r="L84" s="435">
        <v>40177</v>
      </c>
      <c r="M84" s="436">
        <v>40268</v>
      </c>
      <c r="N84" s="420"/>
      <c r="O84" s="420"/>
      <c r="P84" s="420"/>
      <c r="Q84" s="420"/>
      <c r="R84" s="420"/>
      <c r="S84" s="432">
        <v>40359</v>
      </c>
      <c r="T84" s="421"/>
      <c r="U84" s="432">
        <v>40390</v>
      </c>
      <c r="V84" s="437" t="s">
        <v>172</v>
      </c>
      <c r="W84" s="438"/>
      <c r="X84" s="439"/>
    </row>
    <row r="85" spans="1:24" s="404" customFormat="1" x14ac:dyDescent="0.2">
      <c r="A85" s="440"/>
      <c r="B85" s="420"/>
      <c r="C85" s="440" t="s">
        <v>376</v>
      </c>
      <c r="D85" s="386"/>
      <c r="F85" s="441"/>
      <c r="G85" s="441"/>
      <c r="H85" s="442"/>
      <c r="I85" s="441"/>
      <c r="J85" s="441"/>
      <c r="K85" s="441"/>
      <c r="L85" s="441"/>
      <c r="M85" s="443"/>
      <c r="N85" s="420"/>
      <c r="O85" s="420"/>
      <c r="P85" s="420"/>
      <c r="Q85" s="420"/>
      <c r="R85" s="420"/>
      <c r="S85" s="441"/>
      <c r="T85" s="421"/>
      <c r="U85" s="441"/>
      <c r="V85" s="444"/>
      <c r="W85" s="438"/>
      <c r="X85" s="445"/>
    </row>
    <row r="86" spans="1:24" s="404" customFormat="1" x14ac:dyDescent="0.2">
      <c r="A86" s="440"/>
      <c r="B86" s="420"/>
      <c r="C86" s="440"/>
      <c r="D86" s="386"/>
      <c r="F86" s="441"/>
      <c r="G86" s="441"/>
      <c r="H86" s="442"/>
      <c r="I86" s="441"/>
      <c r="J86" s="441"/>
      <c r="K86" s="441"/>
      <c r="L86" s="441"/>
      <c r="M86" s="443"/>
      <c r="N86" s="420"/>
      <c r="O86" s="420"/>
      <c r="P86" s="420"/>
      <c r="Q86" s="420"/>
      <c r="R86" s="420"/>
      <c r="S86" s="441"/>
      <c r="T86" s="421"/>
      <c r="U86" s="441"/>
      <c r="V86" s="444"/>
      <c r="W86" s="438"/>
      <c r="X86" s="445"/>
    </row>
    <row r="87" spans="1:24" s="404" customFormat="1" x14ac:dyDescent="0.2">
      <c r="A87" s="446">
        <v>1555</v>
      </c>
      <c r="B87" s="420"/>
      <c r="C87" s="440" t="s">
        <v>377</v>
      </c>
      <c r="D87" s="420">
        <f>D10</f>
        <v>3927415</v>
      </c>
      <c r="F87" s="420">
        <f>E10</f>
        <v>7562280.5</v>
      </c>
      <c r="G87" s="420">
        <f>H10</f>
        <v>0</v>
      </c>
      <c r="H87" s="383">
        <f>F87+G87</f>
        <v>7562280.5</v>
      </c>
      <c r="I87" s="420"/>
      <c r="J87" s="420"/>
      <c r="K87" s="420">
        <f>K10</f>
        <v>0</v>
      </c>
      <c r="L87" s="420">
        <f>L10</f>
        <v>230319</v>
      </c>
      <c r="M87" s="440">
        <f>L10</f>
        <v>230319</v>
      </c>
      <c r="N87" s="420"/>
      <c r="O87" s="420"/>
      <c r="P87" s="420"/>
      <c r="Q87" s="420"/>
      <c r="R87" s="420"/>
      <c r="S87" s="420">
        <f>S10</f>
        <v>8867613.5</v>
      </c>
      <c r="T87" s="421"/>
      <c r="U87" s="420">
        <f>U10</f>
        <v>9066576.5</v>
      </c>
      <c r="V87" s="447">
        <f>U87-S87</f>
        <v>198963</v>
      </c>
      <c r="W87" s="438"/>
      <c r="X87" s="448"/>
    </row>
    <row r="88" spans="1:24" s="404" customFormat="1" x14ac:dyDescent="0.2">
      <c r="A88" s="449"/>
      <c r="B88" s="420"/>
      <c r="C88" s="440"/>
      <c r="D88" s="441"/>
      <c r="F88" s="441"/>
      <c r="G88" s="441"/>
      <c r="H88" s="442"/>
      <c r="I88" s="441"/>
      <c r="J88" s="441"/>
      <c r="K88" s="441"/>
      <c r="L88" s="441"/>
      <c r="M88" s="443"/>
      <c r="N88" s="420"/>
      <c r="O88" s="420"/>
      <c r="P88" s="420"/>
      <c r="Q88" s="420"/>
      <c r="R88" s="420"/>
      <c r="S88" s="441"/>
      <c r="T88" s="421"/>
      <c r="U88" s="441"/>
      <c r="V88" s="444"/>
      <c r="W88" s="438"/>
      <c r="X88" s="448"/>
    </row>
    <row r="89" spans="1:24" s="404" customFormat="1" x14ac:dyDescent="0.2">
      <c r="A89" s="446">
        <v>1588</v>
      </c>
      <c r="B89" s="420"/>
      <c r="C89" s="440" t="s">
        <v>61</v>
      </c>
      <c r="D89" s="420">
        <f>D70</f>
        <v>7327301.9699999997</v>
      </c>
      <c r="E89" s="355">
        <f>-G89</f>
        <v>41485836.800444126</v>
      </c>
      <c r="F89" s="420">
        <f>E70</f>
        <v>37098530.520000003</v>
      </c>
      <c r="G89" s="420">
        <f>H70</f>
        <v>-41485836.800444126</v>
      </c>
      <c r="H89" s="450">
        <f>F89+G89</f>
        <v>-4387306.2804441229</v>
      </c>
      <c r="I89" s="420"/>
      <c r="J89" s="420"/>
      <c r="K89" s="420">
        <f>K70</f>
        <v>0</v>
      </c>
      <c r="L89" s="420">
        <f>L70</f>
        <v>958692.70000000112</v>
      </c>
      <c r="M89" s="440">
        <f>L70</f>
        <v>958692.70000000112</v>
      </c>
      <c r="N89" s="420"/>
      <c r="O89" s="420"/>
      <c r="P89" s="420"/>
      <c r="Q89" s="420"/>
      <c r="R89" s="420"/>
      <c r="S89" s="420">
        <f>S70</f>
        <v>-19997873.940000001</v>
      </c>
      <c r="T89" s="421"/>
      <c r="U89" s="420">
        <f>U70</f>
        <v>-25851167.239999998</v>
      </c>
      <c r="V89" s="447">
        <f>U89-S89</f>
        <v>-5853293.299999997</v>
      </c>
      <c r="W89" s="438"/>
      <c r="X89" s="451"/>
    </row>
    <row r="90" spans="1:24" s="404" customFormat="1" x14ac:dyDescent="0.2">
      <c r="A90" s="446">
        <v>1589</v>
      </c>
      <c r="B90" s="420"/>
      <c r="C90" s="440" t="s">
        <v>378</v>
      </c>
      <c r="D90" s="420">
        <f>D71</f>
        <v>0</v>
      </c>
      <c r="E90" s="355">
        <f>-G90</f>
        <v>301803.93311344681</v>
      </c>
      <c r="F90" s="420">
        <f>E71</f>
        <v>279300.90000000002</v>
      </c>
      <c r="G90" s="420">
        <f>H71</f>
        <v>-301803.93311344681</v>
      </c>
      <c r="H90" s="450">
        <f>F90+G90</f>
        <v>-22503.033113446785</v>
      </c>
      <c r="I90" s="420"/>
      <c r="J90" s="420"/>
      <c r="K90" s="420">
        <f>K71</f>
        <v>0</v>
      </c>
      <c r="L90" s="420">
        <f>L71</f>
        <v>-5197</v>
      </c>
      <c r="M90" s="440">
        <f>L71</f>
        <v>-5197</v>
      </c>
      <c r="N90" s="420"/>
      <c r="O90" s="420"/>
      <c r="P90" s="420"/>
      <c r="Q90" s="420"/>
      <c r="R90" s="420"/>
      <c r="S90" s="420">
        <f>S71</f>
        <v>-11709.03</v>
      </c>
      <c r="T90" s="421"/>
      <c r="U90" s="420">
        <f>U71</f>
        <v>-27088.03</v>
      </c>
      <c r="V90" s="444"/>
      <c r="W90" s="438"/>
      <c r="X90" s="448"/>
    </row>
    <row r="91" spans="1:24" s="404" customFormat="1" x14ac:dyDescent="0.2">
      <c r="A91" s="446"/>
      <c r="B91" s="420"/>
      <c r="C91" s="440" t="s">
        <v>379</v>
      </c>
      <c r="D91" s="420"/>
      <c r="F91" s="420"/>
      <c r="G91" s="420"/>
      <c r="H91" s="452"/>
      <c r="I91" s="420"/>
      <c r="J91" s="420"/>
      <c r="K91" s="420"/>
      <c r="L91" s="420"/>
      <c r="M91" s="440"/>
      <c r="N91" s="420"/>
      <c r="O91" s="420"/>
      <c r="P91" s="420"/>
      <c r="Q91" s="420"/>
      <c r="R91" s="420"/>
      <c r="S91" s="420"/>
      <c r="T91" s="421"/>
      <c r="U91" s="420"/>
      <c r="V91" s="444"/>
      <c r="W91" s="438"/>
      <c r="X91" s="448"/>
    </row>
    <row r="92" spans="1:24" s="404" customFormat="1" x14ac:dyDescent="0.2">
      <c r="A92" s="446">
        <v>1580</v>
      </c>
      <c r="B92" s="420"/>
      <c r="C92" s="453" t="s">
        <v>380</v>
      </c>
      <c r="D92" s="420">
        <f>D56</f>
        <v>-14805516.109999999</v>
      </c>
      <c r="F92" s="420">
        <f>E56</f>
        <v>-16956153.579999998</v>
      </c>
      <c r="G92" s="420">
        <f>H56</f>
        <v>14805516.411715433</v>
      </c>
      <c r="H92" s="450">
        <f t="shared" ref="H92:H103" si="8">F92+G92</f>
        <v>-2150637.1682845652</v>
      </c>
      <c r="I92" s="420"/>
      <c r="J92" s="420"/>
      <c r="K92" s="420">
        <f>K56</f>
        <v>0</v>
      </c>
      <c r="L92" s="420">
        <f>L56</f>
        <v>-637795.46</v>
      </c>
      <c r="M92" s="440">
        <f>L56</f>
        <v>-637795.46</v>
      </c>
      <c r="N92" s="420"/>
      <c r="O92" s="420"/>
      <c r="P92" s="420"/>
      <c r="Q92" s="420"/>
      <c r="R92" s="420"/>
      <c r="S92" s="420">
        <f>S56</f>
        <v>-6257479.2599999998</v>
      </c>
      <c r="T92" s="438"/>
      <c r="U92" s="420">
        <f>U56</f>
        <v>-6888152.6699999999</v>
      </c>
      <c r="V92" s="447">
        <f>U92-S92</f>
        <v>-630673.41000000015</v>
      </c>
      <c r="W92" s="438"/>
      <c r="X92" s="451"/>
    </row>
    <row r="93" spans="1:24" s="404" customFormat="1" x14ac:dyDescent="0.2">
      <c r="A93" s="446">
        <v>1580</v>
      </c>
      <c r="B93" s="420"/>
      <c r="C93" s="453" t="s">
        <v>381</v>
      </c>
      <c r="D93" s="420">
        <f>D57</f>
        <v>-1030834.47</v>
      </c>
      <c r="F93" s="420">
        <f>E57</f>
        <v>-1205207.47</v>
      </c>
      <c r="G93" s="420">
        <f>H57</f>
        <v>1205024.4792706985</v>
      </c>
      <c r="H93" s="450">
        <f t="shared" si="8"/>
        <v>-182.9907293014694</v>
      </c>
      <c r="I93" s="420"/>
      <c r="J93" s="420"/>
      <c r="K93" s="420">
        <f>K57</f>
        <v>0</v>
      </c>
      <c r="L93" s="420">
        <f>L57</f>
        <v>-1847</v>
      </c>
      <c r="M93" s="440">
        <f>L57</f>
        <v>-1847</v>
      </c>
      <c r="N93" s="420"/>
      <c r="O93" s="420"/>
      <c r="P93" s="420"/>
      <c r="Q93" s="420"/>
      <c r="R93" s="420"/>
      <c r="S93" s="420">
        <f>S57</f>
        <v>-25139.99</v>
      </c>
      <c r="T93" s="438"/>
      <c r="U93" s="420">
        <f>U57</f>
        <v>-29931.99</v>
      </c>
      <c r="V93" s="447"/>
      <c r="W93" s="438"/>
      <c r="X93" s="451"/>
    </row>
    <row r="94" spans="1:24" s="404" customFormat="1" x14ac:dyDescent="0.2">
      <c r="A94" s="446">
        <v>1584</v>
      </c>
      <c r="B94" s="420"/>
      <c r="C94" s="453" t="s">
        <v>382</v>
      </c>
      <c r="D94" s="420">
        <f>D62</f>
        <v>-2407007.71</v>
      </c>
      <c r="F94" s="420">
        <f>E62</f>
        <v>-5641838.7300000004</v>
      </c>
      <c r="G94" s="420">
        <f>H62</f>
        <v>2407007.5856417045</v>
      </c>
      <c r="H94" s="450">
        <f t="shared" si="8"/>
        <v>-3234831.1443582959</v>
      </c>
      <c r="I94" s="420"/>
      <c r="J94" s="420"/>
      <c r="K94" s="420">
        <f>K62</f>
        <v>0</v>
      </c>
      <c r="L94" s="420">
        <f>L62</f>
        <v>-18369.950000000186</v>
      </c>
      <c r="M94" s="440">
        <f>L62</f>
        <v>-18369.950000000186</v>
      </c>
      <c r="N94" s="420"/>
      <c r="O94" s="420"/>
      <c r="P94" s="420"/>
      <c r="Q94" s="420"/>
      <c r="R94" s="420"/>
      <c r="S94" s="420">
        <f>S62</f>
        <v>-4064284.54</v>
      </c>
      <c r="T94" s="438"/>
      <c r="U94" s="420">
        <f>U62</f>
        <v>-4039788.05</v>
      </c>
      <c r="V94" s="447">
        <f>U94-S94</f>
        <v>24496.490000000224</v>
      </c>
      <c r="W94" s="438"/>
      <c r="X94" s="451"/>
    </row>
    <row r="95" spans="1:24" s="404" customFormat="1" x14ac:dyDescent="0.2">
      <c r="A95" s="446">
        <v>1584</v>
      </c>
      <c r="B95" s="420"/>
      <c r="C95" s="453" t="s">
        <v>383</v>
      </c>
      <c r="D95" s="420">
        <f>D63</f>
        <v>99836.96</v>
      </c>
      <c r="F95" s="420">
        <f>E63</f>
        <v>66493.960000000006</v>
      </c>
      <c r="G95" s="420">
        <f>H63</f>
        <v>-71518.035906198202</v>
      </c>
      <c r="H95" s="450">
        <f t="shared" si="8"/>
        <v>-5024.0759061981953</v>
      </c>
      <c r="I95" s="420"/>
      <c r="J95" s="420"/>
      <c r="K95" s="420">
        <f>K63</f>
        <v>0</v>
      </c>
      <c r="L95" s="420">
        <f>L63</f>
        <v>-1562</v>
      </c>
      <c r="M95" s="440">
        <f>L63</f>
        <v>-1562</v>
      </c>
      <c r="N95" s="420"/>
      <c r="O95" s="420"/>
      <c r="P95" s="420"/>
      <c r="Q95" s="420"/>
      <c r="R95" s="420"/>
      <c r="S95" s="420">
        <f>S63</f>
        <v>-17179.080000000002</v>
      </c>
      <c r="T95" s="438"/>
      <c r="U95" s="420">
        <f>U63</f>
        <v>-20194.080000000002</v>
      </c>
      <c r="V95" s="447"/>
      <c r="W95" s="438"/>
      <c r="X95" s="451"/>
    </row>
    <row r="96" spans="1:24" s="404" customFormat="1" x14ac:dyDescent="0.2">
      <c r="A96" s="446">
        <v>1586</v>
      </c>
      <c r="B96" s="420"/>
      <c r="C96" s="453" t="s">
        <v>384</v>
      </c>
      <c r="D96" s="420">
        <f>D65</f>
        <v>-887816.98</v>
      </c>
      <c r="F96" s="420">
        <f>E65</f>
        <v>-3596514.15</v>
      </c>
      <c r="G96" s="420">
        <f>H65</f>
        <v>887817.59285152191</v>
      </c>
      <c r="H96" s="450">
        <f t="shared" si="8"/>
        <v>-2708696.557148478</v>
      </c>
      <c r="I96" s="420"/>
      <c r="J96" s="420"/>
      <c r="K96" s="420">
        <f>K65</f>
        <v>0</v>
      </c>
      <c r="L96" s="420">
        <f>L65</f>
        <v>-236931.91</v>
      </c>
      <c r="M96" s="440">
        <f>L65</f>
        <v>-236931.91</v>
      </c>
      <c r="N96" s="420"/>
      <c r="O96" s="420"/>
      <c r="P96" s="420"/>
      <c r="Q96" s="420"/>
      <c r="R96" s="420"/>
      <c r="S96" s="420">
        <f>S65</f>
        <v>-3956428.93</v>
      </c>
      <c r="T96" s="438"/>
      <c r="U96" s="420">
        <f>U65</f>
        <v>-3994309.33</v>
      </c>
      <c r="V96" s="447">
        <f>U96-S96</f>
        <v>-37880.399999999907</v>
      </c>
      <c r="W96" s="438"/>
      <c r="X96" s="451"/>
    </row>
    <row r="97" spans="1:24" s="404" customFormat="1" x14ac:dyDescent="0.2">
      <c r="A97" s="446">
        <v>1586</v>
      </c>
      <c r="B97" s="420"/>
      <c r="C97" s="453" t="s">
        <v>385</v>
      </c>
      <c r="D97" s="420">
        <f>D66</f>
        <v>-116360.17</v>
      </c>
      <c r="F97" s="420">
        <f>E66</f>
        <v>-130789.17</v>
      </c>
      <c r="G97" s="420">
        <f>H66</f>
        <v>126805.08446761187</v>
      </c>
      <c r="H97" s="450">
        <f t="shared" si="8"/>
        <v>-3984.085532388126</v>
      </c>
      <c r="I97" s="420"/>
      <c r="J97" s="420"/>
      <c r="K97" s="420">
        <f>K66</f>
        <v>0</v>
      </c>
      <c r="L97" s="420">
        <f>L66</f>
        <v>-1468</v>
      </c>
      <c r="M97" s="440">
        <f>L66</f>
        <v>-1468</v>
      </c>
      <c r="N97" s="420"/>
      <c r="O97" s="420"/>
      <c r="P97" s="420"/>
      <c r="Q97" s="420"/>
      <c r="R97" s="420"/>
      <c r="S97" s="420">
        <f>S66</f>
        <v>-14258.09</v>
      </c>
      <c r="T97" s="438"/>
      <c r="U97" s="420">
        <f>U66</f>
        <v>-17192.09</v>
      </c>
      <c r="V97" s="447"/>
      <c r="W97" s="438"/>
      <c r="X97" s="451"/>
    </row>
    <row r="98" spans="1:24" s="404" customFormat="1" x14ac:dyDescent="0.2">
      <c r="A98" s="446">
        <v>1588</v>
      </c>
      <c r="B98" s="420"/>
      <c r="C98" s="440" t="s">
        <v>386</v>
      </c>
      <c r="D98" s="420">
        <f>D68</f>
        <v>-2212351.15</v>
      </c>
      <c r="E98" s="355">
        <f>-G98</f>
        <v>-8288867.9836186981</v>
      </c>
      <c r="F98" s="420">
        <f>E68</f>
        <v>-4900025.7699999996</v>
      </c>
      <c r="G98" s="420">
        <f>H68</f>
        <v>8288867.9836186981</v>
      </c>
      <c r="H98" s="450">
        <f t="shared" si="8"/>
        <v>3388842.2136186985</v>
      </c>
      <c r="I98" s="420"/>
      <c r="J98" s="420"/>
      <c r="K98" s="420">
        <f>K68</f>
        <v>0</v>
      </c>
      <c r="L98" s="420">
        <f>L68</f>
        <v>-1186516.42</v>
      </c>
      <c r="M98" s="440">
        <f>L68</f>
        <v>-1186516.42</v>
      </c>
      <c r="N98" s="420"/>
      <c r="O98" s="420"/>
      <c r="P98" s="420"/>
      <c r="Q98" s="420"/>
      <c r="R98" s="420"/>
      <c r="S98" s="420">
        <f>S68</f>
        <v>3162168.9</v>
      </c>
      <c r="T98" s="438"/>
      <c r="U98" s="420">
        <f>U68</f>
        <v>3011028.76</v>
      </c>
      <c r="V98" s="447">
        <f>U98-S98</f>
        <v>-151140.14000000013</v>
      </c>
      <c r="W98" s="438"/>
      <c r="X98" s="451"/>
    </row>
    <row r="99" spans="1:24" s="404" customFormat="1" x14ac:dyDescent="0.2">
      <c r="A99" s="446">
        <v>1588</v>
      </c>
      <c r="B99" s="420"/>
      <c r="C99" s="440" t="s">
        <v>387</v>
      </c>
      <c r="D99" s="420">
        <f>D71</f>
        <v>0</v>
      </c>
      <c r="E99" s="355">
        <f>-G99</f>
        <v>-633009.76593668316</v>
      </c>
      <c r="F99" s="420">
        <f>E69</f>
        <v>-628152.14</v>
      </c>
      <c r="G99" s="420">
        <f>H69</f>
        <v>633009.76593668316</v>
      </c>
      <c r="H99" s="450">
        <f t="shared" si="8"/>
        <v>4857.6259366831509</v>
      </c>
      <c r="I99" s="420"/>
      <c r="J99" s="420"/>
      <c r="K99" s="420">
        <f>K71</f>
        <v>0</v>
      </c>
      <c r="L99" s="420">
        <f>L71</f>
        <v>-5197</v>
      </c>
      <c r="M99" s="440">
        <f>L71</f>
        <v>-5197</v>
      </c>
      <c r="N99" s="420"/>
      <c r="O99" s="420"/>
      <c r="P99" s="420"/>
      <c r="Q99" s="420"/>
      <c r="R99" s="420"/>
      <c r="S99" s="420">
        <f>S71</f>
        <v>-11709.03</v>
      </c>
      <c r="T99" s="438"/>
      <c r="U99" s="420">
        <f>U71</f>
        <v>-27088.03</v>
      </c>
      <c r="V99" s="447"/>
      <c r="W99" s="438"/>
      <c r="X99" s="451"/>
    </row>
    <row r="100" spans="1:24" s="404" customFormat="1" x14ac:dyDescent="0.2">
      <c r="A100" s="446">
        <v>1550</v>
      </c>
      <c r="B100" s="420"/>
      <c r="C100" s="440" t="s">
        <v>388</v>
      </c>
      <c r="D100" s="420">
        <f>D73</f>
        <v>-638727.9</v>
      </c>
      <c r="F100" s="420">
        <f>E73</f>
        <v>222741</v>
      </c>
      <c r="G100" s="420">
        <f>H73</f>
        <v>638727.9</v>
      </c>
      <c r="H100" s="383">
        <f t="shared" si="8"/>
        <v>861468.9</v>
      </c>
      <c r="I100" s="420"/>
      <c r="J100" s="420"/>
      <c r="K100" s="420">
        <f>K73</f>
        <v>0</v>
      </c>
      <c r="L100" s="420">
        <f>L73</f>
        <v>80182.690000000061</v>
      </c>
      <c r="M100" s="440">
        <f>L73</f>
        <v>80182.690000000061</v>
      </c>
      <c r="N100" s="420"/>
      <c r="O100" s="420"/>
      <c r="P100" s="420"/>
      <c r="Q100" s="420"/>
      <c r="R100" s="420"/>
      <c r="S100" s="420">
        <f>S73</f>
        <v>1400151.68</v>
      </c>
      <c r="T100" s="438"/>
      <c r="U100" s="420">
        <f>U73</f>
        <v>1507062.46</v>
      </c>
      <c r="V100" s="447"/>
      <c r="W100" s="438"/>
      <c r="X100" s="451"/>
    </row>
    <row r="101" spans="1:24" s="404" customFormat="1" x14ac:dyDescent="0.2">
      <c r="A101" s="446">
        <v>1550</v>
      </c>
      <c r="B101" s="420"/>
      <c r="C101" s="440" t="s">
        <v>389</v>
      </c>
      <c r="D101" s="420">
        <f>D74</f>
        <v>-52807.17</v>
      </c>
      <c r="F101" s="420">
        <f>E74</f>
        <v>-59815.17</v>
      </c>
      <c r="G101" s="420">
        <f>H74</f>
        <v>60321.920406130143</v>
      </c>
      <c r="H101" s="383">
        <f t="shared" si="8"/>
        <v>506.75040613014426</v>
      </c>
      <c r="I101" s="420"/>
      <c r="J101" s="420"/>
      <c r="K101" s="420">
        <f>K74</f>
        <v>0</v>
      </c>
      <c r="L101" s="420">
        <f>L74</f>
        <v>-747851.25</v>
      </c>
      <c r="M101" s="440">
        <f>L74</f>
        <v>-747851.25</v>
      </c>
      <c r="N101" s="420"/>
      <c r="O101" s="420"/>
      <c r="P101" s="420"/>
      <c r="Q101" s="420"/>
      <c r="R101" s="420"/>
      <c r="S101" s="420">
        <f>S74</f>
        <v>2877.75</v>
      </c>
      <c r="T101" s="438"/>
      <c r="U101" s="420">
        <f>U74</f>
        <v>3915.75</v>
      </c>
      <c r="V101" s="447"/>
      <c r="W101" s="438"/>
      <c r="X101" s="451"/>
    </row>
    <row r="102" spans="1:24" s="404" customFormat="1" x14ac:dyDescent="0.2">
      <c r="A102" s="446">
        <v>1590</v>
      </c>
      <c r="B102" s="420"/>
      <c r="C102" s="395" t="s">
        <v>314</v>
      </c>
      <c r="D102" s="420">
        <f>D46</f>
        <v>-183553.1099999994</v>
      </c>
      <c r="F102" s="420">
        <f>E46</f>
        <v>-183553.1099999994</v>
      </c>
      <c r="G102" s="420">
        <f>H46</f>
        <v>67008.689882056788</v>
      </c>
      <c r="H102" s="383">
        <f t="shared" si="8"/>
        <v>-116544.42011794262</v>
      </c>
      <c r="I102" s="420"/>
      <c r="J102" s="420"/>
      <c r="K102" s="420"/>
      <c r="L102" s="420"/>
      <c r="M102" s="440">
        <f>L46</f>
        <v>40524.300000000003</v>
      </c>
      <c r="N102" s="420"/>
      <c r="O102" s="420"/>
      <c r="P102" s="420"/>
      <c r="Q102" s="420"/>
      <c r="R102" s="420"/>
      <c r="S102" s="420">
        <f>S46</f>
        <v>0</v>
      </c>
      <c r="T102" s="438"/>
      <c r="U102" s="420">
        <f>U46</f>
        <v>0</v>
      </c>
      <c r="V102" s="447"/>
      <c r="W102" s="438"/>
      <c r="X102" s="451"/>
    </row>
    <row r="103" spans="1:24" s="404" customFormat="1" x14ac:dyDescent="0.2">
      <c r="A103" s="446"/>
      <c r="B103" s="420"/>
      <c r="C103" s="395" t="s">
        <v>317</v>
      </c>
      <c r="D103" s="420">
        <f>D47</f>
        <v>157857.21</v>
      </c>
      <c r="F103" s="420">
        <f>E47</f>
        <v>157857.21</v>
      </c>
      <c r="G103" s="420">
        <f>H47</f>
        <v>-40524.258928373216</v>
      </c>
      <c r="H103" s="383">
        <f t="shared" si="8"/>
        <v>117332.95107162677</v>
      </c>
      <c r="I103" s="420"/>
      <c r="J103" s="420"/>
      <c r="K103" s="420"/>
      <c r="L103" s="420"/>
      <c r="M103" s="440">
        <f>L47</f>
        <v>-40524.26</v>
      </c>
      <c r="N103" s="420"/>
      <c r="O103" s="420"/>
      <c r="P103" s="420"/>
      <c r="Q103" s="420"/>
      <c r="R103" s="420"/>
      <c r="S103" s="420">
        <f>S47</f>
        <v>0</v>
      </c>
      <c r="T103" s="438"/>
      <c r="U103" s="420">
        <f>U47</f>
        <v>0</v>
      </c>
      <c r="V103" s="447"/>
      <c r="W103" s="438"/>
      <c r="X103" s="451"/>
    </row>
    <row r="104" spans="1:24" s="404" customFormat="1" ht="13.5" thickBot="1" x14ac:dyDescent="0.25">
      <c r="A104" s="449"/>
      <c r="B104" s="420"/>
      <c r="C104" s="440"/>
      <c r="D104" s="454">
        <f>SUM(D87:D103)</f>
        <v>-10822563.629999999</v>
      </c>
      <c r="E104" s="454">
        <f>SUM(E87:E103)</f>
        <v>32865762.984002192</v>
      </c>
      <c r="F104" s="454">
        <f>SUM(F87:F103)</f>
        <v>12085154.800000006</v>
      </c>
      <c r="G104" s="454">
        <f>SUM(G87:G103)</f>
        <v>-12779575.614601607</v>
      </c>
      <c r="H104" s="455">
        <f>SUM(H87:H103)</f>
        <v>-694420.81460159947</v>
      </c>
      <c r="I104" s="420"/>
      <c r="J104" s="420"/>
      <c r="K104" s="420">
        <f>SUM(K87:K98)</f>
        <v>0</v>
      </c>
      <c r="L104" s="420">
        <f>SUM(L87:L98)</f>
        <v>-900676.03999999899</v>
      </c>
      <c r="M104" s="456">
        <f>SUM(M87:M103)</f>
        <v>-1573541.5599999989</v>
      </c>
      <c r="N104" s="420"/>
      <c r="O104" s="420"/>
      <c r="P104" s="420"/>
      <c r="Q104" s="420"/>
      <c r="R104" s="420"/>
      <c r="S104" s="454">
        <f>SUM(S87:S103)</f>
        <v>-20923250.059999999</v>
      </c>
      <c r="T104" s="421"/>
      <c r="U104" s="454">
        <f>SUM(U87:U103)</f>
        <v>-27306328.039999992</v>
      </c>
      <c r="V104" s="447">
        <f>U104-S104</f>
        <v>-6383077.979999993</v>
      </c>
      <c r="W104" s="438"/>
      <c r="X104" s="451"/>
    </row>
    <row r="105" spans="1:24" s="404" customFormat="1" ht="14.25" thickTop="1" thickBot="1" x14ac:dyDescent="0.25">
      <c r="A105" s="457"/>
      <c r="B105" s="458"/>
      <c r="C105" s="457"/>
      <c r="D105" s="459"/>
      <c r="E105" s="460"/>
      <c r="F105" s="459"/>
      <c r="G105" s="459"/>
      <c r="H105" s="461"/>
      <c r="I105" s="458"/>
      <c r="J105" s="458"/>
      <c r="K105" s="458"/>
      <c r="L105" s="458"/>
      <c r="M105" s="462"/>
      <c r="N105" s="458"/>
      <c r="O105" s="458"/>
      <c r="P105" s="458"/>
      <c r="Q105" s="458"/>
      <c r="R105" s="458"/>
      <c r="S105" s="459"/>
      <c r="T105" s="458"/>
      <c r="U105" s="459"/>
      <c r="V105" s="463"/>
      <c r="W105" s="459"/>
      <c r="X105" s="464"/>
    </row>
    <row r="106" spans="1:24" s="404" customFormat="1" x14ac:dyDescent="0.2">
      <c r="A106" s="419"/>
      <c r="B106" s="386"/>
      <c r="C106" s="465" t="s">
        <v>390</v>
      </c>
      <c r="D106" s="423"/>
      <c r="F106" s="423"/>
      <c r="G106" s="423"/>
      <c r="H106" s="426"/>
      <c r="I106" s="420"/>
      <c r="J106" s="420"/>
      <c r="K106" s="420"/>
      <c r="L106" s="420"/>
      <c r="M106" s="427"/>
      <c r="N106" s="420"/>
      <c r="O106" s="420"/>
      <c r="P106" s="420"/>
      <c r="Q106" s="420"/>
      <c r="R106" s="420"/>
      <c r="S106" s="423"/>
      <c r="T106" s="420"/>
      <c r="U106" s="423"/>
      <c r="V106" s="386"/>
      <c r="W106" s="386"/>
      <c r="X106" s="466"/>
    </row>
    <row r="107" spans="1:24" s="404" customFormat="1" x14ac:dyDescent="0.2">
      <c r="A107" s="419"/>
      <c r="B107" s="386"/>
      <c r="C107" s="440" t="s">
        <v>377</v>
      </c>
      <c r="D107" s="420">
        <f>D87</f>
        <v>3927415</v>
      </c>
      <c r="E107" s="420">
        <f>E87</f>
        <v>0</v>
      </c>
      <c r="F107" s="420">
        <f>F87</f>
        <v>7562280.5</v>
      </c>
      <c r="G107" s="420">
        <f>G87</f>
        <v>0</v>
      </c>
      <c r="H107" s="450">
        <f>F107+G107</f>
        <v>7562280.5</v>
      </c>
      <c r="I107" s="420"/>
      <c r="J107" s="420"/>
      <c r="K107" s="420"/>
      <c r="L107" s="420"/>
      <c r="M107" s="440">
        <f>M87</f>
        <v>230319</v>
      </c>
      <c r="N107" s="420"/>
      <c r="O107" s="420"/>
      <c r="P107" s="420"/>
      <c r="Q107" s="420"/>
      <c r="R107" s="420"/>
      <c r="S107" s="420">
        <f>S87</f>
        <v>8867613.5</v>
      </c>
      <c r="T107" s="420"/>
      <c r="U107" s="420">
        <f>U87</f>
        <v>9066576.5</v>
      </c>
      <c r="V107" s="386"/>
      <c r="W107" s="386"/>
      <c r="X107" s="466"/>
    </row>
    <row r="108" spans="1:24" s="404" customFormat="1" x14ac:dyDescent="0.2">
      <c r="A108" s="419"/>
      <c r="B108" s="386"/>
      <c r="C108" s="440" t="s">
        <v>61</v>
      </c>
      <c r="D108" s="420">
        <f t="shared" ref="D108:G109" si="9">D89</f>
        <v>7327301.9699999997</v>
      </c>
      <c r="E108" s="420">
        <f t="shared" si="9"/>
        <v>41485836.800444126</v>
      </c>
      <c r="F108" s="420">
        <f t="shared" si="9"/>
        <v>37098530.520000003</v>
      </c>
      <c r="G108" s="420">
        <f t="shared" si="9"/>
        <v>-41485836.800444126</v>
      </c>
      <c r="H108" s="383">
        <f>F108+G108</f>
        <v>-4387306.2804441229</v>
      </c>
      <c r="I108" s="420"/>
      <c r="J108" s="420"/>
      <c r="K108" s="420"/>
      <c r="L108" s="420"/>
      <c r="M108" s="440">
        <f>M89</f>
        <v>958692.70000000112</v>
      </c>
      <c r="N108" s="420"/>
      <c r="O108" s="420"/>
      <c r="P108" s="420"/>
      <c r="Q108" s="420"/>
      <c r="R108" s="420"/>
      <c r="S108" s="420">
        <f>S89</f>
        <v>-19997873.940000001</v>
      </c>
      <c r="T108" s="420"/>
      <c r="U108" s="420">
        <f>U89</f>
        <v>-25851167.239999998</v>
      </c>
      <c r="V108" s="386"/>
      <c r="W108" s="386"/>
      <c r="X108" s="466"/>
    </row>
    <row r="109" spans="1:24" s="404" customFormat="1" x14ac:dyDescent="0.2">
      <c r="A109" s="419"/>
      <c r="B109" s="386"/>
      <c r="C109" s="440" t="s">
        <v>378</v>
      </c>
      <c r="D109" s="420">
        <f t="shared" si="9"/>
        <v>0</v>
      </c>
      <c r="E109" s="420">
        <f t="shared" si="9"/>
        <v>301803.93311344681</v>
      </c>
      <c r="F109" s="420">
        <f t="shared" si="9"/>
        <v>279300.90000000002</v>
      </c>
      <c r="G109" s="420">
        <f t="shared" si="9"/>
        <v>-301803.93311344681</v>
      </c>
      <c r="H109" s="383">
        <f>F109+G109</f>
        <v>-22503.033113446785</v>
      </c>
      <c r="I109" s="420"/>
      <c r="J109" s="420"/>
      <c r="K109" s="420"/>
      <c r="L109" s="420"/>
      <c r="M109" s="440">
        <f>M90</f>
        <v>-5197</v>
      </c>
      <c r="N109" s="420"/>
      <c r="O109" s="420"/>
      <c r="P109" s="420"/>
      <c r="Q109" s="420"/>
      <c r="R109" s="420"/>
      <c r="S109" s="420">
        <f>S90</f>
        <v>-11709.03</v>
      </c>
      <c r="T109" s="420"/>
      <c r="U109" s="420">
        <f>U90</f>
        <v>-27088.03</v>
      </c>
      <c r="V109" s="386"/>
      <c r="W109" s="386"/>
      <c r="X109" s="466"/>
    </row>
    <row r="110" spans="1:24" s="404" customFormat="1" x14ac:dyDescent="0.2">
      <c r="A110" s="419"/>
      <c r="B110" s="386"/>
      <c r="C110" s="467" t="s">
        <v>391</v>
      </c>
      <c r="D110" s="468">
        <f>SUM(D107:D109)</f>
        <v>11254716.969999999</v>
      </c>
      <c r="E110" s="468">
        <f>SUM(E107:E109)</f>
        <v>41787640.733557574</v>
      </c>
      <c r="F110" s="468">
        <f>SUM(F107:F109)</f>
        <v>44940111.920000002</v>
      </c>
      <c r="G110" s="468">
        <f>SUM(G107:G109)</f>
        <v>-41787640.733557574</v>
      </c>
      <c r="H110" s="469">
        <f>F110+G110</f>
        <v>3152471.1864424273</v>
      </c>
      <c r="I110" s="420"/>
      <c r="J110" s="420"/>
      <c r="K110" s="420"/>
      <c r="L110" s="420"/>
      <c r="M110" s="467">
        <f>SUM(M107:M109)</f>
        <v>1183814.7000000011</v>
      </c>
      <c r="N110" s="420"/>
      <c r="O110" s="420"/>
      <c r="P110" s="420"/>
      <c r="Q110" s="420"/>
      <c r="R110" s="420"/>
      <c r="S110" s="468">
        <f>SUM(S107:S109)</f>
        <v>-11141969.470000001</v>
      </c>
      <c r="T110" s="420"/>
      <c r="U110" s="468">
        <f>SUM(U107:U109)</f>
        <v>-16811678.77</v>
      </c>
      <c r="V110" s="386"/>
      <c r="W110" s="386"/>
      <c r="X110" s="466"/>
    </row>
    <row r="111" spans="1:24" s="404" customFormat="1" x14ac:dyDescent="0.2">
      <c r="C111" s="440" t="s">
        <v>392</v>
      </c>
      <c r="D111" s="420">
        <f t="shared" ref="D111:H112" si="10">D92+D94+D96+D98+D100+D102</f>
        <v>-21134972.959999997</v>
      </c>
      <c r="E111" s="420">
        <f t="shared" si="10"/>
        <v>-8288867.9836186981</v>
      </c>
      <c r="F111" s="420">
        <f t="shared" si="10"/>
        <v>-31055344.339999996</v>
      </c>
      <c r="G111" s="420">
        <f t="shared" si="10"/>
        <v>27094946.163709417</v>
      </c>
      <c r="H111" s="383">
        <f t="shared" si="10"/>
        <v>-3960398.1762905833</v>
      </c>
      <c r="I111" s="355"/>
      <c r="J111" s="355"/>
      <c r="K111" s="355"/>
      <c r="L111" s="355"/>
      <c r="M111" s="440">
        <f>M92+M94+M96+M98+M100+M102</f>
        <v>-1958906.7500000002</v>
      </c>
      <c r="N111" s="420"/>
      <c r="O111" s="420"/>
      <c r="P111" s="420"/>
      <c r="Q111" s="420"/>
      <c r="R111" s="420"/>
      <c r="S111" s="420">
        <f>S92+S94+S96+S98+S100+S102</f>
        <v>-9715872.1500000004</v>
      </c>
      <c r="T111" s="420"/>
      <c r="U111" s="420">
        <f>U92+U94+U96+U98+U100+U102</f>
        <v>-10404158.829999998</v>
      </c>
      <c r="V111" s="386"/>
      <c r="W111" s="386"/>
      <c r="X111" s="466"/>
    </row>
    <row r="112" spans="1:24" s="404" customFormat="1" x14ac:dyDescent="0.2">
      <c r="C112" s="440" t="s">
        <v>132</v>
      </c>
      <c r="D112" s="420">
        <f t="shared" si="10"/>
        <v>-942307.64000000013</v>
      </c>
      <c r="E112" s="420">
        <f t="shared" si="10"/>
        <v>-633009.76593668316</v>
      </c>
      <c r="F112" s="420">
        <f t="shared" si="10"/>
        <v>-1799612.7799999998</v>
      </c>
      <c r="G112" s="420">
        <f t="shared" si="10"/>
        <v>1913118.9552465524</v>
      </c>
      <c r="H112" s="383">
        <f t="shared" si="10"/>
        <v>113506.17524655227</v>
      </c>
      <c r="I112" s="355"/>
      <c r="J112" s="355"/>
      <c r="K112" s="355"/>
      <c r="L112" s="355"/>
      <c r="M112" s="440">
        <f>M93+M95+M97+M99+M101+M103</f>
        <v>-798449.51</v>
      </c>
      <c r="N112" s="420"/>
      <c r="O112" s="420"/>
      <c r="P112" s="420"/>
      <c r="Q112" s="420"/>
      <c r="R112" s="420"/>
      <c r="S112" s="420">
        <f>S93+S95+S97+S99+S101+S103</f>
        <v>-65408.44</v>
      </c>
      <c r="T112" s="420"/>
      <c r="U112" s="420">
        <f>U93+U95+U97+U99+U101+U103</f>
        <v>-90490.44</v>
      </c>
      <c r="V112" s="386"/>
      <c r="W112" s="386"/>
      <c r="X112" s="466"/>
    </row>
    <row r="113" spans="3:24" s="404" customFormat="1" x14ac:dyDescent="0.2">
      <c r="C113" s="467" t="s">
        <v>392</v>
      </c>
      <c r="D113" s="468">
        <f>SUM(D111:D112)</f>
        <v>-22077280.599999998</v>
      </c>
      <c r="E113" s="468">
        <f>SUM(E111:E112)</f>
        <v>-8921877.749555381</v>
      </c>
      <c r="F113" s="468">
        <f>SUM(F111:F112)</f>
        <v>-32854957.119999997</v>
      </c>
      <c r="G113" s="468">
        <f>SUM(G111:G112)</f>
        <v>29008065.11895597</v>
      </c>
      <c r="H113" s="469">
        <f>SUM(H111:H112)</f>
        <v>-3846892.0010440312</v>
      </c>
      <c r="I113" s="355"/>
      <c r="J113" s="355"/>
      <c r="K113" s="355"/>
      <c r="L113" s="355"/>
      <c r="M113" s="467">
        <f>SUM(M111:M112)</f>
        <v>-2757356.2600000002</v>
      </c>
      <c r="N113" s="420"/>
      <c r="O113" s="420"/>
      <c r="P113" s="420"/>
      <c r="Q113" s="420"/>
      <c r="R113" s="420"/>
      <c r="S113" s="468">
        <f>SUM(S111:S112)</f>
        <v>-9781280.5899999999</v>
      </c>
      <c r="T113" s="420"/>
      <c r="U113" s="468">
        <f>SUM(U111:U112)</f>
        <v>-10494649.269999998</v>
      </c>
      <c r="V113" s="386"/>
      <c r="W113" s="386"/>
      <c r="X113" s="466"/>
    </row>
    <row r="114" spans="3:24" s="404" customFormat="1" ht="13.5" thickBot="1" x14ac:dyDescent="0.25">
      <c r="C114" s="457" t="s">
        <v>393</v>
      </c>
      <c r="D114" s="458">
        <f>D110+D113</f>
        <v>-10822563.629999999</v>
      </c>
      <c r="E114" s="458">
        <f>E110+E113</f>
        <v>32865762.984002195</v>
      </c>
      <c r="F114" s="458">
        <f>F110+F113</f>
        <v>12085154.800000004</v>
      </c>
      <c r="G114" s="458">
        <f>G110+G113</f>
        <v>-12779575.614601605</v>
      </c>
      <c r="H114" s="461">
        <f>H110+H113</f>
        <v>-694420.8146016039</v>
      </c>
      <c r="I114" s="355"/>
      <c r="J114" s="355"/>
      <c r="K114" s="355"/>
      <c r="L114" s="355"/>
      <c r="M114" s="457">
        <f>M110+M113</f>
        <v>-1573541.5599999991</v>
      </c>
      <c r="N114" s="420"/>
      <c r="O114" s="420"/>
      <c r="P114" s="420"/>
      <c r="Q114" s="420"/>
      <c r="R114" s="420"/>
      <c r="S114" s="458">
        <f>S110+S113</f>
        <v>-20923250.060000002</v>
      </c>
      <c r="T114" s="420"/>
      <c r="U114" s="458">
        <f>U110+U113</f>
        <v>-27306328.039999999</v>
      </c>
      <c r="V114" s="386"/>
      <c r="W114" s="386"/>
      <c r="X114" s="466"/>
    </row>
    <row r="115" spans="3:24" s="404" customFormat="1" ht="13.5" thickBot="1" x14ac:dyDescent="0.25">
      <c r="C115" s="457"/>
      <c r="D115" s="458">
        <f>D114-D104</f>
        <v>0</v>
      </c>
      <c r="E115" s="458">
        <f>E114-E104</f>
        <v>0</v>
      </c>
      <c r="F115" s="458">
        <f>F114-F104</f>
        <v>0</v>
      </c>
      <c r="G115" s="458">
        <f>G114-G104</f>
        <v>0</v>
      </c>
      <c r="H115" s="461">
        <f>H114-H104</f>
        <v>-4.4237822294235229E-9</v>
      </c>
      <c r="I115" s="355"/>
      <c r="J115" s="355"/>
      <c r="K115" s="355"/>
      <c r="L115" s="355"/>
      <c r="M115" s="457">
        <f>M114-M104</f>
        <v>0</v>
      </c>
      <c r="N115" s="458"/>
      <c r="O115" s="458"/>
      <c r="P115" s="458"/>
      <c r="Q115" s="458"/>
      <c r="R115" s="458"/>
      <c r="S115" s="458">
        <f>S114-S104</f>
        <v>0</v>
      </c>
      <c r="T115" s="458"/>
      <c r="U115" s="458">
        <f>U114-U104</f>
        <v>0</v>
      </c>
      <c r="V115" s="459"/>
      <c r="W115" s="459"/>
      <c r="X115" s="463"/>
    </row>
    <row r="116" spans="3:24" s="404" customFormat="1" ht="13.5" thickBot="1" x14ac:dyDescent="0.25">
      <c r="C116" s="355"/>
      <c r="D116" s="355"/>
      <c r="E116" s="355"/>
      <c r="F116" s="355"/>
      <c r="G116" s="355"/>
      <c r="H116" s="355"/>
      <c r="I116" s="355"/>
      <c r="J116" s="355"/>
      <c r="K116" s="355"/>
      <c r="L116" s="355"/>
      <c r="M116" s="355"/>
      <c r="N116" s="355"/>
      <c r="O116" s="355"/>
      <c r="P116" s="355"/>
      <c r="Q116" s="355"/>
      <c r="R116" s="355"/>
      <c r="S116" s="355"/>
      <c r="T116" s="355"/>
      <c r="U116" s="355"/>
    </row>
    <row r="117" spans="3:24" s="404" customFormat="1" ht="13.5" thickBot="1" x14ac:dyDescent="0.25">
      <c r="C117" s="355"/>
      <c r="D117" s="355"/>
      <c r="E117" s="355"/>
      <c r="F117" s="355"/>
      <c r="G117" s="470" t="s">
        <v>394</v>
      </c>
      <c r="H117" s="471">
        <f>SUM(H89:H99)</f>
        <v>-9119465.4959614165</v>
      </c>
      <c r="I117" s="355"/>
      <c r="J117" s="355"/>
      <c r="K117" s="355"/>
      <c r="L117" s="355"/>
      <c r="M117" s="355"/>
      <c r="N117" s="355"/>
      <c r="O117" s="355"/>
      <c r="P117" s="355"/>
      <c r="Q117" s="355"/>
      <c r="R117" s="355"/>
      <c r="S117" s="355"/>
      <c r="T117" s="355"/>
      <c r="U117" s="355"/>
    </row>
    <row r="118" spans="3:24" s="404" customFormat="1" x14ac:dyDescent="0.2">
      <c r="C118" s="355"/>
      <c r="D118" s="355"/>
      <c r="E118" s="355"/>
      <c r="F118" s="355"/>
      <c r="G118" s="355"/>
      <c r="H118" s="355"/>
      <c r="I118" s="355"/>
      <c r="J118" s="355"/>
      <c r="K118" s="355"/>
      <c r="L118" s="355"/>
      <c r="M118" s="355"/>
      <c r="N118" s="355"/>
      <c r="O118" s="355"/>
      <c r="P118" s="355"/>
      <c r="Q118" s="355"/>
      <c r="R118" s="355"/>
      <c r="S118" s="355"/>
      <c r="T118" s="355"/>
      <c r="U118" s="355"/>
    </row>
    <row r="119" spans="3:24" s="404" customFormat="1" x14ac:dyDescent="0.2">
      <c r="C119" s="355"/>
      <c r="D119" s="355"/>
      <c r="E119" s="355"/>
      <c r="F119" s="355"/>
      <c r="G119" s="355"/>
      <c r="H119" s="355"/>
      <c r="I119" s="355"/>
      <c r="J119" s="355"/>
      <c r="K119" s="355"/>
      <c r="L119" s="355"/>
      <c r="M119" s="355"/>
      <c r="N119" s="355"/>
      <c r="O119" s="355"/>
      <c r="P119" s="355"/>
      <c r="Q119" s="355"/>
      <c r="R119" s="355"/>
      <c r="S119" s="355"/>
      <c r="T119" s="355"/>
      <c r="U119" s="355"/>
    </row>
    <row r="120" spans="3:24" s="404" customFormat="1" x14ac:dyDescent="0.2">
      <c r="C120" s="355"/>
      <c r="D120" s="355"/>
      <c r="E120" s="355"/>
      <c r="F120" s="355"/>
      <c r="G120" s="355"/>
      <c r="H120" s="355"/>
      <c r="I120" s="355"/>
      <c r="J120" s="355"/>
      <c r="K120" s="355"/>
      <c r="L120" s="355"/>
      <c r="M120" s="355"/>
      <c r="N120" s="355"/>
      <c r="O120" s="355"/>
      <c r="P120" s="355"/>
      <c r="Q120" s="355"/>
      <c r="R120" s="355"/>
      <c r="S120" s="355"/>
      <c r="T120" s="355"/>
      <c r="U120" s="355"/>
    </row>
    <row r="121" spans="3:24" s="404" customFormat="1" x14ac:dyDescent="0.2">
      <c r="C121" s="355"/>
      <c r="D121" s="355"/>
      <c r="E121" s="355"/>
      <c r="F121" s="355"/>
      <c r="G121" s="355"/>
      <c r="H121" s="355"/>
      <c r="I121" s="355"/>
      <c r="J121" s="355"/>
      <c r="K121" s="355"/>
      <c r="L121" s="355"/>
      <c r="M121" s="355"/>
      <c r="N121" s="355"/>
      <c r="O121" s="355"/>
      <c r="P121" s="355"/>
      <c r="Q121" s="355"/>
      <c r="R121" s="355"/>
      <c r="S121" s="355"/>
      <c r="T121" s="355"/>
      <c r="U121" s="355"/>
    </row>
    <row r="122" spans="3:24" s="404" customFormat="1" x14ac:dyDescent="0.2">
      <c r="C122" s="355"/>
      <c r="D122" s="355"/>
      <c r="E122" s="355"/>
      <c r="F122" s="355"/>
      <c r="G122" s="355"/>
      <c r="H122" s="355"/>
      <c r="I122" s="355"/>
      <c r="J122" s="355"/>
      <c r="K122" s="355"/>
      <c r="L122" s="355"/>
      <c r="M122" s="355"/>
      <c r="N122" s="355"/>
      <c r="O122" s="355"/>
      <c r="P122" s="355"/>
      <c r="Q122" s="355"/>
      <c r="R122" s="355"/>
      <c r="S122" s="355"/>
      <c r="T122" s="355"/>
      <c r="U122" s="355"/>
    </row>
    <row r="123" spans="3:24" s="404" customFormat="1" x14ac:dyDescent="0.2">
      <c r="C123" s="355"/>
      <c r="D123" s="355"/>
      <c r="E123" s="355"/>
      <c r="F123" s="355"/>
      <c r="G123" s="355"/>
      <c r="H123" s="355"/>
      <c r="I123" s="355"/>
      <c r="J123" s="355"/>
      <c r="K123" s="355"/>
      <c r="L123" s="355"/>
      <c r="M123" s="355"/>
      <c r="N123" s="355"/>
      <c r="O123" s="355"/>
      <c r="P123" s="355"/>
      <c r="Q123" s="355"/>
      <c r="R123" s="355"/>
      <c r="S123" s="355"/>
      <c r="T123" s="355"/>
      <c r="U123" s="355"/>
    </row>
    <row r="124" spans="3:24" s="404" customFormat="1" x14ac:dyDescent="0.2">
      <c r="C124" s="355"/>
      <c r="D124" s="355"/>
      <c r="E124" s="355"/>
      <c r="F124" s="355"/>
      <c r="G124" s="355"/>
      <c r="H124" s="355"/>
      <c r="I124" s="355"/>
      <c r="J124" s="355"/>
      <c r="K124" s="355"/>
      <c r="L124" s="355"/>
      <c r="M124" s="355"/>
      <c r="N124" s="355"/>
      <c r="O124" s="355"/>
      <c r="P124" s="355"/>
      <c r="Q124" s="355"/>
      <c r="R124" s="355"/>
      <c r="S124" s="355"/>
      <c r="T124" s="355"/>
      <c r="U124" s="355"/>
    </row>
    <row r="125" spans="3:24" s="404" customFormat="1" x14ac:dyDescent="0.2">
      <c r="C125" s="355"/>
      <c r="D125" s="355"/>
      <c r="E125" s="355"/>
      <c r="F125" s="355"/>
      <c r="G125" s="355"/>
      <c r="H125" s="355"/>
      <c r="I125" s="355"/>
      <c r="J125" s="355"/>
      <c r="K125" s="355"/>
      <c r="L125" s="355"/>
      <c r="M125" s="355"/>
      <c r="N125" s="355"/>
      <c r="O125" s="355"/>
      <c r="P125" s="355"/>
      <c r="Q125" s="355"/>
      <c r="R125" s="355"/>
      <c r="S125" s="355"/>
      <c r="T125" s="355"/>
      <c r="U125" s="355"/>
    </row>
    <row r="126" spans="3:24" s="404" customFormat="1" x14ac:dyDescent="0.2">
      <c r="C126" s="355"/>
      <c r="D126" s="355"/>
      <c r="E126" s="355"/>
      <c r="F126" s="355"/>
      <c r="G126" s="355"/>
      <c r="H126" s="355"/>
      <c r="I126" s="355"/>
      <c r="J126" s="355"/>
      <c r="K126" s="355"/>
      <c r="L126" s="355"/>
      <c r="M126" s="355"/>
      <c r="N126" s="355"/>
      <c r="O126" s="355"/>
      <c r="P126" s="355"/>
      <c r="Q126" s="355"/>
      <c r="R126" s="355"/>
      <c r="S126" s="355"/>
      <c r="T126" s="355"/>
      <c r="U126" s="355"/>
    </row>
    <row r="127" spans="3:24" s="404" customFormat="1" x14ac:dyDescent="0.2">
      <c r="C127" s="355"/>
      <c r="D127" s="355"/>
      <c r="E127" s="355"/>
      <c r="F127" s="355"/>
      <c r="G127" s="355"/>
      <c r="H127" s="355"/>
      <c r="I127" s="355"/>
      <c r="J127" s="355"/>
      <c r="K127" s="355"/>
      <c r="L127" s="355"/>
      <c r="M127" s="355"/>
      <c r="N127" s="355"/>
      <c r="O127" s="355"/>
      <c r="P127" s="355"/>
      <c r="Q127" s="355"/>
      <c r="R127" s="355"/>
      <c r="S127" s="355"/>
      <c r="T127" s="355"/>
      <c r="U127" s="355"/>
    </row>
    <row r="128" spans="3:24" s="404" customFormat="1" x14ac:dyDescent="0.2">
      <c r="C128" s="355"/>
      <c r="D128" s="355"/>
      <c r="E128" s="355"/>
      <c r="F128" s="355"/>
      <c r="G128" s="355"/>
      <c r="H128" s="355"/>
      <c r="I128" s="355"/>
      <c r="J128" s="355"/>
      <c r="K128" s="355"/>
      <c r="L128" s="355"/>
      <c r="M128" s="355"/>
      <c r="N128" s="355"/>
      <c r="O128" s="355"/>
      <c r="P128" s="355"/>
      <c r="Q128" s="355"/>
      <c r="R128" s="355"/>
      <c r="S128" s="355"/>
      <c r="T128" s="355"/>
      <c r="U128" s="355"/>
    </row>
    <row r="129" spans="3:21" s="404" customFormat="1" x14ac:dyDescent="0.2">
      <c r="C129" s="355"/>
      <c r="D129" s="355"/>
      <c r="E129" s="355"/>
      <c r="F129" s="355"/>
      <c r="G129" s="355"/>
      <c r="H129" s="355"/>
      <c r="I129" s="355"/>
      <c r="J129" s="355"/>
      <c r="K129" s="355"/>
      <c r="L129" s="355"/>
      <c r="M129" s="355"/>
      <c r="N129" s="355"/>
      <c r="O129" s="355"/>
      <c r="P129" s="355"/>
      <c r="Q129" s="355"/>
      <c r="R129" s="355"/>
      <c r="S129" s="355"/>
      <c r="T129" s="355"/>
      <c r="U129" s="355"/>
    </row>
    <row r="130" spans="3:21" s="404" customFormat="1" x14ac:dyDescent="0.2">
      <c r="C130" s="355"/>
      <c r="D130" s="355"/>
      <c r="E130" s="355"/>
      <c r="F130" s="355"/>
      <c r="G130" s="355"/>
      <c r="H130" s="355"/>
      <c r="I130" s="355"/>
      <c r="J130" s="355"/>
      <c r="K130" s="355"/>
      <c r="L130" s="355"/>
      <c r="M130" s="355"/>
      <c r="N130" s="355"/>
      <c r="O130" s="355"/>
      <c r="P130" s="355"/>
      <c r="Q130" s="355"/>
      <c r="R130" s="355"/>
      <c r="S130" s="355"/>
      <c r="T130" s="355"/>
      <c r="U130" s="355"/>
    </row>
    <row r="131" spans="3:21" s="404" customFormat="1" x14ac:dyDescent="0.2">
      <c r="C131" s="355"/>
      <c r="D131" s="355"/>
      <c r="E131" s="355"/>
      <c r="F131" s="355"/>
      <c r="G131" s="355"/>
      <c r="H131" s="355"/>
      <c r="I131" s="355"/>
      <c r="J131" s="355"/>
      <c r="K131" s="355"/>
      <c r="L131" s="355"/>
      <c r="M131" s="355"/>
      <c r="N131" s="355"/>
      <c r="O131" s="355"/>
      <c r="P131" s="355"/>
      <c r="Q131" s="355"/>
      <c r="R131" s="355"/>
      <c r="S131" s="355"/>
      <c r="T131" s="355"/>
      <c r="U131" s="355"/>
    </row>
    <row r="132" spans="3:21" s="404" customFormat="1" x14ac:dyDescent="0.2">
      <c r="C132" s="355"/>
      <c r="D132" s="355"/>
      <c r="E132" s="355"/>
      <c r="F132" s="355"/>
      <c r="G132" s="355"/>
      <c r="H132" s="355"/>
      <c r="I132" s="355"/>
      <c r="J132" s="355"/>
      <c r="K132" s="355"/>
      <c r="L132" s="355"/>
      <c r="M132" s="355"/>
      <c r="N132" s="355"/>
      <c r="O132" s="355"/>
      <c r="P132" s="355"/>
      <c r="Q132" s="355"/>
      <c r="R132" s="355"/>
      <c r="S132" s="355"/>
      <c r="T132" s="355"/>
      <c r="U132" s="355"/>
    </row>
    <row r="133" spans="3:21" s="404" customFormat="1" x14ac:dyDescent="0.2">
      <c r="C133" s="355"/>
      <c r="D133" s="355"/>
      <c r="E133" s="355"/>
      <c r="F133" s="355"/>
      <c r="G133" s="355"/>
      <c r="H133" s="355"/>
      <c r="I133" s="355"/>
      <c r="J133" s="355"/>
      <c r="K133" s="355"/>
      <c r="L133" s="355"/>
      <c r="M133" s="355"/>
      <c r="N133" s="355"/>
      <c r="O133" s="355"/>
      <c r="P133" s="355"/>
      <c r="Q133" s="355"/>
      <c r="R133" s="355"/>
      <c r="S133" s="355"/>
      <c r="T133" s="355"/>
      <c r="U133" s="355"/>
    </row>
    <row r="134" spans="3:21" s="404" customFormat="1" x14ac:dyDescent="0.2">
      <c r="C134" s="355"/>
      <c r="D134" s="355"/>
      <c r="E134" s="355"/>
      <c r="F134" s="355"/>
      <c r="G134" s="355"/>
      <c r="H134" s="355"/>
      <c r="I134" s="355"/>
      <c r="J134" s="355"/>
      <c r="K134" s="355"/>
      <c r="L134" s="355"/>
      <c r="M134" s="355"/>
      <c r="N134" s="355"/>
      <c r="O134" s="355"/>
      <c r="P134" s="355"/>
      <c r="Q134" s="355"/>
      <c r="R134" s="355"/>
      <c r="S134" s="355"/>
      <c r="T134" s="355"/>
      <c r="U134" s="355"/>
    </row>
    <row r="135" spans="3:21" s="404" customFormat="1" x14ac:dyDescent="0.2">
      <c r="C135" s="355"/>
      <c r="D135" s="355"/>
      <c r="E135" s="355"/>
      <c r="F135" s="355"/>
      <c r="G135" s="355"/>
      <c r="H135" s="355"/>
      <c r="I135" s="355"/>
      <c r="J135" s="355"/>
      <c r="K135" s="355"/>
      <c r="L135" s="355"/>
      <c r="M135" s="355"/>
      <c r="N135" s="355"/>
      <c r="O135" s="355"/>
      <c r="P135" s="355"/>
      <c r="Q135" s="355"/>
      <c r="R135" s="355"/>
      <c r="S135" s="355"/>
      <c r="T135" s="355"/>
      <c r="U135" s="355"/>
    </row>
    <row r="136" spans="3:21" s="404" customFormat="1" x14ac:dyDescent="0.2">
      <c r="C136" s="355"/>
      <c r="D136" s="355"/>
      <c r="E136" s="355"/>
      <c r="F136" s="355"/>
      <c r="G136" s="355"/>
      <c r="H136" s="355"/>
      <c r="I136" s="355"/>
      <c r="J136" s="355"/>
      <c r="K136" s="355"/>
      <c r="L136" s="355"/>
      <c r="M136" s="355"/>
      <c r="N136" s="355"/>
      <c r="O136" s="355"/>
      <c r="P136" s="355"/>
      <c r="Q136" s="355"/>
      <c r="R136" s="355"/>
      <c r="S136" s="355"/>
      <c r="T136" s="355"/>
      <c r="U136" s="355"/>
    </row>
    <row r="137" spans="3:21" s="404" customFormat="1" x14ac:dyDescent="0.2">
      <c r="C137" s="355"/>
      <c r="D137" s="355"/>
      <c r="E137" s="355"/>
      <c r="F137" s="355"/>
      <c r="G137" s="355"/>
      <c r="H137" s="355"/>
      <c r="I137" s="355"/>
      <c r="J137" s="355"/>
      <c r="K137" s="355"/>
      <c r="L137" s="355"/>
      <c r="M137" s="355"/>
      <c r="N137" s="355"/>
      <c r="O137" s="355"/>
      <c r="P137" s="355"/>
      <c r="Q137" s="355"/>
      <c r="R137" s="355"/>
      <c r="S137" s="355"/>
      <c r="T137" s="355"/>
      <c r="U137" s="355"/>
    </row>
    <row r="138" spans="3:21" s="404" customFormat="1" x14ac:dyDescent="0.2">
      <c r="C138" s="355"/>
      <c r="D138" s="355"/>
      <c r="E138" s="355"/>
      <c r="F138" s="355"/>
      <c r="G138" s="355"/>
      <c r="H138" s="355"/>
      <c r="I138" s="355"/>
      <c r="J138" s="355"/>
      <c r="K138" s="355"/>
      <c r="L138" s="355"/>
      <c r="M138" s="355"/>
      <c r="N138" s="355"/>
      <c r="O138" s="355"/>
      <c r="P138" s="355"/>
      <c r="Q138" s="355"/>
      <c r="R138" s="355"/>
      <c r="S138" s="355"/>
      <c r="T138" s="355"/>
      <c r="U138" s="355"/>
    </row>
    <row r="139" spans="3:21" s="404" customFormat="1" x14ac:dyDescent="0.2">
      <c r="C139" s="355"/>
      <c r="D139" s="355"/>
      <c r="E139" s="355"/>
      <c r="F139" s="355"/>
      <c r="G139" s="355"/>
      <c r="H139" s="355"/>
      <c r="I139" s="355"/>
      <c r="J139" s="355"/>
      <c r="K139" s="355"/>
      <c r="L139" s="355"/>
      <c r="M139" s="355"/>
      <c r="N139" s="355"/>
      <c r="O139" s="355"/>
      <c r="P139" s="355"/>
      <c r="Q139" s="355"/>
      <c r="R139" s="355"/>
      <c r="S139" s="355"/>
      <c r="T139" s="355"/>
      <c r="U139" s="355"/>
    </row>
    <row r="140" spans="3:21" s="404" customFormat="1" x14ac:dyDescent="0.2">
      <c r="C140" s="355"/>
      <c r="D140" s="355"/>
      <c r="E140" s="355"/>
      <c r="F140" s="355"/>
      <c r="G140" s="355"/>
      <c r="H140" s="355"/>
      <c r="I140" s="355"/>
      <c r="J140" s="355"/>
      <c r="K140" s="355"/>
      <c r="L140" s="355"/>
      <c r="M140" s="355"/>
      <c r="N140" s="355"/>
      <c r="O140" s="355"/>
      <c r="P140" s="355"/>
      <c r="Q140" s="355"/>
      <c r="R140" s="355"/>
      <c r="S140" s="355"/>
      <c r="T140" s="355"/>
      <c r="U140" s="355"/>
    </row>
    <row r="141" spans="3:21" s="404" customFormat="1" x14ac:dyDescent="0.2">
      <c r="C141" s="355"/>
      <c r="D141" s="355"/>
      <c r="E141" s="355"/>
      <c r="F141" s="355"/>
      <c r="G141" s="355"/>
      <c r="H141" s="355"/>
      <c r="I141" s="355"/>
      <c r="J141" s="355"/>
      <c r="K141" s="355"/>
      <c r="L141" s="355"/>
      <c r="M141" s="355"/>
      <c r="N141" s="355"/>
      <c r="O141" s="355"/>
      <c r="P141" s="355"/>
      <c r="Q141" s="355"/>
      <c r="R141" s="355"/>
      <c r="S141" s="355"/>
      <c r="T141" s="355"/>
      <c r="U141" s="355"/>
    </row>
    <row r="142" spans="3:21" s="404" customFormat="1" x14ac:dyDescent="0.2">
      <c r="C142" s="355"/>
      <c r="D142" s="355"/>
      <c r="E142" s="355"/>
      <c r="F142" s="355"/>
      <c r="G142" s="355"/>
      <c r="H142" s="355"/>
      <c r="I142" s="355"/>
      <c r="J142" s="355"/>
      <c r="K142" s="355"/>
      <c r="L142" s="355"/>
      <c r="M142" s="355"/>
      <c r="N142" s="355"/>
      <c r="O142" s="355"/>
      <c r="P142" s="355"/>
      <c r="Q142" s="355"/>
      <c r="R142" s="355"/>
      <c r="S142" s="355"/>
      <c r="T142" s="355"/>
      <c r="U142" s="355"/>
    </row>
    <row r="143" spans="3:21" s="404" customFormat="1" x14ac:dyDescent="0.2">
      <c r="C143" s="355"/>
      <c r="D143" s="355"/>
      <c r="E143" s="355"/>
      <c r="F143" s="355"/>
      <c r="G143" s="355"/>
      <c r="H143" s="355"/>
      <c r="I143" s="355"/>
      <c r="J143" s="355"/>
      <c r="K143" s="355"/>
      <c r="L143" s="355"/>
      <c r="M143" s="355"/>
      <c r="N143" s="355"/>
      <c r="O143" s="355"/>
      <c r="P143" s="355"/>
      <c r="Q143" s="355"/>
      <c r="R143" s="355"/>
      <c r="S143" s="355"/>
      <c r="T143" s="355"/>
      <c r="U143" s="355"/>
    </row>
    <row r="144" spans="3:21" s="404" customFormat="1" x14ac:dyDescent="0.2">
      <c r="C144" s="355"/>
      <c r="D144" s="355"/>
      <c r="E144" s="355"/>
      <c r="F144" s="355"/>
      <c r="G144" s="355"/>
      <c r="H144" s="355"/>
      <c r="I144" s="355"/>
      <c r="J144" s="355"/>
      <c r="K144" s="355"/>
      <c r="L144" s="355"/>
      <c r="M144" s="355"/>
      <c r="N144" s="355"/>
      <c r="O144" s="355"/>
      <c r="P144" s="355"/>
      <c r="Q144" s="355"/>
      <c r="R144" s="355"/>
      <c r="S144" s="355"/>
      <c r="T144" s="355"/>
      <c r="U144" s="355"/>
    </row>
    <row r="145" spans="3:21" s="404" customFormat="1" x14ac:dyDescent="0.2">
      <c r="C145" s="355"/>
      <c r="D145" s="355"/>
      <c r="E145" s="355"/>
      <c r="F145" s="355"/>
      <c r="G145" s="355"/>
      <c r="H145" s="355"/>
      <c r="I145" s="355"/>
      <c r="J145" s="355"/>
      <c r="K145" s="355"/>
      <c r="L145" s="355"/>
      <c r="M145" s="355"/>
      <c r="N145" s="355"/>
      <c r="O145" s="355"/>
      <c r="P145" s="355"/>
      <c r="Q145" s="355"/>
      <c r="R145" s="355"/>
      <c r="S145" s="355"/>
      <c r="T145" s="355"/>
      <c r="U145" s="355"/>
    </row>
    <row r="146" spans="3:21" s="404" customFormat="1" x14ac:dyDescent="0.2">
      <c r="C146" s="355"/>
      <c r="D146" s="355"/>
      <c r="E146" s="355"/>
      <c r="F146" s="355"/>
      <c r="G146" s="355"/>
      <c r="H146" s="355"/>
      <c r="I146" s="355"/>
      <c r="J146" s="355"/>
      <c r="K146" s="355"/>
      <c r="L146" s="355"/>
      <c r="M146" s="355"/>
      <c r="N146" s="355"/>
      <c r="O146" s="355"/>
      <c r="P146" s="355"/>
      <c r="Q146" s="355"/>
      <c r="R146" s="355"/>
      <c r="S146" s="355"/>
      <c r="T146" s="355"/>
      <c r="U146" s="355"/>
    </row>
    <row r="147" spans="3:21" s="404" customFormat="1" x14ac:dyDescent="0.2">
      <c r="C147" s="355"/>
      <c r="D147" s="355"/>
      <c r="E147" s="355"/>
      <c r="F147" s="355"/>
      <c r="G147" s="355"/>
      <c r="H147" s="355"/>
      <c r="I147" s="355"/>
      <c r="J147" s="355"/>
      <c r="K147" s="355"/>
      <c r="L147" s="355"/>
      <c r="M147" s="355"/>
      <c r="N147" s="355"/>
      <c r="O147" s="355"/>
      <c r="P147" s="355"/>
      <c r="Q147" s="355"/>
      <c r="R147" s="355"/>
      <c r="S147" s="355"/>
      <c r="T147" s="355"/>
      <c r="U147" s="355"/>
    </row>
    <row r="148" spans="3:21" s="404" customFormat="1" x14ac:dyDescent="0.2">
      <c r="C148" s="355"/>
      <c r="D148" s="355"/>
      <c r="E148" s="355"/>
      <c r="F148" s="355"/>
      <c r="G148" s="355"/>
      <c r="H148" s="355"/>
      <c r="I148" s="355"/>
      <c r="J148" s="355"/>
      <c r="K148" s="355"/>
      <c r="L148" s="355"/>
      <c r="M148" s="355"/>
      <c r="N148" s="355"/>
      <c r="O148" s="355"/>
      <c r="P148" s="355"/>
      <c r="Q148" s="355"/>
      <c r="R148" s="355"/>
      <c r="S148" s="355"/>
      <c r="T148" s="355"/>
      <c r="U148" s="355"/>
    </row>
    <row r="149" spans="3:21" s="404" customFormat="1" x14ac:dyDescent="0.2">
      <c r="C149" s="355"/>
      <c r="D149" s="355"/>
      <c r="E149" s="355"/>
      <c r="F149" s="355"/>
      <c r="G149" s="355"/>
      <c r="H149" s="355"/>
      <c r="I149" s="355"/>
      <c r="J149" s="355"/>
      <c r="K149" s="355"/>
      <c r="L149" s="355"/>
      <c r="M149" s="355"/>
      <c r="N149" s="355"/>
      <c r="O149" s="355"/>
      <c r="P149" s="355"/>
      <c r="Q149" s="355"/>
      <c r="R149" s="355"/>
      <c r="S149" s="355"/>
      <c r="T149" s="355"/>
      <c r="U149" s="355"/>
    </row>
    <row r="150" spans="3:21" s="404" customFormat="1" x14ac:dyDescent="0.2">
      <c r="C150" s="355"/>
      <c r="D150" s="355"/>
      <c r="E150" s="355"/>
      <c r="F150" s="355"/>
      <c r="G150" s="355"/>
      <c r="H150" s="355"/>
      <c r="I150" s="355"/>
      <c r="J150" s="355"/>
      <c r="K150" s="355"/>
      <c r="L150" s="355"/>
      <c r="M150" s="355"/>
      <c r="N150" s="355"/>
      <c r="O150" s="355"/>
      <c r="P150" s="355"/>
      <c r="Q150" s="355"/>
      <c r="R150" s="355"/>
      <c r="S150" s="355"/>
      <c r="T150" s="355"/>
      <c r="U150" s="355"/>
    </row>
    <row r="151" spans="3:21" s="404" customFormat="1" x14ac:dyDescent="0.2">
      <c r="C151" s="355"/>
      <c r="D151" s="355"/>
      <c r="E151" s="355"/>
      <c r="F151" s="355"/>
      <c r="G151" s="355"/>
      <c r="H151" s="355"/>
      <c r="I151" s="355"/>
      <c r="J151" s="355"/>
      <c r="K151" s="355"/>
      <c r="L151" s="355"/>
      <c r="M151" s="355"/>
      <c r="N151" s="355"/>
      <c r="O151" s="355"/>
      <c r="P151" s="355"/>
      <c r="Q151" s="355"/>
      <c r="R151" s="355"/>
      <c r="S151" s="355"/>
      <c r="T151" s="355"/>
      <c r="U151" s="355"/>
    </row>
    <row r="152" spans="3:21" s="404" customFormat="1" x14ac:dyDescent="0.2">
      <c r="C152" s="355"/>
      <c r="D152" s="355"/>
      <c r="E152" s="355"/>
      <c r="F152" s="355"/>
      <c r="G152" s="355"/>
      <c r="H152" s="355"/>
      <c r="I152" s="355"/>
      <c r="J152" s="355"/>
      <c r="K152" s="355"/>
      <c r="L152" s="355"/>
      <c r="M152" s="355"/>
      <c r="N152" s="355"/>
      <c r="O152" s="355"/>
      <c r="P152" s="355"/>
      <c r="Q152" s="355"/>
      <c r="R152" s="355"/>
      <c r="S152" s="355"/>
      <c r="T152" s="355"/>
      <c r="U152" s="355"/>
    </row>
    <row r="153" spans="3:21" s="404" customFormat="1" x14ac:dyDescent="0.2">
      <c r="C153" s="355"/>
      <c r="D153" s="355"/>
      <c r="E153" s="355"/>
      <c r="F153" s="355"/>
      <c r="G153" s="355"/>
      <c r="H153" s="355"/>
      <c r="I153" s="355"/>
      <c r="J153" s="355"/>
      <c r="K153" s="355"/>
      <c r="L153" s="355"/>
      <c r="M153" s="355"/>
      <c r="N153" s="355"/>
      <c r="O153" s="355"/>
      <c r="P153" s="355"/>
      <c r="Q153" s="355"/>
      <c r="R153" s="355"/>
      <c r="S153" s="355"/>
      <c r="T153" s="355"/>
      <c r="U153" s="355"/>
    </row>
    <row r="154" spans="3:21" s="404" customFormat="1" x14ac:dyDescent="0.2">
      <c r="C154" s="355"/>
      <c r="D154" s="355"/>
      <c r="E154" s="355"/>
      <c r="F154" s="355"/>
      <c r="G154" s="355"/>
      <c r="H154" s="355"/>
      <c r="I154" s="355"/>
      <c r="J154" s="355"/>
      <c r="K154" s="355"/>
      <c r="L154" s="355"/>
      <c r="M154" s="355"/>
      <c r="N154" s="355"/>
      <c r="O154" s="355"/>
      <c r="P154" s="355"/>
      <c r="Q154" s="355"/>
      <c r="R154" s="355"/>
      <c r="S154" s="355"/>
      <c r="T154" s="355"/>
      <c r="U154" s="355"/>
    </row>
    <row r="155" spans="3:21" s="404" customFormat="1" x14ac:dyDescent="0.2">
      <c r="C155" s="355"/>
      <c r="D155" s="355"/>
      <c r="E155" s="355"/>
      <c r="F155" s="355"/>
      <c r="G155" s="355"/>
      <c r="H155" s="355"/>
      <c r="I155" s="355"/>
      <c r="J155" s="355"/>
      <c r="K155" s="355"/>
      <c r="L155" s="355"/>
      <c r="M155" s="355"/>
      <c r="N155" s="355"/>
      <c r="O155" s="355"/>
      <c r="P155" s="355"/>
      <c r="Q155" s="355"/>
      <c r="R155" s="355"/>
      <c r="S155" s="355"/>
      <c r="T155" s="355"/>
      <c r="U155" s="355"/>
    </row>
    <row r="156" spans="3:21" s="404" customFormat="1" x14ac:dyDescent="0.2">
      <c r="C156" s="355"/>
      <c r="D156" s="355"/>
      <c r="E156" s="355"/>
      <c r="F156" s="355"/>
      <c r="G156" s="355"/>
      <c r="H156" s="355"/>
      <c r="I156" s="355"/>
      <c r="J156" s="355"/>
      <c r="K156" s="355"/>
      <c r="L156" s="355"/>
      <c r="M156" s="355"/>
      <c r="N156" s="355"/>
      <c r="O156" s="355"/>
      <c r="P156" s="355"/>
      <c r="Q156" s="355"/>
      <c r="R156" s="355"/>
      <c r="S156" s="355"/>
      <c r="T156" s="355"/>
      <c r="U156" s="355"/>
    </row>
    <row r="157" spans="3:21" s="404" customFormat="1" x14ac:dyDescent="0.2">
      <c r="C157" s="355"/>
      <c r="D157" s="355"/>
      <c r="E157" s="355"/>
      <c r="F157" s="355"/>
      <c r="G157" s="355"/>
      <c r="H157" s="355"/>
      <c r="I157" s="355"/>
      <c r="J157" s="355"/>
      <c r="K157" s="355"/>
      <c r="L157" s="355"/>
      <c r="M157" s="355"/>
      <c r="N157" s="355"/>
      <c r="O157" s="355"/>
      <c r="P157" s="355"/>
      <c r="Q157" s="355"/>
      <c r="R157" s="355"/>
      <c r="S157" s="355"/>
      <c r="T157" s="355"/>
      <c r="U157" s="355"/>
    </row>
    <row r="158" spans="3:21" s="404" customFormat="1" x14ac:dyDescent="0.2">
      <c r="C158" s="355"/>
      <c r="D158" s="355"/>
      <c r="E158" s="355"/>
      <c r="F158" s="355"/>
      <c r="G158" s="355"/>
      <c r="H158" s="355"/>
      <c r="I158" s="355"/>
      <c r="J158" s="355"/>
      <c r="K158" s="355"/>
      <c r="L158" s="355"/>
      <c r="M158" s="355"/>
      <c r="N158" s="355"/>
      <c r="O158" s="355"/>
      <c r="P158" s="355"/>
      <c r="Q158" s="355"/>
      <c r="R158" s="355"/>
      <c r="S158" s="355"/>
      <c r="T158" s="355"/>
      <c r="U158" s="355"/>
    </row>
    <row r="159" spans="3:21" s="404" customFormat="1" x14ac:dyDescent="0.2">
      <c r="C159" s="355"/>
      <c r="D159" s="355"/>
      <c r="E159" s="355"/>
      <c r="F159" s="355"/>
      <c r="G159" s="355"/>
      <c r="H159" s="355"/>
      <c r="I159" s="355"/>
      <c r="J159" s="355"/>
      <c r="K159" s="355"/>
      <c r="L159" s="355"/>
      <c r="M159" s="355"/>
      <c r="N159" s="355"/>
      <c r="O159" s="355"/>
      <c r="P159" s="355"/>
      <c r="Q159" s="355"/>
      <c r="R159" s="355"/>
      <c r="S159" s="355"/>
      <c r="T159" s="355"/>
      <c r="U159" s="355"/>
    </row>
    <row r="160" spans="3:21" s="404" customFormat="1" x14ac:dyDescent="0.2">
      <c r="C160" s="355"/>
      <c r="D160" s="355"/>
      <c r="E160" s="355"/>
      <c r="F160" s="355"/>
      <c r="G160" s="355"/>
      <c r="H160" s="355"/>
      <c r="I160" s="355"/>
      <c r="J160" s="355"/>
      <c r="K160" s="355"/>
      <c r="L160" s="355"/>
      <c r="M160" s="355"/>
      <c r="N160" s="355"/>
      <c r="O160" s="355"/>
      <c r="P160" s="355"/>
      <c r="Q160" s="355"/>
      <c r="R160" s="355"/>
      <c r="S160" s="355"/>
      <c r="T160" s="355"/>
      <c r="U160" s="355"/>
    </row>
    <row r="161" spans="3:21" s="404" customFormat="1" x14ac:dyDescent="0.2">
      <c r="C161" s="355"/>
      <c r="D161" s="355"/>
      <c r="E161" s="355"/>
      <c r="F161" s="355"/>
      <c r="G161" s="355"/>
      <c r="H161" s="355"/>
      <c r="I161" s="355"/>
      <c r="J161" s="355"/>
      <c r="K161" s="355"/>
      <c r="L161" s="355"/>
      <c r="M161" s="355"/>
      <c r="N161" s="355"/>
      <c r="O161" s="355"/>
      <c r="P161" s="355"/>
      <c r="Q161" s="355"/>
      <c r="R161" s="355"/>
      <c r="S161" s="355"/>
      <c r="T161" s="355"/>
      <c r="U161" s="355"/>
    </row>
    <row r="162" spans="3:21" s="404" customFormat="1" x14ac:dyDescent="0.2">
      <c r="C162" s="355"/>
      <c r="D162" s="355"/>
      <c r="E162" s="355"/>
      <c r="F162" s="355"/>
      <c r="G162" s="355"/>
      <c r="H162" s="355"/>
      <c r="I162" s="355"/>
      <c r="J162" s="355"/>
      <c r="K162" s="355"/>
      <c r="L162" s="355"/>
      <c r="M162" s="355"/>
      <c r="N162" s="355"/>
      <c r="O162" s="355"/>
      <c r="P162" s="355"/>
      <c r="Q162" s="355"/>
      <c r="R162" s="355"/>
      <c r="S162" s="355"/>
      <c r="T162" s="355"/>
      <c r="U162" s="355"/>
    </row>
    <row r="163" spans="3:21" s="404" customFormat="1" x14ac:dyDescent="0.2">
      <c r="C163" s="355"/>
      <c r="D163" s="355"/>
      <c r="E163" s="355"/>
      <c r="F163" s="355"/>
      <c r="G163" s="355"/>
      <c r="H163" s="355"/>
      <c r="I163" s="355"/>
      <c r="J163" s="355"/>
      <c r="K163" s="355"/>
      <c r="L163" s="355"/>
      <c r="M163" s="355"/>
      <c r="N163" s="355"/>
      <c r="O163" s="355"/>
      <c r="P163" s="355"/>
      <c r="Q163" s="355"/>
      <c r="R163" s="355"/>
      <c r="S163" s="355"/>
      <c r="T163" s="355"/>
      <c r="U163" s="355"/>
    </row>
    <row r="164" spans="3:21" s="404" customFormat="1" x14ac:dyDescent="0.2">
      <c r="C164" s="355"/>
      <c r="D164" s="355"/>
      <c r="E164" s="355"/>
      <c r="F164" s="355"/>
      <c r="G164" s="355"/>
      <c r="H164" s="355"/>
      <c r="I164" s="355"/>
      <c r="J164" s="355"/>
      <c r="K164" s="355"/>
      <c r="L164" s="355"/>
      <c r="M164" s="355"/>
      <c r="N164" s="355"/>
      <c r="O164" s="355"/>
      <c r="P164" s="355"/>
      <c r="Q164" s="355"/>
      <c r="R164" s="355"/>
      <c r="S164" s="355"/>
      <c r="T164" s="355"/>
      <c r="U164" s="355"/>
    </row>
    <row r="165" spans="3:21" s="404" customFormat="1" x14ac:dyDescent="0.2">
      <c r="C165" s="355"/>
      <c r="D165" s="355"/>
      <c r="E165" s="355"/>
      <c r="F165" s="355"/>
      <c r="G165" s="355"/>
      <c r="H165" s="355"/>
      <c r="I165" s="355"/>
      <c r="J165" s="355"/>
      <c r="K165" s="355"/>
      <c r="L165" s="355"/>
      <c r="M165" s="355"/>
      <c r="N165" s="355"/>
      <c r="O165" s="355"/>
      <c r="P165" s="355"/>
      <c r="Q165" s="355"/>
      <c r="R165" s="355"/>
      <c r="S165" s="355"/>
      <c r="T165" s="355"/>
      <c r="U165" s="355"/>
    </row>
    <row r="166" spans="3:21" s="404" customFormat="1" x14ac:dyDescent="0.2">
      <c r="C166" s="355"/>
      <c r="D166" s="355"/>
      <c r="E166" s="355"/>
      <c r="F166" s="355"/>
      <c r="G166" s="355"/>
      <c r="H166" s="355"/>
      <c r="I166" s="355"/>
      <c r="J166" s="355"/>
      <c r="K166" s="355"/>
      <c r="L166" s="355"/>
      <c r="M166" s="355"/>
      <c r="N166" s="355"/>
      <c r="O166" s="355"/>
      <c r="P166" s="355"/>
      <c r="Q166" s="355"/>
      <c r="R166" s="355"/>
      <c r="S166" s="355"/>
      <c r="T166" s="355"/>
      <c r="U166" s="355"/>
    </row>
    <row r="167" spans="3:21" s="404" customFormat="1" x14ac:dyDescent="0.2">
      <c r="C167" s="355"/>
      <c r="D167" s="355"/>
      <c r="E167" s="355"/>
      <c r="F167" s="355"/>
      <c r="G167" s="355"/>
      <c r="H167" s="355"/>
      <c r="I167" s="355"/>
      <c r="J167" s="355"/>
      <c r="K167" s="355"/>
      <c r="L167" s="355"/>
      <c r="M167" s="355"/>
      <c r="N167" s="355"/>
      <c r="O167" s="355"/>
      <c r="P167" s="355"/>
      <c r="Q167" s="355"/>
      <c r="R167" s="355"/>
      <c r="S167" s="355"/>
      <c r="T167" s="355"/>
      <c r="U167" s="355"/>
    </row>
    <row r="168" spans="3:21" s="404" customFormat="1" x14ac:dyDescent="0.2">
      <c r="C168" s="355"/>
      <c r="D168" s="355"/>
      <c r="E168" s="355"/>
      <c r="F168" s="355"/>
      <c r="G168" s="355"/>
      <c r="H168" s="355"/>
      <c r="I168" s="355"/>
      <c r="J168" s="355"/>
      <c r="K168" s="355"/>
      <c r="L168" s="355"/>
      <c r="M168" s="355"/>
      <c r="N168" s="355"/>
      <c r="O168" s="355"/>
      <c r="P168" s="355"/>
      <c r="Q168" s="355"/>
      <c r="R168" s="355"/>
      <c r="S168" s="355"/>
      <c r="T168" s="355"/>
      <c r="U168" s="355"/>
    </row>
    <row r="169" spans="3:21" s="404" customFormat="1" x14ac:dyDescent="0.2">
      <c r="C169" s="355"/>
      <c r="D169" s="355"/>
      <c r="E169" s="355"/>
      <c r="F169" s="355"/>
      <c r="G169" s="355"/>
      <c r="H169" s="355"/>
      <c r="I169" s="355"/>
      <c r="J169" s="355"/>
      <c r="K169" s="355"/>
      <c r="L169" s="355"/>
      <c r="M169" s="355"/>
      <c r="N169" s="355"/>
      <c r="O169" s="355"/>
      <c r="P169" s="355"/>
      <c r="Q169" s="355"/>
      <c r="R169" s="355"/>
      <c r="S169" s="355"/>
      <c r="T169" s="355"/>
      <c r="U169" s="355"/>
    </row>
    <row r="170" spans="3:21" s="404" customFormat="1" x14ac:dyDescent="0.2">
      <c r="C170" s="355"/>
      <c r="D170" s="355"/>
      <c r="E170" s="355"/>
      <c r="F170" s="355"/>
      <c r="G170" s="355"/>
      <c r="H170" s="355"/>
      <c r="I170" s="355"/>
      <c r="J170" s="355"/>
      <c r="K170" s="355"/>
      <c r="L170" s="355"/>
      <c r="M170" s="355"/>
      <c r="N170" s="355"/>
      <c r="O170" s="355"/>
      <c r="P170" s="355"/>
      <c r="Q170" s="355"/>
      <c r="R170" s="355"/>
      <c r="S170" s="355"/>
      <c r="T170" s="355"/>
      <c r="U170" s="355"/>
    </row>
    <row r="171" spans="3:21" s="404" customFormat="1" x14ac:dyDescent="0.2">
      <c r="C171" s="355"/>
      <c r="D171" s="355"/>
      <c r="E171" s="355"/>
      <c r="F171" s="355"/>
      <c r="G171" s="355"/>
      <c r="H171" s="355"/>
      <c r="I171" s="355"/>
      <c r="J171" s="355"/>
      <c r="K171" s="355"/>
      <c r="L171" s="355"/>
      <c r="M171" s="355"/>
      <c r="N171" s="355"/>
      <c r="O171" s="355"/>
      <c r="P171" s="355"/>
      <c r="Q171" s="355"/>
      <c r="R171" s="355"/>
      <c r="S171" s="355"/>
      <c r="T171" s="355"/>
      <c r="U171" s="355"/>
    </row>
    <row r="172" spans="3:21" s="404" customFormat="1" x14ac:dyDescent="0.2">
      <c r="C172" s="355"/>
      <c r="D172" s="355"/>
      <c r="E172" s="355"/>
      <c r="F172" s="355"/>
      <c r="G172" s="355"/>
      <c r="H172" s="355"/>
      <c r="I172" s="355"/>
      <c r="J172" s="355"/>
      <c r="K172" s="355"/>
      <c r="L172" s="355"/>
      <c r="M172" s="355"/>
      <c r="N172" s="355"/>
      <c r="O172" s="355"/>
      <c r="P172" s="355"/>
      <c r="Q172" s="355"/>
      <c r="R172" s="355"/>
      <c r="S172" s="355"/>
      <c r="T172" s="355"/>
      <c r="U172" s="355"/>
    </row>
    <row r="173" spans="3:21" s="404" customFormat="1" x14ac:dyDescent="0.2">
      <c r="C173" s="355"/>
      <c r="D173" s="355"/>
      <c r="E173" s="355"/>
      <c r="F173" s="355"/>
      <c r="G173" s="355"/>
      <c r="H173" s="355"/>
      <c r="I173" s="355"/>
      <c r="J173" s="355"/>
      <c r="K173" s="355"/>
      <c r="L173" s="355"/>
      <c r="M173" s="355"/>
      <c r="N173" s="355"/>
      <c r="O173" s="355"/>
      <c r="P173" s="355"/>
      <c r="Q173" s="355"/>
      <c r="R173" s="355"/>
      <c r="S173" s="355"/>
      <c r="T173" s="355"/>
      <c r="U173" s="355"/>
    </row>
    <row r="174" spans="3:21" s="404" customFormat="1" x14ac:dyDescent="0.2">
      <c r="C174" s="355"/>
      <c r="D174" s="355"/>
      <c r="E174" s="355"/>
      <c r="F174" s="355"/>
      <c r="G174" s="355"/>
      <c r="H174" s="355"/>
      <c r="I174" s="355"/>
      <c r="J174" s="355"/>
      <c r="K174" s="355"/>
      <c r="L174" s="355"/>
      <c r="M174" s="355"/>
      <c r="N174" s="355"/>
      <c r="O174" s="355"/>
      <c r="P174" s="355"/>
      <c r="Q174" s="355"/>
      <c r="R174" s="355"/>
      <c r="S174" s="355"/>
      <c r="T174" s="355"/>
      <c r="U174" s="355"/>
    </row>
    <row r="175" spans="3:21" s="404" customFormat="1" x14ac:dyDescent="0.2">
      <c r="C175" s="355"/>
      <c r="D175" s="355"/>
      <c r="E175" s="355"/>
      <c r="F175" s="355"/>
      <c r="G175" s="355"/>
      <c r="H175" s="355"/>
      <c r="I175" s="355"/>
      <c r="J175" s="355"/>
      <c r="K175" s="355"/>
      <c r="L175" s="355"/>
      <c r="M175" s="355"/>
      <c r="N175" s="355"/>
      <c r="O175" s="355"/>
      <c r="P175" s="355"/>
      <c r="Q175" s="355"/>
      <c r="R175" s="355"/>
      <c r="S175" s="355"/>
      <c r="T175" s="355"/>
      <c r="U175" s="355"/>
    </row>
    <row r="176" spans="3:21" s="404" customFormat="1" x14ac:dyDescent="0.2">
      <c r="C176" s="355"/>
      <c r="D176" s="355"/>
      <c r="E176" s="355"/>
      <c r="F176" s="355"/>
      <c r="G176" s="355"/>
      <c r="H176" s="355"/>
      <c r="I176" s="355"/>
      <c r="J176" s="355"/>
      <c r="K176" s="355"/>
      <c r="L176" s="355"/>
      <c r="M176" s="355"/>
      <c r="N176" s="355"/>
      <c r="O176" s="355"/>
      <c r="P176" s="355"/>
      <c r="Q176" s="355"/>
      <c r="R176" s="355"/>
      <c r="S176" s="355"/>
      <c r="T176" s="355"/>
      <c r="U176" s="355"/>
    </row>
    <row r="177" spans="3:21" s="404" customFormat="1" x14ac:dyDescent="0.2">
      <c r="C177" s="355"/>
      <c r="D177" s="355"/>
      <c r="E177" s="355"/>
      <c r="F177" s="355"/>
      <c r="G177" s="355"/>
      <c r="H177" s="355"/>
      <c r="I177" s="355"/>
      <c r="J177" s="355"/>
      <c r="K177" s="355"/>
      <c r="L177" s="355"/>
      <c r="M177" s="355"/>
      <c r="N177" s="355"/>
      <c r="O177" s="355"/>
      <c r="P177" s="355"/>
      <c r="Q177" s="355"/>
      <c r="R177" s="355"/>
      <c r="S177" s="355"/>
      <c r="T177" s="355"/>
      <c r="U177" s="355"/>
    </row>
    <row r="178" spans="3:21" s="404" customFormat="1" x14ac:dyDescent="0.2">
      <c r="C178" s="355"/>
      <c r="D178" s="355"/>
      <c r="E178" s="355"/>
      <c r="F178" s="355"/>
      <c r="G178" s="355"/>
      <c r="H178" s="355"/>
      <c r="I178" s="355"/>
      <c r="J178" s="355"/>
      <c r="K178" s="355"/>
      <c r="L178" s="355"/>
      <c r="M178" s="355"/>
      <c r="N178" s="355"/>
      <c r="O178" s="355"/>
      <c r="P178" s="355"/>
      <c r="Q178" s="355"/>
      <c r="R178" s="355"/>
      <c r="S178" s="355"/>
      <c r="T178" s="355"/>
      <c r="U178" s="355"/>
    </row>
    <row r="179" spans="3:21" s="404" customFormat="1" x14ac:dyDescent="0.2">
      <c r="C179" s="355"/>
      <c r="D179" s="355"/>
      <c r="E179" s="355"/>
      <c r="F179" s="355"/>
      <c r="G179" s="355"/>
      <c r="H179" s="355"/>
      <c r="I179" s="355"/>
      <c r="J179" s="355"/>
      <c r="K179" s="355"/>
      <c r="L179" s="355"/>
      <c r="M179" s="355"/>
      <c r="N179" s="355"/>
      <c r="O179" s="355"/>
      <c r="P179" s="355"/>
      <c r="Q179" s="355"/>
      <c r="R179" s="355"/>
      <c r="S179" s="355"/>
      <c r="T179" s="355"/>
      <c r="U179" s="355"/>
    </row>
    <row r="180" spans="3:21" s="404" customFormat="1" x14ac:dyDescent="0.2">
      <c r="C180" s="355"/>
      <c r="D180" s="355"/>
      <c r="E180" s="355"/>
      <c r="F180" s="355"/>
      <c r="G180" s="355"/>
      <c r="H180" s="355"/>
      <c r="I180" s="355"/>
      <c r="J180" s="355"/>
      <c r="K180" s="355"/>
      <c r="L180" s="355"/>
      <c r="M180" s="355"/>
      <c r="N180" s="355"/>
      <c r="O180" s="355"/>
      <c r="P180" s="355"/>
      <c r="Q180" s="355"/>
      <c r="R180" s="355"/>
      <c r="S180" s="355"/>
      <c r="T180" s="355"/>
      <c r="U180" s="355"/>
    </row>
    <row r="181" spans="3:21" s="404" customFormat="1" x14ac:dyDescent="0.2">
      <c r="C181" s="355"/>
      <c r="D181" s="355"/>
      <c r="E181" s="355"/>
      <c r="F181" s="355"/>
      <c r="G181" s="355"/>
      <c r="H181" s="355"/>
      <c r="I181" s="355"/>
      <c r="J181" s="355"/>
      <c r="K181" s="355"/>
      <c r="L181" s="355"/>
      <c r="M181" s="355"/>
      <c r="N181" s="355"/>
      <c r="O181" s="355"/>
      <c r="P181" s="355"/>
      <c r="Q181" s="355"/>
      <c r="R181" s="355"/>
      <c r="S181" s="355"/>
      <c r="T181" s="355"/>
      <c r="U181" s="355"/>
    </row>
    <row r="182" spans="3:21" s="404" customFormat="1" x14ac:dyDescent="0.2">
      <c r="C182" s="355"/>
      <c r="D182" s="355"/>
      <c r="E182" s="355"/>
      <c r="F182" s="355"/>
      <c r="G182" s="355"/>
      <c r="H182" s="355"/>
      <c r="I182" s="355"/>
      <c r="J182" s="355"/>
      <c r="K182" s="355"/>
      <c r="L182" s="355"/>
      <c r="M182" s="355"/>
      <c r="N182" s="355"/>
      <c r="O182" s="355"/>
      <c r="P182" s="355"/>
      <c r="Q182" s="355"/>
      <c r="R182" s="355"/>
      <c r="S182" s="355"/>
      <c r="T182" s="355"/>
      <c r="U182" s="355"/>
    </row>
    <row r="183" spans="3:21" s="404" customFormat="1" x14ac:dyDescent="0.2">
      <c r="C183" s="355"/>
      <c r="D183" s="355"/>
      <c r="E183" s="355"/>
      <c r="F183" s="355"/>
      <c r="G183" s="355"/>
      <c r="H183" s="355"/>
      <c r="I183" s="355"/>
      <c r="J183" s="355"/>
      <c r="K183" s="355"/>
      <c r="L183" s="355"/>
      <c r="M183" s="355"/>
      <c r="N183" s="355"/>
      <c r="O183" s="355"/>
      <c r="P183" s="355"/>
      <c r="Q183" s="355"/>
      <c r="R183" s="355"/>
      <c r="S183" s="355"/>
      <c r="T183" s="355"/>
      <c r="U183" s="355"/>
    </row>
    <row r="184" spans="3:21" s="404" customFormat="1" x14ac:dyDescent="0.2">
      <c r="C184" s="355"/>
      <c r="D184" s="355"/>
      <c r="E184" s="355"/>
      <c r="F184" s="355"/>
      <c r="G184" s="355"/>
      <c r="H184" s="355"/>
      <c r="I184" s="355"/>
      <c r="J184" s="355"/>
      <c r="K184" s="355"/>
      <c r="L184" s="355"/>
      <c r="M184" s="355"/>
      <c r="N184" s="355"/>
      <c r="O184" s="355"/>
      <c r="P184" s="355"/>
      <c r="Q184" s="355"/>
      <c r="R184" s="355"/>
      <c r="S184" s="355"/>
      <c r="T184" s="355"/>
      <c r="U184" s="355"/>
    </row>
    <row r="185" spans="3:21" s="404" customFormat="1" x14ac:dyDescent="0.2">
      <c r="C185" s="355"/>
      <c r="D185" s="355"/>
      <c r="E185" s="355"/>
      <c r="F185" s="355"/>
      <c r="G185" s="355"/>
      <c r="H185" s="355"/>
      <c r="I185" s="355"/>
      <c r="J185" s="355"/>
      <c r="K185" s="355"/>
      <c r="L185" s="355"/>
      <c r="M185" s="355"/>
      <c r="N185" s="355"/>
      <c r="O185" s="355"/>
      <c r="P185" s="355"/>
      <c r="Q185" s="355"/>
      <c r="R185" s="355"/>
      <c r="S185" s="355"/>
      <c r="T185" s="355"/>
      <c r="U185" s="355"/>
    </row>
    <row r="186" spans="3:21" s="404" customFormat="1" x14ac:dyDescent="0.2">
      <c r="C186" s="355"/>
      <c r="D186" s="355"/>
      <c r="E186" s="355"/>
      <c r="F186" s="355"/>
      <c r="G186" s="355"/>
      <c r="H186" s="355"/>
      <c r="I186" s="355"/>
      <c r="J186" s="355"/>
      <c r="K186" s="355"/>
      <c r="L186" s="355"/>
      <c r="M186" s="355"/>
      <c r="N186" s="355"/>
      <c r="O186" s="355"/>
      <c r="P186" s="355"/>
      <c r="Q186" s="355"/>
      <c r="R186" s="355"/>
      <c r="S186" s="355"/>
      <c r="T186" s="355"/>
      <c r="U186" s="355"/>
    </row>
    <row r="187" spans="3:21" s="404" customFormat="1" x14ac:dyDescent="0.2">
      <c r="C187" s="355"/>
      <c r="D187" s="355"/>
      <c r="E187" s="355"/>
      <c r="F187" s="355"/>
      <c r="G187" s="355"/>
      <c r="H187" s="355"/>
      <c r="I187" s="355"/>
      <c r="J187" s="355"/>
      <c r="K187" s="355"/>
      <c r="L187" s="355"/>
      <c r="M187" s="355"/>
      <c r="N187" s="355"/>
      <c r="O187" s="355"/>
      <c r="P187" s="355"/>
      <c r="Q187" s="355"/>
      <c r="R187" s="355"/>
      <c r="S187" s="355"/>
      <c r="T187" s="355"/>
      <c r="U187" s="355"/>
    </row>
    <row r="188" spans="3:21" s="404" customFormat="1" x14ac:dyDescent="0.2">
      <c r="C188" s="355"/>
      <c r="D188" s="355"/>
      <c r="E188" s="355"/>
      <c r="F188" s="355"/>
      <c r="G188" s="355"/>
      <c r="H188" s="355"/>
      <c r="I188" s="355"/>
      <c r="J188" s="355"/>
      <c r="K188" s="355"/>
      <c r="L188" s="355"/>
      <c r="M188" s="355"/>
      <c r="N188" s="355"/>
      <c r="O188" s="355"/>
      <c r="P188" s="355"/>
      <c r="Q188" s="355"/>
      <c r="R188" s="355"/>
      <c r="S188" s="355"/>
      <c r="T188" s="355"/>
      <c r="U188" s="355"/>
    </row>
    <row r="189" spans="3:21" s="404" customFormat="1" x14ac:dyDescent="0.2">
      <c r="C189" s="355"/>
      <c r="D189" s="355"/>
      <c r="E189" s="355"/>
      <c r="F189" s="355"/>
      <c r="G189" s="355"/>
      <c r="H189" s="355"/>
      <c r="I189" s="355"/>
      <c r="J189" s="355"/>
      <c r="K189" s="355"/>
      <c r="L189" s="355"/>
      <c r="M189" s="355"/>
      <c r="N189" s="355"/>
      <c r="O189" s="355"/>
      <c r="P189" s="355"/>
      <c r="Q189" s="355"/>
      <c r="R189" s="355"/>
      <c r="S189" s="355"/>
      <c r="T189" s="355"/>
      <c r="U189" s="355"/>
    </row>
    <row r="190" spans="3:21" s="404" customFormat="1" x14ac:dyDescent="0.2">
      <c r="C190" s="355"/>
      <c r="D190" s="355"/>
      <c r="E190" s="355"/>
      <c r="F190" s="355"/>
      <c r="G190" s="355"/>
      <c r="H190" s="355"/>
      <c r="I190" s="355"/>
      <c r="J190" s="355"/>
      <c r="K190" s="355"/>
      <c r="L190" s="355"/>
      <c r="M190" s="355"/>
      <c r="N190" s="355"/>
      <c r="O190" s="355"/>
      <c r="P190" s="355"/>
      <c r="Q190" s="355"/>
      <c r="R190" s="355"/>
      <c r="S190" s="355"/>
      <c r="T190" s="355"/>
      <c r="U190" s="355"/>
    </row>
    <row r="191" spans="3:21" s="404" customFormat="1" x14ac:dyDescent="0.2">
      <c r="C191" s="355"/>
      <c r="D191" s="355"/>
      <c r="E191" s="355"/>
      <c r="F191" s="355"/>
      <c r="G191" s="355"/>
      <c r="H191" s="355"/>
      <c r="I191" s="355"/>
      <c r="J191" s="355"/>
      <c r="K191" s="355"/>
      <c r="L191" s="355"/>
      <c r="M191" s="355"/>
      <c r="N191" s="355"/>
      <c r="O191" s="355"/>
      <c r="P191" s="355"/>
      <c r="Q191" s="355"/>
      <c r="R191" s="355"/>
      <c r="S191" s="355"/>
      <c r="T191" s="355"/>
      <c r="U191" s="355"/>
    </row>
    <row r="192" spans="3:21" s="404" customFormat="1" x14ac:dyDescent="0.2">
      <c r="C192" s="355"/>
      <c r="D192" s="355"/>
      <c r="E192" s="355"/>
      <c r="F192" s="355"/>
      <c r="G192" s="355"/>
      <c r="H192" s="355"/>
      <c r="I192" s="355"/>
      <c r="J192" s="355"/>
      <c r="K192" s="355"/>
      <c r="L192" s="355"/>
      <c r="M192" s="355"/>
      <c r="N192" s="355"/>
      <c r="O192" s="355"/>
      <c r="P192" s="355"/>
      <c r="Q192" s="355"/>
      <c r="R192" s="355"/>
      <c r="S192" s="355"/>
      <c r="T192" s="355"/>
      <c r="U192" s="355"/>
    </row>
    <row r="193" spans="3:21" s="404" customFormat="1" x14ac:dyDescent="0.2">
      <c r="C193" s="355"/>
      <c r="D193" s="355"/>
      <c r="E193" s="355"/>
      <c r="F193" s="355"/>
      <c r="G193" s="355"/>
      <c r="H193" s="355"/>
      <c r="I193" s="355"/>
      <c r="J193" s="355"/>
      <c r="K193" s="355"/>
      <c r="L193" s="355"/>
      <c r="M193" s="355"/>
      <c r="N193" s="355"/>
      <c r="O193" s="355"/>
      <c r="P193" s="355"/>
      <c r="Q193" s="355"/>
      <c r="R193" s="355"/>
      <c r="S193" s="355"/>
      <c r="T193" s="355"/>
      <c r="U193" s="355"/>
    </row>
    <row r="194" spans="3:21" s="404" customFormat="1" x14ac:dyDescent="0.2">
      <c r="C194" s="355"/>
      <c r="D194" s="355"/>
      <c r="E194" s="355"/>
      <c r="F194" s="355"/>
      <c r="G194" s="355"/>
      <c r="H194" s="355"/>
      <c r="I194" s="355"/>
      <c r="J194" s="355"/>
      <c r="K194" s="355"/>
      <c r="L194" s="355"/>
      <c r="M194" s="355"/>
      <c r="N194" s="355"/>
      <c r="O194" s="355"/>
      <c r="P194" s="355"/>
      <c r="Q194" s="355"/>
      <c r="R194" s="355"/>
      <c r="S194" s="355"/>
      <c r="T194" s="355"/>
      <c r="U194" s="355"/>
    </row>
    <row r="195" spans="3:21" s="404" customFormat="1" x14ac:dyDescent="0.2">
      <c r="C195" s="355"/>
      <c r="D195" s="355"/>
      <c r="E195" s="355"/>
      <c r="F195" s="355"/>
      <c r="G195" s="355"/>
      <c r="H195" s="355"/>
      <c r="I195" s="355"/>
      <c r="J195" s="355"/>
      <c r="K195" s="355"/>
      <c r="L195" s="355"/>
      <c r="M195" s="355"/>
      <c r="N195" s="355"/>
      <c r="O195" s="355"/>
      <c r="P195" s="355"/>
      <c r="Q195" s="355"/>
      <c r="R195" s="355"/>
      <c r="S195" s="355"/>
      <c r="T195" s="355"/>
      <c r="U195" s="355"/>
    </row>
    <row r="196" spans="3:21" s="404" customFormat="1" x14ac:dyDescent="0.2">
      <c r="C196" s="355"/>
      <c r="D196" s="355"/>
      <c r="E196" s="355"/>
      <c r="F196" s="355"/>
      <c r="G196" s="355"/>
      <c r="H196" s="355"/>
      <c r="I196" s="355"/>
      <c r="J196" s="355"/>
      <c r="K196" s="355"/>
      <c r="L196" s="355"/>
      <c r="M196" s="355"/>
      <c r="N196" s="355"/>
      <c r="O196" s="355"/>
      <c r="P196" s="355"/>
      <c r="Q196" s="355"/>
      <c r="R196" s="355"/>
      <c r="S196" s="355"/>
      <c r="T196" s="355"/>
      <c r="U196" s="355"/>
    </row>
    <row r="197" spans="3:21" s="404" customFormat="1" x14ac:dyDescent="0.2">
      <c r="C197" s="355"/>
      <c r="D197" s="355"/>
      <c r="E197" s="355"/>
      <c r="F197" s="355"/>
      <c r="G197" s="355"/>
      <c r="H197" s="355"/>
      <c r="I197" s="355"/>
      <c r="J197" s="355"/>
      <c r="K197" s="355"/>
      <c r="L197" s="355"/>
      <c r="M197" s="355"/>
      <c r="N197" s="355"/>
      <c r="O197" s="355"/>
      <c r="P197" s="355"/>
      <c r="Q197" s="355"/>
      <c r="R197" s="355"/>
      <c r="S197" s="355"/>
      <c r="T197" s="355"/>
      <c r="U197" s="355"/>
    </row>
    <row r="198" spans="3:21" s="404" customFormat="1" x14ac:dyDescent="0.2">
      <c r="C198" s="355"/>
      <c r="D198" s="355"/>
      <c r="E198" s="355"/>
      <c r="F198" s="355"/>
      <c r="G198" s="355"/>
      <c r="H198" s="355"/>
      <c r="I198" s="355"/>
      <c r="J198" s="355"/>
      <c r="K198" s="355"/>
      <c r="L198" s="355"/>
      <c r="M198" s="355"/>
      <c r="N198" s="355"/>
      <c r="O198" s="355"/>
      <c r="P198" s="355"/>
      <c r="Q198" s="355"/>
      <c r="R198" s="355"/>
      <c r="S198" s="355"/>
      <c r="T198" s="355"/>
      <c r="U198" s="355"/>
    </row>
    <row r="199" spans="3:21" s="404" customFormat="1" x14ac:dyDescent="0.2">
      <c r="C199" s="355"/>
      <c r="D199" s="355"/>
      <c r="E199" s="355"/>
      <c r="F199" s="355"/>
      <c r="G199" s="355"/>
      <c r="H199" s="355"/>
      <c r="I199" s="355"/>
      <c r="J199" s="355"/>
      <c r="K199" s="355"/>
      <c r="L199" s="355"/>
      <c r="M199" s="355"/>
      <c r="N199" s="355"/>
      <c r="O199" s="355"/>
      <c r="P199" s="355"/>
      <c r="Q199" s="355"/>
      <c r="R199" s="355"/>
      <c r="S199" s="355"/>
      <c r="T199" s="355"/>
      <c r="U199" s="355"/>
    </row>
    <row r="200" spans="3:21" s="404" customFormat="1" x14ac:dyDescent="0.2">
      <c r="C200" s="355"/>
      <c r="D200" s="355"/>
      <c r="E200" s="355"/>
      <c r="F200" s="355"/>
      <c r="G200" s="355"/>
      <c r="H200" s="355"/>
      <c r="I200" s="355"/>
      <c r="J200" s="355"/>
      <c r="K200" s="355"/>
      <c r="L200" s="355"/>
      <c r="M200" s="355"/>
      <c r="N200" s="355"/>
      <c r="O200" s="355"/>
      <c r="P200" s="355"/>
      <c r="Q200" s="355"/>
      <c r="R200" s="355"/>
      <c r="S200" s="355"/>
      <c r="T200" s="355"/>
      <c r="U200" s="355"/>
    </row>
    <row r="201" spans="3:21" s="404" customFormat="1" x14ac:dyDescent="0.2">
      <c r="C201" s="355"/>
      <c r="D201" s="355"/>
      <c r="E201" s="355"/>
      <c r="F201" s="355"/>
      <c r="G201" s="355"/>
      <c r="H201" s="355"/>
      <c r="I201" s="355"/>
      <c r="J201" s="355"/>
      <c r="K201" s="355"/>
      <c r="L201" s="355"/>
      <c r="M201" s="355"/>
      <c r="N201" s="355"/>
      <c r="O201" s="355"/>
      <c r="P201" s="355"/>
      <c r="Q201" s="355"/>
      <c r="R201" s="355"/>
      <c r="S201" s="355"/>
      <c r="T201" s="355"/>
      <c r="U201" s="355"/>
    </row>
    <row r="202" spans="3:21" s="404" customFormat="1" x14ac:dyDescent="0.2">
      <c r="C202" s="355"/>
      <c r="D202" s="355"/>
      <c r="E202" s="355"/>
      <c r="F202" s="355"/>
      <c r="G202" s="355"/>
      <c r="H202" s="355"/>
      <c r="I202" s="355"/>
      <c r="J202" s="355"/>
      <c r="K202" s="355"/>
      <c r="L202" s="355"/>
      <c r="M202" s="355"/>
      <c r="N202" s="355"/>
      <c r="O202" s="355"/>
      <c r="P202" s="355"/>
      <c r="Q202" s="355"/>
      <c r="R202" s="355"/>
      <c r="S202" s="355"/>
      <c r="T202" s="355"/>
      <c r="U202" s="355"/>
    </row>
    <row r="203" spans="3:21" s="404" customFormat="1" x14ac:dyDescent="0.2">
      <c r="C203" s="355"/>
      <c r="D203" s="355"/>
      <c r="E203" s="355"/>
      <c r="F203" s="355"/>
      <c r="G203" s="355"/>
      <c r="H203" s="355"/>
      <c r="I203" s="355"/>
      <c r="J203" s="355"/>
      <c r="K203" s="355"/>
      <c r="L203" s="355"/>
      <c r="M203" s="355"/>
      <c r="N203" s="355"/>
      <c r="O203" s="355"/>
      <c r="P203" s="355"/>
      <c r="Q203" s="355"/>
      <c r="R203" s="355"/>
      <c r="S203" s="355"/>
      <c r="T203" s="355"/>
      <c r="U203" s="355"/>
    </row>
    <row r="204" spans="3:21" s="404" customFormat="1" x14ac:dyDescent="0.2">
      <c r="C204" s="355"/>
      <c r="D204" s="355"/>
      <c r="E204" s="355"/>
      <c r="F204" s="355"/>
      <c r="G204" s="355"/>
      <c r="H204" s="355"/>
      <c r="I204" s="355"/>
      <c r="J204" s="355"/>
      <c r="K204" s="355"/>
      <c r="L204" s="355"/>
      <c r="M204" s="355"/>
      <c r="N204" s="355"/>
      <c r="O204" s="355"/>
      <c r="P204" s="355"/>
      <c r="Q204" s="355"/>
      <c r="R204" s="355"/>
      <c r="S204" s="355"/>
      <c r="T204" s="355"/>
      <c r="U204" s="355"/>
    </row>
    <row r="205" spans="3:21" s="404" customFormat="1" x14ac:dyDescent="0.2">
      <c r="C205" s="355"/>
      <c r="D205" s="355"/>
      <c r="E205" s="355"/>
      <c r="F205" s="355"/>
      <c r="G205" s="355"/>
      <c r="H205" s="355"/>
      <c r="I205" s="355"/>
      <c r="J205" s="355"/>
      <c r="K205" s="355"/>
      <c r="L205" s="355"/>
      <c r="M205" s="355"/>
      <c r="N205" s="355"/>
      <c r="O205" s="355"/>
      <c r="P205" s="355"/>
      <c r="Q205" s="355"/>
      <c r="R205" s="355"/>
      <c r="S205" s="355"/>
      <c r="T205" s="355"/>
      <c r="U205" s="355"/>
    </row>
    <row r="206" spans="3:21" s="404" customFormat="1" x14ac:dyDescent="0.2">
      <c r="C206" s="355"/>
      <c r="D206" s="355"/>
      <c r="E206" s="355"/>
      <c r="F206" s="355"/>
      <c r="G206" s="355"/>
      <c r="H206" s="355"/>
      <c r="I206" s="355"/>
      <c r="J206" s="355"/>
      <c r="K206" s="355"/>
      <c r="L206" s="355"/>
      <c r="M206" s="355"/>
      <c r="N206" s="355"/>
      <c r="O206" s="355"/>
      <c r="P206" s="355"/>
      <c r="Q206" s="355"/>
      <c r="R206" s="355"/>
      <c r="S206" s="355"/>
      <c r="T206" s="355"/>
      <c r="U206" s="355"/>
    </row>
    <row r="207" spans="3:21" s="404" customFormat="1" x14ac:dyDescent="0.2">
      <c r="C207" s="355"/>
      <c r="D207" s="355"/>
      <c r="E207" s="355"/>
      <c r="F207" s="355"/>
      <c r="G207" s="355"/>
      <c r="H207" s="355"/>
      <c r="I207" s="355"/>
      <c r="J207" s="355"/>
      <c r="K207" s="355"/>
      <c r="L207" s="355"/>
      <c r="M207" s="355"/>
      <c r="N207" s="355"/>
      <c r="O207" s="355"/>
      <c r="P207" s="355"/>
      <c r="Q207" s="355"/>
      <c r="R207" s="355"/>
      <c r="S207" s="355"/>
      <c r="T207" s="355"/>
      <c r="U207" s="355"/>
    </row>
    <row r="208" spans="3:21" s="404" customFormat="1" x14ac:dyDescent="0.2">
      <c r="C208" s="355"/>
      <c r="D208" s="355"/>
      <c r="E208" s="355"/>
      <c r="F208" s="355"/>
      <c r="G208" s="355"/>
      <c r="H208" s="355"/>
      <c r="I208" s="355"/>
      <c r="J208" s="355"/>
      <c r="K208" s="355"/>
      <c r="L208" s="355"/>
      <c r="M208" s="355"/>
      <c r="N208" s="355"/>
      <c r="O208" s="355"/>
      <c r="P208" s="355"/>
      <c r="Q208" s="355"/>
      <c r="R208" s="355"/>
      <c r="S208" s="355"/>
      <c r="T208" s="355"/>
      <c r="U208" s="355"/>
    </row>
    <row r="209" spans="3:21" s="404" customFormat="1" x14ac:dyDescent="0.2">
      <c r="C209" s="355"/>
      <c r="D209" s="355"/>
      <c r="E209" s="355"/>
      <c r="F209" s="355"/>
      <c r="G209" s="355"/>
      <c r="H209" s="355"/>
      <c r="I209" s="355"/>
      <c r="J209" s="355"/>
      <c r="K209" s="355"/>
      <c r="L209" s="355"/>
      <c r="M209" s="355"/>
      <c r="N209" s="355"/>
      <c r="O209" s="355"/>
      <c r="P209" s="355"/>
      <c r="Q209" s="355"/>
      <c r="R209" s="355"/>
      <c r="S209" s="355"/>
      <c r="T209" s="355"/>
      <c r="U209" s="355"/>
    </row>
    <row r="210" spans="3:21" s="404" customFormat="1" x14ac:dyDescent="0.2">
      <c r="C210" s="355"/>
      <c r="D210" s="355"/>
      <c r="E210" s="355"/>
      <c r="F210" s="355"/>
      <c r="G210" s="355"/>
      <c r="H210" s="355"/>
      <c r="I210" s="355"/>
      <c r="J210" s="355"/>
      <c r="K210" s="355"/>
      <c r="L210" s="355"/>
      <c r="M210" s="355"/>
      <c r="N210" s="355"/>
      <c r="O210" s="355"/>
      <c r="P210" s="355"/>
      <c r="Q210" s="355"/>
      <c r="R210" s="355"/>
      <c r="S210" s="355"/>
      <c r="T210" s="355"/>
      <c r="U210" s="355"/>
    </row>
    <row r="211" spans="3:21" s="404" customFormat="1" x14ac:dyDescent="0.2">
      <c r="C211" s="355"/>
      <c r="D211" s="355"/>
      <c r="E211" s="355"/>
      <c r="F211" s="355"/>
      <c r="G211" s="355"/>
      <c r="H211" s="355"/>
      <c r="I211" s="355"/>
      <c r="J211" s="355"/>
      <c r="K211" s="355"/>
      <c r="L211" s="355"/>
      <c r="M211" s="355"/>
      <c r="N211" s="355"/>
      <c r="O211" s="355"/>
      <c r="P211" s="355"/>
      <c r="Q211" s="355"/>
      <c r="R211" s="355"/>
      <c r="S211" s="355"/>
      <c r="T211" s="355"/>
      <c r="U211" s="355"/>
    </row>
    <row r="212" spans="3:21" s="404" customFormat="1" x14ac:dyDescent="0.2">
      <c r="C212" s="355"/>
      <c r="D212" s="355"/>
      <c r="E212" s="355"/>
      <c r="F212" s="355"/>
      <c r="G212" s="355"/>
      <c r="H212" s="355"/>
      <c r="I212" s="355"/>
      <c r="J212" s="355"/>
      <c r="K212" s="355"/>
      <c r="L212" s="355"/>
      <c r="M212" s="355"/>
      <c r="N212" s="355"/>
      <c r="O212" s="355"/>
      <c r="P212" s="355"/>
      <c r="Q212" s="355"/>
      <c r="R212" s="355"/>
      <c r="S212" s="355"/>
      <c r="T212" s="355"/>
      <c r="U212" s="355"/>
    </row>
    <row r="213" spans="3:21" s="404" customFormat="1" x14ac:dyDescent="0.2">
      <c r="C213" s="355"/>
      <c r="D213" s="355"/>
      <c r="E213" s="355"/>
      <c r="F213" s="355"/>
      <c r="G213" s="355"/>
      <c r="H213" s="355"/>
      <c r="I213" s="355"/>
      <c r="J213" s="355"/>
      <c r="K213" s="355"/>
      <c r="L213" s="355"/>
      <c r="M213" s="355"/>
      <c r="N213" s="355"/>
      <c r="O213" s="355"/>
      <c r="P213" s="355"/>
      <c r="Q213" s="355"/>
      <c r="R213" s="355"/>
      <c r="S213" s="355"/>
      <c r="T213" s="355"/>
      <c r="U213" s="355"/>
    </row>
    <row r="214" spans="3:21" s="404" customFormat="1" x14ac:dyDescent="0.2">
      <c r="C214" s="355"/>
      <c r="D214" s="355"/>
      <c r="E214" s="355"/>
      <c r="F214" s="355"/>
      <c r="G214" s="355"/>
      <c r="H214" s="355"/>
      <c r="I214" s="355"/>
      <c r="J214" s="355"/>
      <c r="K214" s="355"/>
      <c r="L214" s="355"/>
      <c r="M214" s="355"/>
      <c r="N214" s="355"/>
      <c r="O214" s="355"/>
      <c r="P214" s="355"/>
      <c r="Q214" s="355"/>
      <c r="R214" s="355"/>
      <c r="S214" s="355"/>
      <c r="T214" s="355"/>
      <c r="U214" s="355"/>
    </row>
    <row r="215" spans="3:21" s="404" customFormat="1" x14ac:dyDescent="0.2">
      <c r="C215" s="355"/>
      <c r="D215" s="355"/>
      <c r="E215" s="355"/>
      <c r="F215" s="355"/>
      <c r="G215" s="355"/>
      <c r="H215" s="355"/>
      <c r="I215" s="355"/>
      <c r="J215" s="355"/>
      <c r="K215" s="355"/>
      <c r="L215" s="355"/>
      <c r="M215" s="355"/>
      <c r="N215" s="355"/>
      <c r="O215" s="355"/>
      <c r="P215" s="355"/>
      <c r="Q215" s="355"/>
      <c r="R215" s="355"/>
      <c r="S215" s="355"/>
      <c r="T215" s="355"/>
      <c r="U215" s="355"/>
    </row>
    <row r="216" spans="3:21" s="404" customFormat="1" x14ac:dyDescent="0.2">
      <c r="C216" s="355"/>
      <c r="D216" s="355"/>
      <c r="E216" s="355"/>
      <c r="F216" s="355"/>
      <c r="G216" s="355"/>
      <c r="H216" s="355"/>
      <c r="I216" s="355"/>
      <c r="J216" s="355"/>
      <c r="K216" s="355"/>
      <c r="L216" s="355"/>
      <c r="M216" s="355"/>
      <c r="N216" s="355"/>
      <c r="O216" s="355"/>
      <c r="P216" s="355"/>
      <c r="Q216" s="355"/>
      <c r="R216" s="355"/>
      <c r="S216" s="355"/>
      <c r="T216" s="355"/>
      <c r="U216" s="355"/>
    </row>
    <row r="217" spans="3:21" s="404" customFormat="1" x14ac:dyDescent="0.2">
      <c r="C217" s="355"/>
      <c r="D217" s="355"/>
      <c r="E217" s="355"/>
      <c r="F217" s="355"/>
      <c r="G217" s="355"/>
      <c r="H217" s="355"/>
      <c r="I217" s="355"/>
      <c r="J217" s="355"/>
      <c r="K217" s="355"/>
      <c r="L217" s="355"/>
      <c r="M217" s="355"/>
      <c r="N217" s="355"/>
      <c r="O217" s="355"/>
      <c r="P217" s="355"/>
      <c r="Q217" s="355"/>
      <c r="R217" s="355"/>
      <c r="S217" s="355"/>
      <c r="T217" s="355"/>
      <c r="U217" s="355"/>
    </row>
    <row r="218" spans="3:21" s="404" customFormat="1" x14ac:dyDescent="0.2">
      <c r="C218" s="355"/>
      <c r="D218" s="355"/>
      <c r="E218" s="355"/>
      <c r="F218" s="355"/>
      <c r="G218" s="355"/>
      <c r="H218" s="355"/>
      <c r="I218" s="355"/>
      <c r="J218" s="355"/>
      <c r="K218" s="355"/>
      <c r="L218" s="355"/>
      <c r="M218" s="355"/>
      <c r="N218" s="355"/>
      <c r="O218" s="355"/>
      <c r="P218" s="355"/>
      <c r="Q218" s="355"/>
      <c r="R218" s="355"/>
      <c r="S218" s="355"/>
      <c r="T218" s="355"/>
      <c r="U218" s="355"/>
    </row>
    <row r="219" spans="3:21" s="404" customFormat="1" x14ac:dyDescent="0.2">
      <c r="C219" s="355"/>
      <c r="D219" s="355"/>
      <c r="E219" s="355"/>
      <c r="F219" s="355"/>
      <c r="G219" s="355"/>
      <c r="H219" s="355"/>
      <c r="I219" s="355"/>
      <c r="J219" s="355"/>
      <c r="K219" s="355"/>
      <c r="L219" s="355"/>
      <c r="M219" s="355"/>
      <c r="N219" s="355"/>
      <c r="O219" s="355"/>
      <c r="P219" s="355"/>
      <c r="Q219" s="355"/>
      <c r="R219" s="355"/>
      <c r="S219" s="355"/>
      <c r="T219" s="355"/>
      <c r="U219" s="355"/>
    </row>
    <row r="220" spans="3:21" s="404" customFormat="1" x14ac:dyDescent="0.2">
      <c r="C220" s="355"/>
      <c r="D220" s="355"/>
      <c r="E220" s="355"/>
      <c r="F220" s="355"/>
      <c r="G220" s="355"/>
      <c r="H220" s="355"/>
      <c r="I220" s="355"/>
      <c r="J220" s="355"/>
      <c r="K220" s="355"/>
      <c r="L220" s="355"/>
      <c r="M220" s="355"/>
      <c r="N220" s="355"/>
      <c r="O220" s="355"/>
      <c r="P220" s="355"/>
      <c r="Q220" s="355"/>
      <c r="R220" s="355"/>
      <c r="S220" s="355"/>
      <c r="T220" s="355"/>
      <c r="U220" s="355"/>
    </row>
    <row r="221" spans="3:21" s="404" customFormat="1" x14ac:dyDescent="0.2">
      <c r="C221" s="355"/>
      <c r="D221" s="355"/>
      <c r="E221" s="355"/>
      <c r="F221" s="355"/>
      <c r="G221" s="355"/>
      <c r="H221" s="355"/>
      <c r="I221" s="355"/>
      <c r="J221" s="355"/>
      <c r="K221" s="355"/>
      <c r="L221" s="355"/>
      <c r="M221" s="355"/>
      <c r="N221" s="355"/>
      <c r="O221" s="355"/>
      <c r="P221" s="355"/>
      <c r="Q221" s="355"/>
      <c r="R221" s="355"/>
      <c r="S221" s="355"/>
      <c r="T221" s="355"/>
      <c r="U221" s="355"/>
    </row>
    <row r="222" spans="3:21" s="404" customFormat="1" x14ac:dyDescent="0.2">
      <c r="C222" s="355"/>
      <c r="D222" s="355"/>
      <c r="E222" s="355"/>
      <c r="F222" s="355"/>
      <c r="G222" s="355"/>
      <c r="H222" s="355"/>
      <c r="I222" s="355"/>
      <c r="J222" s="355"/>
      <c r="K222" s="355"/>
      <c r="L222" s="355"/>
      <c r="M222" s="355"/>
      <c r="N222" s="355"/>
      <c r="O222" s="355"/>
      <c r="P222" s="355"/>
      <c r="Q222" s="355"/>
      <c r="R222" s="355"/>
      <c r="S222" s="355"/>
      <c r="T222" s="355"/>
      <c r="U222" s="355"/>
    </row>
    <row r="223" spans="3:21" s="404" customFormat="1" x14ac:dyDescent="0.2">
      <c r="C223" s="355"/>
      <c r="D223" s="355"/>
      <c r="E223" s="355"/>
      <c r="F223" s="355"/>
      <c r="G223" s="355"/>
      <c r="H223" s="355"/>
      <c r="I223" s="355"/>
      <c r="J223" s="355"/>
      <c r="K223" s="355"/>
      <c r="L223" s="355"/>
      <c r="M223" s="355"/>
      <c r="N223" s="355"/>
      <c r="O223" s="355"/>
      <c r="P223" s="355"/>
      <c r="Q223" s="355"/>
      <c r="R223" s="355"/>
      <c r="S223" s="355"/>
      <c r="T223" s="355"/>
      <c r="U223" s="355"/>
    </row>
    <row r="224" spans="3:21" s="404" customFormat="1" x14ac:dyDescent="0.2">
      <c r="C224" s="355"/>
      <c r="D224" s="355"/>
      <c r="E224" s="355"/>
      <c r="F224" s="355"/>
      <c r="G224" s="355"/>
      <c r="H224" s="355"/>
      <c r="I224" s="355"/>
      <c r="J224" s="355"/>
      <c r="K224" s="355"/>
      <c r="L224" s="355"/>
      <c r="M224" s="355"/>
      <c r="N224" s="355"/>
      <c r="O224" s="355"/>
      <c r="P224" s="355"/>
      <c r="Q224" s="355"/>
      <c r="R224" s="355"/>
      <c r="S224" s="355"/>
      <c r="T224" s="355"/>
      <c r="U224" s="355"/>
    </row>
    <row r="225" spans="3:21" s="404" customFormat="1" x14ac:dyDescent="0.2">
      <c r="C225" s="355"/>
      <c r="D225" s="355"/>
      <c r="E225" s="355"/>
      <c r="F225" s="355"/>
      <c r="G225" s="355"/>
      <c r="H225" s="355"/>
      <c r="I225" s="355"/>
      <c r="J225" s="355"/>
      <c r="K225" s="355"/>
      <c r="L225" s="355"/>
      <c r="M225" s="355"/>
      <c r="N225" s="355"/>
      <c r="O225" s="355"/>
      <c r="P225" s="355"/>
      <c r="Q225" s="355"/>
      <c r="R225" s="355"/>
      <c r="S225" s="355"/>
      <c r="T225" s="355"/>
      <c r="U225" s="355"/>
    </row>
    <row r="226" spans="3:21" s="404" customFormat="1" x14ac:dyDescent="0.2">
      <c r="C226" s="355"/>
      <c r="D226" s="355"/>
      <c r="E226" s="355"/>
      <c r="F226" s="355"/>
      <c r="G226" s="355"/>
      <c r="H226" s="355"/>
      <c r="I226" s="355"/>
      <c r="J226" s="355"/>
      <c r="K226" s="355"/>
      <c r="L226" s="355"/>
      <c r="M226" s="355"/>
      <c r="N226" s="355"/>
      <c r="O226" s="355"/>
      <c r="P226" s="355"/>
      <c r="Q226" s="355"/>
      <c r="R226" s="355"/>
      <c r="S226" s="355"/>
      <c r="T226" s="355"/>
      <c r="U226" s="355"/>
    </row>
    <row r="227" spans="3:21" s="404" customFormat="1" x14ac:dyDescent="0.2">
      <c r="C227" s="355"/>
      <c r="D227" s="355"/>
      <c r="E227" s="355"/>
      <c r="F227" s="355"/>
      <c r="G227" s="355"/>
      <c r="H227" s="355"/>
      <c r="I227" s="355"/>
      <c r="J227" s="355"/>
      <c r="K227" s="355"/>
      <c r="L227" s="355"/>
      <c r="M227" s="355"/>
      <c r="N227" s="355"/>
      <c r="O227" s="355"/>
      <c r="P227" s="355"/>
      <c r="Q227" s="355"/>
      <c r="R227" s="355"/>
      <c r="S227" s="355"/>
      <c r="T227" s="355"/>
      <c r="U227" s="355"/>
    </row>
    <row r="228" spans="3:21" s="404" customFormat="1" x14ac:dyDescent="0.2">
      <c r="C228" s="355"/>
      <c r="D228" s="355"/>
      <c r="E228" s="355"/>
      <c r="F228" s="355"/>
      <c r="G228" s="355"/>
      <c r="H228" s="355"/>
      <c r="I228" s="355"/>
      <c r="J228" s="355"/>
      <c r="K228" s="355"/>
      <c r="L228" s="355"/>
      <c r="M228" s="355"/>
      <c r="N228" s="355"/>
      <c r="O228" s="355"/>
      <c r="P228" s="355"/>
      <c r="Q228" s="355"/>
      <c r="R228" s="355"/>
      <c r="S228" s="355"/>
      <c r="T228" s="355"/>
      <c r="U228" s="355"/>
    </row>
    <row r="229" spans="3:21" s="404" customFormat="1" x14ac:dyDescent="0.2">
      <c r="C229" s="355"/>
      <c r="D229" s="355"/>
      <c r="E229" s="355"/>
      <c r="F229" s="355"/>
      <c r="G229" s="355"/>
      <c r="H229" s="355"/>
      <c r="I229" s="355"/>
      <c r="J229" s="355"/>
      <c r="K229" s="355"/>
      <c r="L229" s="355"/>
      <c r="M229" s="355"/>
      <c r="N229" s="355"/>
      <c r="O229" s="355"/>
      <c r="P229" s="355"/>
      <c r="Q229" s="355"/>
      <c r="R229" s="355"/>
      <c r="S229" s="355"/>
      <c r="T229" s="355"/>
      <c r="U229" s="355"/>
    </row>
    <row r="230" spans="3:21" s="404" customFormat="1" x14ac:dyDescent="0.2">
      <c r="C230" s="355"/>
      <c r="D230" s="355"/>
      <c r="E230" s="355"/>
      <c r="F230" s="355"/>
      <c r="G230" s="355"/>
      <c r="H230" s="355"/>
      <c r="I230" s="355"/>
      <c r="J230" s="355"/>
      <c r="K230" s="355"/>
      <c r="L230" s="355"/>
      <c r="M230" s="355"/>
      <c r="N230" s="355"/>
      <c r="O230" s="355"/>
      <c r="P230" s="355"/>
      <c r="Q230" s="355"/>
      <c r="R230" s="355"/>
      <c r="S230" s="355"/>
      <c r="T230" s="355"/>
      <c r="U230" s="355"/>
    </row>
    <row r="231" spans="3:21" s="404" customFormat="1" x14ac:dyDescent="0.2">
      <c r="C231" s="355"/>
      <c r="D231" s="355"/>
      <c r="E231" s="355"/>
      <c r="F231" s="355"/>
      <c r="G231" s="355"/>
      <c r="H231" s="355"/>
      <c r="I231" s="355"/>
      <c r="J231" s="355"/>
      <c r="K231" s="355"/>
      <c r="L231" s="355"/>
      <c r="M231" s="355"/>
      <c r="N231" s="355"/>
      <c r="O231" s="355"/>
      <c r="P231" s="355"/>
      <c r="Q231" s="355"/>
      <c r="R231" s="355"/>
      <c r="S231" s="355"/>
      <c r="T231" s="355"/>
      <c r="U231" s="355"/>
    </row>
    <row r="232" spans="3:21" s="404" customFormat="1" x14ac:dyDescent="0.2">
      <c r="C232" s="355"/>
      <c r="D232" s="355"/>
      <c r="E232" s="355"/>
      <c r="F232" s="355"/>
      <c r="G232" s="355"/>
      <c r="H232" s="355"/>
      <c r="I232" s="355"/>
      <c r="J232" s="355"/>
      <c r="K232" s="355"/>
      <c r="L232" s="355"/>
      <c r="M232" s="355"/>
      <c r="N232" s="355"/>
      <c r="O232" s="355"/>
      <c r="P232" s="355"/>
      <c r="Q232" s="355"/>
      <c r="R232" s="355"/>
      <c r="S232" s="355"/>
      <c r="T232" s="355"/>
      <c r="U232" s="355"/>
    </row>
    <row r="233" spans="3:21" s="404" customFormat="1" x14ac:dyDescent="0.2">
      <c r="C233" s="355"/>
      <c r="D233" s="355"/>
      <c r="E233" s="355"/>
      <c r="F233" s="355"/>
      <c r="G233" s="355"/>
      <c r="H233" s="355"/>
      <c r="I233" s="355"/>
      <c r="J233" s="355"/>
      <c r="K233" s="355"/>
      <c r="L233" s="355"/>
      <c r="M233" s="355"/>
      <c r="N233" s="355"/>
      <c r="O233" s="355"/>
      <c r="P233" s="355"/>
      <c r="Q233" s="355"/>
      <c r="R233" s="355"/>
      <c r="S233" s="355"/>
      <c r="T233" s="355"/>
      <c r="U233" s="355"/>
    </row>
    <row r="234" spans="3:21" s="404" customFormat="1" x14ac:dyDescent="0.2">
      <c r="C234" s="355"/>
      <c r="D234" s="355"/>
      <c r="E234" s="355"/>
      <c r="F234" s="355"/>
      <c r="G234" s="355"/>
      <c r="H234" s="355"/>
      <c r="I234" s="355"/>
      <c r="J234" s="355"/>
      <c r="K234" s="355"/>
      <c r="L234" s="355"/>
      <c r="M234" s="355"/>
      <c r="N234" s="355"/>
      <c r="O234" s="355"/>
      <c r="P234" s="355"/>
      <c r="Q234" s="355"/>
      <c r="R234" s="355"/>
      <c r="S234" s="355"/>
      <c r="T234" s="355"/>
      <c r="U234" s="355"/>
    </row>
    <row r="235" spans="3:21" s="404" customFormat="1" x14ac:dyDescent="0.2">
      <c r="C235" s="355"/>
      <c r="D235" s="355"/>
      <c r="E235" s="355"/>
      <c r="F235" s="355"/>
      <c r="G235" s="355"/>
      <c r="H235" s="355"/>
      <c r="I235" s="355"/>
      <c r="J235" s="355"/>
      <c r="K235" s="355"/>
      <c r="L235" s="355"/>
      <c r="M235" s="355"/>
      <c r="N235" s="355"/>
      <c r="O235" s="355"/>
      <c r="P235" s="355"/>
      <c r="Q235" s="355"/>
      <c r="R235" s="355"/>
      <c r="S235" s="355"/>
      <c r="T235" s="355"/>
      <c r="U235" s="355"/>
    </row>
    <row r="236" spans="3:21" s="404" customFormat="1" x14ac:dyDescent="0.2">
      <c r="C236" s="355"/>
      <c r="D236" s="355"/>
      <c r="E236" s="355"/>
      <c r="F236" s="355"/>
      <c r="G236" s="355"/>
      <c r="H236" s="355"/>
      <c r="I236" s="355"/>
      <c r="J236" s="355"/>
      <c r="K236" s="355"/>
      <c r="L236" s="355"/>
      <c r="M236" s="355"/>
      <c r="N236" s="355"/>
      <c r="O236" s="355"/>
      <c r="P236" s="355"/>
      <c r="Q236" s="355"/>
      <c r="R236" s="355"/>
      <c r="S236" s="355"/>
      <c r="T236" s="355"/>
      <c r="U236" s="355"/>
    </row>
    <row r="237" spans="3:21" s="404" customFormat="1" x14ac:dyDescent="0.2">
      <c r="C237" s="355"/>
      <c r="D237" s="355"/>
      <c r="E237" s="355"/>
      <c r="F237" s="355"/>
      <c r="G237" s="355"/>
      <c r="H237" s="355"/>
      <c r="I237" s="355"/>
      <c r="J237" s="355"/>
      <c r="K237" s="355"/>
      <c r="L237" s="355"/>
      <c r="M237" s="355"/>
      <c r="N237" s="355"/>
      <c r="O237" s="355"/>
      <c r="P237" s="355"/>
      <c r="Q237" s="355"/>
      <c r="R237" s="355"/>
      <c r="S237" s="355"/>
      <c r="T237" s="355"/>
      <c r="U237" s="355"/>
    </row>
    <row r="238" spans="3:21" s="404" customFormat="1" x14ac:dyDescent="0.2">
      <c r="C238" s="355"/>
      <c r="D238" s="355"/>
      <c r="E238" s="355"/>
      <c r="F238" s="355"/>
      <c r="G238" s="355"/>
      <c r="H238" s="355"/>
      <c r="I238" s="355"/>
      <c r="J238" s="355"/>
      <c r="K238" s="355"/>
      <c r="L238" s="355"/>
      <c r="M238" s="355"/>
      <c r="N238" s="355"/>
      <c r="O238" s="355"/>
      <c r="P238" s="355"/>
      <c r="Q238" s="355"/>
      <c r="R238" s="355"/>
      <c r="S238" s="355"/>
      <c r="T238" s="355"/>
      <c r="U238" s="355"/>
    </row>
    <row r="239" spans="3:21" s="404" customFormat="1" x14ac:dyDescent="0.2">
      <c r="C239" s="355"/>
      <c r="D239" s="355"/>
      <c r="E239" s="355"/>
      <c r="F239" s="355"/>
      <c r="G239" s="355"/>
      <c r="H239" s="355"/>
      <c r="I239" s="355"/>
      <c r="J239" s="355"/>
      <c r="K239" s="355"/>
      <c r="L239" s="355"/>
      <c r="M239" s="355"/>
      <c r="N239" s="355"/>
      <c r="O239" s="355"/>
      <c r="P239" s="355"/>
      <c r="Q239" s="355"/>
      <c r="R239" s="355"/>
      <c r="S239" s="355"/>
      <c r="T239" s="355"/>
      <c r="U239" s="355"/>
    </row>
    <row r="240" spans="3:21" s="404" customFormat="1" x14ac:dyDescent="0.2">
      <c r="C240" s="355"/>
      <c r="D240" s="355"/>
      <c r="E240" s="355"/>
      <c r="F240" s="355"/>
      <c r="G240" s="355"/>
      <c r="H240" s="355"/>
      <c r="I240" s="355"/>
      <c r="J240" s="355"/>
      <c r="K240" s="355"/>
      <c r="L240" s="355"/>
      <c r="M240" s="355"/>
      <c r="N240" s="355"/>
      <c r="O240" s="355"/>
      <c r="P240" s="355"/>
      <c r="Q240" s="355"/>
      <c r="R240" s="355"/>
      <c r="S240" s="355"/>
      <c r="T240" s="355"/>
      <c r="U240" s="355"/>
    </row>
    <row r="241" spans="3:21" s="404" customFormat="1" x14ac:dyDescent="0.2">
      <c r="C241" s="355"/>
      <c r="D241" s="355"/>
      <c r="E241" s="355"/>
      <c r="F241" s="355"/>
      <c r="G241" s="355"/>
      <c r="H241" s="355"/>
      <c r="I241" s="355"/>
      <c r="J241" s="355"/>
      <c r="K241" s="355"/>
      <c r="L241" s="355"/>
      <c r="M241" s="355"/>
      <c r="N241" s="355"/>
      <c r="O241" s="355"/>
      <c r="P241" s="355"/>
      <c r="Q241" s="355"/>
      <c r="R241" s="355"/>
      <c r="S241" s="355"/>
      <c r="T241" s="355"/>
      <c r="U241" s="355"/>
    </row>
    <row r="242" spans="3:21" s="404" customFormat="1" x14ac:dyDescent="0.2">
      <c r="C242" s="355"/>
      <c r="D242" s="355"/>
      <c r="E242" s="355"/>
      <c r="F242" s="355"/>
      <c r="G242" s="355"/>
      <c r="H242" s="355"/>
      <c r="I242" s="355"/>
      <c r="J242" s="355"/>
      <c r="K242" s="355"/>
      <c r="L242" s="355"/>
      <c r="M242" s="355"/>
      <c r="N242" s="355"/>
      <c r="O242" s="355"/>
      <c r="P242" s="355"/>
      <c r="Q242" s="355"/>
      <c r="R242" s="355"/>
      <c r="S242" s="355"/>
      <c r="T242" s="355"/>
      <c r="U242" s="355"/>
    </row>
    <row r="243" spans="3:21" s="404" customFormat="1" x14ac:dyDescent="0.2">
      <c r="C243" s="355"/>
      <c r="D243" s="355"/>
      <c r="E243" s="355"/>
      <c r="F243" s="355"/>
      <c r="G243" s="355"/>
      <c r="H243" s="355"/>
      <c r="I243" s="355"/>
      <c r="J243" s="355"/>
      <c r="K243" s="355"/>
      <c r="L243" s="355"/>
      <c r="M243" s="355"/>
      <c r="N243" s="355"/>
      <c r="O243" s="355"/>
      <c r="P243" s="355"/>
      <c r="Q243" s="355"/>
      <c r="R243" s="355"/>
      <c r="S243" s="355"/>
      <c r="T243" s="355"/>
      <c r="U243" s="355"/>
    </row>
    <row r="244" spans="3:21" s="404" customFormat="1" x14ac:dyDescent="0.2">
      <c r="C244" s="355"/>
      <c r="D244" s="355"/>
      <c r="E244" s="355"/>
      <c r="F244" s="355"/>
      <c r="G244" s="355"/>
      <c r="H244" s="355"/>
      <c r="I244" s="355"/>
      <c r="J244" s="355"/>
      <c r="K244" s="355"/>
      <c r="L244" s="355"/>
      <c r="M244" s="355"/>
      <c r="N244" s="355"/>
      <c r="O244" s="355"/>
      <c r="P244" s="355"/>
      <c r="Q244" s="355"/>
      <c r="R244" s="355"/>
      <c r="S244" s="355"/>
      <c r="T244" s="355"/>
      <c r="U244" s="355"/>
    </row>
    <row r="245" spans="3:21" s="404" customFormat="1" x14ac:dyDescent="0.2">
      <c r="C245" s="355"/>
      <c r="D245" s="355"/>
      <c r="E245" s="355"/>
      <c r="F245" s="355"/>
      <c r="G245" s="355"/>
      <c r="H245" s="355"/>
      <c r="I245" s="355"/>
      <c r="J245" s="355"/>
      <c r="K245" s="355"/>
      <c r="L245" s="355"/>
      <c r="M245" s="355"/>
      <c r="N245" s="355"/>
      <c r="O245" s="355"/>
      <c r="P245" s="355"/>
      <c r="Q245" s="355"/>
      <c r="R245" s="355"/>
      <c r="S245" s="355"/>
      <c r="T245" s="355"/>
      <c r="U245" s="355"/>
    </row>
    <row r="246" spans="3:21" s="404" customFormat="1" x14ac:dyDescent="0.2">
      <c r="C246" s="355"/>
      <c r="D246" s="355"/>
      <c r="E246" s="355"/>
      <c r="F246" s="355"/>
      <c r="G246" s="355"/>
      <c r="H246" s="355"/>
      <c r="I246" s="355"/>
      <c r="J246" s="355"/>
      <c r="K246" s="355"/>
      <c r="L246" s="355"/>
      <c r="M246" s="355"/>
      <c r="N246" s="355"/>
      <c r="O246" s="355"/>
      <c r="P246" s="355"/>
      <c r="Q246" s="355"/>
      <c r="R246" s="355"/>
      <c r="S246" s="355"/>
      <c r="T246" s="355"/>
      <c r="U246" s="355"/>
    </row>
    <row r="247" spans="3:21" s="404" customFormat="1" x14ac:dyDescent="0.2">
      <c r="C247" s="355"/>
      <c r="D247" s="355"/>
      <c r="E247" s="355"/>
      <c r="F247" s="355"/>
      <c r="G247" s="355"/>
      <c r="H247" s="355"/>
      <c r="I247" s="355"/>
      <c r="J247" s="355"/>
      <c r="K247" s="355"/>
      <c r="L247" s="355"/>
      <c r="M247" s="355"/>
      <c r="N247" s="355"/>
      <c r="O247" s="355"/>
      <c r="P247" s="355"/>
      <c r="Q247" s="355"/>
      <c r="R247" s="355"/>
      <c r="S247" s="355"/>
      <c r="T247" s="355"/>
      <c r="U247" s="355"/>
    </row>
    <row r="248" spans="3:21" s="404" customFormat="1" x14ac:dyDescent="0.2">
      <c r="C248" s="355"/>
      <c r="D248" s="355"/>
      <c r="E248" s="355"/>
      <c r="F248" s="355"/>
      <c r="G248" s="355"/>
      <c r="H248" s="355"/>
      <c r="I248" s="355"/>
      <c r="J248" s="355"/>
      <c r="K248" s="355"/>
      <c r="L248" s="355"/>
      <c r="M248" s="355"/>
      <c r="N248" s="355"/>
      <c r="O248" s="355"/>
      <c r="P248" s="355"/>
      <c r="Q248" s="355"/>
      <c r="R248" s="355"/>
      <c r="S248" s="355"/>
      <c r="T248" s="355"/>
      <c r="U248" s="355"/>
    </row>
    <row r="249" spans="3:21" s="404" customFormat="1" x14ac:dyDescent="0.2">
      <c r="C249" s="355"/>
      <c r="D249" s="355"/>
      <c r="E249" s="355"/>
      <c r="F249" s="355"/>
      <c r="G249" s="355"/>
      <c r="H249" s="355"/>
      <c r="I249" s="355"/>
      <c r="J249" s="355"/>
      <c r="K249" s="355"/>
      <c r="L249" s="355"/>
      <c r="M249" s="355"/>
      <c r="N249" s="355"/>
      <c r="O249" s="355"/>
      <c r="P249" s="355"/>
      <c r="Q249" s="355"/>
      <c r="R249" s="355"/>
      <c r="S249" s="355"/>
      <c r="T249" s="355"/>
      <c r="U249" s="355"/>
    </row>
    <row r="250" spans="3:21" s="404" customFormat="1" x14ac:dyDescent="0.2">
      <c r="C250" s="355"/>
      <c r="D250" s="355"/>
      <c r="E250" s="355"/>
      <c r="F250" s="355"/>
      <c r="G250" s="355"/>
      <c r="H250" s="355"/>
      <c r="I250" s="355"/>
      <c r="J250" s="355"/>
      <c r="K250" s="355"/>
      <c r="L250" s="355"/>
      <c r="M250" s="355"/>
      <c r="N250" s="355"/>
      <c r="O250" s="355"/>
      <c r="P250" s="355"/>
      <c r="Q250" s="355"/>
      <c r="R250" s="355"/>
      <c r="S250" s="355"/>
      <c r="T250" s="355"/>
      <c r="U250" s="355"/>
    </row>
    <row r="251" spans="3:21" s="404" customFormat="1" x14ac:dyDescent="0.2">
      <c r="C251" s="355"/>
      <c r="D251" s="355"/>
      <c r="E251" s="355"/>
      <c r="F251" s="355"/>
      <c r="G251" s="355"/>
      <c r="H251" s="355"/>
      <c r="I251" s="355"/>
      <c r="J251" s="355"/>
      <c r="K251" s="355"/>
      <c r="L251" s="355"/>
      <c r="M251" s="355"/>
      <c r="N251" s="355"/>
      <c r="O251" s="355"/>
      <c r="P251" s="355"/>
      <c r="Q251" s="355"/>
      <c r="R251" s="355"/>
      <c r="S251" s="355"/>
      <c r="T251" s="355"/>
      <c r="U251" s="355"/>
    </row>
    <row r="252" spans="3:21" s="404" customFormat="1" x14ac:dyDescent="0.2">
      <c r="C252" s="355"/>
      <c r="D252" s="355"/>
      <c r="E252" s="355"/>
      <c r="F252" s="355"/>
      <c r="G252" s="355"/>
      <c r="H252" s="355"/>
      <c r="I252" s="355"/>
      <c r="J252" s="355"/>
      <c r="K252" s="355"/>
      <c r="L252" s="355"/>
      <c r="M252" s="355"/>
      <c r="N252" s="355"/>
      <c r="O252" s="355"/>
      <c r="P252" s="355"/>
      <c r="Q252" s="355"/>
      <c r="R252" s="355"/>
      <c r="S252" s="355"/>
      <c r="T252" s="355"/>
      <c r="U252" s="355"/>
    </row>
    <row r="253" spans="3:21" s="404" customFormat="1" x14ac:dyDescent="0.2">
      <c r="C253" s="355"/>
      <c r="D253" s="355"/>
      <c r="E253" s="355"/>
      <c r="F253" s="355"/>
      <c r="G253" s="355"/>
      <c r="H253" s="355"/>
      <c r="I253" s="355"/>
      <c r="J253" s="355"/>
      <c r="K253" s="355"/>
      <c r="L253" s="355"/>
      <c r="M253" s="355"/>
      <c r="N253" s="355"/>
      <c r="O253" s="355"/>
      <c r="P253" s="355"/>
      <c r="Q253" s="355"/>
      <c r="R253" s="355"/>
      <c r="S253" s="355"/>
      <c r="T253" s="355"/>
      <c r="U253" s="355"/>
    </row>
    <row r="254" spans="3:21" s="404" customFormat="1" x14ac:dyDescent="0.2">
      <c r="C254" s="355"/>
      <c r="D254" s="355"/>
      <c r="E254" s="355"/>
      <c r="F254" s="355"/>
      <c r="G254" s="355"/>
      <c r="H254" s="355"/>
      <c r="I254" s="355"/>
      <c r="J254" s="355"/>
      <c r="K254" s="355"/>
      <c r="L254" s="355"/>
      <c r="M254" s="355"/>
      <c r="N254" s="355"/>
      <c r="O254" s="355"/>
      <c r="P254" s="355"/>
      <c r="Q254" s="355"/>
      <c r="R254" s="355"/>
      <c r="S254" s="355"/>
      <c r="T254" s="355"/>
      <c r="U254" s="355"/>
    </row>
    <row r="255" spans="3:21" s="404" customFormat="1" x14ac:dyDescent="0.2">
      <c r="C255" s="355"/>
      <c r="D255" s="355"/>
      <c r="E255" s="355"/>
      <c r="F255" s="355"/>
      <c r="G255" s="355"/>
      <c r="H255" s="355"/>
      <c r="I255" s="355"/>
      <c r="J255" s="355"/>
      <c r="K255" s="355"/>
      <c r="L255" s="355"/>
      <c r="M255" s="355"/>
      <c r="N255" s="355"/>
      <c r="O255" s="355"/>
      <c r="P255" s="355"/>
      <c r="Q255" s="355"/>
      <c r="R255" s="355"/>
      <c r="S255" s="355"/>
      <c r="T255" s="355"/>
      <c r="U255" s="355"/>
    </row>
    <row r="256" spans="3:21" s="404" customFormat="1" x14ac:dyDescent="0.2">
      <c r="C256" s="355"/>
      <c r="D256" s="355"/>
      <c r="E256" s="355"/>
      <c r="F256" s="355"/>
      <c r="G256" s="355"/>
      <c r="H256" s="355"/>
      <c r="I256" s="355"/>
      <c r="J256" s="355"/>
      <c r="K256" s="355"/>
      <c r="L256" s="355"/>
      <c r="M256" s="355"/>
      <c r="N256" s="355"/>
      <c r="O256" s="355"/>
      <c r="P256" s="355"/>
      <c r="Q256" s="355"/>
      <c r="R256" s="355"/>
      <c r="S256" s="355"/>
      <c r="T256" s="355"/>
      <c r="U256" s="355"/>
    </row>
    <row r="257" spans="3:21" s="404" customFormat="1" x14ac:dyDescent="0.2">
      <c r="C257" s="355"/>
      <c r="D257" s="355"/>
      <c r="E257" s="355"/>
      <c r="F257" s="355"/>
      <c r="G257" s="355"/>
      <c r="H257" s="355"/>
      <c r="I257" s="355"/>
      <c r="J257" s="355"/>
      <c r="K257" s="355"/>
      <c r="L257" s="355"/>
      <c r="M257" s="355"/>
      <c r="N257" s="355"/>
      <c r="O257" s="355"/>
      <c r="P257" s="355"/>
      <c r="Q257" s="355"/>
      <c r="R257" s="355"/>
      <c r="S257" s="355"/>
      <c r="T257" s="355"/>
      <c r="U257" s="355"/>
    </row>
    <row r="258" spans="3:21" s="404" customFormat="1" x14ac:dyDescent="0.2">
      <c r="C258" s="355"/>
      <c r="D258" s="355"/>
      <c r="E258" s="355"/>
      <c r="F258" s="355"/>
      <c r="G258" s="355"/>
      <c r="H258" s="355"/>
      <c r="I258" s="355"/>
      <c r="J258" s="355"/>
      <c r="K258" s="355"/>
      <c r="L258" s="355"/>
      <c r="M258" s="355"/>
      <c r="N258" s="355"/>
      <c r="O258" s="355"/>
      <c r="P258" s="355"/>
      <c r="Q258" s="355"/>
      <c r="R258" s="355"/>
      <c r="S258" s="355"/>
      <c r="T258" s="355"/>
      <c r="U258" s="355"/>
    </row>
    <row r="259" spans="3:21" s="404" customFormat="1" x14ac:dyDescent="0.2">
      <c r="C259" s="355"/>
      <c r="D259" s="355"/>
      <c r="E259" s="355"/>
      <c r="F259" s="355"/>
      <c r="G259" s="355"/>
      <c r="H259" s="355"/>
      <c r="I259" s="355"/>
      <c r="J259" s="355"/>
      <c r="K259" s="355"/>
      <c r="L259" s="355"/>
      <c r="M259" s="355"/>
      <c r="N259" s="355"/>
      <c r="O259" s="355"/>
      <c r="P259" s="355"/>
      <c r="Q259" s="355"/>
      <c r="R259" s="355"/>
      <c r="S259" s="355"/>
      <c r="T259" s="355"/>
      <c r="U259" s="355"/>
    </row>
    <row r="260" spans="3:21" s="404" customFormat="1" x14ac:dyDescent="0.2">
      <c r="C260" s="355"/>
      <c r="D260" s="355"/>
      <c r="E260" s="355"/>
      <c r="F260" s="355"/>
      <c r="G260" s="355"/>
      <c r="H260" s="355"/>
      <c r="I260" s="355"/>
      <c r="J260" s="355"/>
      <c r="K260" s="355"/>
      <c r="L260" s="355"/>
      <c r="M260" s="355"/>
      <c r="N260" s="355"/>
      <c r="O260" s="355"/>
      <c r="P260" s="355"/>
      <c r="Q260" s="355"/>
      <c r="R260" s="355"/>
      <c r="S260" s="355"/>
      <c r="T260" s="355"/>
      <c r="U260" s="355"/>
    </row>
    <row r="261" spans="3:21" s="404" customFormat="1" x14ac:dyDescent="0.2">
      <c r="C261" s="355"/>
      <c r="D261" s="355"/>
      <c r="E261" s="355"/>
      <c r="F261" s="355"/>
      <c r="G261" s="355"/>
      <c r="H261" s="355"/>
      <c r="I261" s="355"/>
      <c r="J261" s="355"/>
      <c r="K261" s="355"/>
      <c r="L261" s="355"/>
      <c r="M261" s="355"/>
      <c r="N261" s="355"/>
      <c r="O261" s="355"/>
      <c r="P261" s="355"/>
      <c r="Q261" s="355"/>
      <c r="R261" s="355"/>
      <c r="S261" s="355"/>
      <c r="T261" s="355"/>
      <c r="U261" s="355"/>
    </row>
    <row r="262" spans="3:21" s="404" customFormat="1" x14ac:dyDescent="0.2">
      <c r="C262" s="355"/>
      <c r="D262" s="355"/>
      <c r="E262" s="355"/>
      <c r="F262" s="355"/>
      <c r="G262" s="355"/>
      <c r="H262" s="355"/>
      <c r="I262" s="355"/>
      <c r="J262" s="355"/>
      <c r="K262" s="355"/>
      <c r="L262" s="355"/>
      <c r="M262" s="355"/>
      <c r="N262" s="355"/>
      <c r="O262" s="355"/>
      <c r="P262" s="355"/>
      <c r="Q262" s="355"/>
      <c r="R262" s="355"/>
      <c r="S262" s="355"/>
      <c r="T262" s="355"/>
      <c r="U262" s="355"/>
    </row>
    <row r="263" spans="3:21" s="404" customFormat="1" x14ac:dyDescent="0.2">
      <c r="C263" s="355"/>
      <c r="D263" s="355"/>
      <c r="E263" s="355"/>
      <c r="F263" s="355"/>
      <c r="G263" s="355"/>
      <c r="H263" s="355"/>
      <c r="I263" s="355"/>
      <c r="J263" s="355"/>
      <c r="K263" s="355"/>
      <c r="L263" s="355"/>
      <c r="M263" s="355"/>
      <c r="N263" s="355"/>
      <c r="O263" s="355"/>
      <c r="P263" s="355"/>
      <c r="Q263" s="355"/>
      <c r="R263" s="355"/>
      <c r="S263" s="355"/>
      <c r="T263" s="355"/>
      <c r="U263" s="355"/>
    </row>
    <row r="264" spans="3:21" s="404" customFormat="1" x14ac:dyDescent="0.2">
      <c r="C264" s="355"/>
      <c r="D264" s="355"/>
      <c r="E264" s="355"/>
      <c r="F264" s="355"/>
      <c r="G264" s="355"/>
      <c r="H264" s="355"/>
      <c r="I264" s="355"/>
      <c r="J264" s="355"/>
      <c r="K264" s="355"/>
      <c r="L264" s="355"/>
      <c r="M264" s="355"/>
      <c r="N264" s="355"/>
      <c r="O264" s="355"/>
      <c r="P264" s="355"/>
      <c r="Q264" s="355"/>
      <c r="R264" s="355"/>
      <c r="S264" s="355"/>
      <c r="T264" s="355"/>
      <c r="U264" s="355"/>
    </row>
    <row r="265" spans="3:21" s="404" customFormat="1" x14ac:dyDescent="0.2">
      <c r="C265" s="355"/>
      <c r="D265" s="355"/>
      <c r="E265" s="355"/>
      <c r="F265" s="355"/>
      <c r="G265" s="355"/>
      <c r="H265" s="355"/>
      <c r="I265" s="355"/>
      <c r="J265" s="355"/>
      <c r="K265" s="355"/>
      <c r="L265" s="355"/>
      <c r="M265" s="355"/>
      <c r="N265" s="355"/>
      <c r="O265" s="355"/>
      <c r="P265" s="355"/>
      <c r="Q265" s="355"/>
      <c r="R265" s="355"/>
      <c r="S265" s="355"/>
      <c r="T265" s="355"/>
      <c r="U265" s="355"/>
    </row>
    <row r="266" spans="3:21" s="404" customFormat="1" x14ac:dyDescent="0.2">
      <c r="C266" s="355"/>
      <c r="D266" s="355"/>
      <c r="E266" s="355"/>
      <c r="F266" s="355"/>
      <c r="G266" s="355"/>
      <c r="H266" s="355"/>
      <c r="I266" s="355"/>
      <c r="J266" s="355"/>
      <c r="K266" s="355"/>
      <c r="L266" s="355"/>
      <c r="M266" s="355"/>
      <c r="N266" s="355"/>
      <c r="O266" s="355"/>
      <c r="P266" s="355"/>
      <c r="Q266" s="355"/>
      <c r="R266" s="355"/>
      <c r="S266" s="355"/>
      <c r="T266" s="355"/>
      <c r="U266" s="355"/>
    </row>
    <row r="267" spans="3:21" s="404" customFormat="1" x14ac:dyDescent="0.2">
      <c r="C267" s="355"/>
      <c r="D267" s="355"/>
      <c r="E267" s="355"/>
      <c r="F267" s="355"/>
      <c r="G267" s="355"/>
      <c r="H267" s="355"/>
      <c r="I267" s="355"/>
      <c r="J267" s="355"/>
      <c r="K267" s="355"/>
      <c r="L267" s="355"/>
      <c r="M267" s="355"/>
      <c r="N267" s="355"/>
      <c r="O267" s="355"/>
      <c r="P267" s="355"/>
      <c r="Q267" s="355"/>
      <c r="R267" s="355"/>
      <c r="S267" s="355"/>
      <c r="T267" s="355"/>
      <c r="U267" s="355"/>
    </row>
    <row r="268" spans="3:21" s="404" customFormat="1" x14ac:dyDescent="0.2">
      <c r="C268" s="355"/>
      <c r="D268" s="355"/>
      <c r="E268" s="355"/>
      <c r="F268" s="355"/>
      <c r="G268" s="355"/>
      <c r="H268" s="355"/>
      <c r="I268" s="355"/>
      <c r="J268" s="355"/>
      <c r="K268" s="355"/>
      <c r="L268" s="355"/>
      <c r="M268" s="355"/>
      <c r="N268" s="355"/>
      <c r="O268" s="355"/>
      <c r="P268" s="355"/>
      <c r="Q268" s="355"/>
      <c r="R268" s="355"/>
      <c r="S268" s="355"/>
      <c r="T268" s="355"/>
      <c r="U268" s="355"/>
    </row>
    <row r="269" spans="3:21" s="404" customFormat="1" x14ac:dyDescent="0.2">
      <c r="C269" s="355"/>
      <c r="D269" s="355"/>
      <c r="E269" s="355"/>
      <c r="F269" s="355"/>
      <c r="G269" s="355"/>
      <c r="H269" s="355"/>
      <c r="I269" s="355"/>
      <c r="J269" s="355"/>
      <c r="K269" s="355"/>
      <c r="L269" s="355"/>
      <c r="M269" s="355"/>
      <c r="N269" s="355"/>
      <c r="O269" s="355"/>
      <c r="P269" s="355"/>
      <c r="Q269" s="355"/>
      <c r="R269" s="355"/>
      <c r="S269" s="355"/>
      <c r="T269" s="355"/>
      <c r="U269" s="355"/>
    </row>
    <row r="270" spans="3:21" s="404" customFormat="1" x14ac:dyDescent="0.2">
      <c r="C270" s="355"/>
      <c r="D270" s="355"/>
      <c r="E270" s="355"/>
      <c r="F270" s="355"/>
      <c r="G270" s="355"/>
      <c r="H270" s="355"/>
      <c r="I270" s="355"/>
      <c r="J270" s="355"/>
      <c r="K270" s="355"/>
      <c r="L270" s="355"/>
      <c r="M270" s="355"/>
      <c r="N270" s="355"/>
      <c r="O270" s="355"/>
      <c r="P270" s="355"/>
      <c r="Q270" s="355"/>
      <c r="R270" s="355"/>
      <c r="S270" s="355"/>
      <c r="T270" s="355"/>
      <c r="U270" s="355"/>
    </row>
    <row r="271" spans="3:21" s="404" customFormat="1" x14ac:dyDescent="0.2">
      <c r="C271" s="355"/>
      <c r="D271" s="355"/>
      <c r="E271" s="355"/>
      <c r="F271" s="355"/>
      <c r="G271" s="355"/>
      <c r="H271" s="355"/>
      <c r="I271" s="355"/>
      <c r="J271" s="355"/>
      <c r="K271" s="355"/>
      <c r="L271" s="355"/>
      <c r="M271" s="355"/>
      <c r="N271" s="355"/>
      <c r="O271" s="355"/>
      <c r="P271" s="355"/>
      <c r="Q271" s="355"/>
      <c r="R271" s="355"/>
      <c r="S271" s="355"/>
      <c r="T271" s="355"/>
      <c r="U271" s="355"/>
    </row>
    <row r="272" spans="3:21" s="404" customFormat="1" x14ac:dyDescent="0.2">
      <c r="C272" s="355"/>
      <c r="D272" s="355"/>
      <c r="E272" s="355"/>
      <c r="F272" s="355"/>
      <c r="G272" s="355"/>
      <c r="H272" s="355"/>
      <c r="I272" s="355"/>
      <c r="J272" s="355"/>
      <c r="K272" s="355"/>
      <c r="L272" s="355"/>
      <c r="M272" s="355"/>
      <c r="N272" s="355"/>
      <c r="O272" s="355"/>
      <c r="P272" s="355"/>
      <c r="Q272" s="355"/>
      <c r="R272" s="355"/>
      <c r="S272" s="355"/>
      <c r="T272" s="355"/>
      <c r="U272" s="355"/>
    </row>
    <row r="273" spans="3:21" s="404" customFormat="1" x14ac:dyDescent="0.2">
      <c r="C273" s="355"/>
      <c r="D273" s="355"/>
      <c r="E273" s="355"/>
      <c r="F273" s="355"/>
      <c r="G273" s="355"/>
      <c r="H273" s="355"/>
      <c r="I273" s="355"/>
      <c r="J273" s="355"/>
      <c r="K273" s="355"/>
      <c r="L273" s="355"/>
      <c r="M273" s="355"/>
      <c r="N273" s="355"/>
      <c r="O273" s="355"/>
      <c r="P273" s="355"/>
      <c r="Q273" s="355"/>
      <c r="R273" s="355"/>
      <c r="S273" s="355"/>
      <c r="T273" s="355"/>
      <c r="U273" s="355"/>
    </row>
    <row r="274" spans="3:21" s="404" customFormat="1" x14ac:dyDescent="0.2">
      <c r="C274" s="355"/>
      <c r="D274" s="355"/>
      <c r="E274" s="355"/>
      <c r="F274" s="355"/>
      <c r="G274" s="355"/>
      <c r="H274" s="355"/>
      <c r="I274" s="355"/>
      <c r="J274" s="355"/>
      <c r="K274" s="355"/>
      <c r="L274" s="355"/>
      <c r="M274" s="355"/>
      <c r="N274" s="355"/>
      <c r="O274" s="355"/>
      <c r="P274" s="355"/>
      <c r="Q274" s="355"/>
      <c r="R274" s="355"/>
      <c r="S274" s="355"/>
      <c r="T274" s="355"/>
      <c r="U274" s="355"/>
    </row>
    <row r="275" spans="3:21" s="404" customFormat="1" x14ac:dyDescent="0.2">
      <c r="C275" s="355"/>
      <c r="D275" s="355"/>
      <c r="E275" s="355"/>
      <c r="F275" s="355"/>
      <c r="G275" s="355"/>
      <c r="H275" s="355"/>
      <c r="I275" s="355"/>
      <c r="J275" s="355"/>
      <c r="K275" s="355"/>
      <c r="L275" s="355"/>
      <c r="M275" s="355"/>
      <c r="N275" s="355"/>
      <c r="O275" s="355"/>
      <c r="P275" s="355"/>
      <c r="Q275" s="355"/>
      <c r="R275" s="355"/>
      <c r="S275" s="355"/>
      <c r="T275" s="355"/>
      <c r="U275" s="355"/>
    </row>
    <row r="276" spans="3:21" s="404" customFormat="1" x14ac:dyDescent="0.2">
      <c r="C276" s="355"/>
      <c r="D276" s="355"/>
      <c r="E276" s="355"/>
      <c r="F276" s="355"/>
      <c r="G276" s="355"/>
      <c r="H276" s="355"/>
      <c r="I276" s="355"/>
      <c r="J276" s="355"/>
      <c r="K276" s="355"/>
      <c r="L276" s="355"/>
      <c r="M276" s="355"/>
      <c r="N276" s="355"/>
      <c r="O276" s="355"/>
      <c r="P276" s="355"/>
      <c r="Q276" s="355"/>
      <c r="R276" s="355"/>
      <c r="S276" s="355"/>
      <c r="T276" s="355"/>
      <c r="U276" s="355"/>
    </row>
    <row r="277" spans="3:21" s="404" customFormat="1" x14ac:dyDescent="0.2">
      <c r="C277" s="355"/>
      <c r="D277" s="355"/>
      <c r="E277" s="355"/>
      <c r="F277" s="355"/>
      <c r="G277" s="355"/>
      <c r="H277" s="355"/>
      <c r="I277" s="355"/>
      <c r="J277" s="355"/>
      <c r="K277" s="355"/>
      <c r="L277" s="355"/>
      <c r="M277" s="355"/>
      <c r="N277" s="355"/>
      <c r="O277" s="355"/>
      <c r="P277" s="355"/>
      <c r="Q277" s="355"/>
      <c r="R277" s="355"/>
      <c r="S277" s="355"/>
      <c r="T277" s="355"/>
      <c r="U277" s="355"/>
    </row>
    <row r="278" spans="3:21" s="404" customFormat="1" x14ac:dyDescent="0.2">
      <c r="C278" s="355"/>
      <c r="D278" s="355"/>
      <c r="E278" s="355"/>
      <c r="F278" s="355"/>
      <c r="G278" s="355"/>
      <c r="H278" s="355"/>
      <c r="I278" s="355"/>
      <c r="J278" s="355"/>
      <c r="K278" s="355"/>
      <c r="L278" s="355"/>
      <c r="M278" s="355"/>
      <c r="N278" s="355"/>
      <c r="O278" s="355"/>
      <c r="P278" s="355"/>
      <c r="Q278" s="355"/>
      <c r="R278" s="355"/>
      <c r="S278" s="355"/>
      <c r="T278" s="355"/>
      <c r="U278" s="355"/>
    </row>
    <row r="279" spans="3:21" s="404" customFormat="1" x14ac:dyDescent="0.2">
      <c r="C279" s="355"/>
      <c r="D279" s="355"/>
      <c r="E279" s="355"/>
      <c r="F279" s="355"/>
      <c r="G279" s="355"/>
      <c r="H279" s="355"/>
      <c r="I279" s="355"/>
      <c r="J279" s="355"/>
      <c r="K279" s="355"/>
      <c r="L279" s="355"/>
      <c r="M279" s="355"/>
      <c r="N279" s="355"/>
      <c r="O279" s="355"/>
      <c r="P279" s="355"/>
      <c r="Q279" s="355"/>
      <c r="R279" s="355"/>
      <c r="S279" s="355"/>
      <c r="T279" s="355"/>
      <c r="U279" s="355"/>
    </row>
    <row r="280" spans="3:21" s="404" customFormat="1" x14ac:dyDescent="0.2">
      <c r="C280" s="355"/>
      <c r="D280" s="355"/>
      <c r="E280" s="355"/>
      <c r="F280" s="355"/>
      <c r="G280" s="355"/>
      <c r="H280" s="355"/>
      <c r="I280" s="355"/>
      <c r="J280" s="355"/>
      <c r="K280" s="355"/>
      <c r="L280" s="355"/>
      <c r="M280" s="355"/>
      <c r="N280" s="355"/>
      <c r="O280" s="355"/>
      <c r="P280" s="355"/>
      <c r="Q280" s="355"/>
      <c r="R280" s="355"/>
      <c r="S280" s="355"/>
      <c r="T280" s="355"/>
      <c r="U280" s="355"/>
    </row>
    <row r="281" spans="3:21" s="404" customFormat="1" x14ac:dyDescent="0.2">
      <c r="C281" s="355"/>
      <c r="D281" s="355"/>
      <c r="E281" s="355"/>
      <c r="F281" s="355"/>
      <c r="G281" s="355"/>
      <c r="H281" s="355"/>
      <c r="I281" s="355"/>
      <c r="J281" s="355"/>
      <c r="K281" s="355"/>
      <c r="L281" s="355"/>
      <c r="M281" s="355"/>
      <c r="N281" s="355"/>
      <c r="O281" s="355"/>
      <c r="P281" s="355"/>
      <c r="Q281" s="355"/>
      <c r="R281" s="355"/>
      <c r="S281" s="355"/>
      <c r="T281" s="355"/>
      <c r="U281" s="355"/>
    </row>
    <row r="282" spans="3:21" s="404" customFormat="1" x14ac:dyDescent="0.2">
      <c r="C282" s="355"/>
      <c r="D282" s="355"/>
      <c r="E282" s="355"/>
      <c r="F282" s="355"/>
      <c r="G282" s="355"/>
      <c r="H282" s="355"/>
      <c r="I282" s="355"/>
      <c r="J282" s="355"/>
      <c r="K282" s="355"/>
      <c r="L282" s="355"/>
      <c r="M282" s="355"/>
      <c r="N282" s="355"/>
      <c r="O282" s="355"/>
      <c r="P282" s="355"/>
      <c r="Q282" s="355"/>
      <c r="R282" s="355"/>
      <c r="S282" s="355"/>
      <c r="T282" s="355"/>
      <c r="U282" s="355"/>
    </row>
    <row r="283" spans="3:21" s="404" customFormat="1" x14ac:dyDescent="0.2">
      <c r="C283" s="355"/>
      <c r="D283" s="355"/>
      <c r="E283" s="355"/>
      <c r="F283" s="355"/>
      <c r="G283" s="355"/>
      <c r="H283" s="355"/>
      <c r="I283" s="355"/>
      <c r="J283" s="355"/>
      <c r="K283" s="355"/>
      <c r="L283" s="355"/>
      <c r="M283" s="355"/>
      <c r="N283" s="355"/>
      <c r="O283" s="355"/>
      <c r="P283" s="355"/>
      <c r="Q283" s="355"/>
      <c r="R283" s="355"/>
      <c r="S283" s="355"/>
      <c r="T283" s="355"/>
      <c r="U283" s="355"/>
    </row>
    <row r="284" spans="3:21" s="404" customFormat="1" x14ac:dyDescent="0.2">
      <c r="C284" s="355"/>
      <c r="D284" s="355"/>
      <c r="E284" s="355"/>
      <c r="F284" s="355"/>
      <c r="G284" s="355"/>
      <c r="H284" s="355"/>
      <c r="I284" s="355"/>
      <c r="J284" s="355"/>
      <c r="K284" s="355"/>
      <c r="L284" s="355"/>
      <c r="M284" s="355"/>
      <c r="N284" s="355"/>
      <c r="O284" s="355"/>
      <c r="P284" s="355"/>
      <c r="Q284" s="355"/>
      <c r="R284" s="355"/>
      <c r="S284" s="355"/>
      <c r="T284" s="355"/>
      <c r="U284" s="355"/>
    </row>
    <row r="285" spans="3:21" s="404" customFormat="1" x14ac:dyDescent="0.2">
      <c r="C285" s="355"/>
      <c r="D285" s="355"/>
      <c r="E285" s="355"/>
      <c r="F285" s="355"/>
      <c r="G285" s="355"/>
      <c r="H285" s="355"/>
      <c r="I285" s="355"/>
      <c r="J285" s="355"/>
      <c r="K285" s="355"/>
      <c r="L285" s="355"/>
      <c r="M285" s="355"/>
      <c r="N285" s="355"/>
      <c r="O285" s="355"/>
      <c r="P285" s="355"/>
      <c r="Q285" s="355"/>
      <c r="R285" s="355"/>
      <c r="S285" s="355"/>
      <c r="T285" s="355"/>
      <c r="U285" s="355"/>
    </row>
    <row r="286" spans="3:21" s="404" customFormat="1" x14ac:dyDescent="0.2">
      <c r="C286" s="355"/>
      <c r="D286" s="355"/>
      <c r="E286" s="355"/>
      <c r="F286" s="355"/>
      <c r="G286" s="355"/>
      <c r="H286" s="355"/>
      <c r="I286" s="355"/>
      <c r="J286" s="355"/>
      <c r="K286" s="355"/>
      <c r="L286" s="355"/>
      <c r="M286" s="355"/>
      <c r="N286" s="355"/>
      <c r="O286" s="355"/>
      <c r="P286" s="355"/>
      <c r="Q286" s="355"/>
      <c r="R286" s="355"/>
      <c r="S286" s="355"/>
      <c r="T286" s="355"/>
      <c r="U286" s="355"/>
    </row>
    <row r="287" spans="3:21" s="404" customFormat="1" x14ac:dyDescent="0.2">
      <c r="C287" s="355"/>
      <c r="D287" s="355"/>
      <c r="E287" s="355"/>
      <c r="F287" s="355"/>
      <c r="G287" s="355"/>
      <c r="H287" s="355"/>
      <c r="I287" s="355"/>
      <c r="J287" s="355"/>
      <c r="K287" s="355"/>
      <c r="L287" s="355"/>
      <c r="M287" s="355"/>
      <c r="N287" s="355"/>
      <c r="O287" s="355"/>
      <c r="P287" s="355"/>
      <c r="Q287" s="355"/>
      <c r="R287" s="355"/>
      <c r="S287" s="355"/>
      <c r="T287" s="355"/>
      <c r="U287" s="355"/>
    </row>
    <row r="288" spans="3:21" s="404" customFormat="1" x14ac:dyDescent="0.2">
      <c r="C288" s="355"/>
      <c r="D288" s="355"/>
      <c r="E288" s="355"/>
      <c r="F288" s="355"/>
      <c r="G288" s="355"/>
      <c r="H288" s="355"/>
      <c r="I288" s="355"/>
      <c r="J288" s="355"/>
      <c r="K288" s="355"/>
      <c r="L288" s="355"/>
      <c r="M288" s="355"/>
      <c r="N288" s="355"/>
      <c r="O288" s="355"/>
      <c r="P288" s="355"/>
      <c r="Q288" s="355"/>
      <c r="R288" s="355"/>
      <c r="S288" s="355"/>
      <c r="T288" s="355"/>
      <c r="U288" s="355"/>
    </row>
    <row r="289" spans="3:21" s="404" customFormat="1" x14ac:dyDescent="0.2">
      <c r="C289" s="355"/>
      <c r="D289" s="355"/>
      <c r="E289" s="355"/>
      <c r="F289" s="355"/>
      <c r="G289" s="355"/>
      <c r="H289" s="355"/>
      <c r="I289" s="355"/>
      <c r="J289" s="355"/>
      <c r="K289" s="355"/>
      <c r="L289" s="355"/>
      <c r="M289" s="355"/>
      <c r="N289" s="355"/>
      <c r="O289" s="355"/>
      <c r="P289" s="355"/>
      <c r="Q289" s="355"/>
      <c r="R289" s="355"/>
      <c r="S289" s="355"/>
      <c r="T289" s="355"/>
      <c r="U289" s="355"/>
    </row>
    <row r="290" spans="3:21" s="404" customFormat="1" x14ac:dyDescent="0.2">
      <c r="C290" s="355"/>
      <c r="D290" s="355"/>
      <c r="E290" s="355"/>
      <c r="F290" s="355"/>
      <c r="G290" s="355"/>
      <c r="H290" s="355"/>
      <c r="I290" s="355"/>
      <c r="J290" s="355"/>
      <c r="K290" s="355"/>
      <c r="L290" s="355"/>
      <c r="M290" s="355"/>
      <c r="N290" s="355"/>
      <c r="O290" s="355"/>
      <c r="P290" s="355"/>
      <c r="Q290" s="355"/>
      <c r="R290" s="355"/>
      <c r="S290" s="355"/>
      <c r="T290" s="355"/>
      <c r="U290" s="355"/>
    </row>
    <row r="291" spans="3:21" s="404" customFormat="1" x14ac:dyDescent="0.2">
      <c r="C291" s="355"/>
      <c r="D291" s="355"/>
      <c r="E291" s="355"/>
      <c r="F291" s="355"/>
      <c r="G291" s="355"/>
      <c r="H291" s="355"/>
      <c r="I291" s="355"/>
      <c r="J291" s="355"/>
      <c r="K291" s="355"/>
      <c r="L291" s="355"/>
      <c r="M291" s="355"/>
      <c r="N291" s="355"/>
      <c r="O291" s="355"/>
      <c r="P291" s="355"/>
      <c r="Q291" s="355"/>
      <c r="R291" s="355"/>
      <c r="S291" s="355"/>
      <c r="T291" s="355"/>
      <c r="U291" s="355"/>
    </row>
    <row r="292" spans="3:21" s="404" customFormat="1" x14ac:dyDescent="0.2">
      <c r="C292" s="355"/>
      <c r="D292" s="355"/>
      <c r="E292" s="355"/>
      <c r="F292" s="355"/>
      <c r="G292" s="355"/>
      <c r="H292" s="355"/>
      <c r="I292" s="355"/>
      <c r="J292" s="355"/>
      <c r="K292" s="355"/>
      <c r="L292" s="355"/>
      <c r="M292" s="355"/>
      <c r="N292" s="355"/>
      <c r="O292" s="355"/>
      <c r="P292" s="355"/>
      <c r="Q292" s="355"/>
      <c r="R292" s="355"/>
      <c r="S292" s="355"/>
      <c r="T292" s="355"/>
      <c r="U292" s="355"/>
    </row>
    <row r="293" spans="3:21" s="404" customFormat="1" x14ac:dyDescent="0.2">
      <c r="C293" s="355"/>
      <c r="D293" s="355"/>
      <c r="E293" s="355"/>
      <c r="F293" s="355"/>
      <c r="G293" s="355"/>
      <c r="H293" s="355"/>
      <c r="I293" s="355"/>
      <c r="J293" s="355"/>
      <c r="K293" s="355"/>
      <c r="L293" s="355"/>
      <c r="M293" s="355"/>
      <c r="N293" s="355"/>
      <c r="O293" s="355"/>
      <c r="P293" s="355"/>
      <c r="Q293" s="355"/>
      <c r="R293" s="355"/>
      <c r="S293" s="355"/>
      <c r="T293" s="355"/>
      <c r="U293" s="355"/>
    </row>
    <row r="294" spans="3:21" s="404" customFormat="1" x14ac:dyDescent="0.2">
      <c r="C294" s="355"/>
      <c r="D294" s="355"/>
      <c r="E294" s="355"/>
      <c r="F294" s="355"/>
      <c r="G294" s="355"/>
      <c r="H294" s="355"/>
      <c r="I294" s="355"/>
      <c r="J294" s="355"/>
      <c r="K294" s="355"/>
      <c r="L294" s="355"/>
      <c r="M294" s="355"/>
      <c r="N294" s="355"/>
      <c r="O294" s="355"/>
      <c r="P294" s="355"/>
      <c r="Q294" s="355"/>
      <c r="R294" s="355"/>
      <c r="S294" s="355"/>
      <c r="T294" s="355"/>
      <c r="U294" s="355"/>
    </row>
    <row r="295" spans="3:21" s="404" customFormat="1" x14ac:dyDescent="0.2">
      <c r="C295" s="355"/>
      <c r="D295" s="355"/>
      <c r="E295" s="355"/>
      <c r="F295" s="355"/>
      <c r="G295" s="355"/>
      <c r="H295" s="355"/>
      <c r="I295" s="355"/>
      <c r="J295" s="355"/>
      <c r="K295" s="355"/>
      <c r="L295" s="355"/>
      <c r="M295" s="355"/>
      <c r="N295" s="355"/>
      <c r="O295" s="355"/>
      <c r="P295" s="355"/>
      <c r="Q295" s="355"/>
      <c r="R295" s="355"/>
      <c r="S295" s="355"/>
      <c r="T295" s="355"/>
      <c r="U295" s="355"/>
    </row>
    <row r="296" spans="3:21" s="404" customFormat="1" x14ac:dyDescent="0.2">
      <c r="C296" s="355"/>
      <c r="D296" s="355"/>
      <c r="E296" s="355"/>
      <c r="F296" s="355"/>
      <c r="G296" s="355"/>
      <c r="H296" s="355"/>
      <c r="I296" s="355"/>
      <c r="J296" s="355"/>
      <c r="K296" s="355"/>
      <c r="L296" s="355"/>
      <c r="M296" s="355"/>
      <c r="N296" s="355"/>
      <c r="O296" s="355"/>
      <c r="P296" s="355"/>
      <c r="Q296" s="355"/>
      <c r="R296" s="355"/>
      <c r="S296" s="355"/>
      <c r="T296" s="355"/>
      <c r="U296" s="355"/>
    </row>
    <row r="297" spans="3:21" s="404" customFormat="1" x14ac:dyDescent="0.2">
      <c r="C297" s="355"/>
      <c r="D297" s="355"/>
      <c r="E297" s="355"/>
      <c r="F297" s="355"/>
      <c r="G297" s="355"/>
      <c r="H297" s="355"/>
      <c r="I297" s="355"/>
      <c r="J297" s="355"/>
      <c r="K297" s="355"/>
      <c r="L297" s="355"/>
      <c r="M297" s="355"/>
      <c r="N297" s="355"/>
      <c r="O297" s="355"/>
      <c r="P297" s="355"/>
      <c r="Q297" s="355"/>
      <c r="R297" s="355"/>
      <c r="S297" s="355"/>
      <c r="T297" s="355"/>
      <c r="U297" s="355"/>
    </row>
    <row r="298" spans="3:21" s="404" customFormat="1" x14ac:dyDescent="0.2">
      <c r="C298" s="355"/>
      <c r="D298" s="355"/>
      <c r="E298" s="355"/>
      <c r="F298" s="355"/>
      <c r="G298" s="355"/>
      <c r="H298" s="355"/>
      <c r="I298" s="355"/>
      <c r="J298" s="355"/>
      <c r="K298" s="355"/>
      <c r="L298" s="355"/>
      <c r="M298" s="355"/>
      <c r="N298" s="355"/>
      <c r="O298" s="355"/>
      <c r="P298" s="355"/>
      <c r="Q298" s="355"/>
      <c r="R298" s="355"/>
      <c r="S298" s="355"/>
      <c r="T298" s="355"/>
      <c r="U298" s="355"/>
    </row>
    <row r="299" spans="3:21" s="404" customFormat="1" x14ac:dyDescent="0.2">
      <c r="C299" s="355"/>
      <c r="D299" s="355"/>
      <c r="E299" s="355"/>
      <c r="F299" s="355"/>
      <c r="G299" s="355"/>
      <c r="H299" s="355"/>
      <c r="I299" s="355"/>
      <c r="J299" s="355"/>
      <c r="K299" s="355"/>
      <c r="L299" s="355"/>
      <c r="M299" s="355"/>
      <c r="N299" s="355"/>
      <c r="O299" s="355"/>
      <c r="P299" s="355"/>
      <c r="Q299" s="355"/>
      <c r="R299" s="355"/>
      <c r="S299" s="355"/>
      <c r="T299" s="355"/>
      <c r="U299" s="355"/>
    </row>
    <row r="300" spans="3:21" s="404" customFormat="1" x14ac:dyDescent="0.2">
      <c r="C300" s="355"/>
      <c r="D300" s="355"/>
      <c r="E300" s="355"/>
      <c r="F300" s="355"/>
      <c r="G300" s="355"/>
      <c r="H300" s="355"/>
      <c r="I300" s="355"/>
      <c r="J300" s="355"/>
      <c r="K300" s="355"/>
      <c r="L300" s="355"/>
      <c r="M300" s="355"/>
      <c r="N300" s="355"/>
      <c r="O300" s="355"/>
      <c r="P300" s="355"/>
      <c r="Q300" s="355"/>
      <c r="R300" s="355"/>
      <c r="S300" s="355"/>
      <c r="T300" s="355"/>
      <c r="U300" s="355"/>
    </row>
    <row r="301" spans="3:21" s="404" customFormat="1" x14ac:dyDescent="0.2">
      <c r="C301" s="355"/>
      <c r="D301" s="355"/>
      <c r="E301" s="355"/>
      <c r="F301" s="355"/>
      <c r="G301" s="355"/>
      <c r="H301" s="355"/>
      <c r="I301" s="355"/>
      <c r="J301" s="355"/>
      <c r="K301" s="355"/>
      <c r="L301" s="355"/>
      <c r="M301" s="355"/>
      <c r="N301" s="355"/>
      <c r="O301" s="355"/>
      <c r="P301" s="355"/>
      <c r="Q301" s="355"/>
      <c r="R301" s="355"/>
      <c r="S301" s="355"/>
      <c r="T301" s="355"/>
      <c r="U301" s="355"/>
    </row>
    <row r="302" spans="3:21" s="404" customFormat="1" x14ac:dyDescent="0.2">
      <c r="C302" s="355"/>
      <c r="D302" s="355"/>
      <c r="E302" s="355"/>
      <c r="F302" s="355"/>
      <c r="G302" s="355"/>
      <c r="H302" s="355"/>
      <c r="I302" s="355"/>
      <c r="J302" s="355"/>
      <c r="K302" s="355"/>
      <c r="L302" s="355"/>
      <c r="M302" s="355"/>
      <c r="N302" s="355"/>
      <c r="O302" s="355"/>
      <c r="P302" s="355"/>
      <c r="Q302" s="355"/>
      <c r="R302" s="355"/>
      <c r="S302" s="355"/>
      <c r="T302" s="355"/>
      <c r="U302" s="355"/>
    </row>
    <row r="303" spans="3:21" s="404" customFormat="1" x14ac:dyDescent="0.2">
      <c r="C303" s="355"/>
      <c r="D303" s="355"/>
      <c r="E303" s="355"/>
      <c r="F303" s="355"/>
      <c r="G303" s="355"/>
      <c r="H303" s="355"/>
      <c r="I303" s="355"/>
      <c r="J303" s="355"/>
      <c r="K303" s="355"/>
      <c r="L303" s="355"/>
      <c r="M303" s="355"/>
      <c r="N303" s="355"/>
      <c r="O303" s="355"/>
      <c r="P303" s="355"/>
      <c r="Q303" s="355"/>
      <c r="R303" s="355"/>
      <c r="S303" s="355"/>
      <c r="T303" s="355"/>
      <c r="U303" s="355"/>
    </row>
    <row r="304" spans="3:21" s="404" customFormat="1" x14ac:dyDescent="0.2">
      <c r="C304" s="355"/>
      <c r="D304" s="355"/>
      <c r="E304" s="355"/>
      <c r="F304" s="355"/>
      <c r="G304" s="355"/>
      <c r="H304" s="355"/>
      <c r="I304" s="355"/>
      <c r="J304" s="355"/>
      <c r="K304" s="355"/>
      <c r="L304" s="355"/>
      <c r="M304" s="355"/>
      <c r="N304" s="355"/>
      <c r="O304" s="355"/>
      <c r="P304" s="355"/>
      <c r="Q304" s="355"/>
      <c r="R304" s="355"/>
      <c r="S304" s="355"/>
      <c r="T304" s="355"/>
      <c r="U304" s="355"/>
    </row>
    <row r="305" spans="3:21" s="404" customFormat="1" x14ac:dyDescent="0.2">
      <c r="C305" s="355"/>
      <c r="D305" s="355"/>
      <c r="E305" s="355"/>
      <c r="F305" s="355"/>
      <c r="G305" s="355"/>
      <c r="H305" s="355"/>
      <c r="I305" s="355"/>
      <c r="J305" s="355"/>
      <c r="K305" s="355"/>
      <c r="L305" s="355"/>
      <c r="M305" s="355"/>
      <c r="N305" s="355"/>
      <c r="O305" s="355"/>
      <c r="P305" s="355"/>
      <c r="Q305" s="355"/>
      <c r="R305" s="355"/>
      <c r="S305" s="355"/>
      <c r="T305" s="355"/>
      <c r="U305" s="355"/>
    </row>
    <row r="306" spans="3:21" s="404" customFormat="1" x14ac:dyDescent="0.2">
      <c r="C306" s="355"/>
      <c r="D306" s="355"/>
      <c r="E306" s="355"/>
      <c r="F306" s="355"/>
      <c r="G306" s="355"/>
      <c r="H306" s="355"/>
      <c r="I306" s="355"/>
      <c r="J306" s="355"/>
      <c r="K306" s="355"/>
      <c r="L306" s="355"/>
      <c r="M306" s="355"/>
      <c r="N306" s="355"/>
      <c r="O306" s="355"/>
      <c r="P306" s="355"/>
      <c r="Q306" s="355"/>
      <c r="R306" s="355"/>
      <c r="S306" s="355"/>
      <c r="T306" s="355"/>
      <c r="U306" s="355"/>
    </row>
    <row r="307" spans="3:21" s="404" customFormat="1" x14ac:dyDescent="0.2">
      <c r="C307" s="355"/>
      <c r="D307" s="355"/>
      <c r="E307" s="355"/>
      <c r="F307" s="355"/>
      <c r="G307" s="355"/>
      <c r="H307" s="355"/>
      <c r="I307" s="355"/>
      <c r="J307" s="355"/>
      <c r="K307" s="355"/>
      <c r="L307" s="355"/>
      <c r="M307" s="355"/>
      <c r="N307" s="355"/>
      <c r="O307" s="355"/>
      <c r="P307" s="355"/>
      <c r="Q307" s="355"/>
      <c r="R307" s="355"/>
      <c r="S307" s="355"/>
      <c r="T307" s="355"/>
      <c r="U307" s="355"/>
    </row>
    <row r="308" spans="3:21" s="404" customFormat="1" x14ac:dyDescent="0.2">
      <c r="C308" s="355"/>
      <c r="D308" s="355"/>
      <c r="E308" s="355"/>
      <c r="F308" s="355"/>
      <c r="G308" s="355"/>
      <c r="H308" s="355"/>
      <c r="I308" s="355"/>
      <c r="J308" s="355"/>
      <c r="K308" s="355"/>
      <c r="L308" s="355"/>
      <c r="M308" s="355"/>
      <c r="N308" s="355"/>
      <c r="O308" s="355"/>
      <c r="P308" s="355"/>
      <c r="Q308" s="355"/>
      <c r="R308" s="355"/>
      <c r="S308" s="355"/>
      <c r="T308" s="355"/>
      <c r="U308" s="355"/>
    </row>
    <row r="309" spans="3:21" s="404" customFormat="1" x14ac:dyDescent="0.2">
      <c r="C309" s="355"/>
      <c r="D309" s="355"/>
      <c r="E309" s="355"/>
      <c r="F309" s="355"/>
      <c r="G309" s="355"/>
      <c r="H309" s="355"/>
      <c r="I309" s="355"/>
      <c r="J309" s="355"/>
      <c r="K309" s="355"/>
      <c r="L309" s="355"/>
      <c r="M309" s="355"/>
      <c r="N309" s="355"/>
      <c r="O309" s="355"/>
      <c r="P309" s="355"/>
      <c r="Q309" s="355"/>
      <c r="R309" s="355"/>
      <c r="S309" s="355"/>
      <c r="T309" s="355"/>
      <c r="U309" s="355"/>
    </row>
    <row r="310" spans="3:21" s="404" customFormat="1" x14ac:dyDescent="0.2">
      <c r="C310" s="355"/>
      <c r="D310" s="355"/>
      <c r="E310" s="355"/>
      <c r="F310" s="355"/>
      <c r="G310" s="355"/>
      <c r="H310" s="355"/>
      <c r="I310" s="355"/>
      <c r="J310" s="355"/>
      <c r="K310" s="355"/>
      <c r="L310" s="355"/>
      <c r="M310" s="355"/>
      <c r="N310" s="355"/>
      <c r="O310" s="355"/>
      <c r="P310" s="355"/>
      <c r="Q310" s="355"/>
      <c r="R310" s="355"/>
      <c r="S310" s="355"/>
      <c r="T310" s="355"/>
      <c r="U310" s="355"/>
    </row>
    <row r="311" spans="3:21" s="404" customFormat="1" x14ac:dyDescent="0.2">
      <c r="C311" s="355"/>
      <c r="D311" s="355"/>
      <c r="E311" s="355"/>
      <c r="F311" s="355"/>
      <c r="G311" s="355"/>
      <c r="H311" s="355"/>
      <c r="I311" s="355"/>
      <c r="J311" s="355"/>
      <c r="K311" s="355"/>
      <c r="L311" s="355"/>
      <c r="M311" s="355"/>
      <c r="N311" s="355"/>
      <c r="O311" s="355"/>
      <c r="P311" s="355"/>
      <c r="Q311" s="355"/>
      <c r="R311" s="355"/>
      <c r="S311" s="355"/>
      <c r="T311" s="355"/>
      <c r="U311" s="355"/>
    </row>
    <row r="312" spans="3:21" s="404" customFormat="1" x14ac:dyDescent="0.2">
      <c r="C312" s="355"/>
      <c r="D312" s="355"/>
      <c r="E312" s="355"/>
      <c r="F312" s="355"/>
      <c r="G312" s="355"/>
      <c r="H312" s="355"/>
      <c r="I312" s="355"/>
      <c r="J312" s="355"/>
      <c r="K312" s="355"/>
      <c r="L312" s="355"/>
      <c r="M312" s="355"/>
      <c r="N312" s="355"/>
      <c r="O312" s="355"/>
      <c r="P312" s="355"/>
      <c r="Q312" s="355"/>
      <c r="R312" s="355"/>
      <c r="S312" s="355"/>
      <c r="T312" s="355"/>
      <c r="U312" s="355"/>
    </row>
    <row r="313" spans="3:21" s="404" customFormat="1" x14ac:dyDescent="0.2">
      <c r="C313" s="355"/>
      <c r="D313" s="355"/>
      <c r="E313" s="355"/>
      <c r="F313" s="355"/>
      <c r="G313" s="355"/>
      <c r="H313" s="355"/>
      <c r="I313" s="355"/>
      <c r="J313" s="355"/>
      <c r="K313" s="355"/>
      <c r="L313" s="355"/>
      <c r="M313" s="355"/>
      <c r="N313" s="355"/>
      <c r="O313" s="355"/>
      <c r="P313" s="355"/>
      <c r="Q313" s="355"/>
      <c r="R313" s="355"/>
      <c r="S313" s="355"/>
      <c r="T313" s="355"/>
      <c r="U313" s="355"/>
    </row>
    <row r="314" spans="3:21" s="404" customFormat="1" x14ac:dyDescent="0.2">
      <c r="C314" s="355"/>
      <c r="D314" s="355"/>
      <c r="E314" s="355"/>
      <c r="F314" s="355"/>
      <c r="G314" s="355"/>
      <c r="H314" s="355"/>
      <c r="I314" s="355"/>
      <c r="J314" s="355"/>
      <c r="K314" s="355"/>
      <c r="L314" s="355"/>
      <c r="M314" s="355"/>
      <c r="N314" s="355"/>
      <c r="O314" s="355"/>
      <c r="P314" s="355"/>
      <c r="Q314" s="355"/>
      <c r="R314" s="355"/>
      <c r="S314" s="355"/>
      <c r="T314" s="355"/>
      <c r="U314" s="355"/>
    </row>
    <row r="315" spans="3:21" s="404" customFormat="1" x14ac:dyDescent="0.2">
      <c r="C315" s="355"/>
      <c r="D315" s="355"/>
      <c r="E315" s="355"/>
      <c r="F315" s="355"/>
      <c r="G315" s="355"/>
      <c r="H315" s="355"/>
      <c r="I315" s="355"/>
      <c r="J315" s="355"/>
      <c r="K315" s="355"/>
      <c r="L315" s="355"/>
      <c r="M315" s="355"/>
      <c r="N315" s="355"/>
      <c r="O315" s="355"/>
      <c r="P315" s="355"/>
      <c r="Q315" s="355"/>
      <c r="R315" s="355"/>
      <c r="S315" s="355"/>
      <c r="T315" s="355"/>
      <c r="U315" s="355"/>
    </row>
    <row r="316" spans="3:21" s="404" customFormat="1" x14ac:dyDescent="0.2">
      <c r="C316" s="355"/>
      <c r="D316" s="355"/>
      <c r="E316" s="355"/>
      <c r="F316" s="355"/>
      <c r="G316" s="355"/>
      <c r="H316" s="355"/>
      <c r="I316" s="355"/>
      <c r="J316" s="355"/>
      <c r="K316" s="355"/>
      <c r="L316" s="355"/>
      <c r="M316" s="355"/>
      <c r="N316" s="355"/>
      <c r="O316" s="355"/>
      <c r="P316" s="355"/>
      <c r="Q316" s="355"/>
      <c r="R316" s="355"/>
      <c r="S316" s="355"/>
      <c r="T316" s="355"/>
      <c r="U316" s="355"/>
    </row>
    <row r="317" spans="3:21" s="404" customFormat="1" x14ac:dyDescent="0.2">
      <c r="C317" s="355"/>
      <c r="D317" s="355"/>
      <c r="E317" s="355"/>
      <c r="F317" s="355"/>
      <c r="G317" s="355"/>
      <c r="H317" s="355"/>
      <c r="I317" s="355"/>
      <c r="J317" s="355"/>
      <c r="K317" s="355"/>
      <c r="L317" s="355"/>
      <c r="M317" s="355"/>
      <c r="N317" s="355"/>
      <c r="O317" s="355"/>
      <c r="P317" s="355"/>
      <c r="Q317" s="355"/>
      <c r="R317" s="355"/>
      <c r="S317" s="355"/>
      <c r="T317" s="355"/>
      <c r="U317" s="355"/>
    </row>
    <row r="318" spans="3:21" s="404" customFormat="1" x14ac:dyDescent="0.2">
      <c r="C318" s="355"/>
      <c r="D318" s="355"/>
      <c r="E318" s="355"/>
      <c r="F318" s="355"/>
      <c r="G318" s="355"/>
      <c r="H318" s="355"/>
      <c r="I318" s="355"/>
      <c r="J318" s="355"/>
      <c r="K318" s="355"/>
      <c r="L318" s="355"/>
      <c r="M318" s="355"/>
      <c r="N318" s="355"/>
      <c r="O318" s="355"/>
      <c r="P318" s="355"/>
      <c r="Q318" s="355"/>
      <c r="R318" s="355"/>
      <c r="S318" s="355"/>
      <c r="T318" s="355"/>
      <c r="U318" s="355"/>
    </row>
    <row r="319" spans="3:21" s="404" customFormat="1" x14ac:dyDescent="0.2">
      <c r="C319" s="355"/>
      <c r="D319" s="355"/>
      <c r="E319" s="355"/>
      <c r="F319" s="355"/>
      <c r="G319" s="355"/>
      <c r="H319" s="355"/>
      <c r="I319" s="355"/>
      <c r="J319" s="355"/>
      <c r="K319" s="355"/>
      <c r="L319" s="355"/>
      <c r="M319" s="355"/>
      <c r="N319" s="355"/>
      <c r="O319" s="355"/>
      <c r="P319" s="355"/>
      <c r="Q319" s="355"/>
      <c r="R319" s="355"/>
      <c r="S319" s="355"/>
      <c r="T319" s="355"/>
      <c r="U319" s="355"/>
    </row>
    <row r="320" spans="3:21" s="404" customFormat="1" x14ac:dyDescent="0.2">
      <c r="C320" s="355"/>
      <c r="D320" s="355"/>
      <c r="E320" s="355"/>
      <c r="F320" s="355"/>
      <c r="G320" s="355"/>
      <c r="H320" s="355"/>
      <c r="I320" s="355"/>
      <c r="J320" s="355"/>
      <c r="K320" s="355"/>
      <c r="L320" s="355"/>
      <c r="M320" s="355"/>
      <c r="N320" s="355"/>
      <c r="O320" s="355"/>
      <c r="P320" s="355"/>
      <c r="Q320" s="355"/>
      <c r="R320" s="355"/>
      <c r="S320" s="355"/>
      <c r="T320" s="355"/>
      <c r="U320" s="355"/>
    </row>
    <row r="321" spans="3:21" s="404" customFormat="1" x14ac:dyDescent="0.2">
      <c r="C321" s="355"/>
      <c r="D321" s="355"/>
      <c r="E321" s="355"/>
      <c r="F321" s="355"/>
      <c r="G321" s="355"/>
      <c r="H321" s="355"/>
      <c r="I321" s="355"/>
      <c r="J321" s="355"/>
      <c r="K321" s="355"/>
      <c r="L321" s="355"/>
      <c r="M321" s="355"/>
      <c r="N321" s="355"/>
      <c r="O321" s="355"/>
      <c r="P321" s="355"/>
      <c r="Q321" s="355"/>
      <c r="R321" s="355"/>
      <c r="S321" s="355"/>
      <c r="T321" s="355"/>
      <c r="U321" s="355"/>
    </row>
    <row r="322" spans="3:21" s="404" customFormat="1" x14ac:dyDescent="0.2">
      <c r="C322" s="355"/>
      <c r="D322" s="355"/>
      <c r="E322" s="355"/>
      <c r="F322" s="355"/>
      <c r="G322" s="355"/>
      <c r="H322" s="355"/>
      <c r="I322" s="355"/>
      <c r="J322" s="355"/>
      <c r="K322" s="355"/>
      <c r="L322" s="355"/>
      <c r="M322" s="355"/>
      <c r="N322" s="355"/>
      <c r="O322" s="355"/>
      <c r="P322" s="355"/>
      <c r="Q322" s="355"/>
      <c r="R322" s="355"/>
      <c r="S322" s="355"/>
      <c r="T322" s="355"/>
      <c r="U322" s="355"/>
    </row>
    <row r="323" spans="3:21" s="404" customFormat="1" x14ac:dyDescent="0.2">
      <c r="C323" s="355"/>
      <c r="D323" s="355"/>
      <c r="E323" s="355"/>
      <c r="F323" s="355"/>
      <c r="G323" s="355"/>
      <c r="H323" s="355"/>
      <c r="I323" s="355"/>
      <c r="J323" s="355"/>
      <c r="K323" s="355"/>
      <c r="L323" s="355"/>
      <c r="M323" s="355"/>
      <c r="N323" s="355"/>
      <c r="O323" s="355"/>
      <c r="P323" s="355"/>
      <c r="Q323" s="355"/>
      <c r="R323" s="355"/>
      <c r="S323" s="355"/>
      <c r="T323" s="355"/>
      <c r="U323" s="355"/>
    </row>
    <row r="324" spans="3:21" s="404" customFormat="1" x14ac:dyDescent="0.2">
      <c r="C324" s="355"/>
      <c r="D324" s="355"/>
      <c r="E324" s="355"/>
      <c r="F324" s="355"/>
      <c r="G324" s="355"/>
      <c r="H324" s="355"/>
      <c r="I324" s="355"/>
      <c r="J324" s="355"/>
      <c r="K324" s="355"/>
      <c r="L324" s="355"/>
      <c r="M324" s="355"/>
      <c r="N324" s="355"/>
      <c r="O324" s="355"/>
      <c r="P324" s="355"/>
      <c r="Q324" s="355"/>
      <c r="R324" s="355"/>
      <c r="S324" s="355"/>
      <c r="T324" s="355"/>
      <c r="U324" s="355"/>
    </row>
    <row r="325" spans="3:21" s="404" customFormat="1" x14ac:dyDescent="0.2">
      <c r="C325" s="355"/>
      <c r="D325" s="355"/>
      <c r="E325" s="355"/>
      <c r="F325" s="355"/>
      <c r="G325" s="355"/>
      <c r="H325" s="355"/>
      <c r="I325" s="355"/>
      <c r="J325" s="355"/>
      <c r="K325" s="355"/>
      <c r="L325" s="355"/>
      <c r="M325" s="355"/>
      <c r="N325" s="355"/>
      <c r="O325" s="355"/>
      <c r="P325" s="355"/>
      <c r="Q325" s="355"/>
      <c r="R325" s="355"/>
      <c r="S325" s="355"/>
      <c r="T325" s="355"/>
      <c r="U325" s="355"/>
    </row>
    <row r="326" spans="3:21" s="404" customFormat="1" x14ac:dyDescent="0.2">
      <c r="C326" s="355"/>
      <c r="D326" s="355"/>
      <c r="E326" s="355"/>
      <c r="F326" s="355"/>
      <c r="G326" s="355"/>
      <c r="H326" s="355"/>
      <c r="I326" s="355"/>
      <c r="J326" s="355"/>
      <c r="K326" s="355"/>
      <c r="L326" s="355"/>
      <c r="M326" s="355"/>
      <c r="N326" s="355"/>
      <c r="O326" s="355"/>
      <c r="P326" s="355"/>
      <c r="Q326" s="355"/>
      <c r="R326" s="355"/>
      <c r="S326" s="355"/>
      <c r="T326" s="355"/>
      <c r="U326" s="355"/>
    </row>
    <row r="327" spans="3:21" s="404" customFormat="1" x14ac:dyDescent="0.2">
      <c r="C327" s="355"/>
      <c r="D327" s="355"/>
      <c r="E327" s="355"/>
      <c r="F327" s="355"/>
      <c r="G327" s="355"/>
      <c r="H327" s="355"/>
      <c r="I327" s="355"/>
      <c r="J327" s="355"/>
      <c r="K327" s="355"/>
      <c r="L327" s="355"/>
      <c r="M327" s="355"/>
      <c r="N327" s="355"/>
      <c r="O327" s="355"/>
      <c r="P327" s="355"/>
      <c r="Q327" s="355"/>
      <c r="R327" s="355"/>
      <c r="S327" s="355"/>
      <c r="T327" s="355"/>
      <c r="U327" s="355"/>
    </row>
    <row r="328" spans="3:21" s="404" customFormat="1" x14ac:dyDescent="0.2">
      <c r="C328" s="355"/>
      <c r="D328" s="355"/>
      <c r="E328" s="355"/>
      <c r="F328" s="355"/>
      <c r="G328" s="355"/>
      <c r="H328" s="355"/>
      <c r="I328" s="355"/>
      <c r="J328" s="355"/>
      <c r="K328" s="355"/>
      <c r="L328" s="355"/>
      <c r="M328" s="355"/>
      <c r="N328" s="355"/>
      <c r="O328" s="355"/>
      <c r="P328" s="355"/>
      <c r="Q328" s="355"/>
      <c r="R328" s="355"/>
      <c r="S328" s="355"/>
      <c r="T328" s="355"/>
      <c r="U328" s="355"/>
    </row>
    <row r="329" spans="3:21" s="404" customFormat="1" x14ac:dyDescent="0.2">
      <c r="C329" s="355"/>
      <c r="D329" s="355"/>
      <c r="E329" s="355"/>
      <c r="F329" s="355"/>
      <c r="G329" s="355"/>
      <c r="H329" s="355"/>
      <c r="I329" s="355"/>
      <c r="J329" s="355"/>
      <c r="K329" s="355"/>
      <c r="L329" s="355"/>
      <c r="M329" s="355"/>
      <c r="N329" s="355"/>
      <c r="O329" s="355"/>
      <c r="P329" s="355"/>
      <c r="Q329" s="355"/>
      <c r="R329" s="355"/>
      <c r="S329" s="355"/>
      <c r="T329" s="355"/>
      <c r="U329" s="355"/>
    </row>
    <row r="330" spans="3:21" s="404" customFormat="1" x14ac:dyDescent="0.2">
      <c r="C330" s="355"/>
      <c r="D330" s="355"/>
      <c r="E330" s="355"/>
      <c r="F330" s="355"/>
      <c r="G330" s="355"/>
      <c r="H330" s="355"/>
      <c r="I330" s="355"/>
      <c r="J330" s="355"/>
      <c r="K330" s="355"/>
      <c r="L330" s="355"/>
      <c r="M330" s="355"/>
      <c r="N330" s="355"/>
      <c r="O330" s="355"/>
      <c r="P330" s="355"/>
      <c r="Q330" s="355"/>
      <c r="R330" s="355"/>
      <c r="S330" s="355"/>
      <c r="T330" s="355"/>
      <c r="U330" s="355"/>
    </row>
    <row r="331" spans="3:21" s="404" customFormat="1" x14ac:dyDescent="0.2">
      <c r="C331" s="355"/>
      <c r="D331" s="355"/>
      <c r="E331" s="355"/>
      <c r="F331" s="355"/>
      <c r="G331" s="355"/>
      <c r="H331" s="355"/>
      <c r="I331" s="355"/>
      <c r="J331" s="355"/>
      <c r="K331" s="355"/>
      <c r="L331" s="355"/>
      <c r="M331" s="355"/>
      <c r="N331" s="355"/>
      <c r="O331" s="355"/>
      <c r="P331" s="355"/>
      <c r="Q331" s="355"/>
      <c r="R331" s="355"/>
      <c r="S331" s="355"/>
      <c r="T331" s="355"/>
      <c r="U331" s="355"/>
    </row>
    <row r="332" spans="3:21" s="404" customFormat="1" x14ac:dyDescent="0.2">
      <c r="C332" s="355"/>
      <c r="D332" s="355"/>
      <c r="E332" s="355"/>
      <c r="F332" s="355"/>
      <c r="G332" s="355"/>
      <c r="H332" s="355"/>
      <c r="I332" s="355"/>
      <c r="J332" s="355"/>
      <c r="K332" s="355"/>
      <c r="L332" s="355"/>
      <c r="M332" s="355"/>
      <c r="N332" s="355"/>
      <c r="O332" s="355"/>
      <c r="P332" s="355"/>
      <c r="Q332" s="355"/>
      <c r="R332" s="355"/>
      <c r="S332" s="355"/>
      <c r="T332" s="355"/>
      <c r="U332" s="355"/>
    </row>
    <row r="333" spans="3:21" s="404" customFormat="1" x14ac:dyDescent="0.2">
      <c r="C333" s="355"/>
      <c r="D333" s="355"/>
      <c r="E333" s="355"/>
      <c r="F333" s="355"/>
      <c r="G333" s="355"/>
      <c r="H333" s="355"/>
      <c r="I333" s="355"/>
      <c r="J333" s="355"/>
      <c r="K333" s="355"/>
      <c r="L333" s="355"/>
      <c r="M333" s="355"/>
      <c r="N333" s="355"/>
      <c r="O333" s="355"/>
      <c r="P333" s="355"/>
      <c r="Q333" s="355"/>
      <c r="R333" s="355"/>
      <c r="S333" s="355"/>
      <c r="T333" s="355"/>
      <c r="U333" s="355"/>
    </row>
    <row r="334" spans="3:21" s="404" customFormat="1" x14ac:dyDescent="0.2">
      <c r="C334" s="355"/>
      <c r="D334" s="355"/>
      <c r="E334" s="355"/>
      <c r="F334" s="355"/>
      <c r="G334" s="355"/>
      <c r="H334" s="355"/>
      <c r="I334" s="355"/>
      <c r="J334" s="355"/>
      <c r="K334" s="355"/>
      <c r="L334" s="355"/>
      <c r="M334" s="355"/>
      <c r="N334" s="355"/>
      <c r="O334" s="355"/>
      <c r="P334" s="355"/>
      <c r="Q334" s="355"/>
      <c r="R334" s="355"/>
      <c r="S334" s="355"/>
      <c r="T334" s="355"/>
      <c r="U334" s="355"/>
    </row>
    <row r="335" spans="3:21" s="404" customFormat="1" x14ac:dyDescent="0.2">
      <c r="C335" s="355"/>
      <c r="D335" s="355"/>
      <c r="E335" s="355"/>
      <c r="F335" s="355"/>
      <c r="G335" s="355"/>
      <c r="H335" s="355"/>
      <c r="I335" s="355"/>
      <c r="J335" s="355"/>
      <c r="K335" s="355"/>
      <c r="L335" s="355"/>
      <c r="M335" s="355"/>
      <c r="N335" s="355"/>
      <c r="O335" s="355"/>
      <c r="P335" s="355"/>
      <c r="Q335" s="355"/>
      <c r="R335" s="355"/>
      <c r="S335" s="355"/>
      <c r="T335" s="355"/>
      <c r="U335" s="355"/>
    </row>
    <row r="336" spans="3:21" s="404" customFormat="1" x14ac:dyDescent="0.2">
      <c r="C336" s="355"/>
      <c r="D336" s="355"/>
      <c r="E336" s="355"/>
      <c r="F336" s="355"/>
      <c r="G336" s="355"/>
      <c r="H336" s="355"/>
      <c r="I336" s="355"/>
      <c r="J336" s="355"/>
      <c r="K336" s="355"/>
      <c r="L336" s="355"/>
      <c r="M336" s="355"/>
      <c r="N336" s="355"/>
      <c r="O336" s="355"/>
      <c r="P336" s="355"/>
      <c r="Q336" s="355"/>
      <c r="R336" s="355"/>
      <c r="S336" s="355"/>
      <c r="T336" s="355"/>
      <c r="U336" s="355"/>
    </row>
    <row r="337" spans="3:21" s="404" customFormat="1" x14ac:dyDescent="0.2">
      <c r="C337" s="355"/>
      <c r="D337" s="355"/>
      <c r="E337" s="355"/>
      <c r="F337" s="355"/>
      <c r="G337" s="355"/>
      <c r="H337" s="355"/>
      <c r="I337" s="355"/>
      <c r="J337" s="355"/>
      <c r="K337" s="355"/>
      <c r="L337" s="355"/>
      <c r="M337" s="355"/>
      <c r="N337" s="355"/>
      <c r="O337" s="355"/>
      <c r="P337" s="355"/>
      <c r="Q337" s="355"/>
      <c r="R337" s="355"/>
      <c r="S337" s="355"/>
      <c r="T337" s="355"/>
      <c r="U337" s="355"/>
    </row>
    <row r="338" spans="3:21" s="404" customFormat="1" x14ac:dyDescent="0.2">
      <c r="C338" s="355"/>
      <c r="D338" s="355"/>
      <c r="E338" s="355"/>
      <c r="F338" s="355"/>
      <c r="G338" s="355"/>
      <c r="H338" s="355"/>
      <c r="I338" s="355"/>
      <c r="J338" s="355"/>
      <c r="K338" s="355"/>
      <c r="L338" s="355"/>
      <c r="M338" s="355"/>
      <c r="N338" s="355"/>
      <c r="O338" s="355"/>
      <c r="P338" s="355"/>
      <c r="Q338" s="355"/>
      <c r="R338" s="355"/>
      <c r="S338" s="355"/>
      <c r="T338" s="355"/>
      <c r="U338" s="355"/>
    </row>
    <row r="339" spans="3:21" s="404" customFormat="1" x14ac:dyDescent="0.2">
      <c r="C339" s="355"/>
      <c r="D339" s="355"/>
      <c r="E339" s="355"/>
      <c r="F339" s="355"/>
      <c r="G339" s="355"/>
      <c r="H339" s="355"/>
      <c r="I339" s="355"/>
      <c r="J339" s="355"/>
      <c r="K339" s="355"/>
      <c r="L339" s="355"/>
      <c r="M339" s="355"/>
      <c r="N339" s="355"/>
      <c r="O339" s="355"/>
      <c r="P339" s="355"/>
      <c r="Q339" s="355"/>
      <c r="R339" s="355"/>
      <c r="S339" s="355"/>
      <c r="T339" s="355"/>
      <c r="U339" s="355"/>
    </row>
    <row r="340" spans="3:21" s="404" customFormat="1" x14ac:dyDescent="0.2">
      <c r="C340" s="355"/>
      <c r="D340" s="355"/>
      <c r="E340" s="355"/>
      <c r="F340" s="355"/>
      <c r="G340" s="355"/>
      <c r="H340" s="355"/>
      <c r="I340" s="355"/>
      <c r="J340" s="355"/>
      <c r="K340" s="355"/>
      <c r="L340" s="355"/>
      <c r="M340" s="355"/>
      <c r="N340" s="355"/>
      <c r="O340" s="355"/>
      <c r="P340" s="355"/>
      <c r="Q340" s="355"/>
      <c r="R340" s="355"/>
      <c r="S340" s="355"/>
      <c r="T340" s="355"/>
      <c r="U340" s="355"/>
    </row>
    <row r="341" spans="3:21" s="404" customFormat="1" x14ac:dyDescent="0.2">
      <c r="C341" s="355"/>
      <c r="D341" s="355"/>
      <c r="E341" s="355"/>
      <c r="F341" s="355"/>
      <c r="G341" s="355"/>
      <c r="H341" s="355"/>
      <c r="I341" s="355"/>
      <c r="J341" s="355"/>
      <c r="K341" s="355"/>
      <c r="L341" s="355"/>
      <c r="M341" s="355"/>
      <c r="N341" s="355"/>
      <c r="O341" s="355"/>
      <c r="P341" s="355"/>
      <c r="Q341" s="355"/>
      <c r="R341" s="355"/>
      <c r="S341" s="355"/>
      <c r="T341" s="355"/>
      <c r="U341" s="355"/>
    </row>
    <row r="342" spans="3:21" s="404" customFormat="1" x14ac:dyDescent="0.2">
      <c r="C342" s="355"/>
      <c r="D342" s="355"/>
      <c r="E342" s="355"/>
      <c r="F342" s="355"/>
      <c r="G342" s="355"/>
      <c r="H342" s="355"/>
      <c r="I342" s="355"/>
      <c r="J342" s="355"/>
      <c r="K342" s="355"/>
      <c r="L342" s="355"/>
      <c r="M342" s="355"/>
      <c r="N342" s="355"/>
      <c r="O342" s="355"/>
      <c r="P342" s="355"/>
      <c r="Q342" s="355"/>
      <c r="R342" s="355"/>
      <c r="S342" s="355"/>
      <c r="T342" s="355"/>
      <c r="U342" s="355"/>
    </row>
    <row r="343" spans="3:21" s="404" customFormat="1" x14ac:dyDescent="0.2">
      <c r="C343" s="355"/>
      <c r="D343" s="355"/>
      <c r="E343" s="355"/>
      <c r="F343" s="355"/>
      <c r="G343" s="355"/>
      <c r="H343" s="355"/>
      <c r="I343" s="355"/>
      <c r="J343" s="355"/>
      <c r="K343" s="355"/>
      <c r="L343" s="355"/>
      <c r="M343" s="355"/>
      <c r="N343" s="355"/>
      <c r="O343" s="355"/>
      <c r="P343" s="355"/>
      <c r="Q343" s="355"/>
      <c r="R343" s="355"/>
      <c r="S343" s="355"/>
      <c r="T343" s="355"/>
      <c r="U343" s="355"/>
    </row>
    <row r="344" spans="3:21" s="404" customFormat="1" x14ac:dyDescent="0.2">
      <c r="C344" s="355"/>
      <c r="D344" s="355"/>
      <c r="E344" s="355"/>
      <c r="F344" s="355"/>
      <c r="G344" s="355"/>
      <c r="H344" s="355"/>
      <c r="I344" s="355"/>
      <c r="J344" s="355"/>
      <c r="K344" s="355"/>
      <c r="L344" s="355"/>
      <c r="M344" s="355"/>
      <c r="N344" s="355"/>
      <c r="O344" s="355"/>
      <c r="P344" s="355"/>
      <c r="Q344" s="355"/>
      <c r="R344" s="355"/>
      <c r="S344" s="355"/>
      <c r="T344" s="355"/>
      <c r="U344" s="355"/>
    </row>
    <row r="345" spans="3:21" s="404" customFormat="1" x14ac:dyDescent="0.2">
      <c r="C345" s="355"/>
      <c r="D345" s="355"/>
      <c r="E345" s="355"/>
      <c r="F345" s="355"/>
      <c r="G345" s="355"/>
      <c r="H345" s="355"/>
      <c r="I345" s="355"/>
      <c r="J345" s="355"/>
      <c r="K345" s="355"/>
      <c r="L345" s="355"/>
      <c r="M345" s="355"/>
      <c r="N345" s="355"/>
      <c r="O345" s="355"/>
      <c r="P345" s="355"/>
      <c r="Q345" s="355"/>
      <c r="R345" s="355"/>
      <c r="S345" s="355"/>
      <c r="T345" s="355"/>
      <c r="U345" s="355"/>
    </row>
    <row r="346" spans="3:21" s="404" customFormat="1" x14ac:dyDescent="0.2">
      <c r="C346" s="355"/>
      <c r="D346" s="355"/>
      <c r="E346" s="355"/>
      <c r="F346" s="355"/>
      <c r="G346" s="355"/>
      <c r="H346" s="355"/>
      <c r="I346" s="355"/>
      <c r="J346" s="355"/>
      <c r="K346" s="355"/>
      <c r="L346" s="355"/>
      <c r="M346" s="355"/>
      <c r="N346" s="355"/>
      <c r="O346" s="355"/>
      <c r="P346" s="355"/>
      <c r="Q346" s="355"/>
      <c r="R346" s="355"/>
      <c r="S346" s="355"/>
      <c r="T346" s="355"/>
      <c r="U346" s="355"/>
    </row>
    <row r="347" spans="3:21" s="404" customFormat="1" x14ac:dyDescent="0.2">
      <c r="C347" s="355"/>
      <c r="D347" s="355"/>
      <c r="E347" s="355"/>
      <c r="F347" s="355"/>
      <c r="G347" s="355"/>
      <c r="H347" s="355"/>
      <c r="I347" s="355"/>
      <c r="J347" s="355"/>
      <c r="K347" s="355"/>
      <c r="L347" s="355"/>
      <c r="M347" s="355"/>
      <c r="N347" s="355"/>
      <c r="O347" s="355"/>
      <c r="P347" s="355"/>
      <c r="Q347" s="355"/>
      <c r="R347" s="355"/>
      <c r="S347" s="355"/>
      <c r="T347" s="355"/>
      <c r="U347" s="355"/>
    </row>
    <row r="348" spans="3:21" s="404" customFormat="1" x14ac:dyDescent="0.2">
      <c r="C348" s="355"/>
      <c r="D348" s="355"/>
      <c r="E348" s="355"/>
      <c r="F348" s="355"/>
      <c r="G348" s="355"/>
      <c r="H348" s="355"/>
      <c r="I348" s="355"/>
      <c r="J348" s="355"/>
      <c r="K348" s="355"/>
      <c r="L348" s="355"/>
      <c r="M348" s="355"/>
      <c r="N348" s="355"/>
      <c r="O348" s="355"/>
      <c r="P348" s="355"/>
      <c r="Q348" s="355"/>
      <c r="R348" s="355"/>
      <c r="S348" s="355"/>
      <c r="T348" s="355"/>
      <c r="U348" s="355"/>
    </row>
    <row r="349" spans="3:21" s="404" customFormat="1" x14ac:dyDescent="0.2">
      <c r="C349" s="355"/>
      <c r="D349" s="355"/>
      <c r="E349" s="355"/>
      <c r="F349" s="355"/>
      <c r="G349" s="355"/>
      <c r="H349" s="355"/>
      <c r="I349" s="355"/>
      <c r="J349" s="355"/>
      <c r="K349" s="355"/>
      <c r="L349" s="355"/>
      <c r="M349" s="355"/>
      <c r="N349" s="355"/>
      <c r="O349" s="355"/>
      <c r="P349" s="355"/>
      <c r="Q349" s="355"/>
      <c r="R349" s="355"/>
      <c r="S349" s="355"/>
      <c r="T349" s="355"/>
      <c r="U349" s="355"/>
    </row>
    <row r="350" spans="3:21" s="404" customFormat="1" x14ac:dyDescent="0.2">
      <c r="C350" s="355"/>
      <c r="D350" s="355"/>
      <c r="E350" s="355"/>
      <c r="F350" s="355"/>
      <c r="G350" s="355"/>
      <c r="H350" s="355"/>
      <c r="I350" s="355"/>
      <c r="J350" s="355"/>
      <c r="K350" s="355"/>
      <c r="L350" s="355"/>
      <c r="M350" s="355"/>
      <c r="N350" s="355"/>
      <c r="O350" s="355"/>
      <c r="P350" s="355"/>
      <c r="Q350" s="355"/>
      <c r="R350" s="355"/>
      <c r="S350" s="355"/>
      <c r="T350" s="355"/>
      <c r="U350" s="355"/>
    </row>
    <row r="351" spans="3:21" s="404" customFormat="1" x14ac:dyDescent="0.2">
      <c r="C351" s="355"/>
      <c r="D351" s="355"/>
      <c r="E351" s="355"/>
      <c r="F351" s="355"/>
      <c r="G351" s="355"/>
      <c r="H351" s="355"/>
      <c r="I351" s="355"/>
      <c r="J351" s="355"/>
      <c r="K351" s="355"/>
      <c r="L351" s="355"/>
      <c r="M351" s="355"/>
      <c r="N351" s="355"/>
      <c r="O351" s="355"/>
      <c r="P351" s="355"/>
      <c r="Q351" s="355"/>
      <c r="R351" s="355"/>
      <c r="S351" s="355"/>
      <c r="T351" s="355"/>
      <c r="U351" s="355"/>
    </row>
    <row r="352" spans="3:21" s="404" customFormat="1" x14ac:dyDescent="0.2">
      <c r="C352" s="355"/>
      <c r="D352" s="355"/>
      <c r="E352" s="355"/>
      <c r="F352" s="355"/>
      <c r="G352" s="355"/>
      <c r="H352" s="355"/>
      <c r="I352" s="355"/>
      <c r="J352" s="355"/>
      <c r="K352" s="355"/>
      <c r="L352" s="355"/>
      <c r="M352" s="355"/>
      <c r="N352" s="355"/>
      <c r="O352" s="355"/>
      <c r="P352" s="355"/>
      <c r="Q352" s="355"/>
      <c r="R352" s="355"/>
      <c r="S352" s="355"/>
      <c r="T352" s="355"/>
      <c r="U352" s="355"/>
    </row>
    <row r="353" spans="3:21" s="404" customFormat="1" x14ac:dyDescent="0.2">
      <c r="C353" s="355"/>
      <c r="D353" s="355"/>
      <c r="E353" s="355"/>
      <c r="F353" s="355"/>
      <c r="G353" s="355"/>
      <c r="H353" s="355"/>
      <c r="I353" s="355"/>
      <c r="J353" s="355"/>
      <c r="K353" s="355"/>
      <c r="L353" s="355"/>
      <c r="M353" s="355"/>
      <c r="N353" s="355"/>
      <c r="O353" s="355"/>
      <c r="P353" s="355"/>
      <c r="Q353" s="355"/>
      <c r="R353" s="355"/>
      <c r="S353" s="355"/>
      <c r="T353" s="355"/>
      <c r="U353" s="355"/>
    </row>
    <row r="354" spans="3:21" s="404" customFormat="1" x14ac:dyDescent="0.2">
      <c r="C354" s="355"/>
      <c r="D354" s="355"/>
      <c r="E354" s="355"/>
      <c r="F354" s="355"/>
      <c r="G354" s="355"/>
      <c r="H354" s="355"/>
      <c r="I354" s="355"/>
      <c r="J354" s="355"/>
      <c r="K354" s="355"/>
      <c r="L354" s="355"/>
      <c r="M354" s="355"/>
      <c r="N354" s="355"/>
      <c r="O354" s="355"/>
      <c r="P354" s="355"/>
      <c r="Q354" s="355"/>
      <c r="R354" s="355"/>
      <c r="S354" s="355"/>
      <c r="T354" s="355"/>
      <c r="U354" s="355"/>
    </row>
    <row r="355" spans="3:21" s="404" customFormat="1" x14ac:dyDescent="0.2">
      <c r="C355" s="355"/>
      <c r="D355" s="355"/>
      <c r="E355" s="355"/>
      <c r="F355" s="355"/>
      <c r="G355" s="355"/>
      <c r="H355" s="355"/>
      <c r="I355" s="355"/>
      <c r="J355" s="355"/>
      <c r="K355" s="355"/>
      <c r="L355" s="355"/>
      <c r="M355" s="355"/>
      <c r="N355" s="355"/>
      <c r="O355" s="355"/>
      <c r="P355" s="355"/>
      <c r="Q355" s="355"/>
      <c r="R355" s="355"/>
      <c r="S355" s="355"/>
      <c r="T355" s="355"/>
      <c r="U355" s="355"/>
    </row>
    <row r="356" spans="3:21" s="404" customFormat="1" x14ac:dyDescent="0.2">
      <c r="C356" s="355"/>
      <c r="D356" s="355"/>
      <c r="E356" s="355"/>
      <c r="F356" s="355"/>
      <c r="G356" s="355"/>
      <c r="H356" s="355"/>
      <c r="I356" s="355"/>
      <c r="J356" s="355"/>
      <c r="K356" s="355"/>
      <c r="L356" s="355"/>
      <c r="M356" s="355"/>
      <c r="N356" s="355"/>
      <c r="O356" s="355"/>
      <c r="P356" s="355"/>
      <c r="Q356" s="355"/>
      <c r="R356" s="355"/>
      <c r="S356" s="355"/>
      <c r="T356" s="355"/>
      <c r="U356" s="355"/>
    </row>
    <row r="357" spans="3:21" s="404" customFormat="1" x14ac:dyDescent="0.2">
      <c r="C357" s="355"/>
      <c r="D357" s="355"/>
      <c r="E357" s="355"/>
      <c r="F357" s="355"/>
      <c r="G357" s="355"/>
      <c r="H357" s="355"/>
      <c r="I357" s="355"/>
      <c r="J357" s="355"/>
      <c r="K357" s="355"/>
      <c r="L357" s="355"/>
      <c r="M357" s="355"/>
      <c r="N357" s="355"/>
      <c r="O357" s="355"/>
      <c r="P357" s="355"/>
      <c r="Q357" s="355"/>
      <c r="R357" s="355"/>
      <c r="S357" s="355"/>
      <c r="T357" s="355"/>
      <c r="U357" s="355"/>
    </row>
    <row r="358" spans="3:21" s="404" customFormat="1" x14ac:dyDescent="0.2">
      <c r="C358" s="355"/>
      <c r="D358" s="355"/>
      <c r="E358" s="355"/>
      <c r="F358" s="355"/>
      <c r="G358" s="355"/>
      <c r="H358" s="355"/>
      <c r="I358" s="355"/>
      <c r="J358" s="355"/>
      <c r="K358" s="355"/>
      <c r="L358" s="355"/>
      <c r="M358" s="355"/>
      <c r="N358" s="355"/>
      <c r="O358" s="355"/>
      <c r="P358" s="355"/>
      <c r="Q358" s="355"/>
      <c r="R358" s="355"/>
      <c r="S358" s="355"/>
      <c r="T358" s="355"/>
      <c r="U358" s="355"/>
    </row>
    <row r="359" spans="3:21" s="404" customFormat="1" x14ac:dyDescent="0.2">
      <c r="C359" s="355"/>
      <c r="D359" s="355"/>
      <c r="E359" s="355"/>
      <c r="F359" s="355"/>
      <c r="G359" s="355"/>
      <c r="H359" s="355"/>
      <c r="I359" s="355"/>
      <c r="J359" s="355"/>
      <c r="K359" s="355"/>
      <c r="L359" s="355"/>
      <c r="M359" s="355"/>
      <c r="N359" s="355"/>
      <c r="O359" s="355"/>
      <c r="P359" s="355"/>
      <c r="Q359" s="355"/>
      <c r="R359" s="355"/>
      <c r="S359" s="355"/>
      <c r="T359" s="355"/>
      <c r="U359" s="355"/>
    </row>
    <row r="360" spans="3:21" s="404" customFormat="1" x14ac:dyDescent="0.2">
      <c r="C360" s="355"/>
      <c r="D360" s="355"/>
      <c r="E360" s="355"/>
      <c r="F360" s="355"/>
      <c r="G360" s="355"/>
      <c r="H360" s="355"/>
      <c r="I360" s="355"/>
      <c r="J360" s="355"/>
      <c r="K360" s="355"/>
      <c r="L360" s="355"/>
      <c r="M360" s="355"/>
      <c r="N360" s="355"/>
      <c r="O360" s="355"/>
      <c r="P360" s="355"/>
      <c r="Q360" s="355"/>
      <c r="R360" s="355"/>
      <c r="S360" s="355"/>
      <c r="T360" s="355"/>
      <c r="U360" s="355"/>
    </row>
    <row r="361" spans="3:21" s="404" customFormat="1" x14ac:dyDescent="0.2">
      <c r="C361" s="355"/>
      <c r="D361" s="355"/>
      <c r="E361" s="355"/>
      <c r="F361" s="355"/>
      <c r="G361" s="355"/>
      <c r="H361" s="355"/>
      <c r="I361" s="355"/>
      <c r="J361" s="355"/>
      <c r="K361" s="355"/>
      <c r="L361" s="355"/>
      <c r="M361" s="355"/>
      <c r="N361" s="355"/>
      <c r="O361" s="355"/>
      <c r="P361" s="355"/>
      <c r="Q361" s="355"/>
      <c r="R361" s="355"/>
      <c r="S361" s="355"/>
      <c r="T361" s="355"/>
      <c r="U361" s="355"/>
    </row>
    <row r="362" spans="3:21" s="404" customFormat="1" x14ac:dyDescent="0.2">
      <c r="C362" s="355"/>
      <c r="D362" s="355"/>
      <c r="E362" s="355"/>
      <c r="F362" s="355"/>
      <c r="G362" s="355"/>
      <c r="H362" s="355"/>
      <c r="I362" s="355"/>
      <c r="J362" s="355"/>
      <c r="K362" s="355"/>
      <c r="L362" s="355"/>
      <c r="M362" s="355"/>
      <c r="N362" s="355"/>
      <c r="O362" s="355"/>
      <c r="P362" s="355"/>
      <c r="Q362" s="355"/>
      <c r="R362" s="355"/>
      <c r="S362" s="355"/>
      <c r="T362" s="355"/>
      <c r="U362" s="355"/>
    </row>
    <row r="363" spans="3:21" s="404" customFormat="1" x14ac:dyDescent="0.2">
      <c r="C363" s="355"/>
      <c r="D363" s="355"/>
      <c r="E363" s="355"/>
      <c r="F363" s="355"/>
      <c r="G363" s="355"/>
      <c r="H363" s="355"/>
      <c r="I363" s="355"/>
      <c r="J363" s="355"/>
      <c r="K363" s="355"/>
      <c r="L363" s="355"/>
      <c r="M363" s="355"/>
      <c r="N363" s="355"/>
      <c r="O363" s="355"/>
      <c r="P363" s="355"/>
      <c r="Q363" s="355"/>
      <c r="R363" s="355"/>
      <c r="S363" s="355"/>
      <c r="T363" s="355"/>
      <c r="U363" s="355"/>
    </row>
    <row r="364" spans="3:21" s="404" customFormat="1" x14ac:dyDescent="0.2">
      <c r="C364" s="355"/>
      <c r="D364" s="355"/>
      <c r="E364" s="355"/>
      <c r="F364" s="355"/>
      <c r="G364" s="355"/>
      <c r="H364" s="355"/>
      <c r="I364" s="355"/>
      <c r="J364" s="355"/>
      <c r="K364" s="355"/>
      <c r="L364" s="355"/>
      <c r="M364" s="355"/>
      <c r="N364" s="355"/>
      <c r="O364" s="355"/>
      <c r="P364" s="355"/>
      <c r="Q364" s="355"/>
      <c r="R364" s="355"/>
      <c r="S364" s="355"/>
      <c r="T364" s="355"/>
      <c r="U364" s="355"/>
    </row>
    <row r="365" spans="3:21" s="404" customFormat="1" x14ac:dyDescent="0.2">
      <c r="C365" s="355"/>
      <c r="D365" s="355"/>
      <c r="E365" s="355"/>
      <c r="F365" s="355"/>
      <c r="G365" s="355"/>
      <c r="H365" s="355"/>
      <c r="I365" s="355"/>
      <c r="J365" s="355"/>
      <c r="K365" s="355"/>
      <c r="L365" s="355"/>
      <c r="M365" s="355"/>
      <c r="N365" s="355"/>
      <c r="O365" s="355"/>
      <c r="P365" s="355"/>
      <c r="Q365" s="355"/>
      <c r="R365" s="355"/>
      <c r="S365" s="355"/>
      <c r="T365" s="355"/>
      <c r="U365" s="355"/>
    </row>
    <row r="366" spans="3:21" s="404" customFormat="1" x14ac:dyDescent="0.2">
      <c r="C366" s="355"/>
      <c r="D366" s="355"/>
      <c r="E366" s="355"/>
      <c r="F366" s="355"/>
      <c r="G366" s="355"/>
      <c r="H366" s="355"/>
      <c r="I366" s="355"/>
      <c r="J366" s="355"/>
      <c r="K366" s="355"/>
      <c r="L366" s="355"/>
      <c r="M366" s="355"/>
      <c r="N366" s="355"/>
      <c r="O366" s="355"/>
      <c r="P366" s="355"/>
      <c r="Q366" s="355"/>
      <c r="R366" s="355"/>
      <c r="S366" s="355"/>
      <c r="T366" s="355"/>
      <c r="U366" s="355"/>
    </row>
  </sheetData>
  <phoneticPr fontId="15" type="noConversion"/>
  <printOptions horizontalCentered="1"/>
  <pageMargins left="0" right="0" top="0" bottom="0" header="0.15748031496062992" footer="0.19685039370078741"/>
  <pageSetup scale="5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33"/>
  <sheetViews>
    <sheetView topLeftCell="H1" workbookViewId="0">
      <selection activeCell="M7" sqref="M7"/>
    </sheetView>
  </sheetViews>
  <sheetFormatPr defaultRowHeight="12.75" x14ac:dyDescent="0.2"/>
  <cols>
    <col min="3" max="17" width="15.140625" style="759" customWidth="1"/>
    <col min="18" max="18" width="12" customWidth="1"/>
    <col min="23" max="23" width="12" customWidth="1"/>
  </cols>
  <sheetData>
    <row r="2" spans="1:24" x14ac:dyDescent="0.2">
      <c r="C2"/>
      <c r="D2"/>
      <c r="E2"/>
      <c r="F2"/>
      <c r="G2"/>
      <c r="H2"/>
      <c r="I2"/>
      <c r="J2"/>
      <c r="K2"/>
      <c r="L2"/>
      <c r="M2"/>
      <c r="N2"/>
      <c r="O2"/>
      <c r="P2"/>
      <c r="Q2"/>
    </row>
    <row r="3" spans="1:24" x14ac:dyDescent="0.2">
      <c r="A3" t="s">
        <v>490</v>
      </c>
      <c r="C3" t="s">
        <v>443</v>
      </c>
      <c r="D3" t="str">
        <f>E3</f>
        <v>February</v>
      </c>
      <c r="E3" t="s">
        <v>444</v>
      </c>
      <c r="F3" t="s">
        <v>446</v>
      </c>
      <c r="G3" t="s">
        <v>446</v>
      </c>
      <c r="H3"/>
      <c r="I3" t="s">
        <v>408</v>
      </c>
      <c r="J3"/>
      <c r="K3" t="s">
        <v>141</v>
      </c>
      <c r="L3" t="s">
        <v>141</v>
      </c>
      <c r="M3" s="765" t="s">
        <v>130</v>
      </c>
      <c r="N3" s="765" t="s">
        <v>130</v>
      </c>
      <c r="O3" s="765" t="s">
        <v>447</v>
      </c>
      <c r="P3" s="765" t="str">
        <f>O3</f>
        <v>July</v>
      </c>
      <c r="Q3"/>
    </row>
    <row r="4" spans="1:24" x14ac:dyDescent="0.2">
      <c r="A4">
        <v>10.703099999999999</v>
      </c>
      <c r="C4" s="760" t="s">
        <v>491</v>
      </c>
      <c r="D4" s="760" t="s">
        <v>491</v>
      </c>
      <c r="E4" s="760" t="s">
        <v>492</v>
      </c>
      <c r="F4" s="760" t="s">
        <v>491</v>
      </c>
      <c r="G4" s="760" t="s">
        <v>492</v>
      </c>
      <c r="H4" s="760"/>
      <c r="I4" s="760" t="s">
        <v>492</v>
      </c>
      <c r="J4" s="760"/>
      <c r="K4" s="760">
        <v>1521</v>
      </c>
      <c r="L4" t="s">
        <v>492</v>
      </c>
      <c r="M4"/>
      <c r="N4" s="760"/>
      <c r="O4" s="760"/>
      <c r="P4" s="760"/>
      <c r="Q4" s="765" t="s">
        <v>62</v>
      </c>
      <c r="R4" t="s">
        <v>206</v>
      </c>
      <c r="S4" t="s">
        <v>207</v>
      </c>
      <c r="T4" t="s">
        <v>209</v>
      </c>
      <c r="U4" t="s">
        <v>210</v>
      </c>
      <c r="V4" t="s">
        <v>493</v>
      </c>
      <c r="W4" t="s">
        <v>494</v>
      </c>
    </row>
    <row r="5" spans="1:24" x14ac:dyDescent="0.2">
      <c r="A5" t="s">
        <v>495</v>
      </c>
      <c r="B5" t="s">
        <v>496</v>
      </c>
      <c r="C5" s="760">
        <v>-1023674.86444311</v>
      </c>
      <c r="D5" s="760">
        <v>-406165.15249307902</v>
      </c>
      <c r="E5" s="760">
        <v>-594445.03353430901</v>
      </c>
      <c r="F5" s="760">
        <f>-'[40]47'!B12</f>
        <v>380573.15154799278</v>
      </c>
      <c r="G5" s="760">
        <f>-'[41]45'!B12</f>
        <v>-658650.29510909086</v>
      </c>
      <c r="H5" s="760"/>
      <c r="I5" s="760">
        <f>-'[42]1595 Continuity 2012'!$H$92</f>
        <v>-633985.28640642576</v>
      </c>
      <c r="J5" s="760"/>
      <c r="K5" s="760">
        <f>-'[43]MayReg Assets Refund'!C28</f>
        <v>-9970.6299999999992</v>
      </c>
      <c r="L5" s="760">
        <f>-'[42]43'!B12</f>
        <v>-675111.53392136563</v>
      </c>
      <c r="M5" s="760">
        <v>-9083.69</v>
      </c>
      <c r="N5" s="760">
        <f>-658853.91-M5</f>
        <v>-649770.22000000009</v>
      </c>
      <c r="O5" s="760"/>
      <c r="P5" s="760"/>
      <c r="Q5" s="763">
        <f>SUM(C5:P5)</f>
        <v>-4280283.5543593876</v>
      </c>
      <c r="R5" t="s">
        <v>215</v>
      </c>
      <c r="S5" t="s">
        <v>216</v>
      </c>
      <c r="T5" t="s">
        <v>497</v>
      </c>
      <c r="U5" t="s">
        <v>218</v>
      </c>
      <c r="V5" t="s">
        <v>498</v>
      </c>
      <c r="W5">
        <v>-4442375.43</v>
      </c>
      <c r="X5">
        <f>W5-Q7</f>
        <v>-8.1125032156705856E-3</v>
      </c>
    </row>
    <row r="6" spans="1:24" x14ac:dyDescent="0.2">
      <c r="A6" t="s">
        <v>495</v>
      </c>
      <c r="B6" t="s">
        <v>499</v>
      </c>
      <c r="C6" s="760">
        <v>-72279.596916070906</v>
      </c>
      <c r="D6" s="760">
        <v>-28678.4940446154</v>
      </c>
      <c r="E6" s="760">
        <v>-16465.145816832799</v>
      </c>
      <c r="F6" s="760">
        <f>-'[40]47'!B13</f>
        <v>26871.494989702765</v>
      </c>
      <c r="G6" s="760">
        <f>-'[41]45'!B13</f>
        <v>-18243.525539767481</v>
      </c>
      <c r="H6" s="760"/>
      <c r="I6" s="760">
        <f>-'[42]1595 Continuity 2012'!$H$96</f>
        <v>-17560.345528239319</v>
      </c>
      <c r="K6" s="760">
        <f>-'[43]MayReg Assets Refund'!C27</f>
        <v>1212.3900000000001</v>
      </c>
      <c r="L6" s="760">
        <f>-'[42]43'!B13</f>
        <v>-18699.474672285836</v>
      </c>
      <c r="M6" s="760">
        <v>1104.55</v>
      </c>
      <c r="N6" s="760">
        <f>-18249.17-M6</f>
        <v>-19353.719999999998</v>
      </c>
      <c r="O6" s="760"/>
      <c r="P6" s="760"/>
      <c r="Q6" s="763">
        <f>SUM(C6:P6)</f>
        <v>-162091.86752810897</v>
      </c>
      <c r="R6" t="s">
        <v>215</v>
      </c>
      <c r="S6" t="s">
        <v>216</v>
      </c>
      <c r="T6" t="s">
        <v>497</v>
      </c>
      <c r="U6" t="s">
        <v>500</v>
      </c>
      <c r="V6" t="s">
        <v>501</v>
      </c>
      <c r="W6">
        <v>0</v>
      </c>
    </row>
    <row r="7" spans="1:24" ht="13.5" thickBot="1" x14ac:dyDescent="0.25">
      <c r="C7" s="761">
        <f>SUM(C5:C6)</f>
        <v>-1095954.461359181</v>
      </c>
      <c r="D7" s="761">
        <f>SUM(D5:D6)</f>
        <v>-434843.64653769444</v>
      </c>
      <c r="E7" s="761">
        <f>SUM(E5:E6)</f>
        <v>-610910.17935114179</v>
      </c>
      <c r="F7" s="761">
        <f>SUM(F5:F6)</f>
        <v>407444.64653769555</v>
      </c>
      <c r="G7" s="761">
        <f>SUM(G5:G6)</f>
        <v>-676893.82064885832</v>
      </c>
      <c r="H7" s="761"/>
      <c r="I7" s="761">
        <f>SUM(I5:I6)</f>
        <v>-651545.63193466503</v>
      </c>
      <c r="J7" s="761"/>
      <c r="K7" s="761">
        <f t="shared" ref="K7:Q7" si="0">SUM(K5:K6)</f>
        <v>-8758.24</v>
      </c>
      <c r="L7" s="761">
        <f t="shared" si="0"/>
        <v>-693811.00859365147</v>
      </c>
      <c r="M7" s="761">
        <f t="shared" si="0"/>
        <v>-7979.14</v>
      </c>
      <c r="N7" s="761">
        <f t="shared" si="0"/>
        <v>-669123.94000000006</v>
      </c>
      <c r="O7" s="761">
        <f t="shared" si="0"/>
        <v>0</v>
      </c>
      <c r="P7" s="761">
        <f t="shared" si="0"/>
        <v>0</v>
      </c>
      <c r="Q7" s="305">
        <f t="shared" si="0"/>
        <v>-4442375.4218874965</v>
      </c>
      <c r="R7" t="s">
        <v>215</v>
      </c>
      <c r="S7" t="s">
        <v>216</v>
      </c>
      <c r="T7" t="s">
        <v>497</v>
      </c>
      <c r="U7" t="s">
        <v>502</v>
      </c>
      <c r="V7" t="s">
        <v>503</v>
      </c>
      <c r="W7">
        <v>0</v>
      </c>
    </row>
    <row r="8" spans="1:24" x14ac:dyDescent="0.2">
      <c r="C8" s="760"/>
      <c r="D8" s="760"/>
      <c r="E8" s="760"/>
      <c r="F8" s="760"/>
      <c r="G8" s="760"/>
      <c r="H8" s="760"/>
      <c r="I8" s="760"/>
      <c r="J8" s="760"/>
      <c r="K8" s="760"/>
      <c r="L8" s="760"/>
      <c r="M8" s="760"/>
      <c r="N8" s="760"/>
      <c r="O8" s="760"/>
      <c r="P8" s="760"/>
      <c r="Q8"/>
      <c r="R8" t="s">
        <v>215</v>
      </c>
      <c r="S8" t="s">
        <v>216</v>
      </c>
      <c r="T8" t="s">
        <v>497</v>
      </c>
      <c r="U8" t="s">
        <v>487</v>
      </c>
      <c r="V8" t="s">
        <v>504</v>
      </c>
      <c r="W8">
        <v>-2760426.72</v>
      </c>
      <c r="X8">
        <f>W8-Q30</f>
        <v>0</v>
      </c>
    </row>
    <row r="9" spans="1:24" x14ac:dyDescent="0.2">
      <c r="A9" t="s">
        <v>458</v>
      </c>
      <c r="C9" t="s">
        <v>443</v>
      </c>
      <c r="D9" t="str">
        <f>E9</f>
        <v>February</v>
      </c>
      <c r="E9" t="s">
        <v>444</v>
      </c>
      <c r="F9" t="s">
        <v>446</v>
      </c>
      <c r="G9" t="s">
        <v>446</v>
      </c>
      <c r="H9" t="s">
        <v>408</v>
      </c>
      <c r="I9" t="s">
        <v>408</v>
      </c>
      <c r="J9" t="s">
        <v>141</v>
      </c>
      <c r="K9"/>
      <c r="L9" t="s">
        <v>141</v>
      </c>
      <c r="M9" t="s">
        <v>130</v>
      </c>
      <c r="N9" t="s">
        <v>130</v>
      </c>
      <c r="O9"/>
      <c r="P9"/>
      <c r="Q9"/>
      <c r="R9" t="s">
        <v>215</v>
      </c>
      <c r="S9" t="s">
        <v>216</v>
      </c>
      <c r="T9" t="s">
        <v>497</v>
      </c>
      <c r="U9" t="s">
        <v>505</v>
      </c>
      <c r="V9" t="s">
        <v>506</v>
      </c>
      <c r="W9">
        <v>0</v>
      </c>
    </row>
    <row r="10" spans="1:24" x14ac:dyDescent="0.2">
      <c r="C10" s="760" t="s">
        <v>491</v>
      </c>
      <c r="D10" s="760" t="s">
        <v>491</v>
      </c>
      <c r="E10" s="760" t="s">
        <v>492</v>
      </c>
      <c r="F10" s="760" t="s">
        <v>491</v>
      </c>
      <c r="G10" s="760" t="s">
        <v>492</v>
      </c>
      <c r="H10" s="760" t="s">
        <v>491</v>
      </c>
      <c r="I10" s="760" t="s">
        <v>492</v>
      </c>
      <c r="J10" s="760" t="s">
        <v>491</v>
      </c>
      <c r="K10" s="760"/>
      <c r="L10" s="760" t="s">
        <v>492</v>
      </c>
      <c r="M10" s="760"/>
      <c r="N10" s="760"/>
      <c r="O10" s="760"/>
      <c r="P10" s="760"/>
      <c r="Q10" t="s">
        <v>62</v>
      </c>
      <c r="R10" t="s">
        <v>218</v>
      </c>
      <c r="S10" t="s">
        <v>507</v>
      </c>
      <c r="T10" t="s">
        <v>218</v>
      </c>
      <c r="U10" t="s">
        <v>218</v>
      </c>
      <c r="V10" t="s">
        <v>218</v>
      </c>
      <c r="W10">
        <f>W5+W8</f>
        <v>-7202802.1500000004</v>
      </c>
    </row>
    <row r="11" spans="1:24" x14ac:dyDescent="0.2">
      <c r="A11" t="s">
        <v>508</v>
      </c>
      <c r="B11" t="s">
        <v>496</v>
      </c>
      <c r="C11" s="760">
        <v>1607339.60858837</v>
      </c>
      <c r="D11" s="760">
        <v>549801.705872352</v>
      </c>
      <c r="E11" s="760">
        <v>-950888.82765651902</v>
      </c>
      <c r="F11" s="760">
        <f>-'[40]46'!B13</f>
        <v>-412999.31503145257</v>
      </c>
      <c r="G11" s="760">
        <f>-'[41]44'!B13</f>
        <v>-939716.62488233519</v>
      </c>
      <c r="H11" s="760">
        <f>-'[44]1595 Continuity 2011'!$H$183</f>
        <v>-40649.420881213729</v>
      </c>
      <c r="I11" s="760">
        <f>-'[42]1595 Continuity 2012'!$H$102</f>
        <v>-910242.24213787389</v>
      </c>
      <c r="J11" s="760">
        <f>-'[44]40'!B13</f>
        <v>-9554.5320528306565</v>
      </c>
      <c r="K11" s="760"/>
      <c r="L11" s="760">
        <f>-'[42]42'!B13</f>
        <v>-934686.70981098467</v>
      </c>
      <c r="M11" s="760">
        <v>-7238.88</v>
      </c>
      <c r="N11" s="760">
        <v>-632534.87</v>
      </c>
      <c r="O11" s="760"/>
      <c r="P11" s="760"/>
      <c r="Q11">
        <f>SUM(C11:N11)</f>
        <v>-2681370.107992488</v>
      </c>
    </row>
    <row r="12" spans="1:24" x14ac:dyDescent="0.2">
      <c r="A12" t="s">
        <v>508</v>
      </c>
      <c r="B12" t="s">
        <v>499</v>
      </c>
      <c r="C12" s="760">
        <v>11693.181411633101</v>
      </c>
      <c r="D12" s="760">
        <v>3999.73412764768</v>
      </c>
      <c r="E12" s="760">
        <v>-19881.082343480899</v>
      </c>
      <c r="F12" s="760">
        <f>-'[40]46'!B14</f>
        <v>-3004.5149685474703</v>
      </c>
      <c r="G12" s="760">
        <f>-'[41]44'!B14</f>
        <v>-19647.495117664977</v>
      </c>
      <c r="H12" s="760">
        <f>-'[44]1595 Continuity 2011'!$H$187</f>
        <v>-295.71911878616947</v>
      </c>
      <c r="I12" s="760">
        <f>-'[42]1595 Continuity 2012'!$H$106</f>
        <v>-19031.247862126107</v>
      </c>
      <c r="J12" s="760">
        <f>-'[44]40'!B14</f>
        <v>-69.507947169379918</v>
      </c>
      <c r="K12" s="760"/>
      <c r="L12" s="760">
        <f>-'[42]42'!B14</f>
        <v>-19542.330189015345</v>
      </c>
      <c r="M12" s="760">
        <v>-52.66</v>
      </c>
      <c r="N12" s="760">
        <v>-13224.97</v>
      </c>
      <c r="O12" s="760"/>
      <c r="P12" s="760"/>
      <c r="Q12">
        <f>SUM(C12:N12)</f>
        <v>-79056.612007509568</v>
      </c>
    </row>
    <row r="13" spans="1:24" x14ac:dyDescent="0.2">
      <c r="C13" s="760">
        <f t="shared" ref="C13:H13" si="1">SUM(C11:C12)</f>
        <v>1619032.7900000031</v>
      </c>
      <c r="D13" s="760">
        <f t="shared" si="1"/>
        <v>553801.43999999971</v>
      </c>
      <c r="E13" s="760">
        <f t="shared" si="1"/>
        <v>-970769.90999999992</v>
      </c>
      <c r="F13" s="760">
        <f t="shared" si="1"/>
        <v>-416003.83</v>
      </c>
      <c r="G13" s="760">
        <f t="shared" si="1"/>
        <v>-959364.12000000011</v>
      </c>
      <c r="H13" s="760">
        <f t="shared" si="1"/>
        <v>-40945.139999999898</v>
      </c>
      <c r="I13" s="760">
        <f>SUM(I11:I12)</f>
        <v>-929273.49</v>
      </c>
      <c r="J13" s="760">
        <f>SUM(J11:J12)</f>
        <v>-9624.0400000000373</v>
      </c>
      <c r="K13" s="760"/>
      <c r="L13" s="760">
        <f>SUM(L11:L12)</f>
        <v>-954229.04</v>
      </c>
      <c r="M13" s="760">
        <f>SUM(M11:M12)</f>
        <v>-7291.54</v>
      </c>
      <c r="N13" s="760">
        <f>SUM(N11:N12)</f>
        <v>-645759.84</v>
      </c>
      <c r="O13" s="760"/>
      <c r="P13" s="760"/>
      <c r="Q13" s="763">
        <f>SUM(C13:P13)</f>
        <v>-2760426.7199999969</v>
      </c>
    </row>
    <row r="14" spans="1:24" ht="13.5" thickBot="1" x14ac:dyDescent="0.25">
      <c r="C14" s="761">
        <f t="shared" ref="C14:H14" si="2">C7+C13</f>
        <v>523078.32864082209</v>
      </c>
      <c r="D14" s="761">
        <f t="shared" si="2"/>
        <v>118957.79346230527</v>
      </c>
      <c r="E14" s="761">
        <f t="shared" si="2"/>
        <v>-1581680.0893511418</v>
      </c>
      <c r="F14" s="761">
        <f t="shared" si="2"/>
        <v>-8559.1834623044706</v>
      </c>
      <c r="G14" s="761">
        <f t="shared" si="2"/>
        <v>-1636257.9406488584</v>
      </c>
      <c r="H14" s="761">
        <f t="shared" si="2"/>
        <v>-40945.139999999898</v>
      </c>
      <c r="I14" s="761">
        <f>I7+I13</f>
        <v>-1580819.1219346649</v>
      </c>
      <c r="J14" s="761">
        <f>J7+J13</f>
        <v>-9624.0400000000373</v>
      </c>
      <c r="K14" s="761"/>
      <c r="L14" s="761">
        <f>L7+L13</f>
        <v>-1648040.0485936515</v>
      </c>
      <c r="M14" s="761">
        <f>M13</f>
        <v>-7291.54</v>
      </c>
      <c r="N14" s="761">
        <f>N7+N13</f>
        <v>-1314883.78</v>
      </c>
      <c r="O14" s="761">
        <f>O7+O13</f>
        <v>0</v>
      </c>
      <c r="P14" s="761">
        <f>P7+P13</f>
        <v>0</v>
      </c>
      <c r="Q14" s="764">
        <f>Q7+Q13</f>
        <v>-7202802.1418874934</v>
      </c>
    </row>
    <row r="15" spans="1:24" x14ac:dyDescent="0.2">
      <c r="C15"/>
      <c r="D15"/>
      <c r="E15"/>
      <c r="F15"/>
      <c r="G15"/>
      <c r="H15">
        <v>2010</v>
      </c>
      <c r="I15">
        <f>C14+D14+F14+H14</f>
        <v>592531.79864082299</v>
      </c>
      <c r="J15">
        <f>J14</f>
        <v>-9624.0400000000373</v>
      </c>
      <c r="K15"/>
      <c r="L15">
        <f>I15+J15</f>
        <v>582907.75864082295</v>
      </c>
      <c r="M15">
        <v>-7291.54</v>
      </c>
      <c r="N15" s="17">
        <f>L15+M15</f>
        <v>575616.21864082292</v>
      </c>
      <c r="O15"/>
      <c r="P15"/>
      <c r="Q15"/>
    </row>
    <row r="16" spans="1:24" x14ac:dyDescent="0.2">
      <c r="C16" s="760"/>
      <c r="D16" s="760"/>
      <c r="E16" s="760"/>
      <c r="F16" s="760"/>
      <c r="G16" s="760"/>
      <c r="H16" s="760">
        <v>2011</v>
      </c>
      <c r="I16" s="760">
        <f>E5+G5+I5</f>
        <v>-1887080.6150498255</v>
      </c>
      <c r="J16" s="760">
        <f>L5</f>
        <v>-675111.53392136563</v>
      </c>
      <c r="K16" s="760">
        <f>K5</f>
        <v>-9970.6299999999992</v>
      </c>
      <c r="L16" s="760">
        <f>I16+J16+K16</f>
        <v>-2572162.778971191</v>
      </c>
      <c r="M16" s="760"/>
      <c r="N16" s="760"/>
      <c r="O16" s="760"/>
      <c r="P16" s="760"/>
      <c r="Q16"/>
    </row>
    <row r="17" spans="1:19" x14ac:dyDescent="0.2">
      <c r="C17" s="760"/>
      <c r="D17" s="760"/>
      <c r="E17" s="760"/>
      <c r="F17" s="760"/>
      <c r="G17" s="760"/>
      <c r="H17" s="760">
        <v>2011</v>
      </c>
      <c r="I17" s="760">
        <f>E6+G6+I6</f>
        <v>-52269.016884839599</v>
      </c>
      <c r="J17" s="760">
        <f>L6</f>
        <v>-18699.474672285836</v>
      </c>
      <c r="K17" s="760">
        <f>K6</f>
        <v>1212.3900000000001</v>
      </c>
      <c r="L17" s="760">
        <f>I17+J17+K17</f>
        <v>-69756.101557125439</v>
      </c>
      <c r="M17" s="760"/>
      <c r="N17" s="760"/>
      <c r="O17" s="760"/>
      <c r="P17" s="760"/>
      <c r="Q17"/>
    </row>
    <row r="18" spans="1:19" x14ac:dyDescent="0.2">
      <c r="C18" s="760"/>
      <c r="D18" s="760"/>
      <c r="E18" s="760"/>
      <c r="F18" s="760"/>
      <c r="G18" s="760"/>
      <c r="H18" s="760">
        <v>2011</v>
      </c>
      <c r="I18" s="760">
        <f>E11+G11+I11</f>
        <v>-2800847.694676728</v>
      </c>
      <c r="J18" s="760">
        <f>L11</f>
        <v>-934686.70981098467</v>
      </c>
      <c r="K18" s="760"/>
      <c r="L18" s="760">
        <f>I18+J18</f>
        <v>-3735534.4044877128</v>
      </c>
      <c r="M18" s="760"/>
      <c r="N18" s="760"/>
      <c r="O18" s="760"/>
      <c r="P18" s="760"/>
      <c r="Q18"/>
    </row>
    <row r="19" spans="1:19" x14ac:dyDescent="0.2">
      <c r="C19" s="760"/>
      <c r="D19" s="760"/>
      <c r="E19" s="760"/>
      <c r="F19" s="760"/>
      <c r="G19" s="760"/>
      <c r="H19" s="760">
        <v>2011</v>
      </c>
      <c r="I19" s="760">
        <f>E12+G12+I12</f>
        <v>-58559.825323271987</v>
      </c>
      <c r="J19" s="760">
        <f>L12</f>
        <v>-19542.330189015345</v>
      </c>
      <c r="K19" s="760"/>
      <c r="L19" s="760">
        <f>I19+J19</f>
        <v>-78102.15551228734</v>
      </c>
      <c r="M19" s="760"/>
      <c r="N19" s="760"/>
      <c r="O19" s="760"/>
      <c r="P19" s="760"/>
      <c r="Q19"/>
    </row>
    <row r="20" spans="1:19" x14ac:dyDescent="0.2">
      <c r="C20" s="760"/>
      <c r="D20" s="760"/>
      <c r="E20" s="760"/>
      <c r="F20" s="760"/>
      <c r="G20" s="760"/>
      <c r="H20" s="760" t="s">
        <v>509</v>
      </c>
      <c r="I20" s="760">
        <f>I16+I18</f>
        <v>-4687928.309726553</v>
      </c>
      <c r="J20" s="760">
        <f>J16+J18</f>
        <v>-1609798.2437323504</v>
      </c>
      <c r="K20" s="760">
        <f>K16+K18</f>
        <v>-9970.6299999999992</v>
      </c>
      <c r="L20" s="760">
        <f>I20+J20+K20</f>
        <v>-6307697.1834589029</v>
      </c>
      <c r="M20" s="760">
        <f>M5</f>
        <v>-9083.69</v>
      </c>
      <c r="N20" s="760">
        <f t="shared" ref="N20:P21" si="3">N5+N11</f>
        <v>-1282305.0900000001</v>
      </c>
      <c r="O20" s="760">
        <f t="shared" si="3"/>
        <v>0</v>
      </c>
      <c r="P20" s="760">
        <f t="shared" si="3"/>
        <v>0</v>
      </c>
      <c r="Q20" s="763">
        <f>SUM(L20:P20)</f>
        <v>-7599085.9634589031</v>
      </c>
    </row>
    <row r="21" spans="1:19" x14ac:dyDescent="0.2">
      <c r="C21" s="760"/>
      <c r="D21" s="760"/>
      <c r="E21" s="760"/>
      <c r="F21" s="760"/>
      <c r="G21" s="760"/>
      <c r="H21" s="760" t="s">
        <v>509</v>
      </c>
      <c r="I21" s="760">
        <f>I17+I19</f>
        <v>-110828.84220811159</v>
      </c>
      <c r="J21" s="760">
        <f>J17+J19</f>
        <v>-38241.804861301178</v>
      </c>
      <c r="K21" s="760"/>
      <c r="L21" s="760">
        <f>L17+L19</f>
        <v>-147858.25706941279</v>
      </c>
      <c r="M21" s="760">
        <f>M6</f>
        <v>1104.55</v>
      </c>
      <c r="N21" s="760">
        <f t="shared" si="3"/>
        <v>-32578.689999999995</v>
      </c>
      <c r="O21" s="760">
        <f t="shared" si="3"/>
        <v>0</v>
      </c>
      <c r="P21" s="760">
        <f t="shared" si="3"/>
        <v>0</v>
      </c>
      <c r="Q21" s="763">
        <f>SUM(L21:P21)</f>
        <v>-179332.39706941281</v>
      </c>
    </row>
    <row r="22" spans="1:19" x14ac:dyDescent="0.2">
      <c r="C22" s="760"/>
      <c r="D22" s="760"/>
      <c r="E22" s="760"/>
      <c r="F22" s="760"/>
      <c r="G22" s="760"/>
      <c r="H22" s="760"/>
      <c r="I22" s="760">
        <f>I20+I21</f>
        <v>-4798757.1519346647</v>
      </c>
      <c r="J22" s="760">
        <f>J20+J21</f>
        <v>-1648040.0485936515</v>
      </c>
      <c r="K22" s="760"/>
      <c r="L22" s="760">
        <f t="shared" ref="L22:Q22" si="4">L20+L21</f>
        <v>-6455555.4405283155</v>
      </c>
      <c r="M22" s="760">
        <f t="shared" si="4"/>
        <v>-7979.14</v>
      </c>
      <c r="N22" s="760">
        <f t="shared" si="4"/>
        <v>-1314883.78</v>
      </c>
      <c r="O22" s="760">
        <f t="shared" si="4"/>
        <v>0</v>
      </c>
      <c r="P22" s="760">
        <f t="shared" si="4"/>
        <v>0</v>
      </c>
      <c r="Q22" s="760">
        <f t="shared" si="4"/>
        <v>-7778418.3605283163</v>
      </c>
      <c r="R22" s="762">
        <f>Q22+N15</f>
        <v>-7202802.1418874934</v>
      </c>
      <c r="S22" s="762">
        <f>R22-W10</f>
        <v>8.1125069409608841E-3</v>
      </c>
    </row>
    <row r="23" spans="1:19" x14ac:dyDescent="0.2">
      <c r="C23" s="760"/>
      <c r="D23" s="760"/>
      <c r="E23" s="760"/>
      <c r="F23" s="760"/>
      <c r="G23" s="760"/>
      <c r="H23" s="760"/>
      <c r="I23" s="760"/>
      <c r="J23" s="760"/>
      <c r="K23" s="760"/>
      <c r="L23" s="760"/>
      <c r="M23" s="760"/>
      <c r="N23" s="760"/>
      <c r="O23" s="760"/>
      <c r="P23" s="760"/>
      <c r="Q23"/>
    </row>
    <row r="24" spans="1:19" x14ac:dyDescent="0.2">
      <c r="C24" s="760"/>
      <c r="D24" s="760"/>
      <c r="E24" s="760"/>
      <c r="F24" s="760"/>
      <c r="G24" s="760"/>
      <c r="H24" s="760"/>
      <c r="I24" s="760"/>
      <c r="J24" s="760"/>
      <c r="K24" s="760"/>
      <c r="L24" s="760"/>
      <c r="M24" s="760"/>
      <c r="N24" s="760"/>
      <c r="O24" s="760"/>
      <c r="P24" s="760"/>
      <c r="Q24"/>
    </row>
    <row r="25" spans="1:19" x14ac:dyDescent="0.2">
      <c r="C25" s="760"/>
      <c r="D25" s="760"/>
      <c r="E25" s="760"/>
      <c r="F25" s="760"/>
      <c r="G25" s="760"/>
      <c r="H25" s="760"/>
      <c r="I25" s="760"/>
      <c r="J25" s="760"/>
      <c r="K25" s="760"/>
      <c r="L25" s="760"/>
      <c r="M25" s="760"/>
      <c r="N25" s="760"/>
      <c r="O25" s="760"/>
      <c r="P25" s="760"/>
      <c r="Q25"/>
    </row>
    <row r="26" spans="1:19" x14ac:dyDescent="0.2">
      <c r="A26" t="s">
        <v>510</v>
      </c>
      <c r="B26">
        <v>412220</v>
      </c>
      <c r="C26" s="760" t="s">
        <v>60</v>
      </c>
      <c r="D26"/>
      <c r="E26"/>
      <c r="F26"/>
      <c r="G26"/>
      <c r="H26"/>
      <c r="I26"/>
      <c r="J26"/>
      <c r="K26"/>
      <c r="L26"/>
      <c r="M26"/>
      <c r="N26"/>
      <c r="O26"/>
      <c r="P26"/>
      <c r="Q26">
        <f>W5</f>
        <v>-4442375.43</v>
      </c>
    </row>
    <row r="27" spans="1:19" x14ac:dyDescent="0.2">
      <c r="C27" s="760"/>
      <c r="D27" s="760"/>
      <c r="E27" s="760"/>
      <c r="F27" s="760"/>
      <c r="G27" s="760"/>
      <c r="H27" s="760"/>
      <c r="I27" s="760"/>
      <c r="J27" s="760"/>
      <c r="K27" s="760"/>
      <c r="L27" s="760"/>
      <c r="M27" s="760"/>
      <c r="N27" s="760"/>
      <c r="O27" s="760"/>
      <c r="P27" s="760"/>
      <c r="Q27"/>
    </row>
    <row r="28" spans="1:19" x14ac:dyDescent="0.2">
      <c r="A28" t="s">
        <v>511</v>
      </c>
      <c r="B28">
        <v>400250</v>
      </c>
      <c r="C28" s="760" t="s">
        <v>512</v>
      </c>
      <c r="D28" s="760"/>
      <c r="E28" s="760"/>
      <c r="F28" s="760"/>
      <c r="G28" s="760"/>
      <c r="H28" s="760"/>
      <c r="I28" s="760"/>
      <c r="J28" s="760"/>
      <c r="K28" s="760"/>
      <c r="L28" s="760"/>
      <c r="M28" s="760"/>
      <c r="N28" s="760"/>
      <c r="O28" s="760"/>
      <c r="P28" s="760"/>
      <c r="Q28">
        <v>1698969.68</v>
      </c>
    </row>
    <row r="29" spans="1:19" x14ac:dyDescent="0.2">
      <c r="A29" t="s">
        <v>513</v>
      </c>
      <c r="B29">
        <v>400269</v>
      </c>
      <c r="C29" s="760" t="s">
        <v>514</v>
      </c>
      <c r="D29" s="760"/>
      <c r="E29" s="760"/>
      <c r="F29" s="760"/>
      <c r="G29" s="760"/>
      <c r="H29" s="760"/>
      <c r="I29" s="760"/>
      <c r="J29" s="760"/>
      <c r="K29" s="760"/>
      <c r="L29" s="760"/>
      <c r="M29" s="760"/>
      <c r="N29" s="760"/>
      <c r="O29" s="760"/>
      <c r="P29" s="760"/>
      <c r="Q29">
        <v>-4459396.4000000004</v>
      </c>
    </row>
    <row r="30" spans="1:19" x14ac:dyDescent="0.2">
      <c r="A30" t="s">
        <v>515</v>
      </c>
      <c r="C30" s="760"/>
      <c r="D30" s="760"/>
      <c r="E30" s="760"/>
      <c r="F30" s="760"/>
      <c r="G30" s="760"/>
      <c r="H30" s="760"/>
      <c r="I30" s="760"/>
      <c r="J30" s="760"/>
      <c r="K30" s="760"/>
      <c r="L30" s="760"/>
      <c r="M30" s="760"/>
      <c r="N30" s="760"/>
      <c r="O30" s="760"/>
      <c r="P30" s="760"/>
      <c r="Q30">
        <f>Q28+Q29</f>
        <v>-2760426.7200000007</v>
      </c>
    </row>
    <row r="31" spans="1:19" x14ac:dyDescent="0.2">
      <c r="A31" t="s">
        <v>516</v>
      </c>
      <c r="C31"/>
      <c r="D31"/>
      <c r="E31"/>
      <c r="F31"/>
      <c r="G31"/>
      <c r="H31"/>
      <c r="I31"/>
      <c r="J31"/>
      <c r="K31"/>
      <c r="L31"/>
      <c r="M31"/>
      <c r="N31"/>
      <c r="O31"/>
      <c r="P31"/>
      <c r="Q31">
        <f>Q26+Q30</f>
        <v>-7202802.1500000004</v>
      </c>
    </row>
    <row r="32" spans="1:19" x14ac:dyDescent="0.2">
      <c r="C32" s="760"/>
      <c r="D32" s="760"/>
      <c r="E32" s="760"/>
      <c r="F32" s="760"/>
      <c r="G32" s="760"/>
      <c r="H32" s="760"/>
      <c r="I32" s="760"/>
      <c r="J32" s="760"/>
      <c r="K32" s="760"/>
      <c r="L32" s="760"/>
      <c r="M32" s="760"/>
      <c r="N32" s="760"/>
      <c r="O32" s="760"/>
      <c r="P32" s="760"/>
      <c r="Q32">
        <f>Q14-Q31</f>
        <v>8.1125069409608841E-3</v>
      </c>
    </row>
    <row r="33" spans="3:17" x14ac:dyDescent="0.2">
      <c r="C33"/>
      <c r="D33"/>
      <c r="E33"/>
      <c r="F33"/>
      <c r="G33"/>
      <c r="H33"/>
      <c r="I33"/>
      <c r="J33"/>
      <c r="K33"/>
      <c r="L33"/>
      <c r="M33"/>
      <c r="N33"/>
      <c r="O33"/>
      <c r="P33"/>
      <c r="Q33"/>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topLeftCell="A39" workbookViewId="0">
      <selection activeCell="C58" sqref="C58"/>
    </sheetView>
  </sheetViews>
  <sheetFormatPr defaultColWidth="19.140625" defaultRowHeight="12.75" x14ac:dyDescent="0.2"/>
  <cols>
    <col min="1" max="16384" width="19.140625" style="743"/>
  </cols>
  <sheetData>
    <row r="1" spans="1:11" x14ac:dyDescent="0.2">
      <c r="A1" s="800" t="s">
        <v>517</v>
      </c>
      <c r="B1" s="743">
        <v>1</v>
      </c>
    </row>
    <row r="2" spans="1:11" x14ac:dyDescent="0.2">
      <c r="A2" s="800"/>
      <c r="H2" s="800"/>
    </row>
    <row r="3" spans="1:11" x14ac:dyDescent="0.2">
      <c r="H3" s="800"/>
    </row>
    <row r="4" spans="1:11" x14ac:dyDescent="0.2">
      <c r="H4" s="800"/>
    </row>
    <row r="5" spans="1:11" x14ac:dyDescent="0.2">
      <c r="B5" s="800"/>
      <c r="C5" s="800"/>
      <c r="D5" s="800"/>
      <c r="H5" s="800"/>
      <c r="J5" s="800" t="s">
        <v>518</v>
      </c>
    </row>
    <row r="6" spans="1:11" x14ac:dyDescent="0.2">
      <c r="B6" s="800"/>
      <c r="C6" s="800"/>
      <c r="D6" s="800"/>
      <c r="H6" s="800"/>
      <c r="J6" s="800"/>
    </row>
    <row r="7" spans="1:11" x14ac:dyDescent="0.2">
      <c r="A7" s="743" t="s">
        <v>32</v>
      </c>
      <c r="B7" s="800"/>
      <c r="C7" s="800"/>
      <c r="D7" s="800"/>
      <c r="H7" s="800"/>
      <c r="J7" s="800"/>
    </row>
    <row r="8" spans="1:11" x14ac:dyDescent="0.2">
      <c r="B8" s="743" t="s">
        <v>519</v>
      </c>
      <c r="C8" s="743" t="s">
        <v>520</v>
      </c>
      <c r="D8" s="743" t="s">
        <v>521</v>
      </c>
      <c r="E8" s="743">
        <v>1521</v>
      </c>
      <c r="F8" s="743">
        <v>1562</v>
      </c>
      <c r="G8" s="743" t="s">
        <v>62</v>
      </c>
      <c r="H8" s="743" t="s">
        <v>522</v>
      </c>
      <c r="I8" s="743" t="s">
        <v>523</v>
      </c>
      <c r="J8" s="743" t="s">
        <v>62</v>
      </c>
      <c r="K8" s="743" t="s">
        <v>163</v>
      </c>
    </row>
    <row r="9" spans="1:11" x14ac:dyDescent="0.2">
      <c r="A9" s="743" t="s">
        <v>42</v>
      </c>
      <c r="B9" s="743" t="s">
        <v>43</v>
      </c>
      <c r="C9" s="743">
        <v>1586325914.76091</v>
      </c>
      <c r="D9" s="743">
        <v>0</v>
      </c>
      <c r="E9" s="743">
        <v>-28717.992991761301</v>
      </c>
      <c r="F9" s="743">
        <f>G9-E9</f>
        <v>-634983.03789041855</v>
      </c>
      <c r="G9" s="743">
        <v>-663701.03088217985</v>
      </c>
      <c r="H9">
        <f>E9/C9</f>
        <v>-1.8103463307595057E-5</v>
      </c>
      <c r="I9">
        <f>F9/C9</f>
        <v>-4.0028535875373555E-4</v>
      </c>
      <c r="J9">
        <v>-4.1838882206133058E-4</v>
      </c>
      <c r="K9" s="743">
        <f>SUM(H9:I9)-J9</f>
        <v>0</v>
      </c>
    </row>
    <row r="10" spans="1:11" x14ac:dyDescent="0.2">
      <c r="A10" s="743" t="s">
        <v>524</v>
      </c>
      <c r="B10" s="743" t="s">
        <v>43</v>
      </c>
      <c r="C10" s="743">
        <v>661116281.55628157</v>
      </c>
      <c r="D10" s="743">
        <v>0</v>
      </c>
      <c r="E10" s="743">
        <v>-11968.494345207801</v>
      </c>
      <c r="F10" s="743">
        <f t="shared" ref="F10:F15" si="0">G10-E10</f>
        <v>-228662.60261966876</v>
      </c>
      <c r="G10" s="743">
        <v>-240631.09696487655</v>
      </c>
      <c r="H10">
        <f>E10/C10</f>
        <v>-1.810346330759502E-5</v>
      </c>
      <c r="I10">
        <f>F10/C10</f>
        <v>-3.4587350062139174E-4</v>
      </c>
      <c r="J10">
        <v>-3.6397696392898677E-4</v>
      </c>
      <c r="K10" s="743">
        <f t="shared" ref="K10:K15" si="1">SUM(H10:I10)-J10</f>
        <v>0</v>
      </c>
    </row>
    <row r="11" spans="1:11" x14ac:dyDescent="0.2">
      <c r="A11" s="743" t="s">
        <v>525</v>
      </c>
      <c r="B11" s="743" t="s">
        <v>43</v>
      </c>
      <c r="C11" s="743">
        <v>11516321.65132165</v>
      </c>
      <c r="D11" s="743">
        <v>0</v>
      </c>
      <c r="E11" s="743">
        <v>-208.4853064531637</v>
      </c>
      <c r="F11" s="743">
        <f t="shared" si="0"/>
        <v>-9719.6339379038309</v>
      </c>
      <c r="G11" s="743">
        <v>-9928.1192443569944</v>
      </c>
      <c r="H11">
        <f>E11/C11</f>
        <v>-1.810346330759503E-5</v>
      </c>
      <c r="I11">
        <f>F11/C11</f>
        <v>-8.439877099810229E-4</v>
      </c>
      <c r="J11">
        <v>-8.6209117328861788E-4</v>
      </c>
      <c r="K11" s="743">
        <f t="shared" si="1"/>
        <v>0</v>
      </c>
    </row>
    <row r="12" spans="1:11" x14ac:dyDescent="0.2">
      <c r="A12" s="743" t="s">
        <v>526</v>
      </c>
      <c r="B12" s="743" t="s">
        <v>527</v>
      </c>
      <c r="C12" s="743">
        <v>2130676735.9667358</v>
      </c>
      <c r="D12" s="743">
        <v>6303885.6489303652</v>
      </c>
      <c r="E12" s="743">
        <v>-38572.628109920144</v>
      </c>
      <c r="F12" s="743">
        <f t="shared" si="0"/>
        <v>-450033.9484804981</v>
      </c>
      <c r="G12" s="743">
        <v>-488606.57659041823</v>
      </c>
      <c r="H12">
        <f>E12/D12</f>
        <v>-6.1188654518923727E-3</v>
      </c>
      <c r="I12">
        <f>F12/D12</f>
        <v>-7.1389928933253924E-2</v>
      </c>
      <c r="J12">
        <v>-7.7508794385146296E-2</v>
      </c>
      <c r="K12" s="743">
        <f t="shared" si="1"/>
        <v>0</v>
      </c>
    </row>
    <row r="13" spans="1:11" x14ac:dyDescent="0.2">
      <c r="A13" s="743" t="s">
        <v>528</v>
      </c>
      <c r="B13" s="743" t="s">
        <v>527</v>
      </c>
      <c r="C13" s="743">
        <v>2207078155.6281557</v>
      </c>
      <c r="D13" s="743">
        <v>5084890.7133079376</v>
      </c>
      <c r="E13" s="743">
        <v>-39955.75840740883</v>
      </c>
      <c r="F13" s="743">
        <f t="shared" si="0"/>
        <v>-294075.55101386289</v>
      </c>
      <c r="G13" s="743">
        <v>-334031.30942127173</v>
      </c>
      <c r="H13">
        <f>E13/D13</f>
        <v>-7.8577418198661556E-3</v>
      </c>
      <c r="I13">
        <f>F13/D13</f>
        <v>-5.7833209717609496E-2</v>
      </c>
      <c r="J13">
        <v>-6.5690951537475645E-2</v>
      </c>
      <c r="K13" s="743">
        <f t="shared" si="1"/>
        <v>0</v>
      </c>
    </row>
    <row r="14" spans="1:11" x14ac:dyDescent="0.2">
      <c r="A14" s="743" t="s">
        <v>529</v>
      </c>
      <c r="B14" s="743" t="s">
        <v>527</v>
      </c>
      <c r="C14" s="743">
        <v>1072366029.4953938</v>
      </c>
      <c r="D14" s="743">
        <v>1831545.2514001958</v>
      </c>
      <c r="E14" s="743">
        <v>-19413.539067281232</v>
      </c>
      <c r="F14" s="743">
        <f t="shared" si="0"/>
        <v>-96841.893485184526</v>
      </c>
      <c r="G14" s="743">
        <v>-116255.43255246576</v>
      </c>
      <c r="H14">
        <f>E14/D14</f>
        <v>-1.0599541044612356E-2</v>
      </c>
      <c r="I14">
        <f>F14/D14</f>
        <v>-5.2874420335042221E-2</v>
      </c>
      <c r="J14">
        <v>-6.3473961379654581E-2</v>
      </c>
      <c r="K14" s="743">
        <f t="shared" si="1"/>
        <v>0</v>
      </c>
    </row>
    <row r="15" spans="1:11" x14ac:dyDescent="0.2">
      <c r="A15" s="743" t="s">
        <v>530</v>
      </c>
      <c r="B15" s="743" t="s">
        <v>527</v>
      </c>
      <c r="C15" s="743">
        <v>39595308.880308881</v>
      </c>
      <c r="D15" s="743">
        <v>111464.79270208115</v>
      </c>
      <c r="E15" s="743">
        <v>-716.81222146756352</v>
      </c>
      <c r="F15" s="743">
        <f t="shared" si="0"/>
        <v>-29091.332572463471</v>
      </c>
      <c r="G15" s="743">
        <v>-29808.144793931035</v>
      </c>
      <c r="H15">
        <f>E15/D15</f>
        <v>-6.4308397664492312E-3</v>
      </c>
      <c r="I15">
        <f>F15/D15</f>
        <v>-0.26099122303324673</v>
      </c>
      <c r="J15">
        <v>-0.26742206279969594</v>
      </c>
      <c r="K15" s="743">
        <f t="shared" si="1"/>
        <v>0</v>
      </c>
    </row>
    <row r="16" spans="1:11" x14ac:dyDescent="0.2">
      <c r="C16" s="743">
        <f>SUM(C9:C15)</f>
        <v>7708674747.9391079</v>
      </c>
      <c r="D16" s="743">
        <f>SUM(D9:D15)</f>
        <v>13331786.406340579</v>
      </c>
      <c r="E16" s="743">
        <f>SUM(E9:E15)</f>
        <v>-139553.71044950004</v>
      </c>
      <c r="F16" s="743">
        <f>SUM(F9:F15)</f>
        <v>-1743408.0000000002</v>
      </c>
      <c r="G16" s="743">
        <f>SUM(G9:G15)</f>
        <v>-1882961.7104495</v>
      </c>
    </row>
    <row r="18" spans="3:10" x14ac:dyDescent="0.2">
      <c r="C18" t="s">
        <v>120</v>
      </c>
      <c r="E18" t="s">
        <v>85</v>
      </c>
      <c r="F18" t="s">
        <v>85</v>
      </c>
      <c r="G18"/>
      <c r="I18"/>
      <c r="J18"/>
    </row>
    <row r="19" spans="3:10" x14ac:dyDescent="0.2">
      <c r="C19" t="s">
        <v>132</v>
      </c>
      <c r="E19" s="744">
        <v>-158872</v>
      </c>
      <c r="F19" s="744">
        <v>-1904466.8124833875</v>
      </c>
    </row>
    <row r="20" spans="3:10" x14ac:dyDescent="0.2">
      <c r="C20" t="s">
        <v>62</v>
      </c>
      <c r="E20" s="744">
        <v>19318.289550499998</v>
      </c>
      <c r="F20" s="744">
        <v>161059.09021851505</v>
      </c>
    </row>
    <row r="21" spans="3:10" x14ac:dyDescent="0.2">
      <c r="E21" s="744">
        <v>-139553.71044950001</v>
      </c>
      <c r="F21" s="744">
        <v>-1743407.7222648724</v>
      </c>
    </row>
    <row r="22" spans="3:10" x14ac:dyDescent="0.2">
      <c r="E22" s="744"/>
      <c r="F22" s="744"/>
    </row>
    <row r="23" spans="3:10" x14ac:dyDescent="0.2">
      <c r="E23" s="744"/>
      <c r="F23" s="744"/>
      <c r="G23" s="745">
        <v>1521</v>
      </c>
      <c r="H23" s="745">
        <v>1562</v>
      </c>
    </row>
    <row r="24" spans="3:10" ht="15" x14ac:dyDescent="0.35">
      <c r="E24" s="745" t="s">
        <v>69</v>
      </c>
      <c r="F24" s="745" t="s">
        <v>69</v>
      </c>
      <c r="G24" s="745" t="str">
        <f>H24</f>
        <v>May</v>
      </c>
      <c r="H24" s="745" t="s">
        <v>141</v>
      </c>
      <c r="I24" s="746" t="s">
        <v>62</v>
      </c>
    </row>
    <row r="25" spans="3:10" x14ac:dyDescent="0.2">
      <c r="C25" t="s">
        <v>120</v>
      </c>
      <c r="D25" t="s">
        <v>531</v>
      </c>
      <c r="E25" s="743">
        <f>E19/$E$21</f>
        <v>1.1384290642525814</v>
      </c>
      <c r="F25" s="743">
        <f>F19/$F$21</f>
        <v>1.0923817694287152</v>
      </c>
      <c r="G25" s="747">
        <f>E25*G27</f>
        <v>-10057.882317901671</v>
      </c>
      <c r="H25" s="747">
        <f>F25*H27</f>
        <v>-196698.47095449982</v>
      </c>
      <c r="I25" s="743">
        <f>SUM(G25:H25)</f>
        <v>-206756.35327240149</v>
      </c>
    </row>
    <row r="26" spans="3:10" x14ac:dyDescent="0.2">
      <c r="C26" t="s">
        <v>132</v>
      </c>
      <c r="D26" t="s">
        <v>532</v>
      </c>
      <c r="E26" s="743">
        <f>E20/$E$21</f>
        <v>-0.13842906425258156</v>
      </c>
      <c r="F26" s="743">
        <f>F20/$F$21</f>
        <v>-9.2381769428715232E-2</v>
      </c>
      <c r="G26" s="747">
        <f>E26*G27</f>
        <v>1223.0039458311005</v>
      </c>
      <c r="H26" s="747">
        <f>F26*H27</f>
        <v>16634.617401389391</v>
      </c>
      <c r="I26" s="743">
        <f>SUM(G26:H26)</f>
        <v>17857.621347220491</v>
      </c>
    </row>
    <row r="27" spans="3:10" x14ac:dyDescent="0.2">
      <c r="C27" t="s">
        <v>62</v>
      </c>
      <c r="E27" s="743">
        <f>E21/$E$21</f>
        <v>1</v>
      </c>
      <c r="F27" s="743">
        <f>F21/$F$21</f>
        <v>1</v>
      </c>
      <c r="G27" s="747">
        <f>C62</f>
        <v>-8834.8783720705724</v>
      </c>
      <c r="H27" s="747">
        <f>B62</f>
        <v>-180063.85355311041</v>
      </c>
      <c r="I27" s="743">
        <f>SUM(G27:H27)</f>
        <v>-188898.731925181</v>
      </c>
    </row>
    <row r="28" spans="3:10" ht="13.5" thickBot="1" x14ac:dyDescent="0.25"/>
    <row r="29" spans="3:10" x14ac:dyDescent="0.2">
      <c r="F29" s="185" t="s">
        <v>120</v>
      </c>
      <c r="G29" s="748">
        <f>'[45]1.APH FAQ'!C60</f>
        <v>-1904466.8124833875</v>
      </c>
    </row>
    <row r="30" spans="3:10" x14ac:dyDescent="0.2">
      <c r="F30" s="749" t="s">
        <v>132</v>
      </c>
      <c r="G30" s="750">
        <f>'[45]1.APH FAQ'!C61</f>
        <v>161059.09021851505</v>
      </c>
    </row>
    <row r="31" spans="3:10" x14ac:dyDescent="0.2">
      <c r="F31" s="749" t="s">
        <v>62</v>
      </c>
      <c r="G31" s="750">
        <f>SUM(G29:G30)</f>
        <v>-1743407.7222648724</v>
      </c>
    </row>
    <row r="32" spans="3:10" x14ac:dyDescent="0.2">
      <c r="F32" s="749" t="s">
        <v>533</v>
      </c>
      <c r="G32" s="750"/>
    </row>
    <row r="33" spans="1:7" x14ac:dyDescent="0.2">
      <c r="F33" s="749" t="s">
        <v>120</v>
      </c>
      <c r="G33" s="750">
        <f>G29/12</f>
        <v>-158705.56770694896</v>
      </c>
    </row>
    <row r="34" spans="1:7" x14ac:dyDescent="0.2">
      <c r="F34" s="749" t="s">
        <v>132</v>
      </c>
      <c r="G34" s="750">
        <f>G30/12</f>
        <v>13421.59085154292</v>
      </c>
    </row>
    <row r="35" spans="1:7" ht="13.5" thickBot="1" x14ac:dyDescent="0.25">
      <c r="F35" s="751" t="s">
        <v>62</v>
      </c>
      <c r="G35" s="752">
        <f>G31/12</f>
        <v>-145283.97685540604</v>
      </c>
    </row>
    <row r="36" spans="1:7" x14ac:dyDescent="0.2">
      <c r="F36"/>
      <c r="G36"/>
    </row>
    <row r="37" spans="1:7" x14ac:dyDescent="0.2">
      <c r="B37" s="753" t="s">
        <v>141</v>
      </c>
      <c r="C37" s="753" t="str">
        <f>B37</f>
        <v>May</v>
      </c>
    </row>
    <row r="38" spans="1:7" x14ac:dyDescent="0.2">
      <c r="B38" s="754" t="s">
        <v>534</v>
      </c>
      <c r="C38" s="754" t="s">
        <v>535</v>
      </c>
      <c r="D38" s="743" t="s">
        <v>62</v>
      </c>
    </row>
    <row r="39" spans="1:7" x14ac:dyDescent="0.2">
      <c r="A39" s="743" t="s">
        <v>42</v>
      </c>
      <c r="B39" s="755">
        <v>-4.0000000000000002E-4</v>
      </c>
      <c r="C39" s="755">
        <v>0</v>
      </c>
      <c r="D39" s="756">
        <f>SUM(B39:C39)</f>
        <v>-4.0000000000000002E-4</v>
      </c>
    </row>
    <row r="40" spans="1:7" x14ac:dyDescent="0.2">
      <c r="A40" s="743" t="s">
        <v>524</v>
      </c>
      <c r="B40" s="755">
        <v>-8.9999999999999998E-4</v>
      </c>
      <c r="C40" s="755">
        <v>0</v>
      </c>
      <c r="D40" s="756">
        <f t="shared" ref="D40:D45" si="2">SUM(B40:C40)</f>
        <v>-8.9999999999999998E-4</v>
      </c>
    </row>
    <row r="41" spans="1:7" x14ac:dyDescent="0.2">
      <c r="A41" s="743" t="s">
        <v>525</v>
      </c>
      <c r="B41" s="755">
        <v>-4.0000000000000002E-4</v>
      </c>
      <c r="C41" s="755">
        <v>0</v>
      </c>
      <c r="D41" s="756">
        <f t="shared" si="2"/>
        <v>-4.0000000000000002E-4</v>
      </c>
    </row>
    <row r="42" spans="1:7" x14ac:dyDescent="0.2">
      <c r="A42" s="743" t="s">
        <v>526</v>
      </c>
      <c r="B42" s="755">
        <v>-7.1400000000000005E-2</v>
      </c>
      <c r="C42" s="755">
        <v>-6.1000000000000004E-3</v>
      </c>
      <c r="D42" s="756">
        <f t="shared" si="2"/>
        <v>-7.7499999999999999E-2</v>
      </c>
    </row>
    <row r="43" spans="1:7" x14ac:dyDescent="0.2">
      <c r="A43" s="743" t="s">
        <v>528</v>
      </c>
      <c r="B43" s="755">
        <v>-5.7799999999999997E-2</v>
      </c>
      <c r="C43" s="755">
        <v>-7.9000000000000008E-3</v>
      </c>
      <c r="D43" s="756">
        <f t="shared" si="2"/>
        <v>-6.5699999999999995E-2</v>
      </c>
    </row>
    <row r="44" spans="1:7" x14ac:dyDescent="0.2">
      <c r="A44" s="743" t="s">
        <v>529</v>
      </c>
      <c r="B44" s="755">
        <v>-5.2900000000000003E-2</v>
      </c>
      <c r="C44" s="755">
        <v>-1.06E-2</v>
      </c>
      <c r="D44" s="756">
        <f t="shared" si="2"/>
        <v>-6.3500000000000001E-2</v>
      </c>
    </row>
    <row r="45" spans="1:7" x14ac:dyDescent="0.2">
      <c r="A45" s="743" t="s">
        <v>530</v>
      </c>
      <c r="B45" s="755">
        <v>-0.26100000000000001</v>
      </c>
      <c r="C45" s="755">
        <v>-6.4000000000000003E-3</v>
      </c>
      <c r="D45" s="756">
        <f t="shared" si="2"/>
        <v>-0.26740000000000003</v>
      </c>
    </row>
    <row r="46" spans="1:7" x14ac:dyDescent="0.2">
      <c r="B46" t="s">
        <v>43</v>
      </c>
      <c r="C46" t="s">
        <v>43</v>
      </c>
    </row>
    <row r="47" spans="1:7" x14ac:dyDescent="0.2">
      <c r="A47" s="743" t="s">
        <v>42</v>
      </c>
      <c r="B47" s="743">
        <v>189249525.24271846</v>
      </c>
      <c r="C47" s="743">
        <v>189249525.24271846</v>
      </c>
    </row>
    <row r="48" spans="1:7" x14ac:dyDescent="0.2">
      <c r="A48" s="743" t="s">
        <v>524</v>
      </c>
      <c r="B48" s="743">
        <v>949509.58083832345</v>
      </c>
      <c r="C48" s="743">
        <v>949509.58083832345</v>
      </c>
    </row>
    <row r="49" spans="1:4" x14ac:dyDescent="0.2">
      <c r="A49" s="743" t="s">
        <v>525</v>
      </c>
      <c r="B49" s="743">
        <v>64162621.999999993</v>
      </c>
      <c r="C49" s="743">
        <v>64162621.999999993</v>
      </c>
    </row>
    <row r="50" spans="1:4" x14ac:dyDescent="0.2">
      <c r="A50" s="743" t="s">
        <v>526</v>
      </c>
      <c r="B50" s="743">
        <v>571395.85291826702</v>
      </c>
      <c r="C50" s="743">
        <v>571395.85291826702</v>
      </c>
    </row>
    <row r="51" spans="1:4" x14ac:dyDescent="0.2">
      <c r="A51" s="743" t="s">
        <v>528</v>
      </c>
      <c r="B51" s="743">
        <v>448647.22859954083</v>
      </c>
      <c r="C51" s="743">
        <v>448647.22859954083</v>
      </c>
    </row>
    <row r="52" spans="1:4" x14ac:dyDescent="0.2">
      <c r="A52" s="743" t="s">
        <v>529</v>
      </c>
      <c r="B52" s="743">
        <v>164734.6988393963</v>
      </c>
      <c r="C52" s="743">
        <v>164734.6988393963</v>
      </c>
    </row>
    <row r="53" spans="1:4" x14ac:dyDescent="0.2">
      <c r="A53" s="743" t="s">
        <v>530</v>
      </c>
      <c r="B53" s="743">
        <v>9197.3055679952231</v>
      </c>
      <c r="C53" s="743">
        <v>9197.3055679952231</v>
      </c>
    </row>
    <row r="54" spans="1:4" x14ac:dyDescent="0.2">
      <c r="B54" t="s">
        <v>536</v>
      </c>
      <c r="C54" t="s">
        <v>536</v>
      </c>
      <c r="D54" s="743" t="s">
        <v>62</v>
      </c>
    </row>
    <row r="55" spans="1:4" x14ac:dyDescent="0.2">
      <c r="A55" s="743" t="s">
        <v>42</v>
      </c>
      <c r="B55" s="743">
        <v>-75699.810097087393</v>
      </c>
      <c r="C55" s="743">
        <v>0</v>
      </c>
      <c r="D55" s="743">
        <f>SUM(B55:C55)</f>
        <v>-75699.810097087393</v>
      </c>
    </row>
    <row r="56" spans="1:4" x14ac:dyDescent="0.2">
      <c r="A56" s="743" t="s">
        <v>524</v>
      </c>
      <c r="B56" s="743">
        <v>-854.55862275449113</v>
      </c>
      <c r="C56" s="743">
        <v>0</v>
      </c>
      <c r="D56" s="743">
        <f t="shared" ref="D56:D62" si="3">SUM(B56:C56)</f>
        <v>-854.55862275449113</v>
      </c>
    </row>
    <row r="57" spans="1:4" x14ac:dyDescent="0.2">
      <c r="A57" s="743" t="s">
        <v>525</v>
      </c>
      <c r="B57" s="743">
        <v>-25665.048799999997</v>
      </c>
      <c r="C57" s="743">
        <v>0</v>
      </c>
      <c r="D57" s="743">
        <f t="shared" si="3"/>
        <v>-25665.048799999997</v>
      </c>
    </row>
    <row r="58" spans="1:4" x14ac:dyDescent="0.2">
      <c r="A58" s="743" t="s">
        <v>526</v>
      </c>
      <c r="B58" s="743">
        <v>-40797.66389836427</v>
      </c>
      <c r="C58" s="743">
        <v>-3485.5147028014289</v>
      </c>
      <c r="D58" s="743">
        <f t="shared" si="3"/>
        <v>-44283.178601165695</v>
      </c>
    </row>
    <row r="59" spans="1:4" x14ac:dyDescent="0.2">
      <c r="A59" s="743" t="s">
        <v>528</v>
      </c>
      <c r="B59" s="743">
        <v>-25931.80981305346</v>
      </c>
      <c r="C59" s="743">
        <v>-3544.3131059363727</v>
      </c>
      <c r="D59" s="743">
        <f t="shared" si="3"/>
        <v>-29476.122918989833</v>
      </c>
    </row>
    <row r="60" spans="1:4" x14ac:dyDescent="0.2">
      <c r="A60" s="743" t="s">
        <v>529</v>
      </c>
      <c r="B60" s="743">
        <v>-8714.4655686040642</v>
      </c>
      <c r="C60" s="743">
        <v>-1746.1878076976006</v>
      </c>
      <c r="D60" s="743">
        <f t="shared" si="3"/>
        <v>-10460.653376301665</v>
      </c>
    </row>
    <row r="61" spans="1:4" x14ac:dyDescent="0.2">
      <c r="A61" s="743" t="s">
        <v>530</v>
      </c>
      <c r="B61" s="743">
        <v>-2400.4967532467535</v>
      </c>
      <c r="C61" s="743">
        <v>-58.862755635169428</v>
      </c>
      <c r="D61" s="743">
        <f t="shared" si="3"/>
        <v>-2459.3595088819229</v>
      </c>
    </row>
    <row r="62" spans="1:4" ht="13.5" thickBot="1" x14ac:dyDescent="0.25">
      <c r="B62" s="757">
        <v>-180063.85355311041</v>
      </c>
      <c r="C62" s="757">
        <v>-8834.8783720705724</v>
      </c>
      <c r="D62" s="758">
        <f t="shared" si="3"/>
        <v>-188898.731925181</v>
      </c>
    </row>
    <row r="63" spans="1:4" x14ac:dyDescent="0.2">
      <c r="C63" s="743" t="s">
        <v>537</v>
      </c>
      <c r="D63" s="743">
        <f>'[46]1521 &amp; 1562 RR'!$I$25</f>
        <v>-188898.731925181</v>
      </c>
    </row>
    <row r="64" spans="1:4" x14ac:dyDescent="0.2">
      <c r="D64" s="743">
        <f>D62-D63</f>
        <v>0</v>
      </c>
    </row>
  </sheetData>
  <mergeCells count="6">
    <mergeCell ref="J5:J7"/>
    <mergeCell ref="A1:A2"/>
    <mergeCell ref="H2:H7"/>
    <mergeCell ref="B5:B7"/>
    <mergeCell ref="C5:C7"/>
    <mergeCell ref="D5:D7"/>
  </mergeCells>
  <dataValidations count="1">
    <dataValidation type="list" allowBlank="1" showInputMessage="1" showErrorMessage="1" sqref="B1">
      <formula1>"1,2,3,4"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3"/>
  <sheetViews>
    <sheetView topLeftCell="D3" workbookViewId="0">
      <selection activeCell="J28" sqref="J28"/>
    </sheetView>
  </sheetViews>
  <sheetFormatPr defaultRowHeight="12.75" x14ac:dyDescent="0.2"/>
  <cols>
    <col min="1" max="1" width="9.28515625" style="737" bestFit="1" customWidth="1"/>
    <col min="2" max="2" width="12.28515625" style="737" bestFit="1" customWidth="1"/>
    <col min="3" max="13" width="13.7109375" style="737" customWidth="1"/>
    <col min="14" max="15" width="17.140625" style="737" customWidth="1"/>
    <col min="16" max="19" width="9.140625" style="737"/>
    <col min="20" max="20" width="14.5703125" style="737" bestFit="1" customWidth="1"/>
    <col min="21" max="21" width="9.28515625" style="737" bestFit="1" customWidth="1"/>
    <col min="22" max="16384" width="9.140625" style="737"/>
  </cols>
  <sheetData>
    <row r="1" spans="1:21" ht="13.5" thickBot="1" x14ac:dyDescent="0.25"/>
    <row r="2" spans="1:21" x14ac:dyDescent="0.2">
      <c r="A2" s="738"/>
      <c r="B2" s="739"/>
      <c r="C2" s="739"/>
      <c r="D2" s="739"/>
      <c r="E2" s="739"/>
      <c r="F2" s="739"/>
      <c r="G2" s="739"/>
      <c r="H2" s="739"/>
      <c r="I2" s="739"/>
      <c r="J2" s="739"/>
      <c r="K2" s="739"/>
      <c r="L2" s="739"/>
      <c r="M2" s="739"/>
      <c r="N2" s="739"/>
    </row>
    <row r="3" spans="1:21" x14ac:dyDescent="0.2">
      <c r="A3" s="740" t="s">
        <v>490</v>
      </c>
      <c r="B3" s="741"/>
      <c r="C3" s="739" t="s">
        <v>443</v>
      </c>
      <c r="D3" s="739" t="str">
        <f>E3</f>
        <v>February</v>
      </c>
      <c r="E3" s="739" t="s">
        <v>444</v>
      </c>
      <c r="F3" s="739" t="s">
        <v>446</v>
      </c>
      <c r="G3" s="739" t="s">
        <v>446</v>
      </c>
      <c r="H3" s="739"/>
      <c r="I3" s="739" t="s">
        <v>408</v>
      </c>
      <c r="J3" s="739"/>
      <c r="K3" s="739" t="s">
        <v>141</v>
      </c>
      <c r="L3" s="739" t="s">
        <v>141</v>
      </c>
      <c r="M3" s="739"/>
      <c r="N3" s="739"/>
    </row>
    <row r="4" spans="1:21" x14ac:dyDescent="0.2">
      <c r="A4" s="740">
        <v>10.703099999999999</v>
      </c>
      <c r="B4" s="741"/>
      <c r="C4" s="741" t="s">
        <v>491</v>
      </c>
      <c r="D4" s="741" t="s">
        <v>491</v>
      </c>
      <c r="E4" s="741" t="s">
        <v>492</v>
      </c>
      <c r="F4" s="741" t="s">
        <v>491</v>
      </c>
      <c r="G4" s="741" t="s">
        <v>492</v>
      </c>
      <c r="H4" s="741"/>
      <c r="I4" s="741" t="s">
        <v>492</v>
      </c>
      <c r="J4" s="741"/>
      <c r="K4" s="741">
        <v>1521</v>
      </c>
      <c r="L4" s="739" t="s">
        <v>492</v>
      </c>
      <c r="M4" s="741"/>
      <c r="N4" s="739" t="s">
        <v>62</v>
      </c>
      <c r="O4" s="739" t="s">
        <v>206</v>
      </c>
      <c r="P4" s="739" t="s">
        <v>207</v>
      </c>
      <c r="Q4" s="739" t="s">
        <v>209</v>
      </c>
      <c r="R4" s="739" t="s">
        <v>210</v>
      </c>
      <c r="S4" s="739" t="s">
        <v>493</v>
      </c>
      <c r="T4" s="739" t="s">
        <v>494</v>
      </c>
    </row>
    <row r="5" spans="1:21" x14ac:dyDescent="0.2">
      <c r="A5" s="740" t="s">
        <v>495</v>
      </c>
      <c r="B5" s="741" t="s">
        <v>496</v>
      </c>
      <c r="C5" s="741">
        <v>-1023674.86444311</v>
      </c>
      <c r="D5" s="741">
        <v>-406165.15249307902</v>
      </c>
      <c r="E5" s="741">
        <v>-594445.03353430901</v>
      </c>
      <c r="F5" s="741">
        <f>-'[40]47'!B12</f>
        <v>380573.15154799278</v>
      </c>
      <c r="G5" s="741">
        <f>-'[41]45'!B12</f>
        <v>-658650.29510909086</v>
      </c>
      <c r="H5" s="741"/>
      <c r="I5" s="741">
        <f>-'[42]1595 Continuity 2012'!$H$92</f>
        <v>-633985.28640642576</v>
      </c>
      <c r="J5" s="741"/>
      <c r="K5" s="739">
        <f>-'[43]MayReg Assets Refund'!C28</f>
        <v>-9970.6299999999992</v>
      </c>
      <c r="L5" s="741">
        <f>-'[42]43'!B12</f>
        <v>-675111.53392136563</v>
      </c>
      <c r="M5" s="741"/>
      <c r="N5" s="739">
        <f>SUM(C5:L5)</f>
        <v>-3621429.6443593875</v>
      </c>
      <c r="O5" s="739" t="s">
        <v>215</v>
      </c>
      <c r="P5" s="739" t="s">
        <v>216</v>
      </c>
      <c r="Q5" s="739" t="s">
        <v>497</v>
      </c>
      <c r="R5" s="739" t="s">
        <v>218</v>
      </c>
      <c r="S5" s="739" t="s">
        <v>498</v>
      </c>
      <c r="T5" s="739">
        <v>-3765272.35</v>
      </c>
      <c r="U5" s="737">
        <f>T5-N7</f>
        <v>-8.1125036813318729E-3</v>
      </c>
    </row>
    <row r="6" spans="1:21" x14ac:dyDescent="0.2">
      <c r="A6" s="740" t="s">
        <v>495</v>
      </c>
      <c r="B6" s="741" t="s">
        <v>499</v>
      </c>
      <c r="C6" s="741">
        <v>-72279.596916070906</v>
      </c>
      <c r="D6" s="741">
        <v>-28678.4940446154</v>
      </c>
      <c r="E6" s="741">
        <v>-16465.145816832799</v>
      </c>
      <c r="F6" s="741">
        <f>-'[40]47'!B13</f>
        <v>26871.494989702765</v>
      </c>
      <c r="G6" s="741">
        <f>-'[41]45'!B13</f>
        <v>-18243.525539767481</v>
      </c>
      <c r="H6" s="741"/>
      <c r="I6" s="741">
        <f>-'[42]1595 Continuity 2012'!$H$96</f>
        <v>-17560.345528239319</v>
      </c>
      <c r="K6" s="741">
        <f>-'[43]MayReg Assets Refund'!C27</f>
        <v>1212.3900000000001</v>
      </c>
      <c r="L6" s="741">
        <f>-'[42]43'!B13</f>
        <v>-18699.474672285836</v>
      </c>
      <c r="M6" s="741"/>
      <c r="N6" s="739">
        <f>SUM(C6:L6)</f>
        <v>-143842.69752810895</v>
      </c>
      <c r="O6" s="739" t="s">
        <v>215</v>
      </c>
      <c r="P6" s="739" t="s">
        <v>216</v>
      </c>
      <c r="Q6" s="739" t="s">
        <v>497</v>
      </c>
      <c r="R6" s="739" t="s">
        <v>500</v>
      </c>
      <c r="S6" s="739" t="s">
        <v>501</v>
      </c>
      <c r="T6" s="739">
        <v>0</v>
      </c>
    </row>
    <row r="7" spans="1:21" ht="13.5" thickBot="1" x14ac:dyDescent="0.25">
      <c r="A7" s="740"/>
      <c r="B7" s="741"/>
      <c r="C7" s="742">
        <f>SUM(C5:C6)</f>
        <v>-1095954.461359181</v>
      </c>
      <c r="D7" s="742">
        <f>SUM(D5:D6)</f>
        <v>-434843.64653769444</v>
      </c>
      <c r="E7" s="742">
        <f>SUM(E5:E6)</f>
        <v>-610910.17935114179</v>
      </c>
      <c r="F7" s="742">
        <f>SUM(F5:F6)</f>
        <v>407444.64653769555</v>
      </c>
      <c r="G7" s="742">
        <f>SUM(G5:G6)</f>
        <v>-676893.82064885832</v>
      </c>
      <c r="H7" s="742"/>
      <c r="I7" s="742">
        <f>SUM(I5:I6)</f>
        <v>-651545.63193466503</v>
      </c>
      <c r="J7" s="742"/>
      <c r="K7" s="742">
        <f>SUM(K5:K6)</f>
        <v>-8758.24</v>
      </c>
      <c r="L7" s="742">
        <f>SUM(L5:L6)</f>
        <v>-693811.00859365147</v>
      </c>
      <c r="M7" s="742">
        <f>SUM(M5:M6)</f>
        <v>0</v>
      </c>
      <c r="N7" s="739">
        <f>SUM(N5:N6)</f>
        <v>-3765272.3418874964</v>
      </c>
      <c r="O7" s="739" t="s">
        <v>215</v>
      </c>
      <c r="P7" s="739" t="s">
        <v>216</v>
      </c>
      <c r="Q7" s="739" t="s">
        <v>497</v>
      </c>
      <c r="R7" s="739" t="s">
        <v>502</v>
      </c>
      <c r="S7" s="739" t="s">
        <v>503</v>
      </c>
      <c r="T7" s="739">
        <v>0</v>
      </c>
    </row>
    <row r="8" spans="1:21" x14ac:dyDescent="0.2">
      <c r="A8" s="740"/>
      <c r="B8" s="741"/>
      <c r="C8" s="741"/>
      <c r="D8" s="741"/>
      <c r="E8" s="741"/>
      <c r="F8" s="741"/>
      <c r="G8" s="741"/>
      <c r="H8" s="741"/>
      <c r="I8" s="741"/>
      <c r="J8" s="741"/>
      <c r="K8" s="741"/>
      <c r="L8" s="741"/>
      <c r="M8" s="741"/>
      <c r="N8" s="739"/>
      <c r="O8" s="739" t="s">
        <v>215</v>
      </c>
      <c r="P8" s="739" t="s">
        <v>216</v>
      </c>
      <c r="Q8" s="739" t="s">
        <v>497</v>
      </c>
      <c r="R8" s="739" t="s">
        <v>487</v>
      </c>
      <c r="S8" s="739" t="s">
        <v>504</v>
      </c>
      <c r="T8" s="739">
        <v>-2107375.34</v>
      </c>
      <c r="U8" s="737">
        <f>T8-N30</f>
        <v>0</v>
      </c>
    </row>
    <row r="9" spans="1:21" x14ac:dyDescent="0.2">
      <c r="A9" s="740" t="s">
        <v>458</v>
      </c>
      <c r="B9" s="741"/>
      <c r="C9" s="739" t="s">
        <v>443</v>
      </c>
      <c r="D9" s="739" t="str">
        <f>E9</f>
        <v>February</v>
      </c>
      <c r="E9" s="739" t="s">
        <v>444</v>
      </c>
      <c r="F9" s="739" t="s">
        <v>446</v>
      </c>
      <c r="G9" s="739" t="s">
        <v>446</v>
      </c>
      <c r="H9" s="739" t="s">
        <v>408</v>
      </c>
      <c r="I9" s="739" t="s">
        <v>408</v>
      </c>
      <c r="J9" s="739" t="s">
        <v>141</v>
      </c>
      <c r="K9" s="739"/>
      <c r="L9" s="739" t="s">
        <v>141</v>
      </c>
      <c r="M9" s="739"/>
      <c r="N9" s="739"/>
      <c r="O9" s="739" t="s">
        <v>215</v>
      </c>
      <c r="P9" s="739" t="s">
        <v>216</v>
      </c>
      <c r="Q9" s="739" t="s">
        <v>497</v>
      </c>
      <c r="R9" s="739" t="s">
        <v>505</v>
      </c>
      <c r="S9" s="739" t="s">
        <v>506</v>
      </c>
      <c r="T9" s="739">
        <v>0</v>
      </c>
    </row>
    <row r="10" spans="1:21" x14ac:dyDescent="0.2">
      <c r="A10" s="740"/>
      <c r="B10" s="741"/>
      <c r="C10" s="741" t="s">
        <v>491</v>
      </c>
      <c r="D10" s="741" t="s">
        <v>491</v>
      </c>
      <c r="E10" s="741" t="s">
        <v>492</v>
      </c>
      <c r="F10" s="741" t="s">
        <v>491</v>
      </c>
      <c r="G10" s="741" t="s">
        <v>492</v>
      </c>
      <c r="H10" s="741" t="s">
        <v>491</v>
      </c>
      <c r="I10" s="741" t="s">
        <v>492</v>
      </c>
      <c r="J10" s="741" t="s">
        <v>491</v>
      </c>
      <c r="K10" s="741"/>
      <c r="L10" s="741" t="s">
        <v>492</v>
      </c>
      <c r="M10" s="741"/>
      <c r="N10" s="739" t="s">
        <v>62</v>
      </c>
      <c r="O10" s="739" t="s">
        <v>218</v>
      </c>
      <c r="P10" s="739" t="s">
        <v>507</v>
      </c>
      <c r="Q10" s="739" t="s">
        <v>218</v>
      </c>
      <c r="R10" s="739" t="s">
        <v>218</v>
      </c>
      <c r="S10" s="739" t="s">
        <v>218</v>
      </c>
      <c r="T10" s="739">
        <v>-5872647.6899999995</v>
      </c>
    </row>
    <row r="11" spans="1:21" x14ac:dyDescent="0.2">
      <c r="A11" s="740" t="s">
        <v>508</v>
      </c>
      <c r="B11" s="741" t="s">
        <v>496</v>
      </c>
      <c r="C11" s="741">
        <v>1607339.60858837</v>
      </c>
      <c r="D11" s="741">
        <v>549801.705872352</v>
      </c>
      <c r="E11" s="741">
        <v>-950888.82765651902</v>
      </c>
      <c r="F11" s="741">
        <f>-'[40]46'!B13</f>
        <v>-412999.31503145257</v>
      </c>
      <c r="G11" s="741">
        <f>-'[41]44'!B13</f>
        <v>-939716.62488233519</v>
      </c>
      <c r="H11" s="741">
        <f>-'[44]1595 Continuity 2011'!$H$183</f>
        <v>-40649.420881213729</v>
      </c>
      <c r="I11" s="741">
        <f>-'[42]1595 Continuity 2012'!$H$102</f>
        <v>-910242.24213787389</v>
      </c>
      <c r="J11" s="741">
        <f>-'[44]40'!B13</f>
        <v>-9554.5320528306565</v>
      </c>
      <c r="K11" s="741"/>
      <c r="L11" s="741">
        <f>-'[42]42'!B13</f>
        <v>-934686.70981098467</v>
      </c>
      <c r="M11" s="741"/>
      <c r="N11" s="739">
        <f>SUM(C11:L11)</f>
        <v>-2041596.357992488</v>
      </c>
    </row>
    <row r="12" spans="1:21" x14ac:dyDescent="0.2">
      <c r="A12" s="740" t="s">
        <v>508</v>
      </c>
      <c r="B12" s="741" t="s">
        <v>499</v>
      </c>
      <c r="C12" s="741">
        <v>11693.181411633101</v>
      </c>
      <c r="D12" s="741">
        <v>3999.73412764768</v>
      </c>
      <c r="E12" s="741">
        <v>-19881.082343480899</v>
      </c>
      <c r="F12" s="741">
        <f>-'[40]46'!B14</f>
        <v>-3004.5149685474703</v>
      </c>
      <c r="G12" s="741">
        <f>-'[41]44'!B14</f>
        <v>-19647.495117664977</v>
      </c>
      <c r="H12" s="741">
        <f>-'[44]1595 Continuity 2011'!$H$187</f>
        <v>-295.71911878616947</v>
      </c>
      <c r="I12" s="741">
        <f>-'[42]1595 Continuity 2012'!$H$106</f>
        <v>-19031.247862126107</v>
      </c>
      <c r="J12" s="741">
        <f>-'[44]40'!B14</f>
        <v>-69.507947169379918</v>
      </c>
      <c r="K12" s="741"/>
      <c r="L12" s="741">
        <f>-'[42]42'!B14</f>
        <v>-19542.330189015345</v>
      </c>
      <c r="M12" s="741"/>
      <c r="N12" s="739">
        <f>SUM(C12:L12)</f>
        <v>-65778.982007509563</v>
      </c>
    </row>
    <row r="13" spans="1:21" x14ac:dyDescent="0.2">
      <c r="A13" s="740"/>
      <c r="B13" s="741"/>
      <c r="C13" s="741">
        <f t="shared" ref="C13:N13" si="0">SUM(C11:C12)</f>
        <v>1619032.7900000031</v>
      </c>
      <c r="D13" s="741">
        <f t="shared" si="0"/>
        <v>553801.43999999971</v>
      </c>
      <c r="E13" s="741">
        <f t="shared" si="0"/>
        <v>-970769.90999999992</v>
      </c>
      <c r="F13" s="741">
        <f t="shared" si="0"/>
        <v>-416003.83</v>
      </c>
      <c r="G13" s="741">
        <f t="shared" si="0"/>
        <v>-959364.12000000011</v>
      </c>
      <c r="H13" s="741">
        <f t="shared" si="0"/>
        <v>-40945.139999999898</v>
      </c>
      <c r="I13" s="741">
        <f>SUM(I11:I12)</f>
        <v>-929273.49</v>
      </c>
      <c r="J13" s="741">
        <f>SUM(J11:J12)</f>
        <v>-9624.0400000000373</v>
      </c>
      <c r="K13" s="741"/>
      <c r="L13" s="741">
        <f>SUM(L11:L12)</f>
        <v>-954229.04</v>
      </c>
      <c r="M13" s="741"/>
      <c r="N13" s="739">
        <f t="shared" si="0"/>
        <v>-2107375.3399999975</v>
      </c>
    </row>
    <row r="14" spans="1:21" ht="13.5" thickBot="1" x14ac:dyDescent="0.25">
      <c r="A14" s="739"/>
      <c r="B14" s="739"/>
      <c r="C14" s="742">
        <f t="shared" ref="C14:N14" si="1">C7+C13</f>
        <v>523078.32864082209</v>
      </c>
      <c r="D14" s="742">
        <f t="shared" si="1"/>
        <v>118957.79346230527</v>
      </c>
      <c r="E14" s="742">
        <f t="shared" si="1"/>
        <v>-1581680.0893511418</v>
      </c>
      <c r="F14" s="742">
        <f t="shared" si="1"/>
        <v>-8559.1834623044706</v>
      </c>
      <c r="G14" s="742">
        <f t="shared" si="1"/>
        <v>-1636257.9406488584</v>
      </c>
      <c r="H14" s="742">
        <f t="shared" si="1"/>
        <v>-40945.139999999898</v>
      </c>
      <c r="I14" s="742">
        <f>I7+I13</f>
        <v>-1580819.1219346649</v>
      </c>
      <c r="J14" s="742">
        <f>J7+J13</f>
        <v>-9624.0400000000373</v>
      </c>
      <c r="K14" s="742"/>
      <c r="L14" s="742">
        <f>L7+L13</f>
        <v>-1648040.0485936515</v>
      </c>
      <c r="M14" s="742"/>
      <c r="N14" s="739">
        <f t="shared" si="1"/>
        <v>-5872647.6818874944</v>
      </c>
    </row>
    <row r="15" spans="1:21" x14ac:dyDescent="0.2">
      <c r="A15" s="738"/>
      <c r="B15" s="739"/>
      <c r="C15" s="739"/>
      <c r="D15" s="739"/>
      <c r="E15" s="739"/>
      <c r="F15" s="739"/>
      <c r="G15" s="739"/>
      <c r="H15" s="739">
        <v>2010</v>
      </c>
      <c r="I15" s="739">
        <f>C14+D14+F14+H14</f>
        <v>592531.79864082299</v>
      </c>
      <c r="J15" s="739">
        <f>J14</f>
        <v>-9624.0400000000373</v>
      </c>
      <c r="K15" s="739"/>
      <c r="L15" s="739">
        <f>I15+J15</f>
        <v>582907.75864082295</v>
      </c>
      <c r="M15" s="739"/>
      <c r="N15" s="739"/>
    </row>
    <row r="16" spans="1:21" x14ac:dyDescent="0.2">
      <c r="A16" s="740"/>
      <c r="B16" s="741"/>
      <c r="C16" s="741"/>
      <c r="D16" s="741"/>
      <c r="E16" s="741"/>
      <c r="F16" s="741"/>
      <c r="G16" s="741"/>
      <c r="H16" s="741">
        <v>2011</v>
      </c>
      <c r="I16" s="741">
        <f>E5+G5+I5</f>
        <v>-1887080.6150498255</v>
      </c>
      <c r="J16" s="741">
        <f>L5</f>
        <v>-675111.53392136563</v>
      </c>
      <c r="K16" s="741">
        <f>K5</f>
        <v>-9970.6299999999992</v>
      </c>
      <c r="L16" s="741">
        <f>I16+J16+K16</f>
        <v>-2572162.778971191</v>
      </c>
      <c r="M16" s="741"/>
      <c r="N16" s="739"/>
    </row>
    <row r="17" spans="1:14" x14ac:dyDescent="0.2">
      <c r="A17" s="740"/>
      <c r="B17" s="741"/>
      <c r="C17" s="741"/>
      <c r="D17" s="741"/>
      <c r="E17" s="741"/>
      <c r="F17" s="741"/>
      <c r="G17" s="741"/>
      <c r="H17" s="741">
        <v>2011</v>
      </c>
      <c r="I17" s="741">
        <f>E6+G6+I6</f>
        <v>-52269.016884839599</v>
      </c>
      <c r="J17" s="741">
        <f>L6</f>
        <v>-18699.474672285836</v>
      </c>
      <c r="K17" s="741">
        <f>K6</f>
        <v>1212.3900000000001</v>
      </c>
      <c r="L17" s="741">
        <f>I17+J17+K17</f>
        <v>-69756.101557125439</v>
      </c>
      <c r="M17" s="741"/>
      <c r="N17" s="739"/>
    </row>
    <row r="18" spans="1:14" x14ac:dyDescent="0.2">
      <c r="A18" s="740"/>
      <c r="B18" s="741"/>
      <c r="C18" s="741"/>
      <c r="D18" s="741"/>
      <c r="E18" s="741"/>
      <c r="F18" s="741"/>
      <c r="G18" s="741"/>
      <c r="H18" s="741">
        <v>2011</v>
      </c>
      <c r="I18" s="741">
        <f>E11+G11+I11</f>
        <v>-2800847.694676728</v>
      </c>
      <c r="J18" s="741">
        <f>L11</f>
        <v>-934686.70981098467</v>
      </c>
      <c r="K18" s="741"/>
      <c r="L18" s="741">
        <f>I18+J18</f>
        <v>-3735534.4044877128</v>
      </c>
      <c r="M18" s="741"/>
      <c r="N18" s="739"/>
    </row>
    <row r="19" spans="1:14" x14ac:dyDescent="0.2">
      <c r="A19" s="740"/>
      <c r="B19" s="741"/>
      <c r="C19" s="741"/>
      <c r="D19" s="741"/>
      <c r="E19" s="741"/>
      <c r="F19" s="741"/>
      <c r="G19" s="741"/>
      <c r="H19" s="741">
        <v>2011</v>
      </c>
      <c r="I19" s="741">
        <f>E12+G12+I12</f>
        <v>-58559.825323271987</v>
      </c>
      <c r="J19" s="741">
        <f>L12</f>
        <v>-19542.330189015345</v>
      </c>
      <c r="K19" s="741"/>
      <c r="L19" s="741">
        <f>I19+J19</f>
        <v>-78102.15551228734</v>
      </c>
      <c r="M19" s="741"/>
      <c r="N19" s="739"/>
    </row>
    <row r="20" spans="1:14" x14ac:dyDescent="0.2">
      <c r="A20" s="740"/>
      <c r="B20" s="741"/>
      <c r="C20" s="741"/>
      <c r="D20" s="741"/>
      <c r="E20" s="741"/>
      <c r="F20" s="741"/>
      <c r="G20" s="741"/>
      <c r="H20" s="741" t="s">
        <v>509</v>
      </c>
      <c r="I20" s="741">
        <f>I16+I18</f>
        <v>-4687928.309726553</v>
      </c>
      <c r="J20" s="741">
        <f>J16+J18</f>
        <v>-1609798.2437323504</v>
      </c>
      <c r="K20" s="741"/>
      <c r="L20" s="741">
        <f>I20+J20</f>
        <v>-6297726.553458903</v>
      </c>
      <c r="M20" s="741"/>
      <c r="N20" s="739"/>
    </row>
    <row r="21" spans="1:14" x14ac:dyDescent="0.2">
      <c r="A21" s="740"/>
      <c r="B21" s="741"/>
      <c r="C21" s="741"/>
      <c r="D21" s="741"/>
      <c r="E21" s="741"/>
      <c r="F21" s="741"/>
      <c r="G21" s="741"/>
      <c r="H21" s="741" t="s">
        <v>509</v>
      </c>
      <c r="I21" s="741">
        <f>I17+I19</f>
        <v>-110828.84220811159</v>
      </c>
      <c r="J21" s="741">
        <f>J17+J19</f>
        <v>-38241.804861301178</v>
      </c>
      <c r="K21" s="741"/>
      <c r="L21" s="741">
        <f>L17+L19</f>
        <v>-147858.25706941279</v>
      </c>
      <c r="M21" s="741"/>
      <c r="N21" s="739"/>
    </row>
    <row r="22" spans="1:14" x14ac:dyDescent="0.2">
      <c r="A22" s="740"/>
      <c r="B22" s="741"/>
      <c r="C22" s="741"/>
      <c r="D22" s="741"/>
      <c r="E22" s="741"/>
      <c r="F22" s="741"/>
      <c r="G22" s="741"/>
      <c r="H22" s="741"/>
      <c r="I22" s="741">
        <f>I20+I21</f>
        <v>-4798757.1519346647</v>
      </c>
      <c r="J22" s="741">
        <f>J20+J21</f>
        <v>-1648040.0485936515</v>
      </c>
      <c r="K22" s="741"/>
      <c r="L22" s="741">
        <f>L20+L21</f>
        <v>-6445584.8105283156</v>
      </c>
      <c r="M22" s="741"/>
      <c r="N22" s="739"/>
    </row>
    <row r="23" spans="1:14" x14ac:dyDescent="0.2">
      <c r="A23" s="740"/>
      <c r="B23" s="741"/>
      <c r="C23" s="741"/>
      <c r="D23" s="741"/>
      <c r="E23" s="741"/>
      <c r="F23" s="741"/>
      <c r="G23" s="741"/>
      <c r="H23" s="741"/>
      <c r="I23" s="741"/>
      <c r="J23" s="741"/>
      <c r="K23" s="741"/>
      <c r="L23" s="741"/>
      <c r="M23" s="741"/>
      <c r="N23" s="739"/>
    </row>
    <row r="24" spans="1:14" x14ac:dyDescent="0.2">
      <c r="A24" s="740"/>
      <c r="B24" s="741"/>
      <c r="C24" s="741"/>
      <c r="D24" s="741"/>
      <c r="E24" s="741"/>
      <c r="F24" s="741"/>
      <c r="G24" s="741"/>
      <c r="H24" s="741"/>
      <c r="I24" s="741"/>
      <c r="J24" s="741"/>
      <c r="K24" s="741"/>
      <c r="L24" s="741"/>
      <c r="M24" s="741"/>
      <c r="N24" s="739"/>
    </row>
    <row r="25" spans="1:14" ht="13.5" thickBot="1" x14ac:dyDescent="0.25">
      <c r="A25" s="740"/>
      <c r="B25" s="741"/>
      <c r="C25" s="741"/>
      <c r="D25" s="741"/>
      <c r="E25" s="741"/>
      <c r="F25" s="741"/>
      <c r="G25" s="741"/>
      <c r="H25" s="741"/>
      <c r="I25" s="741"/>
      <c r="J25" s="741"/>
      <c r="K25" s="741"/>
      <c r="L25" s="741"/>
      <c r="M25" s="741"/>
      <c r="N25" s="739"/>
    </row>
    <row r="26" spans="1:14" x14ac:dyDescent="0.2">
      <c r="A26" s="738" t="s">
        <v>510</v>
      </c>
      <c r="B26" s="738">
        <v>412220</v>
      </c>
      <c r="C26" s="741" t="s">
        <v>60</v>
      </c>
      <c r="D26" s="739"/>
      <c r="E26" s="739"/>
      <c r="F26" s="739"/>
      <c r="G26" s="739"/>
      <c r="H26" s="739"/>
      <c r="I26" s="739"/>
      <c r="J26" s="739"/>
      <c r="K26" s="739"/>
      <c r="L26" s="739"/>
      <c r="M26" s="739"/>
      <c r="N26" s="739">
        <f>T5</f>
        <v>-3765272.35</v>
      </c>
    </row>
    <row r="27" spans="1:14" x14ac:dyDescent="0.2">
      <c r="A27" s="740"/>
      <c r="B27" s="740"/>
      <c r="C27" s="741"/>
      <c r="D27" s="741"/>
      <c r="E27" s="741"/>
      <c r="F27" s="741"/>
      <c r="G27" s="741"/>
      <c r="H27" s="741"/>
      <c r="I27" s="741"/>
      <c r="J27" s="741"/>
      <c r="K27" s="741"/>
      <c r="L27" s="741"/>
      <c r="M27" s="741"/>
      <c r="N27" s="739"/>
    </row>
    <row r="28" spans="1:14" x14ac:dyDescent="0.2">
      <c r="A28" s="740" t="s">
        <v>511</v>
      </c>
      <c r="B28" s="740">
        <v>400250</v>
      </c>
      <c r="C28" s="741" t="s">
        <v>512</v>
      </c>
      <c r="D28" s="741"/>
      <c r="E28" s="741"/>
      <c r="F28" s="741"/>
      <c r="G28" s="741"/>
      <c r="H28" s="741"/>
      <c r="I28" s="741"/>
      <c r="J28" s="741"/>
      <c r="K28" s="741"/>
      <c r="L28" s="741"/>
      <c r="M28" s="741"/>
      <c r="N28" s="739">
        <v>1706261.22</v>
      </c>
    </row>
    <row r="29" spans="1:14" x14ac:dyDescent="0.2">
      <c r="A29" s="740" t="s">
        <v>513</v>
      </c>
      <c r="B29" s="740">
        <v>400269</v>
      </c>
      <c r="C29" s="741" t="s">
        <v>514</v>
      </c>
      <c r="D29" s="741"/>
      <c r="E29" s="741"/>
      <c r="F29" s="741"/>
      <c r="G29" s="741"/>
      <c r="H29" s="741"/>
      <c r="I29" s="741"/>
      <c r="J29" s="741"/>
      <c r="K29" s="741"/>
      <c r="L29" s="741"/>
      <c r="M29" s="741"/>
      <c r="N29" s="739">
        <v>-3813636.56</v>
      </c>
    </row>
    <row r="30" spans="1:14" x14ac:dyDescent="0.2">
      <c r="A30" s="740" t="s">
        <v>515</v>
      </c>
      <c r="B30" s="740"/>
      <c r="C30" s="741"/>
      <c r="D30" s="741"/>
      <c r="E30" s="741"/>
      <c r="F30" s="741"/>
      <c r="G30" s="741"/>
      <c r="H30" s="741"/>
      <c r="I30" s="741"/>
      <c r="J30" s="741"/>
      <c r="K30" s="741"/>
      <c r="L30" s="741"/>
      <c r="M30" s="741"/>
      <c r="N30" s="739">
        <f>N28+N29</f>
        <v>-2107375.34</v>
      </c>
    </row>
    <row r="31" spans="1:14" x14ac:dyDescent="0.2">
      <c r="A31" s="740" t="s">
        <v>516</v>
      </c>
      <c r="B31" s="739"/>
      <c r="C31" s="739"/>
      <c r="D31" s="739"/>
      <c r="E31" s="739"/>
      <c r="F31" s="739"/>
      <c r="G31" s="739"/>
      <c r="H31" s="739"/>
      <c r="I31" s="739"/>
      <c r="J31" s="739"/>
      <c r="K31" s="739"/>
      <c r="L31" s="739"/>
      <c r="M31" s="739"/>
      <c r="N31" s="739">
        <f>N26+N30</f>
        <v>-5872647.6899999995</v>
      </c>
    </row>
    <row r="32" spans="1:14" x14ac:dyDescent="0.2">
      <c r="A32" s="740"/>
      <c r="B32" s="740"/>
      <c r="C32" s="741"/>
      <c r="D32" s="741"/>
      <c r="E32" s="741"/>
      <c r="F32" s="741"/>
      <c r="G32" s="741"/>
      <c r="H32" s="741"/>
      <c r="I32" s="741"/>
      <c r="J32" s="741"/>
      <c r="K32" s="741"/>
      <c r="L32" s="741"/>
      <c r="M32" s="741"/>
      <c r="N32" s="739">
        <f>N14-N31</f>
        <v>8.1125050783157349E-3</v>
      </c>
    </row>
    <row r="33" spans="1:14" x14ac:dyDescent="0.2">
      <c r="A33" s="739"/>
      <c r="B33" s="739"/>
      <c r="C33" s="739"/>
      <c r="D33" s="739"/>
      <c r="E33" s="739"/>
      <c r="F33" s="739"/>
      <c r="G33" s="739"/>
      <c r="H33" s="739"/>
      <c r="I33" s="739"/>
      <c r="J33" s="739"/>
      <c r="K33" s="739"/>
      <c r="L33" s="739"/>
      <c r="M33" s="739"/>
      <c r="N33" s="739"/>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0"/>
  <sheetViews>
    <sheetView workbookViewId="0">
      <selection activeCell="G6" sqref="G6"/>
    </sheetView>
  </sheetViews>
  <sheetFormatPr defaultRowHeight="12.75" x14ac:dyDescent="0.2"/>
  <cols>
    <col min="1" max="1" width="53.42578125" bestFit="1" customWidth="1"/>
    <col min="2" max="2" width="10" customWidth="1"/>
    <col min="3" max="3" width="13.28515625" bestFit="1" customWidth="1"/>
    <col min="4" max="4" width="11.28515625" bestFit="1" customWidth="1"/>
  </cols>
  <sheetData>
    <row r="1" spans="1:8" ht="15.75" x14ac:dyDescent="0.2">
      <c r="A1" s="920" t="s">
        <v>539</v>
      </c>
      <c r="B1" s="920"/>
      <c r="C1" s="920"/>
      <c r="D1" s="920"/>
      <c r="E1" s="920"/>
      <c r="F1" s="779"/>
      <c r="G1" s="779"/>
      <c r="H1" s="779"/>
    </row>
    <row r="2" spans="1:8" ht="15.75" x14ac:dyDescent="0.2">
      <c r="A2" s="920" t="s">
        <v>540</v>
      </c>
      <c r="B2" s="920"/>
      <c r="C2" s="920"/>
      <c r="D2" s="920"/>
      <c r="E2" s="920"/>
      <c r="F2" s="779"/>
      <c r="G2" s="779"/>
      <c r="H2" s="779"/>
    </row>
    <row r="3" spans="1:8" ht="15.75" x14ac:dyDescent="0.25">
      <c r="A3" s="921" t="s">
        <v>568</v>
      </c>
      <c r="B3" s="921"/>
      <c r="C3" s="921"/>
      <c r="D3" s="921"/>
      <c r="E3" s="921"/>
      <c r="F3" s="922"/>
      <c r="G3" s="922"/>
      <c r="H3" s="922"/>
    </row>
    <row r="6" spans="1:8" ht="15" x14ac:dyDescent="0.25">
      <c r="A6" s="769" t="s">
        <v>541</v>
      </c>
      <c r="B6" s="770" t="s">
        <v>542</v>
      </c>
      <c r="C6" s="770" t="s">
        <v>62</v>
      </c>
    </row>
    <row r="7" spans="1:8" x14ac:dyDescent="0.2">
      <c r="A7" s="771" t="s">
        <v>86</v>
      </c>
      <c r="B7" s="772">
        <v>1550</v>
      </c>
      <c r="C7" s="773">
        <v>1521113</v>
      </c>
    </row>
    <row r="8" spans="1:8" x14ac:dyDescent="0.2">
      <c r="A8" s="771" t="s">
        <v>543</v>
      </c>
      <c r="B8" s="772">
        <v>1580</v>
      </c>
      <c r="C8" s="773">
        <v>-7959847</v>
      </c>
    </row>
    <row r="9" spans="1:8" x14ac:dyDescent="0.2">
      <c r="A9" s="771" t="s">
        <v>544</v>
      </c>
      <c r="B9" s="772">
        <v>1582</v>
      </c>
      <c r="C9" s="773">
        <v>29192</v>
      </c>
    </row>
    <row r="10" spans="1:8" x14ac:dyDescent="0.2">
      <c r="A10" s="771" t="s">
        <v>545</v>
      </c>
      <c r="B10" s="772">
        <v>1584</v>
      </c>
      <c r="C10" s="773">
        <v>509870</v>
      </c>
    </row>
    <row r="11" spans="1:8" x14ac:dyDescent="0.2">
      <c r="A11" s="771" t="s">
        <v>546</v>
      </c>
      <c r="B11" s="772">
        <v>1586</v>
      </c>
      <c r="C11" s="773">
        <v>461299</v>
      </c>
    </row>
    <row r="12" spans="1:8" x14ac:dyDescent="0.2">
      <c r="A12" s="771" t="s">
        <v>547</v>
      </c>
      <c r="B12" s="772">
        <v>1588</v>
      </c>
      <c r="C12" s="773">
        <v>423353</v>
      </c>
    </row>
    <row r="13" spans="1:8" x14ac:dyDescent="0.2">
      <c r="A13" s="771" t="s">
        <v>548</v>
      </c>
      <c r="B13" s="772">
        <v>1589</v>
      </c>
      <c r="C13" s="773">
        <v>2104764</v>
      </c>
    </row>
    <row r="14" spans="1:8" x14ac:dyDescent="0.2">
      <c r="A14" s="771" t="s">
        <v>549</v>
      </c>
      <c r="B14" s="772">
        <v>1595</v>
      </c>
      <c r="C14" s="773">
        <v>1068</v>
      </c>
    </row>
    <row r="15" spans="1:8" ht="15" x14ac:dyDescent="0.25">
      <c r="A15" s="777" t="s">
        <v>560</v>
      </c>
      <c r="B15" s="777" t="s">
        <v>62</v>
      </c>
      <c r="C15" s="778">
        <f>SUM(C7:C14)</f>
        <v>-2909188</v>
      </c>
    </row>
    <row r="17" spans="1:4" ht="15" x14ac:dyDescent="0.25">
      <c r="A17" s="769" t="s">
        <v>550</v>
      </c>
      <c r="B17" s="770" t="s">
        <v>542</v>
      </c>
      <c r="C17" s="770" t="s">
        <v>62</v>
      </c>
    </row>
    <row r="18" spans="1:4" x14ac:dyDescent="0.2">
      <c r="A18" s="771" t="s">
        <v>214</v>
      </c>
      <c r="B18" s="772">
        <v>1508</v>
      </c>
      <c r="C18" s="773">
        <v>1564873</v>
      </c>
    </row>
    <row r="19" spans="1:4" x14ac:dyDescent="0.2">
      <c r="A19" s="771" t="s">
        <v>551</v>
      </c>
      <c r="B19" s="772">
        <v>1508</v>
      </c>
      <c r="C19" s="773">
        <v>45695</v>
      </c>
    </row>
    <row r="20" spans="1:4" x14ac:dyDescent="0.2">
      <c r="A20" s="771" t="s">
        <v>552</v>
      </c>
      <c r="B20" s="772">
        <v>1518</v>
      </c>
      <c r="C20" s="773">
        <v>311681</v>
      </c>
    </row>
    <row r="21" spans="1:4" x14ac:dyDescent="0.2">
      <c r="A21" s="771" t="s">
        <v>553</v>
      </c>
      <c r="B21" s="772">
        <v>1548</v>
      </c>
      <c r="C21" s="773">
        <v>346305</v>
      </c>
    </row>
    <row r="22" spans="1:4" x14ac:dyDescent="0.2">
      <c r="A22" s="771" t="s">
        <v>554</v>
      </c>
      <c r="B22" s="772">
        <v>1572</v>
      </c>
      <c r="C22" s="773">
        <v>1291264</v>
      </c>
    </row>
    <row r="23" spans="1:4" x14ac:dyDescent="0.2">
      <c r="A23" s="771" t="s">
        <v>555</v>
      </c>
      <c r="B23" s="772">
        <v>1592</v>
      </c>
      <c r="C23" s="773">
        <v>-1545176</v>
      </c>
    </row>
    <row r="24" spans="1:4" ht="15" x14ac:dyDescent="0.25">
      <c r="A24" s="777" t="s">
        <v>561</v>
      </c>
      <c r="B24" s="777" t="s">
        <v>62</v>
      </c>
      <c r="C24" s="778">
        <f t="shared" ref="C24" si="0">SUM(C18:C23)</f>
        <v>2014642</v>
      </c>
    </row>
    <row r="26" spans="1:4" ht="15" x14ac:dyDescent="0.25">
      <c r="A26" s="784" t="s">
        <v>564</v>
      </c>
      <c r="B26" s="14"/>
      <c r="C26" s="785">
        <f>+C15+C24</f>
        <v>-894546</v>
      </c>
      <c r="D26" s="789"/>
    </row>
    <row r="27" spans="1:4" ht="15" x14ac:dyDescent="0.25">
      <c r="A27" s="784" t="s">
        <v>562</v>
      </c>
      <c r="B27" s="14"/>
      <c r="C27" s="785">
        <f>-C24</f>
        <v>-2014642</v>
      </c>
    </row>
    <row r="28" spans="1:4" ht="15" x14ac:dyDescent="0.25">
      <c r="A28" s="784" t="s">
        <v>563</v>
      </c>
      <c r="B28" s="14"/>
      <c r="C28" s="785">
        <f>-C9</f>
        <v>-29192</v>
      </c>
    </row>
    <row r="29" spans="1:4" ht="15.75" thickBot="1" x14ac:dyDescent="0.3">
      <c r="A29" s="791" t="s">
        <v>571</v>
      </c>
      <c r="B29" s="792"/>
      <c r="C29" s="793">
        <f>SUM(C26:C28)</f>
        <v>-2938380</v>
      </c>
    </row>
    <row r="30" spans="1:4" ht="15.75" thickTop="1" x14ac:dyDescent="0.25">
      <c r="A30" s="784"/>
      <c r="B30" s="14"/>
      <c r="C30" s="790"/>
    </row>
    <row r="31" spans="1:4" ht="15" x14ac:dyDescent="0.25">
      <c r="A31" s="42"/>
      <c r="B31" s="14"/>
      <c r="C31" s="783"/>
    </row>
    <row r="32" spans="1:4" x14ac:dyDescent="0.2">
      <c r="A32" s="784" t="s">
        <v>564</v>
      </c>
      <c r="C32" s="773">
        <f>C26</f>
        <v>-894546</v>
      </c>
    </row>
    <row r="33" spans="1:3" x14ac:dyDescent="0.2">
      <c r="A33" s="784" t="s">
        <v>566</v>
      </c>
      <c r="C33" s="773">
        <f>-'[47]3. 2015 Continuity Schedule'!$AA$34</f>
        <v>-887990</v>
      </c>
    </row>
    <row r="34" spans="1:3" ht="15.75" thickBot="1" x14ac:dyDescent="0.3">
      <c r="A34" s="791" t="s">
        <v>572</v>
      </c>
      <c r="B34" s="792"/>
      <c r="C34" s="793">
        <f>C32-C33</f>
        <v>-6556</v>
      </c>
    </row>
    <row r="35" spans="1:3" ht="13.5" thickTop="1" x14ac:dyDescent="0.2"/>
    <row r="36" spans="1:3" x14ac:dyDescent="0.2">
      <c r="A36" t="s">
        <v>573</v>
      </c>
    </row>
    <row r="37" spans="1:3" x14ac:dyDescent="0.2">
      <c r="A37" t="s">
        <v>574</v>
      </c>
    </row>
    <row r="38" spans="1:3" s="794" customFormat="1" x14ac:dyDescent="0.2"/>
    <row r="39" spans="1:3" x14ac:dyDescent="0.2">
      <c r="A39" s="796" t="s">
        <v>576</v>
      </c>
    </row>
    <row r="40" spans="1:3" x14ac:dyDescent="0.2">
      <c r="A40" t="s">
        <v>575</v>
      </c>
    </row>
  </sheetData>
  <mergeCells count="3">
    <mergeCell ref="A1:E1"/>
    <mergeCell ref="A2:E2"/>
    <mergeCell ref="A3:E3"/>
  </mergeCells>
  <pageMargins left="0.70866141732283472" right="0.70866141732283472" top="0.74803149606299213" bottom="0.74803149606299213" header="0.31496062992125984" footer="0.31496062992125984"/>
  <pageSetup scale="94" fitToWidth="0" orientation="landscape" r:id="rId1"/>
  <headerFooter differentOddEven="1">
    <oddHeader>&amp;REnersource Hydro Mississauga Inc.
Filed: September 23, 2015
2016 Price Cap IR Application
Supplementary Evidence
EB-2015-0065
Page &amp;P of &amp;N</oddHeader>
    <oddFooter>&amp;C&amp;A</oddFooter>
    <evenHeader>&amp;LEnersource Hydro Mississauga Inc.
Filed: September 23, 2015
2016 Price Cap IR Application
Supplementary Evidence
EB-2015-0065
Page &amp;P of &amp;N</evenHeader>
    <evenFooter>&amp;C&amp;A</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V35" sqref="V35"/>
    </sheetView>
  </sheetViews>
  <sheetFormatPr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workbookViewId="0">
      <selection activeCell="C34" sqref="C34"/>
    </sheetView>
  </sheetViews>
  <sheetFormatPr defaultRowHeight="12.75" x14ac:dyDescent="0.2"/>
  <cols>
    <col min="1" max="1" width="55" customWidth="1"/>
    <col min="2" max="2" width="10" customWidth="1"/>
    <col min="3" max="8" width="19.28515625" customWidth="1"/>
  </cols>
  <sheetData>
    <row r="1" spans="1:8" ht="14.25" customHeight="1" x14ac:dyDescent="0.2">
      <c r="A1" s="920" t="s">
        <v>539</v>
      </c>
      <c r="B1" s="920"/>
      <c r="C1" s="920"/>
      <c r="D1" s="920"/>
      <c r="E1" s="920"/>
      <c r="F1" s="920"/>
      <c r="G1" s="920"/>
      <c r="H1" s="920"/>
    </row>
    <row r="2" spans="1:8" ht="14.25" customHeight="1" x14ac:dyDescent="0.2">
      <c r="A2" s="920" t="s">
        <v>558</v>
      </c>
      <c r="B2" s="920"/>
      <c r="C2" s="920"/>
      <c r="D2" s="920"/>
      <c r="E2" s="920"/>
      <c r="F2" s="920"/>
      <c r="G2" s="920"/>
      <c r="H2" s="920"/>
    </row>
    <row r="3" spans="1:8" ht="14.25" customHeight="1" x14ac:dyDescent="0.25">
      <c r="A3" s="921" t="s">
        <v>559</v>
      </c>
      <c r="B3" s="921"/>
      <c r="C3" s="921"/>
      <c r="D3" s="921"/>
      <c r="E3" s="921"/>
      <c r="F3" s="921"/>
      <c r="G3" s="921"/>
      <c r="H3" s="921"/>
    </row>
    <row r="4" spans="1:8" ht="14.25" customHeight="1" x14ac:dyDescent="0.3">
      <c r="A4" s="768"/>
    </row>
    <row r="5" spans="1:8" ht="47.25" x14ac:dyDescent="0.25">
      <c r="A5" s="780" t="s">
        <v>541</v>
      </c>
      <c r="B5" s="781" t="s">
        <v>542</v>
      </c>
      <c r="C5" s="781" t="s">
        <v>120</v>
      </c>
      <c r="D5" s="781" t="s">
        <v>132</v>
      </c>
      <c r="E5" s="782" t="s">
        <v>565</v>
      </c>
      <c r="F5" s="782" t="s">
        <v>557</v>
      </c>
      <c r="G5" s="782" t="s">
        <v>567</v>
      </c>
      <c r="H5" s="782" t="s">
        <v>566</v>
      </c>
    </row>
    <row r="6" spans="1:8" x14ac:dyDescent="0.2">
      <c r="A6" s="771" t="s">
        <v>476</v>
      </c>
      <c r="B6" s="772">
        <v>1550</v>
      </c>
      <c r="C6" s="773">
        <v>2000049</v>
      </c>
      <c r="D6" s="773">
        <v>11627.599999999999</v>
      </c>
      <c r="E6" s="773">
        <f>C6*1.224/100</f>
        <v>24480.599759999997</v>
      </c>
      <c r="F6" s="773">
        <f>SUM(C6:E6)</f>
        <v>2036157.19976</v>
      </c>
      <c r="G6" s="773">
        <f>C6*1.5944/100</f>
        <v>31888.781255999998</v>
      </c>
      <c r="H6" s="773">
        <f>C6+D6+G6</f>
        <v>2043565.3812560001</v>
      </c>
    </row>
    <row r="7" spans="1:8" x14ac:dyDescent="0.2">
      <c r="A7" s="771" t="s">
        <v>477</v>
      </c>
      <c r="B7" s="772">
        <v>1580</v>
      </c>
      <c r="C7" s="773">
        <v>-10401473</v>
      </c>
      <c r="D7" s="773">
        <v>-65797.273580000037</v>
      </c>
      <c r="E7" s="773">
        <f t="shared" ref="E7:E12" si="0">C7*1.224/100</f>
        <v>-127314.02952</v>
      </c>
      <c r="F7" s="773">
        <f t="shared" ref="F7:F12" si="1">SUM(C7:E7)</f>
        <v>-10594584.303099999</v>
      </c>
      <c r="G7" s="773">
        <f t="shared" ref="G7:G12" si="2">C7*1.5944/100</f>
        <v>-165841.08551200002</v>
      </c>
      <c r="H7" s="773">
        <f t="shared" ref="H7:H12" si="3">C7+D7+G7</f>
        <v>-10633111.359091999</v>
      </c>
    </row>
    <row r="8" spans="1:8" x14ac:dyDescent="0.2">
      <c r="A8" s="771" t="s">
        <v>478</v>
      </c>
      <c r="B8" s="772">
        <v>1584</v>
      </c>
      <c r="C8" s="773">
        <v>-6212255</v>
      </c>
      <c r="D8" s="773">
        <v>-41546.97</v>
      </c>
      <c r="E8" s="773">
        <f t="shared" si="0"/>
        <v>-76038.001199999999</v>
      </c>
      <c r="F8" s="773">
        <f t="shared" si="1"/>
        <v>-6329839.9711999996</v>
      </c>
      <c r="G8" s="773">
        <f t="shared" si="2"/>
        <v>-99048.193719999996</v>
      </c>
      <c r="H8" s="773">
        <f t="shared" si="3"/>
        <v>-6352850.1637199996</v>
      </c>
    </row>
    <row r="9" spans="1:8" x14ac:dyDescent="0.2">
      <c r="A9" s="771" t="s">
        <v>479</v>
      </c>
      <c r="B9" s="772">
        <v>1586</v>
      </c>
      <c r="C9" s="773">
        <v>-5293496</v>
      </c>
      <c r="D9" s="773">
        <v>-36402.280000000028</v>
      </c>
      <c r="E9" s="773">
        <f t="shared" si="0"/>
        <v>-64792.391040000002</v>
      </c>
      <c r="F9" s="773">
        <f t="shared" si="1"/>
        <v>-5394690.6710400004</v>
      </c>
      <c r="G9" s="773">
        <f t="shared" si="2"/>
        <v>-84399.500224000018</v>
      </c>
      <c r="H9" s="773">
        <f t="shared" si="3"/>
        <v>-5414297.7802240001</v>
      </c>
    </row>
    <row r="10" spans="1:8" x14ac:dyDescent="0.2">
      <c r="A10" s="771" t="s">
        <v>480</v>
      </c>
      <c r="B10" s="772">
        <v>1588</v>
      </c>
      <c r="C10" s="773">
        <v>3755373</v>
      </c>
      <c r="D10" s="773">
        <v>17213.141106908908</v>
      </c>
      <c r="E10" s="773">
        <f t="shared" si="0"/>
        <v>45965.765520000001</v>
      </c>
      <c r="F10" s="773">
        <f t="shared" si="1"/>
        <v>3818551.906626909</v>
      </c>
      <c r="G10" s="773">
        <f t="shared" si="2"/>
        <v>59875.667111999996</v>
      </c>
      <c r="H10" s="773">
        <f t="shared" si="3"/>
        <v>3832461.808218909</v>
      </c>
    </row>
    <row r="11" spans="1:8" x14ac:dyDescent="0.2">
      <c r="A11" s="771" t="s">
        <v>481</v>
      </c>
      <c r="B11" s="772">
        <v>1588</v>
      </c>
      <c r="C11" s="773">
        <v>-22821333</v>
      </c>
      <c r="D11" s="773">
        <v>-113282.09999999998</v>
      </c>
      <c r="E11" s="773">
        <f t="shared" si="0"/>
        <v>-279333.11592000001</v>
      </c>
      <c r="F11" s="773">
        <f t="shared" si="1"/>
        <v>-23213948.215920001</v>
      </c>
      <c r="G11" s="773">
        <f t="shared" si="2"/>
        <v>-363863.33335200005</v>
      </c>
      <c r="H11" s="773">
        <f t="shared" si="3"/>
        <v>-23298478.433352001</v>
      </c>
    </row>
    <row r="12" spans="1:8" x14ac:dyDescent="0.2">
      <c r="A12" s="771" t="s">
        <v>482</v>
      </c>
      <c r="B12" s="772">
        <v>1595</v>
      </c>
      <c r="C12" s="773">
        <v>-203108</v>
      </c>
      <c r="D12" s="773">
        <v>-77335.720000000205</v>
      </c>
      <c r="E12" s="773">
        <f t="shared" si="0"/>
        <v>-2486.0419199999997</v>
      </c>
      <c r="F12" s="773">
        <f t="shared" si="1"/>
        <v>-282929.76192000019</v>
      </c>
      <c r="G12" s="773">
        <f t="shared" si="2"/>
        <v>-3238.3539520000004</v>
      </c>
      <c r="H12" s="773">
        <f t="shared" si="3"/>
        <v>-283682.07395200018</v>
      </c>
    </row>
    <row r="13" spans="1:8" ht="15" x14ac:dyDescent="0.25">
      <c r="A13" s="788" t="s">
        <v>557</v>
      </c>
      <c r="B13" s="777"/>
      <c r="C13" s="778">
        <f t="shared" ref="C13:H13" si="4">SUM(C6:C12)</f>
        <v>-39176243</v>
      </c>
      <c r="D13" s="778">
        <f t="shared" si="4"/>
        <v>-305523.60247309133</v>
      </c>
      <c r="E13" s="778">
        <f t="shared" si="4"/>
        <v>-479517.21431999997</v>
      </c>
      <c r="F13" s="778">
        <f t="shared" si="4"/>
        <v>-39961283.816793092</v>
      </c>
      <c r="G13" s="778">
        <f t="shared" si="4"/>
        <v>-624626.01839200011</v>
      </c>
      <c r="H13" s="778">
        <f t="shared" si="4"/>
        <v>-40106392.620865084</v>
      </c>
    </row>
    <row r="14" spans="1:8" s="766" customFormat="1" ht="15" x14ac:dyDescent="0.25">
      <c r="A14" s="795" t="s">
        <v>570</v>
      </c>
      <c r="B14" s="786"/>
      <c r="C14" s="787">
        <f>-'2011 Decision'!C14</f>
        <v>55320.610000000102</v>
      </c>
      <c r="D14" s="787">
        <v>0</v>
      </c>
      <c r="E14" s="787">
        <v>0</v>
      </c>
      <c r="F14" s="787">
        <v>0</v>
      </c>
      <c r="G14" s="787">
        <f>-'2011 Decision'!D14</f>
        <v>-52083.299999999988</v>
      </c>
      <c r="H14" s="787">
        <f>SUM(C14:G14)</f>
        <v>3237.3100000001141</v>
      </c>
    </row>
    <row r="15" spans="1:8" s="766" customFormat="1" ht="15.75" thickBot="1" x14ac:dyDescent="0.3">
      <c r="A15" s="776" t="s">
        <v>556</v>
      </c>
      <c r="B15" s="774"/>
      <c r="C15" s="775">
        <f t="shared" ref="C15:H15" si="5">+C13+C14</f>
        <v>-39120922.390000001</v>
      </c>
      <c r="D15" s="775">
        <f t="shared" si="5"/>
        <v>-305523.60247309133</v>
      </c>
      <c r="E15" s="775">
        <f t="shared" si="5"/>
        <v>-479517.21431999997</v>
      </c>
      <c r="F15" s="775">
        <f t="shared" si="5"/>
        <v>-39961283.816793092</v>
      </c>
      <c r="G15" s="775">
        <f t="shared" si="5"/>
        <v>-676709.31839200016</v>
      </c>
      <c r="H15" s="775">
        <f t="shared" si="5"/>
        <v>-40103155.310865082</v>
      </c>
    </row>
    <row r="16" spans="1:8" s="766" customFormat="1" ht="15.75" thickTop="1" x14ac:dyDescent="0.25">
      <c r="A16" s="42"/>
      <c r="B16" s="786"/>
      <c r="C16" s="783"/>
      <c r="D16" s="783"/>
      <c r="E16" s="783"/>
      <c r="F16" s="783"/>
      <c r="G16" s="783"/>
      <c r="H16" s="783"/>
    </row>
    <row r="17" spans="1:1" x14ac:dyDescent="0.2">
      <c r="A17" t="s">
        <v>569</v>
      </c>
    </row>
    <row r="18" spans="1:1" x14ac:dyDescent="0.2">
      <c r="A18" s="796" t="s">
        <v>578</v>
      </c>
    </row>
    <row r="19" spans="1:1" x14ac:dyDescent="0.2">
      <c r="A19" t="s">
        <v>577</v>
      </c>
    </row>
  </sheetData>
  <mergeCells count="3">
    <mergeCell ref="A1:H1"/>
    <mergeCell ref="A2:H2"/>
    <mergeCell ref="A3:H3"/>
  </mergeCells>
  <pageMargins left="0.70866141732283472" right="0.70866141732283472" top="0.74803149606299213" bottom="0.74803149606299213" header="0.31496062992125984" footer="0.31496062992125984"/>
  <pageSetup scale="69" orientation="landscape" r:id="rId1"/>
  <headerFooter differentOddEven="1">
    <oddHeader>&amp;REnersource Hydro Mississauga Inc.
Filed: September 23, 2015
2016 Price Cap IR Application
Supplementary Evidence
EB-2015-0065
Page &amp;P of &amp;N</oddHeader>
    <oddFooter>&amp;C&amp;A</oddFooter>
    <evenHeader>&amp;LEnersource Hydro Mississauga Inc.
Filed: September 23, 2015
2016 Price Cap IR Application
Supplementary Evidence
EB-2015-0065
Page &amp;P of &amp;N</evenHeader>
    <evenFooter>&amp;C&amp;A</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
  <sheetViews>
    <sheetView workbookViewId="0">
      <selection activeCell="C14" sqref="C14"/>
    </sheetView>
  </sheetViews>
  <sheetFormatPr defaultRowHeight="12.75" x14ac:dyDescent="0.2"/>
  <cols>
    <col min="1" max="1" width="27.28515625" bestFit="1" customWidth="1"/>
    <col min="2" max="2" width="42.7109375" bestFit="1" customWidth="1"/>
    <col min="3" max="3" width="17.42578125" bestFit="1" customWidth="1"/>
    <col min="4" max="4" width="17.28515625" bestFit="1" customWidth="1"/>
    <col min="5" max="5" width="12.28515625" bestFit="1" customWidth="1"/>
  </cols>
  <sheetData>
    <row r="1" spans="1:9" ht="15" x14ac:dyDescent="0.25">
      <c r="A1" s="720" t="s">
        <v>473</v>
      </c>
      <c r="B1" s="721"/>
      <c r="C1" s="721"/>
      <c r="D1" s="721"/>
      <c r="E1" s="721"/>
    </row>
    <row r="2" spans="1:9" ht="30" x14ac:dyDescent="0.25">
      <c r="A2" s="722" t="s">
        <v>67</v>
      </c>
      <c r="B2" s="723" t="s">
        <v>211</v>
      </c>
      <c r="C2" s="724" t="s">
        <v>474</v>
      </c>
      <c r="D2" s="724" t="s">
        <v>475</v>
      </c>
      <c r="E2" s="724" t="s">
        <v>62</v>
      </c>
    </row>
    <row r="3" spans="1:9" ht="15" x14ac:dyDescent="0.25">
      <c r="A3" s="725">
        <v>1550</v>
      </c>
      <c r="B3" s="726" t="s">
        <v>476</v>
      </c>
      <c r="C3" s="727">
        <v>2000049</v>
      </c>
      <c r="D3" s="727">
        <v>43517</v>
      </c>
      <c r="E3" s="727">
        <f>SUM(C3:D3)</f>
        <v>2043566</v>
      </c>
    </row>
    <row r="4" spans="1:9" ht="15" x14ac:dyDescent="0.25">
      <c r="A4" s="725">
        <v>1580</v>
      </c>
      <c r="B4" s="726" t="s">
        <v>477</v>
      </c>
      <c r="C4" s="727">
        <v>-10401473</v>
      </c>
      <c r="D4" s="727">
        <v>-231638</v>
      </c>
      <c r="E4" s="727">
        <f t="shared" ref="E4:E9" si="0">SUM(C4:D4)</f>
        <v>-10633111</v>
      </c>
    </row>
    <row r="5" spans="1:9" ht="15" x14ac:dyDescent="0.25">
      <c r="A5" s="725">
        <v>1584</v>
      </c>
      <c r="B5" s="726" t="s">
        <v>478</v>
      </c>
      <c r="C5" s="727">
        <v>-6212255</v>
      </c>
      <c r="D5" s="727">
        <v>-140595</v>
      </c>
      <c r="E5" s="727">
        <f t="shared" si="0"/>
        <v>-6352850</v>
      </c>
    </row>
    <row r="6" spans="1:9" ht="15" x14ac:dyDescent="0.25">
      <c r="A6" s="725">
        <v>1586</v>
      </c>
      <c r="B6" s="726" t="s">
        <v>479</v>
      </c>
      <c r="C6" s="727">
        <v>-5293496</v>
      </c>
      <c r="D6" s="727">
        <v>-120802</v>
      </c>
      <c r="E6" s="727">
        <f t="shared" si="0"/>
        <v>-5414298</v>
      </c>
    </row>
    <row r="7" spans="1:9" ht="15" x14ac:dyDescent="0.25">
      <c r="A7" s="725">
        <v>1588</v>
      </c>
      <c r="B7" s="726" t="s">
        <v>480</v>
      </c>
      <c r="C7" s="727">
        <v>3755373</v>
      </c>
      <c r="D7" s="727">
        <v>77088</v>
      </c>
      <c r="E7" s="727">
        <f t="shared" si="0"/>
        <v>3832461</v>
      </c>
    </row>
    <row r="8" spans="1:9" ht="15" x14ac:dyDescent="0.25">
      <c r="A8" s="725">
        <v>1588</v>
      </c>
      <c r="B8" s="726" t="s">
        <v>481</v>
      </c>
      <c r="C8" s="727">
        <v>-22821333</v>
      </c>
      <c r="D8" s="727">
        <v>-477146</v>
      </c>
      <c r="E8" s="727">
        <f t="shared" si="0"/>
        <v>-23298479</v>
      </c>
    </row>
    <row r="9" spans="1:9" ht="15" x14ac:dyDescent="0.25">
      <c r="A9" s="725">
        <v>1595</v>
      </c>
      <c r="B9" s="726" t="s">
        <v>482</v>
      </c>
      <c r="C9" s="727">
        <v>-203108</v>
      </c>
      <c r="D9" s="727">
        <v>-80574</v>
      </c>
      <c r="E9" s="727">
        <f t="shared" si="0"/>
        <v>-283682</v>
      </c>
    </row>
    <row r="10" spans="1:9" ht="15" x14ac:dyDescent="0.25">
      <c r="A10" s="726"/>
      <c r="B10" s="723" t="s">
        <v>483</v>
      </c>
      <c r="C10" s="728">
        <f>SUM(C3:C9)</f>
        <v>-39176243</v>
      </c>
      <c r="D10" s="728">
        <f>SUM(D3:D9)</f>
        <v>-930150</v>
      </c>
      <c r="E10" s="728">
        <f>SUM(E3:E9)</f>
        <v>-40106393</v>
      </c>
    </row>
    <row r="11" spans="1:9" ht="15" x14ac:dyDescent="0.25">
      <c r="A11" s="729" t="s">
        <v>484</v>
      </c>
      <c r="B11" s="730" t="s">
        <v>482</v>
      </c>
      <c r="C11" s="731">
        <v>-203108</v>
      </c>
      <c r="D11" s="731">
        <v>-80574</v>
      </c>
      <c r="E11" s="731">
        <v>-283682</v>
      </c>
      <c r="F11" s="767" t="s">
        <v>538</v>
      </c>
      <c r="G11" s="767"/>
      <c r="H11" s="767"/>
      <c r="I11" s="767"/>
    </row>
    <row r="12" spans="1:9" ht="15" x14ac:dyDescent="0.25">
      <c r="A12" s="729" t="s">
        <v>173</v>
      </c>
      <c r="B12" s="730" t="s">
        <v>482</v>
      </c>
      <c r="C12" s="731">
        <v>-147787.3899999999</v>
      </c>
      <c r="D12" s="731">
        <v>-132657.29999999999</v>
      </c>
      <c r="E12" s="731">
        <v>-280444.68999999989</v>
      </c>
    </row>
    <row r="13" spans="1:9" ht="15" x14ac:dyDescent="0.25">
      <c r="A13" s="729"/>
      <c r="B13" s="730"/>
      <c r="C13" s="731"/>
      <c r="D13" s="731"/>
      <c r="E13" s="731"/>
    </row>
    <row r="14" spans="1:9" ht="15" x14ac:dyDescent="0.25">
      <c r="A14" s="729"/>
      <c r="B14" s="732" t="s">
        <v>485</v>
      </c>
      <c r="C14" s="733">
        <v>-55320.610000000102</v>
      </c>
      <c r="D14" s="733">
        <v>52083.299999999988</v>
      </c>
      <c r="E14" s="733">
        <v>-3237.3100000001141</v>
      </c>
    </row>
    <row r="16" spans="1:9" ht="15" x14ac:dyDescent="0.25">
      <c r="B16" s="734" t="s">
        <v>486</v>
      </c>
      <c r="C16" s="735">
        <f>C10-C8</f>
        <v>-16354910</v>
      </c>
    </row>
    <row r="17" spans="2:3" ht="15.75" thickBot="1" x14ac:dyDescent="0.3">
      <c r="B17" s="734" t="s">
        <v>132</v>
      </c>
      <c r="C17" s="735">
        <f>D10-D8</f>
        <v>-453004</v>
      </c>
    </row>
    <row r="18" spans="2:3" ht="13.5" thickBot="1" x14ac:dyDescent="0.25">
      <c r="C18" s="736">
        <f>C16+C17</f>
        <v>-16807914</v>
      </c>
    </row>
    <row r="19" spans="2:3" x14ac:dyDescent="0.2">
      <c r="B19" t="s">
        <v>487</v>
      </c>
      <c r="C19" s="735">
        <f>C8</f>
        <v>-22821333</v>
      </c>
    </row>
    <row r="20" spans="2:3" ht="13.5" thickBot="1" x14ac:dyDescent="0.25">
      <c r="B20" t="s">
        <v>488</v>
      </c>
      <c r="C20" s="735">
        <f>D8</f>
        <v>-477146</v>
      </c>
    </row>
    <row r="21" spans="2:3" ht="13.5" thickBot="1" x14ac:dyDescent="0.25">
      <c r="C21" s="736">
        <f>C19+C20</f>
        <v>-23298479</v>
      </c>
    </row>
    <row r="22" spans="2:3" x14ac:dyDescent="0.2">
      <c r="B22" t="s">
        <v>489</v>
      </c>
      <c r="C22" s="735">
        <f>C16+C19</f>
        <v>-39176243</v>
      </c>
    </row>
    <row r="23" spans="2:3" ht="13.5" thickBot="1" x14ac:dyDescent="0.25">
      <c r="B23" t="s">
        <v>489</v>
      </c>
      <c r="C23" s="735">
        <f>C17+C20</f>
        <v>-930150</v>
      </c>
    </row>
    <row r="24" spans="2:3" ht="13.5" thickBot="1" x14ac:dyDescent="0.25">
      <c r="B24" t="s">
        <v>489</v>
      </c>
      <c r="C24" s="736">
        <f>C22+C23</f>
        <v>-40106393</v>
      </c>
    </row>
  </sheetData>
  <pageMargins left="0.7" right="0.7" top="0.75" bottom="0.75" header="0.3" footer="0.3"/>
  <pageSetup scale="4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topLeftCell="A23" zoomScaleNormal="100" workbookViewId="0">
      <selection activeCell="E32" sqref="E32"/>
    </sheetView>
  </sheetViews>
  <sheetFormatPr defaultRowHeight="12.75" x14ac:dyDescent="0.2"/>
  <cols>
    <col min="1" max="1" width="13.5703125" customWidth="1"/>
    <col min="2" max="2" width="11.140625" bestFit="1" customWidth="1"/>
    <col min="3" max="3" width="25.140625" customWidth="1"/>
    <col min="4" max="4" width="24.85546875" customWidth="1"/>
    <col min="5" max="5" width="18.7109375" customWidth="1"/>
    <col min="6" max="6" width="18.28515625" customWidth="1"/>
    <col min="7" max="7" width="14.28515625" style="17" hidden="1" customWidth="1"/>
    <col min="8" max="8" width="11.28515625" hidden="1" customWidth="1"/>
    <col min="9" max="9" width="0" hidden="1" customWidth="1"/>
  </cols>
  <sheetData>
    <row r="1" spans="1:8" ht="18.75" thickBot="1" x14ac:dyDescent="0.3">
      <c r="A1" s="2" t="s">
        <v>9</v>
      </c>
      <c r="B1" s="3"/>
      <c r="C1" s="3"/>
      <c r="D1" s="3"/>
      <c r="E1" s="3"/>
      <c r="F1" s="4"/>
    </row>
    <row r="2" spans="1:8" ht="13.5" thickBot="1" x14ac:dyDescent="0.25">
      <c r="F2" s="12"/>
    </row>
    <row r="4" spans="1:8" x14ac:dyDescent="0.2">
      <c r="A4" t="s">
        <v>15</v>
      </c>
      <c r="D4" s="5"/>
      <c r="F4" s="6"/>
    </row>
    <row r="5" spans="1:8" x14ac:dyDescent="0.2">
      <c r="A5" s="10" t="s">
        <v>17</v>
      </c>
      <c r="B5" s="7"/>
      <c r="C5" s="7"/>
      <c r="D5" s="7"/>
      <c r="E5" s="7" t="s">
        <v>1</v>
      </c>
      <c r="F5" s="7" t="s">
        <v>2</v>
      </c>
      <c r="G5" s="18" t="s">
        <v>12</v>
      </c>
    </row>
    <row r="6" spans="1:8" x14ac:dyDescent="0.2">
      <c r="A6" t="s">
        <v>10</v>
      </c>
      <c r="B6" t="s">
        <v>0</v>
      </c>
      <c r="C6" s="11"/>
      <c r="D6" s="8">
        <v>16683697.708965002</v>
      </c>
      <c r="E6" s="20">
        <v>623689.63398000004</v>
      </c>
      <c r="F6" s="16">
        <v>26.75</v>
      </c>
      <c r="G6" s="18">
        <f>E6*F6-D6</f>
        <v>0</v>
      </c>
    </row>
    <row r="7" spans="1:8" x14ac:dyDescent="0.2">
      <c r="A7" t="s">
        <v>11</v>
      </c>
      <c r="F7" s="16">
        <v>26.75</v>
      </c>
      <c r="G7" s="18"/>
    </row>
    <row r="8" spans="1:8" x14ac:dyDescent="0.2">
      <c r="A8" t="s">
        <v>3</v>
      </c>
      <c r="E8" s="17"/>
      <c r="F8" s="16">
        <v>32.799999999999997</v>
      </c>
      <c r="G8" s="18"/>
    </row>
    <row r="9" spans="1:8" x14ac:dyDescent="0.2">
      <c r="A9" t="s">
        <v>4</v>
      </c>
      <c r="D9" s="15"/>
      <c r="E9" s="27">
        <v>215114.63748</v>
      </c>
      <c r="F9" s="6"/>
      <c r="G9" s="18"/>
    </row>
    <row r="10" spans="1:8" x14ac:dyDescent="0.2">
      <c r="A10" t="s">
        <v>5</v>
      </c>
      <c r="E10" s="28">
        <v>200516.21729999999</v>
      </c>
      <c r="F10" s="6"/>
      <c r="G10" s="18"/>
    </row>
    <row r="11" spans="1:8" x14ac:dyDescent="0.2">
      <c r="A11" t="s">
        <v>6</v>
      </c>
      <c r="D11" s="9">
        <v>5565572.3436267478</v>
      </c>
      <c r="E11" s="29">
        <v>208058.77920099991</v>
      </c>
      <c r="F11" s="6"/>
      <c r="G11" s="18">
        <f>E6-E9-E10-E11</f>
        <v>-9.9989119917154312E-7</v>
      </c>
      <c r="H11" s="9" t="s">
        <v>13</v>
      </c>
    </row>
    <row r="12" spans="1:8" x14ac:dyDescent="0.2">
      <c r="D12" s="9"/>
      <c r="E12" s="21"/>
      <c r="F12" s="6"/>
      <c r="G12" s="18">
        <f>E11*F7-D11</f>
        <v>0</v>
      </c>
      <c r="H12" s="17"/>
    </row>
    <row r="13" spans="1:8" ht="13.5" thickBot="1" x14ac:dyDescent="0.25">
      <c r="A13" t="s">
        <v>7</v>
      </c>
      <c r="D13" s="9">
        <v>11118125.365338255</v>
      </c>
      <c r="F13" s="6"/>
      <c r="G13" s="18">
        <f>D6-D11-D13</f>
        <v>0</v>
      </c>
      <c r="H13" t="s">
        <v>14</v>
      </c>
    </row>
    <row r="14" spans="1:8" ht="13.5" thickBot="1" x14ac:dyDescent="0.25">
      <c r="A14" s="14" t="s">
        <v>8</v>
      </c>
      <c r="B14" s="14"/>
      <c r="C14" s="14"/>
      <c r="D14" s="8">
        <v>-13632692.036783999</v>
      </c>
      <c r="F14" s="26" t="s">
        <v>16</v>
      </c>
      <c r="G14" s="18"/>
    </row>
    <row r="15" spans="1:8" ht="13.5" thickBot="1" x14ac:dyDescent="0.25">
      <c r="A15" s="25" t="s">
        <v>18</v>
      </c>
      <c r="D15" s="19">
        <v>-2514566.6714457441</v>
      </c>
      <c r="F15" s="12">
        <v>16514600.575000329</v>
      </c>
      <c r="G15" s="18">
        <f>D13+D14-D15</f>
        <v>0</v>
      </c>
    </row>
    <row r="16" spans="1:8" x14ac:dyDescent="0.2">
      <c r="D16" s="5"/>
      <c r="E16" s="22"/>
      <c r="F16" s="23"/>
      <c r="G16" s="18">
        <f>F2+D15-F15</f>
        <v>-19029167.246446073</v>
      </c>
    </row>
    <row r="18" spans="1:7" x14ac:dyDescent="0.2">
      <c r="A18" s="14"/>
      <c r="B18" s="14"/>
      <c r="C18" s="14"/>
      <c r="D18" s="24"/>
      <c r="E18" s="14"/>
      <c r="F18" s="14"/>
    </row>
    <row r="19" spans="1:7" x14ac:dyDescent="0.2">
      <c r="A19" s="14"/>
      <c r="B19" s="14"/>
      <c r="C19" s="14"/>
      <c r="D19" s="24"/>
      <c r="E19" s="14"/>
      <c r="F19" s="14"/>
    </row>
    <row r="20" spans="1:7" ht="13.5" thickBot="1" x14ac:dyDescent="0.25">
      <c r="A20" s="14"/>
      <c r="B20" s="14"/>
      <c r="C20" s="14"/>
      <c r="D20" s="14"/>
      <c r="E20" s="14"/>
      <c r="F20" s="14"/>
    </row>
    <row r="21" spans="1:7" ht="13.5" thickBot="1" x14ac:dyDescent="0.25">
      <c r="A21" s="155" t="s">
        <v>19</v>
      </c>
      <c r="B21" s="156"/>
      <c r="C21" s="156"/>
      <c r="D21" s="156"/>
      <c r="E21" s="156"/>
      <c r="F21" s="157"/>
      <c r="G21"/>
    </row>
    <row r="22" spans="1:7" x14ac:dyDescent="0.2">
      <c r="A22" s="144" t="s">
        <v>20</v>
      </c>
      <c r="B22" s="14"/>
      <c r="C22" s="14"/>
      <c r="D22" s="14"/>
      <c r="E22" s="145" t="s">
        <v>43</v>
      </c>
      <c r="F22" s="146"/>
      <c r="G22"/>
    </row>
    <row r="23" spans="1:7" x14ac:dyDescent="0.2">
      <c r="A23" s="144" t="s">
        <v>4</v>
      </c>
      <c r="B23" s="14"/>
      <c r="C23" s="14"/>
      <c r="D23" s="14"/>
      <c r="E23" s="27">
        <f>E9*1000</f>
        <v>215114637.48000002</v>
      </c>
      <c r="F23" s="147"/>
      <c r="G23"/>
    </row>
    <row r="24" spans="1:7" x14ac:dyDescent="0.2">
      <c r="A24" s="144" t="s">
        <v>5</v>
      </c>
      <c r="B24" s="14"/>
      <c r="C24" s="14"/>
      <c r="D24" s="14"/>
      <c r="E24" s="30">
        <f>E10*1000</f>
        <v>200516217.29999998</v>
      </c>
      <c r="F24" s="147"/>
      <c r="G24"/>
    </row>
    <row r="25" spans="1:7" x14ac:dyDescent="0.2">
      <c r="A25" s="144"/>
      <c r="B25" s="14"/>
      <c r="C25" s="14"/>
      <c r="D25" s="14"/>
      <c r="E25" s="148">
        <f>SUM(E23:E24)</f>
        <v>415630854.77999997</v>
      </c>
      <c r="F25" s="149"/>
      <c r="G25"/>
    </row>
    <row r="26" spans="1:7" x14ac:dyDescent="0.2">
      <c r="A26" s="144" t="s">
        <v>21</v>
      </c>
      <c r="B26" s="14"/>
      <c r="C26" s="14"/>
      <c r="D26" s="14"/>
      <c r="E26" s="74">
        <f>'Calc_Rate Rider GA_NonRPP'!K24</f>
        <v>3.8600000000000001E-3</v>
      </c>
      <c r="F26" s="147"/>
      <c r="G26"/>
    </row>
    <row r="27" spans="1:7" ht="13.5" thickBot="1" x14ac:dyDescent="0.25">
      <c r="A27" s="144"/>
      <c r="B27" s="14"/>
      <c r="C27" s="14"/>
      <c r="D27" s="14"/>
      <c r="E27" s="75">
        <f>E25*E26</f>
        <v>1604335.0994507999</v>
      </c>
      <c r="F27" s="146"/>
      <c r="G27"/>
    </row>
    <row r="28" spans="1:7" x14ac:dyDescent="0.2">
      <c r="A28" s="144"/>
      <c r="B28" s="14"/>
      <c r="C28" s="14"/>
      <c r="D28" s="14"/>
      <c r="E28" s="14"/>
      <c r="F28" s="146"/>
      <c r="G28"/>
    </row>
    <row r="29" spans="1:7" x14ac:dyDescent="0.2">
      <c r="A29" s="144"/>
      <c r="B29" s="14" t="s">
        <v>89</v>
      </c>
      <c r="C29" s="76" t="s">
        <v>52</v>
      </c>
      <c r="D29" s="77" t="s">
        <v>53</v>
      </c>
      <c r="E29" s="150">
        <f>E27</f>
        <v>1604335.0994507999</v>
      </c>
      <c r="F29" s="146"/>
      <c r="G29"/>
    </row>
    <row r="30" spans="1:7" x14ac:dyDescent="0.2">
      <c r="A30" s="144"/>
      <c r="B30" s="14"/>
      <c r="C30" s="78" t="s">
        <v>55</v>
      </c>
      <c r="D30" s="79" t="s">
        <v>54</v>
      </c>
      <c r="E30" s="150">
        <f>-E29</f>
        <v>-1604335.0994507999</v>
      </c>
      <c r="F30" s="146"/>
      <c r="G30"/>
    </row>
    <row r="31" spans="1:7" x14ac:dyDescent="0.2">
      <c r="A31" s="144"/>
      <c r="B31" s="14"/>
      <c r="C31" s="80"/>
      <c r="D31" s="80"/>
      <c r="E31" s="14"/>
      <c r="F31" s="146"/>
      <c r="G31"/>
    </row>
    <row r="32" spans="1:7" x14ac:dyDescent="0.2">
      <c r="A32" s="144"/>
      <c r="B32" s="14"/>
      <c r="C32" s="80" t="s">
        <v>56</v>
      </c>
      <c r="D32" s="80"/>
      <c r="E32" s="14"/>
      <c r="F32" s="146"/>
      <c r="G32"/>
    </row>
    <row r="33" spans="1:7" x14ac:dyDescent="0.2">
      <c r="A33" s="144"/>
      <c r="B33" s="14"/>
      <c r="C33" s="80"/>
      <c r="D33" s="80"/>
      <c r="E33" s="14"/>
      <c r="F33" s="146"/>
      <c r="G33"/>
    </row>
    <row r="34" spans="1:7" x14ac:dyDescent="0.2">
      <c r="A34" s="144"/>
      <c r="B34" s="14" t="s">
        <v>90</v>
      </c>
      <c r="C34" s="14" t="s">
        <v>55</v>
      </c>
      <c r="D34" s="14" t="s">
        <v>54</v>
      </c>
      <c r="E34" s="150">
        <f>-E30</f>
        <v>1604335.0994507999</v>
      </c>
      <c r="F34" s="146"/>
      <c r="G34"/>
    </row>
    <row r="35" spans="1:7" x14ac:dyDescent="0.2">
      <c r="A35" s="144"/>
      <c r="B35" s="14"/>
      <c r="C35" s="14" t="s">
        <v>88</v>
      </c>
      <c r="D35" s="151">
        <v>10.40025</v>
      </c>
      <c r="E35" s="150">
        <f>-E34</f>
        <v>-1604335.0994507999</v>
      </c>
      <c r="F35" s="146"/>
      <c r="G35"/>
    </row>
    <row r="36" spans="1:7" x14ac:dyDescent="0.2">
      <c r="A36" s="144"/>
      <c r="B36" s="14"/>
      <c r="C36" s="14"/>
      <c r="D36" s="14"/>
      <c r="E36" s="14"/>
      <c r="F36" s="146"/>
      <c r="G36"/>
    </row>
    <row r="37" spans="1:7" x14ac:dyDescent="0.2">
      <c r="A37" s="144"/>
      <c r="B37" s="14"/>
      <c r="C37" s="14" t="s">
        <v>159</v>
      </c>
      <c r="D37" s="14"/>
      <c r="E37" s="14"/>
      <c r="F37" s="146"/>
      <c r="G37"/>
    </row>
    <row r="38" spans="1:7" x14ac:dyDescent="0.2">
      <c r="A38" s="144"/>
      <c r="B38" s="14"/>
      <c r="C38" s="14"/>
      <c r="D38" s="14"/>
      <c r="E38" s="14"/>
      <c r="F38" s="146"/>
    </row>
    <row r="39" spans="1:7" x14ac:dyDescent="0.2">
      <c r="A39" s="144"/>
      <c r="B39" s="14" t="s">
        <v>91</v>
      </c>
      <c r="C39" s="14" t="s">
        <v>92</v>
      </c>
      <c r="D39" s="151">
        <v>10.703099999999999</v>
      </c>
      <c r="E39" s="158">
        <v>166921.19</v>
      </c>
      <c r="F39" s="146"/>
    </row>
    <row r="40" spans="1:7" x14ac:dyDescent="0.2">
      <c r="A40" s="144"/>
      <c r="B40" s="14"/>
      <c r="C40" s="14" t="str">
        <f>C35</f>
        <v>GA Reg Asset Recovery</v>
      </c>
      <c r="D40" s="151">
        <f>D35</f>
        <v>10.40025</v>
      </c>
      <c r="E40" s="150">
        <f>-E39</f>
        <v>-166921.19</v>
      </c>
      <c r="F40" s="146"/>
    </row>
    <row r="41" spans="1:7" x14ac:dyDescent="0.2">
      <c r="A41" s="144"/>
      <c r="B41" s="14"/>
      <c r="C41" s="14"/>
      <c r="D41" s="14"/>
      <c r="E41" s="150"/>
      <c r="F41" s="146"/>
    </row>
    <row r="42" spans="1:7" x14ac:dyDescent="0.2">
      <c r="A42" s="144"/>
      <c r="B42" s="14"/>
      <c r="C42" s="14" t="s">
        <v>97</v>
      </c>
      <c r="D42" s="14"/>
      <c r="E42" s="150"/>
      <c r="F42" s="146"/>
    </row>
    <row r="43" spans="1:7" x14ac:dyDescent="0.2">
      <c r="A43" s="144"/>
      <c r="B43" s="14"/>
      <c r="C43" s="14"/>
      <c r="D43" s="14"/>
      <c r="E43" s="150"/>
      <c r="F43" s="146"/>
    </row>
    <row r="44" spans="1:7" x14ac:dyDescent="0.2">
      <c r="A44" s="144"/>
      <c r="B44" s="14" t="s">
        <v>93</v>
      </c>
      <c r="C44" s="14" t="s">
        <v>92</v>
      </c>
      <c r="D44" s="159">
        <v>10.703099999999999</v>
      </c>
      <c r="E44" s="150">
        <f>E34</f>
        <v>1604335.0994507999</v>
      </c>
      <c r="F44" s="146"/>
    </row>
    <row r="45" spans="1:7" x14ac:dyDescent="0.2">
      <c r="A45" s="144"/>
      <c r="B45" s="14"/>
      <c r="C45" t="s">
        <v>94</v>
      </c>
      <c r="D45" s="160" t="s">
        <v>83</v>
      </c>
      <c r="E45" s="150" t="e">
        <f>#REF!</f>
        <v>#REF!</v>
      </c>
      <c r="F45" s="146"/>
    </row>
    <row r="46" spans="1:7" x14ac:dyDescent="0.2">
      <c r="A46" s="144"/>
      <c r="B46" s="14"/>
      <c r="C46" t="s">
        <v>96</v>
      </c>
      <c r="D46" s="160" t="s">
        <v>84</v>
      </c>
      <c r="E46" s="150" t="e">
        <f>#REF!</f>
        <v>#REF!</v>
      </c>
      <c r="F46" s="146"/>
    </row>
    <row r="47" spans="1:7" x14ac:dyDescent="0.2">
      <c r="A47" s="144"/>
      <c r="B47" s="14"/>
      <c r="C47" t="s">
        <v>95</v>
      </c>
      <c r="D47" s="160"/>
      <c r="E47" s="150"/>
      <c r="F47" s="146"/>
    </row>
    <row r="48" spans="1:7" ht="13.5" thickBot="1" x14ac:dyDescent="0.25">
      <c r="A48" s="152"/>
      <c r="B48" s="153"/>
      <c r="C48" s="153"/>
      <c r="D48" s="153"/>
      <c r="E48" s="153"/>
      <c r="F48" s="154"/>
    </row>
    <row r="50" spans="1:3" x14ac:dyDescent="0.2">
      <c r="A50" t="s">
        <v>160</v>
      </c>
    </row>
    <row r="51" spans="1:3" x14ac:dyDescent="0.2">
      <c r="A51" t="s">
        <v>162</v>
      </c>
      <c r="B51" s="303">
        <v>10.13636</v>
      </c>
      <c r="C51" s="304">
        <v>-1555169.27</v>
      </c>
    </row>
    <row r="52" spans="1:3" x14ac:dyDescent="0.2">
      <c r="A52" t="s">
        <v>161</v>
      </c>
      <c r="B52" s="303">
        <v>10.13636</v>
      </c>
      <c r="C52" s="304"/>
    </row>
    <row r="53" spans="1:3" ht="13.5" thickBot="1" x14ac:dyDescent="0.25">
      <c r="C53" s="305">
        <f>SUM(C51:C52)</f>
        <v>-1555169.27</v>
      </c>
    </row>
  </sheetData>
  <phoneticPr fontId="0" type="noConversion"/>
  <pageMargins left="0.75" right="0.75" top="1" bottom="1" header="0.5" footer="0.5"/>
  <pageSetup scale="7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N29"/>
  <sheetViews>
    <sheetView topLeftCell="A4" workbookViewId="0">
      <selection activeCell="C26" sqref="C26"/>
    </sheetView>
  </sheetViews>
  <sheetFormatPr defaultRowHeight="12.75" x14ac:dyDescent="0.2"/>
  <cols>
    <col min="1" max="1" width="45.28515625" style="32" customWidth="1"/>
    <col min="2" max="2" width="2.28515625" style="32" customWidth="1"/>
    <col min="3" max="3" width="9.140625" style="32"/>
    <col min="4" max="4" width="3.42578125" style="32" customWidth="1"/>
    <col min="5" max="5" width="17.42578125" style="32" customWidth="1"/>
    <col min="6" max="6" width="2.140625" style="32" customWidth="1"/>
    <col min="7" max="7" width="22.85546875" style="32" customWidth="1"/>
    <col min="8" max="8" width="2.42578125" style="32" customWidth="1"/>
    <col min="9" max="9" width="17.28515625" style="32" customWidth="1"/>
    <col min="10" max="10" width="2.42578125" style="32" customWidth="1"/>
    <col min="11" max="11" width="20" style="32" customWidth="1"/>
    <col min="12" max="12" width="16.28515625" style="32" customWidth="1"/>
    <col min="13" max="13" width="9.140625" style="32"/>
    <col min="14" max="14" width="10.7109375" style="32" bestFit="1" customWidth="1"/>
    <col min="15" max="16384" width="9.140625" style="32"/>
  </cols>
  <sheetData>
    <row r="1" spans="1:14" ht="18" hidden="1" x14ac:dyDescent="0.25">
      <c r="A1" s="31" t="s">
        <v>22</v>
      </c>
    </row>
    <row r="2" spans="1:14" ht="18" hidden="1" x14ac:dyDescent="0.25">
      <c r="A2" s="31" t="s">
        <v>23</v>
      </c>
    </row>
    <row r="3" spans="1:14" ht="18" hidden="1" x14ac:dyDescent="0.25">
      <c r="A3" s="33" t="s">
        <v>24</v>
      </c>
    </row>
    <row r="5" spans="1:14" ht="26.25" x14ac:dyDescent="0.4">
      <c r="A5" s="34" t="s">
        <v>25</v>
      </c>
      <c r="B5" s="35"/>
      <c r="C5" s="34"/>
      <c r="D5" s="35"/>
      <c r="E5" s="35"/>
      <c r="F5" s="35"/>
      <c r="G5" s="35"/>
      <c r="H5" s="35"/>
      <c r="I5" s="36"/>
      <c r="J5" s="36"/>
      <c r="K5" s="37"/>
    </row>
    <row r="6" spans="1:14" ht="13.5" thickBot="1" x14ac:dyDescent="0.25">
      <c r="A6" s="38"/>
      <c r="B6" s="35"/>
      <c r="C6" s="38"/>
      <c r="D6" s="35"/>
      <c r="E6" s="35"/>
      <c r="F6" s="35"/>
      <c r="G6" s="35"/>
      <c r="H6" s="35"/>
      <c r="I6" s="36"/>
      <c r="J6" s="36"/>
      <c r="K6" s="39" t="s">
        <v>26</v>
      </c>
    </row>
    <row r="7" spans="1:14" ht="16.5" thickBot="1" x14ac:dyDescent="0.3">
      <c r="A7" s="40" t="s">
        <v>27</v>
      </c>
      <c r="B7" s="35"/>
      <c r="C7" s="40"/>
      <c r="D7" s="35"/>
      <c r="E7" s="41">
        <v>2</v>
      </c>
      <c r="F7" s="35"/>
      <c r="G7" s="35"/>
      <c r="H7" s="35"/>
      <c r="I7" s="36"/>
      <c r="J7" s="36"/>
      <c r="K7" s="42" t="s">
        <v>28</v>
      </c>
    </row>
    <row r="8" spans="1:14" ht="13.5" thickBot="1" x14ac:dyDescent="0.25">
      <c r="A8" s="38"/>
      <c r="B8" s="35"/>
      <c r="C8" s="38"/>
      <c r="D8" s="35"/>
      <c r="E8" s="35"/>
      <c r="F8" s="35"/>
      <c r="G8" s="35"/>
      <c r="H8" s="35"/>
      <c r="I8" s="36"/>
      <c r="J8" s="36"/>
      <c r="K8" s="36"/>
    </row>
    <row r="9" spans="1:14" ht="16.5" thickBot="1" x14ac:dyDescent="0.3">
      <c r="A9" s="40" t="s">
        <v>29</v>
      </c>
      <c r="B9" s="35"/>
      <c r="C9" s="40"/>
      <c r="D9" s="35"/>
      <c r="E9" s="43">
        <v>40210</v>
      </c>
      <c r="F9" s="35"/>
      <c r="G9" s="35"/>
      <c r="H9" s="35"/>
      <c r="I9" s="36"/>
      <c r="J9" s="36"/>
      <c r="K9" s="36"/>
    </row>
    <row r="10" spans="1:14" ht="13.5" thickBot="1" x14ac:dyDescent="0.25">
      <c r="A10" s="38"/>
      <c r="B10" s="35"/>
      <c r="C10" s="38"/>
      <c r="D10" s="35"/>
      <c r="E10" s="35"/>
      <c r="F10" s="35"/>
      <c r="G10" s="35"/>
      <c r="H10" s="35"/>
      <c r="I10" s="36"/>
      <c r="J10" s="36"/>
      <c r="K10" s="36"/>
    </row>
    <row r="11" spans="1:14" ht="13.5" thickBot="1" x14ac:dyDescent="0.25">
      <c r="A11" s="44" t="s">
        <v>30</v>
      </c>
      <c r="B11" s="35"/>
      <c r="C11" s="35"/>
      <c r="D11" s="35"/>
      <c r="E11" s="45">
        <f>'[19]1588 GA Cont. Sch_YTD Sep 09'!Q18</f>
        <v>41787640.733557574</v>
      </c>
      <c r="F11" s="35"/>
      <c r="G11" s="35"/>
      <c r="H11" s="35"/>
      <c r="I11" s="36"/>
      <c r="J11" s="36"/>
      <c r="K11" s="36"/>
    </row>
    <row r="12" spans="1:14" x14ac:dyDescent="0.2">
      <c r="A12" s="38"/>
      <c r="B12" s="35"/>
      <c r="C12" s="38"/>
      <c r="D12" s="35"/>
      <c r="E12" s="35"/>
      <c r="F12" s="35"/>
      <c r="G12" s="35"/>
      <c r="H12" s="35"/>
      <c r="I12" s="36"/>
      <c r="J12" s="36"/>
      <c r="K12" s="36"/>
    </row>
    <row r="13" spans="1:14" x14ac:dyDescent="0.2">
      <c r="A13" s="38"/>
      <c r="B13" s="35"/>
      <c r="C13" s="38"/>
      <c r="D13" s="35"/>
      <c r="E13" s="46" t="s">
        <v>31</v>
      </c>
      <c r="F13" s="35"/>
      <c r="G13" s="35"/>
      <c r="H13" s="35"/>
      <c r="I13" s="36"/>
      <c r="J13" s="36"/>
      <c r="K13" s="36"/>
    </row>
    <row r="14" spans="1:14" s="51" customFormat="1" ht="15" x14ac:dyDescent="0.25">
      <c r="A14" s="47"/>
      <c r="B14" s="48"/>
      <c r="C14" s="47"/>
      <c r="D14" s="48"/>
      <c r="E14" s="49"/>
      <c r="F14" s="48"/>
      <c r="G14" s="50"/>
      <c r="H14" s="50"/>
      <c r="I14" s="49"/>
      <c r="J14" s="49"/>
      <c r="K14" s="49"/>
      <c r="L14" s="50"/>
      <c r="M14" s="50"/>
      <c r="N14" s="50"/>
    </row>
    <row r="15" spans="1:14" s="51" customFormat="1" ht="31.5" customHeight="1" x14ac:dyDescent="0.25">
      <c r="A15" s="49" t="s">
        <v>32</v>
      </c>
      <c r="B15" s="48"/>
      <c r="C15" s="49" t="s">
        <v>33</v>
      </c>
      <c r="D15" s="48"/>
      <c r="E15" s="52" t="s">
        <v>34</v>
      </c>
      <c r="F15" s="48"/>
      <c r="G15" s="53" t="s">
        <v>35</v>
      </c>
      <c r="H15" s="53"/>
      <c r="I15" s="52" t="s">
        <v>36</v>
      </c>
      <c r="J15" s="49"/>
      <c r="K15" s="49" t="s">
        <v>37</v>
      </c>
      <c r="L15" s="54"/>
      <c r="M15" s="54"/>
      <c r="N15" s="54"/>
    </row>
    <row r="16" spans="1:14" s="51" customFormat="1" ht="15.75" x14ac:dyDescent="0.25">
      <c r="A16" s="48"/>
      <c r="B16" s="48"/>
      <c r="C16" s="49"/>
      <c r="D16" s="48"/>
      <c r="E16" s="49" t="s">
        <v>38</v>
      </c>
      <c r="F16" s="48"/>
      <c r="G16" s="55" t="s">
        <v>39</v>
      </c>
      <c r="H16" s="55"/>
      <c r="I16" s="49" t="s">
        <v>40</v>
      </c>
      <c r="J16" s="48"/>
      <c r="K16" s="52" t="s">
        <v>41</v>
      </c>
      <c r="L16" s="56"/>
      <c r="M16" s="56"/>
      <c r="N16" s="56"/>
    </row>
    <row r="17" spans="1:14" ht="15.75" x14ac:dyDescent="0.25">
      <c r="A17" s="38" t="s">
        <v>42</v>
      </c>
      <c r="B17" s="35"/>
      <c r="C17" s="57" t="s">
        <v>43</v>
      </c>
      <c r="D17" s="58" t="s">
        <v>43</v>
      </c>
      <c r="E17" s="59">
        <v>237111876</v>
      </c>
      <c r="F17" s="59"/>
      <c r="G17" s="60">
        <f t="shared" ref="G17:G23" si="0">E17/$E$24</f>
        <v>4.3767625874305237E-2</v>
      </c>
      <c r="H17" s="60"/>
      <c r="I17" s="61">
        <f t="shared" ref="I17:I23" si="1">$E$11*G17</f>
        <v>1828945.825796226</v>
      </c>
      <c r="J17" s="62"/>
      <c r="K17" s="63"/>
      <c r="L17" s="64"/>
      <c r="M17" s="64"/>
      <c r="N17" s="65"/>
    </row>
    <row r="18" spans="1:14" ht="15.75" x14ac:dyDescent="0.25">
      <c r="A18" s="38" t="s">
        <v>44</v>
      </c>
      <c r="B18" s="35"/>
      <c r="C18" s="57" t="s">
        <v>43</v>
      </c>
      <c r="D18" s="58" t="s">
        <v>43</v>
      </c>
      <c r="E18" s="59">
        <v>126289699</v>
      </c>
      <c r="F18" s="59"/>
      <c r="G18" s="60">
        <f t="shared" si="0"/>
        <v>2.3311359982705466E-2</v>
      </c>
      <c r="H18" s="60"/>
      <c r="I18" s="61">
        <f t="shared" si="1"/>
        <v>974126.73596792691</v>
      </c>
      <c r="J18" s="62"/>
      <c r="K18" s="63"/>
      <c r="L18" s="64"/>
      <c r="M18" s="64"/>
      <c r="N18" s="65"/>
    </row>
    <row r="19" spans="1:14" ht="15.75" x14ac:dyDescent="0.25">
      <c r="A19" s="38" t="s">
        <v>45</v>
      </c>
      <c r="B19" s="35"/>
      <c r="C19" s="57" t="s">
        <v>43</v>
      </c>
      <c r="D19" s="58" t="s">
        <v>43</v>
      </c>
      <c r="E19" s="59">
        <v>6171769</v>
      </c>
      <c r="F19" s="59"/>
      <c r="G19" s="60">
        <f t="shared" si="0"/>
        <v>1.139224576733706E-3</v>
      </c>
      <c r="H19" s="60"/>
      <c r="I19" s="61">
        <f t="shared" si="1"/>
        <v>47605.507327387299</v>
      </c>
      <c r="J19" s="62"/>
      <c r="K19" s="63"/>
      <c r="L19" s="64"/>
      <c r="M19" s="64"/>
      <c r="N19" s="65"/>
    </row>
    <row r="20" spans="1:14" ht="15.75" x14ac:dyDescent="0.25">
      <c r="A20" s="38" t="s">
        <v>46</v>
      </c>
      <c r="B20" s="35"/>
      <c r="C20" s="57" t="s">
        <v>43</v>
      </c>
      <c r="D20" s="58" t="s">
        <v>47</v>
      </c>
      <c r="E20" s="59">
        <v>1824063787</v>
      </c>
      <c r="F20" s="59"/>
      <c r="G20" s="60">
        <f t="shared" si="0"/>
        <v>0.33669735462885209</v>
      </c>
      <c r="H20" s="60"/>
      <c r="I20" s="61">
        <f t="shared" si="1"/>
        <v>14069788.0911697</v>
      </c>
      <c r="J20" s="62"/>
      <c r="K20" s="63"/>
      <c r="L20" s="64"/>
      <c r="M20" s="64"/>
      <c r="N20" s="65"/>
    </row>
    <row r="21" spans="1:14" ht="15.75" x14ac:dyDescent="0.25">
      <c r="A21" s="38" t="s">
        <v>48</v>
      </c>
      <c r="B21" s="35"/>
      <c r="C21" s="57" t="s">
        <v>43</v>
      </c>
      <c r="D21" s="58" t="s">
        <v>47</v>
      </c>
      <c r="E21" s="59">
        <v>2126247000</v>
      </c>
      <c r="F21" s="59"/>
      <c r="G21" s="60">
        <f t="shared" si="0"/>
        <v>0.39247626387285595</v>
      </c>
      <c r="H21" s="60"/>
      <c r="I21" s="61">
        <f t="shared" si="1"/>
        <v>16400657.111167846</v>
      </c>
      <c r="J21" s="62"/>
      <c r="K21" s="63"/>
      <c r="L21" s="64"/>
      <c r="M21" s="64"/>
      <c r="N21" s="65"/>
    </row>
    <row r="22" spans="1:14" ht="15.75" x14ac:dyDescent="0.25">
      <c r="A22" s="38" t="s">
        <v>49</v>
      </c>
      <c r="B22" s="35"/>
      <c r="C22" s="57" t="s">
        <v>43</v>
      </c>
      <c r="D22" s="58" t="s">
        <v>47</v>
      </c>
      <c r="E22" s="59">
        <v>1056723993</v>
      </c>
      <c r="F22" s="59"/>
      <c r="G22" s="60">
        <f t="shared" si="0"/>
        <v>0.19505687002377708</v>
      </c>
      <c r="H22" s="60"/>
      <c r="I22" s="61">
        <f t="shared" si="1"/>
        <v>8150966.4071658328</v>
      </c>
      <c r="J22" s="62"/>
      <c r="K22" s="63"/>
      <c r="L22" s="64"/>
      <c r="M22" s="64"/>
      <c r="N22" s="65"/>
    </row>
    <row r="23" spans="1:14" ht="15.75" x14ac:dyDescent="0.25">
      <c r="A23" s="38" t="s">
        <v>50</v>
      </c>
      <c r="B23" s="35"/>
      <c r="C23" s="57" t="s">
        <v>43</v>
      </c>
      <c r="D23" s="58" t="s">
        <v>47</v>
      </c>
      <c r="E23" s="59">
        <v>40909305</v>
      </c>
      <c r="F23" s="59"/>
      <c r="G23" s="60">
        <f t="shared" si="0"/>
        <v>7.5513010407704953E-3</v>
      </c>
      <c r="H23" s="60"/>
      <c r="I23" s="61">
        <f t="shared" si="1"/>
        <v>315551.05496265687</v>
      </c>
      <c r="J23" s="62"/>
      <c r="K23" s="63"/>
      <c r="L23" s="64"/>
      <c r="M23" s="64"/>
      <c r="N23" s="65"/>
    </row>
    <row r="24" spans="1:14" ht="13.5" thickBot="1" x14ac:dyDescent="0.25">
      <c r="A24" s="38"/>
      <c r="B24" s="35"/>
      <c r="C24" s="66"/>
      <c r="D24" s="59"/>
      <c r="E24" s="67">
        <f>SUM(E17:E23)</f>
        <v>5417517429</v>
      </c>
      <c r="F24" s="59"/>
      <c r="G24" s="68">
        <f>SUM(G17:G23)</f>
        <v>1</v>
      </c>
      <c r="H24" s="69"/>
      <c r="I24" s="70">
        <f>SUM(I17:I23)</f>
        <v>41787640.733557574</v>
      </c>
      <c r="J24" s="71"/>
      <c r="K24" s="72">
        <f>ROUND(((I24/E24)/$E$7),5)</f>
        <v>3.8600000000000001E-3</v>
      </c>
      <c r="L24" s="73"/>
      <c r="M24" s="73"/>
      <c r="N24" s="73"/>
    </row>
    <row r="29" spans="1:14" x14ac:dyDescent="0.2">
      <c r="A29" s="32" t="s">
        <v>51</v>
      </c>
    </row>
  </sheetData>
  <phoneticPr fontId="18" type="noConversion"/>
  <dataValidations disablePrompts="1" count="1">
    <dataValidation type="list" allowBlank="1" showInputMessage="1" showErrorMessage="1" sqref="E7">
      <formula1>"1,2,3,4"</formula1>
    </dataValidation>
  </dataValidations>
  <pageMargins left="0.75" right="0.75" top="1" bottom="1" header="0.5" footer="0.5"/>
  <pageSetup scale="6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Q244"/>
  <sheetViews>
    <sheetView topLeftCell="A183" zoomScaleNormal="100" workbookViewId="0">
      <selection activeCell="H54" sqref="H54"/>
    </sheetView>
  </sheetViews>
  <sheetFormatPr defaultRowHeight="11.25" x14ac:dyDescent="0.2"/>
  <cols>
    <col min="1" max="1" width="56.140625" style="162" customWidth="1"/>
    <col min="2" max="3" width="14" style="163" customWidth="1"/>
    <col min="4" max="4" width="16.5703125" style="163" customWidth="1"/>
    <col min="5" max="5" width="16.28515625" style="163" customWidth="1"/>
    <col min="6" max="6" width="17.5703125" style="163" customWidth="1"/>
    <col min="7" max="7" width="12.42578125" style="163" customWidth="1"/>
    <col min="8" max="8" width="12" style="163" customWidth="1"/>
    <col min="9" max="9" width="12.140625" style="163" customWidth="1"/>
    <col min="10" max="10" width="16.42578125" style="163" customWidth="1"/>
    <col min="11" max="13" width="12.140625" style="163" customWidth="1"/>
    <col min="14" max="16" width="12.140625" style="162" customWidth="1"/>
    <col min="17" max="17" width="13.5703125" style="162" customWidth="1"/>
    <col min="18" max="16384" width="9.140625" style="162"/>
  </cols>
  <sheetData>
    <row r="1" spans="1:17" ht="12" thickBot="1" x14ac:dyDescent="0.25">
      <c r="A1" s="161" t="s">
        <v>99</v>
      </c>
      <c r="B1" s="193"/>
      <c r="C1" s="194"/>
    </row>
    <row r="2" spans="1:17" ht="12" thickBot="1" x14ac:dyDescent="0.25">
      <c r="A2" s="277" t="s">
        <v>399</v>
      </c>
      <c r="B2" s="195" t="s">
        <v>100</v>
      </c>
      <c r="C2" s="195" t="s">
        <v>16</v>
      </c>
      <c r="D2" s="254" t="s">
        <v>101</v>
      </c>
      <c r="E2" s="164">
        <v>40186</v>
      </c>
      <c r="F2" s="164">
        <v>40217</v>
      </c>
      <c r="G2" s="164">
        <v>40245</v>
      </c>
      <c r="H2" s="164">
        <v>40276</v>
      </c>
      <c r="I2" s="325">
        <v>40306</v>
      </c>
      <c r="J2" s="164">
        <v>40337</v>
      </c>
      <c r="K2" s="335">
        <v>40367</v>
      </c>
      <c r="L2" s="164">
        <v>40398</v>
      </c>
      <c r="M2" s="164">
        <v>40429</v>
      </c>
      <c r="N2" s="164">
        <v>40459</v>
      </c>
      <c r="O2" s="164">
        <v>40490</v>
      </c>
      <c r="P2" s="164">
        <v>40520</v>
      </c>
      <c r="Q2" s="490" t="s">
        <v>136</v>
      </c>
    </row>
    <row r="3" spans="1:17" x14ac:dyDescent="0.2">
      <c r="A3" s="278"/>
      <c r="B3" s="196" t="s">
        <v>102</v>
      </c>
      <c r="C3" s="196"/>
      <c r="D3" s="255"/>
      <c r="E3" s="165"/>
      <c r="F3" s="165"/>
      <c r="G3" s="165"/>
      <c r="H3" s="165"/>
      <c r="I3" s="326"/>
      <c r="J3" s="165"/>
      <c r="K3" s="336"/>
      <c r="L3" s="165"/>
      <c r="M3" s="165"/>
      <c r="N3" s="165"/>
      <c r="O3" s="165"/>
      <c r="P3" s="165"/>
      <c r="Q3" s="166"/>
    </row>
    <row r="4" spans="1:17" ht="22.5" x14ac:dyDescent="0.2">
      <c r="A4" s="279" t="s">
        <v>103</v>
      </c>
      <c r="B4" s="197" t="s">
        <v>165</v>
      </c>
      <c r="C4" s="197" t="s">
        <v>165</v>
      </c>
      <c r="D4" s="190"/>
      <c r="E4" s="168"/>
      <c r="F4" s="168"/>
      <c r="G4" s="168"/>
      <c r="H4" s="168"/>
      <c r="I4" s="245"/>
      <c r="J4" s="168"/>
      <c r="K4" s="252"/>
      <c r="L4" s="168"/>
      <c r="M4" s="168"/>
      <c r="N4" s="168"/>
      <c r="O4" s="168"/>
      <c r="P4" s="168"/>
      <c r="Q4" s="166"/>
    </row>
    <row r="5" spans="1:17" x14ac:dyDescent="0.2">
      <c r="A5" s="279"/>
      <c r="B5" s="172"/>
      <c r="C5" s="172"/>
      <c r="D5" s="190"/>
      <c r="E5" s="168"/>
      <c r="F5" s="168"/>
      <c r="G5" s="168"/>
      <c r="H5" s="168"/>
      <c r="I5" s="245"/>
      <c r="J5" s="168"/>
      <c r="K5" s="252"/>
      <c r="L5" s="168"/>
      <c r="M5" s="168"/>
      <c r="N5" s="168"/>
      <c r="O5" s="168"/>
      <c r="P5" s="168"/>
      <c r="Q5" s="166"/>
    </row>
    <row r="6" spans="1:17" x14ac:dyDescent="0.2">
      <c r="A6" s="280" t="s">
        <v>150</v>
      </c>
      <c r="B6" s="198"/>
      <c r="C6" s="198"/>
      <c r="D6" s="190"/>
      <c r="E6" s="167" t="s">
        <v>31</v>
      </c>
      <c r="F6" s="167"/>
      <c r="G6" s="167"/>
      <c r="H6" s="167"/>
      <c r="I6" s="327"/>
      <c r="J6" s="167"/>
      <c r="K6" s="337"/>
      <c r="L6" s="167"/>
      <c r="M6" s="167"/>
      <c r="N6" s="167"/>
      <c r="O6" s="167"/>
      <c r="P6" s="167"/>
      <c r="Q6" s="166"/>
    </row>
    <row r="7" spans="1:17" x14ac:dyDescent="0.2">
      <c r="A7" s="280" t="s">
        <v>104</v>
      </c>
      <c r="B7" s="198"/>
      <c r="C7" s="198"/>
      <c r="D7" s="190"/>
      <c r="E7" s="167"/>
      <c r="F7" s="167"/>
      <c r="G7" s="167"/>
      <c r="H7" s="167"/>
      <c r="I7" s="327"/>
      <c r="J7" s="167"/>
      <c r="K7" s="337"/>
      <c r="L7" s="167"/>
      <c r="M7" s="167"/>
      <c r="N7" s="167"/>
      <c r="O7" s="167"/>
      <c r="P7" s="167"/>
      <c r="Q7" s="166"/>
    </row>
    <row r="8" spans="1:17" x14ac:dyDescent="0.2">
      <c r="A8" s="188" t="s">
        <v>105</v>
      </c>
      <c r="B8" s="199">
        <v>-1128956.0901545591</v>
      </c>
      <c r="C8" s="199">
        <v>-27094946.163709417</v>
      </c>
      <c r="D8" s="190">
        <v>-27094946.163709417</v>
      </c>
      <c r="E8" s="283">
        <v>0</v>
      </c>
      <c r="F8" s="167">
        <v>-27094946.163709417</v>
      </c>
      <c r="G8" s="167">
        <v>-26126710.773940802</v>
      </c>
      <c r="H8" s="167">
        <v>-25247159.586293578</v>
      </c>
      <c r="I8" s="327">
        <v>-24258196.166553374</v>
      </c>
      <c r="J8" s="167">
        <v>-23178701.197283875</v>
      </c>
      <c r="K8" s="337">
        <v>-22271474.808832426</v>
      </c>
      <c r="L8" s="167">
        <v>-21111581.83965224</v>
      </c>
      <c r="M8" s="167">
        <v>-20009411.384718738</v>
      </c>
      <c r="N8" s="167">
        <v>-18933435.33480667</v>
      </c>
      <c r="O8" s="167">
        <v>-18011535.862027742</v>
      </c>
      <c r="P8" s="167">
        <v>-17029859.974478733</v>
      </c>
      <c r="Q8" s="491">
        <v>-27094946.163709417</v>
      </c>
    </row>
    <row r="9" spans="1:17" x14ac:dyDescent="0.2">
      <c r="A9" s="281" t="s">
        <v>143</v>
      </c>
      <c r="B9" s="200"/>
      <c r="C9" s="200"/>
      <c r="D9" s="256"/>
      <c r="E9" s="284">
        <v>0</v>
      </c>
      <c r="F9" s="170">
        <v>968235.38976861537</v>
      </c>
      <c r="G9" s="170">
        <v>879551.18764722394</v>
      </c>
      <c r="H9" s="170">
        <v>988963.41974020225</v>
      </c>
      <c r="I9" s="328">
        <v>1079494.9692694976</v>
      </c>
      <c r="J9" s="170">
        <v>907226.38845144841</v>
      </c>
      <c r="K9" s="338">
        <v>1159892.9691801842</v>
      </c>
      <c r="L9" s="170">
        <v>1102170.4549334999</v>
      </c>
      <c r="M9" s="170">
        <v>1075976.0499120695</v>
      </c>
      <c r="N9" s="170">
        <v>921899.47277892835</v>
      </c>
      <c r="O9" s="170">
        <v>981675.88754900848</v>
      </c>
      <c r="P9" s="170">
        <v>969786.09060334228</v>
      </c>
      <c r="Q9" s="491">
        <v>11034872.279834021</v>
      </c>
    </row>
    <row r="10" spans="1:17" x14ac:dyDescent="0.2">
      <c r="A10" s="282" t="s">
        <v>136</v>
      </c>
      <c r="B10" s="238"/>
      <c r="C10" s="238"/>
      <c r="D10" s="257">
        <v>-27094946.163709417</v>
      </c>
      <c r="E10" s="285">
        <v>0</v>
      </c>
      <c r="F10" s="239">
        <v>-26126710.773940802</v>
      </c>
      <c r="G10" s="239">
        <v>-25247159.586293578</v>
      </c>
      <c r="H10" s="239">
        <v>-24258196.166553374</v>
      </c>
      <c r="I10" s="329">
        <v>-23178701.197283875</v>
      </c>
      <c r="J10" s="239">
        <v>-22271474.808832426</v>
      </c>
      <c r="K10" s="339">
        <v>-21111581.83965224</v>
      </c>
      <c r="L10" s="239">
        <v>-20009411.384718738</v>
      </c>
      <c r="M10" s="239">
        <v>-18933435.33480667</v>
      </c>
      <c r="N10" s="239">
        <v>-18011535.862027742</v>
      </c>
      <c r="O10" s="239">
        <v>-17029859.974478733</v>
      </c>
      <c r="P10" s="239">
        <v>-16060073.883875391</v>
      </c>
      <c r="Q10" s="492">
        <v>-16060073.883875396</v>
      </c>
    </row>
    <row r="11" spans="1:17" x14ac:dyDescent="0.2">
      <c r="A11" s="188"/>
      <c r="B11" s="199"/>
      <c r="C11" s="199"/>
      <c r="D11" s="190"/>
      <c r="E11" s="283"/>
      <c r="F11" s="167"/>
      <c r="G11" s="167"/>
      <c r="H11" s="167"/>
      <c r="I11" s="327"/>
      <c r="J11" s="167"/>
      <c r="K11" s="337"/>
      <c r="L11" s="167"/>
      <c r="M11" s="167"/>
      <c r="N11" s="167"/>
      <c r="O11" s="167"/>
      <c r="P11" s="167"/>
      <c r="Q11" s="491"/>
    </row>
    <row r="12" spans="1:17" x14ac:dyDescent="0.2">
      <c r="A12" s="188" t="s">
        <v>106</v>
      </c>
      <c r="B12" s="199">
        <v>-79713.289801939682</v>
      </c>
      <c r="C12" s="199">
        <v>-1913118.9552465524</v>
      </c>
      <c r="D12" s="190">
        <v>-1913118.9552465524</v>
      </c>
      <c r="E12" s="283">
        <v>0</v>
      </c>
      <c r="F12" s="167">
        <v>-1913118.9552465524</v>
      </c>
      <c r="G12" s="167">
        <v>-1844753.8267050576</v>
      </c>
      <c r="H12" s="167">
        <v>-1782650.5090224675</v>
      </c>
      <c r="I12" s="327">
        <v>-1712821.8165084166</v>
      </c>
      <c r="J12" s="167">
        <v>-1636600.8756981015</v>
      </c>
      <c r="K12" s="337">
        <v>-1572543.4684620975</v>
      </c>
      <c r="L12" s="167">
        <v>-1490645.7886516857</v>
      </c>
      <c r="M12" s="167">
        <v>-1412823.7779894094</v>
      </c>
      <c r="N12" s="167">
        <v>-1336851.3009067578</v>
      </c>
      <c r="O12" s="167">
        <v>-1271757.8570759874</v>
      </c>
      <c r="P12" s="167">
        <v>-1202443.7223649931</v>
      </c>
      <c r="Q12" s="491">
        <v>-1913118.9552465524</v>
      </c>
    </row>
    <row r="13" spans="1:17" x14ac:dyDescent="0.2">
      <c r="A13" s="188" t="s">
        <v>144</v>
      </c>
      <c r="B13" s="200"/>
      <c r="C13" s="200"/>
      <c r="D13" s="256"/>
      <c r="E13" s="284">
        <v>0</v>
      </c>
      <c r="F13" s="170">
        <v>68365.128541494632</v>
      </c>
      <c r="G13" s="170">
        <v>62103.317682590096</v>
      </c>
      <c r="H13" s="170">
        <v>69828.692514051087</v>
      </c>
      <c r="I13" s="328">
        <v>76220.940810315122</v>
      </c>
      <c r="J13" s="170">
        <v>64057.407236003979</v>
      </c>
      <c r="K13" s="338">
        <v>81897.679810411661</v>
      </c>
      <c r="L13" s="170">
        <v>77822.010662276225</v>
      </c>
      <c r="M13" s="170">
        <v>75972.477082651531</v>
      </c>
      <c r="N13" s="170">
        <v>65093.443830770542</v>
      </c>
      <c r="O13" s="170">
        <v>69314.134710994244</v>
      </c>
      <c r="P13" s="170">
        <v>68474.620368601754</v>
      </c>
      <c r="Q13" s="491">
        <v>779149.85325016081</v>
      </c>
    </row>
    <row r="14" spans="1:17" x14ac:dyDescent="0.2">
      <c r="A14" s="282" t="s">
        <v>136</v>
      </c>
      <c r="B14" s="200"/>
      <c r="C14" s="200"/>
      <c r="D14" s="256">
        <v>-1913118.9552465524</v>
      </c>
      <c r="E14" s="284">
        <v>0</v>
      </c>
      <c r="F14" s="170">
        <v>-1844753.8267050576</v>
      </c>
      <c r="G14" s="170">
        <v>-1782650.5090224675</v>
      </c>
      <c r="H14" s="170">
        <v>-1712821.8165084166</v>
      </c>
      <c r="I14" s="328">
        <v>-1636600.8756981015</v>
      </c>
      <c r="J14" s="170">
        <v>-1572543.4684620975</v>
      </c>
      <c r="K14" s="338">
        <v>-1490645.7886516857</v>
      </c>
      <c r="L14" s="170">
        <v>-1412823.7779894094</v>
      </c>
      <c r="M14" s="170">
        <v>-1336851.3009067578</v>
      </c>
      <c r="N14" s="170">
        <v>-1271757.8570759874</v>
      </c>
      <c r="O14" s="170">
        <v>-1202443.7223649931</v>
      </c>
      <c r="P14" s="170">
        <v>-1133969.1019963913</v>
      </c>
      <c r="Q14" s="492">
        <v>-1133969.1019963915</v>
      </c>
    </row>
    <row r="15" spans="1:17" x14ac:dyDescent="0.2">
      <c r="A15" s="188"/>
      <c r="B15" s="199">
        <v>-1208669.3799564987</v>
      </c>
      <c r="C15" s="199">
        <v>-29008065.11895597</v>
      </c>
      <c r="D15" s="258">
        <v>-29008065.11895597</v>
      </c>
      <c r="E15" s="286">
        <v>0</v>
      </c>
      <c r="F15" s="168">
        <v>-27971464.600645859</v>
      </c>
      <c r="G15" s="168">
        <v>-27029810.095316045</v>
      </c>
      <c r="H15" s="168">
        <v>-25971017.98306179</v>
      </c>
      <c r="I15" s="245">
        <v>-24815302.072981976</v>
      </c>
      <c r="J15" s="168">
        <v>-23844018.277294524</v>
      </c>
      <c r="K15" s="252">
        <v>-22602227.628303926</v>
      </c>
      <c r="L15" s="168">
        <v>-21422235.162708148</v>
      </c>
      <c r="M15" s="168">
        <v>-20270286.635713428</v>
      </c>
      <c r="N15" s="168">
        <v>-19283293.719103731</v>
      </c>
      <c r="O15" s="168">
        <v>-18232303.696843725</v>
      </c>
      <c r="P15" s="168">
        <v>-17194042.985871781</v>
      </c>
      <c r="Q15" s="491"/>
    </row>
    <row r="16" spans="1:17" x14ac:dyDescent="0.2">
      <c r="A16" s="183"/>
      <c r="B16" s="187"/>
      <c r="C16" s="187"/>
      <c r="D16" s="258"/>
      <c r="E16" s="286"/>
      <c r="F16" s="168"/>
      <c r="G16" s="168"/>
      <c r="H16" s="168"/>
      <c r="I16" s="245"/>
      <c r="J16" s="168"/>
      <c r="K16" s="252"/>
      <c r="L16" s="168"/>
      <c r="M16" s="168"/>
      <c r="N16" s="168"/>
      <c r="O16" s="168"/>
      <c r="P16" s="168"/>
      <c r="Q16" s="491"/>
    </row>
    <row r="17" spans="1:17" x14ac:dyDescent="0.2">
      <c r="A17" s="280" t="s">
        <v>142</v>
      </c>
      <c r="B17" s="201"/>
      <c r="C17" s="201"/>
      <c r="D17" s="258"/>
      <c r="E17" s="286"/>
      <c r="F17" s="168"/>
      <c r="G17" s="168"/>
      <c r="H17" s="168"/>
      <c r="I17" s="245"/>
      <c r="J17" s="168"/>
      <c r="K17" s="252"/>
      <c r="L17" s="168"/>
      <c r="M17" s="168"/>
      <c r="N17" s="168"/>
      <c r="O17" s="168"/>
      <c r="P17" s="168"/>
      <c r="Q17" s="491"/>
    </row>
    <row r="18" spans="1:17" x14ac:dyDescent="0.2">
      <c r="A18" s="243" t="s">
        <v>146</v>
      </c>
      <c r="B18" s="199">
        <v>1728576.5333518386</v>
      </c>
      <c r="C18" s="199">
        <v>41485836.800444126</v>
      </c>
      <c r="D18" s="191">
        <v>41485836.800444126</v>
      </c>
      <c r="E18" s="283">
        <v>0</v>
      </c>
      <c r="F18" s="167">
        <v>41485836.800444126</v>
      </c>
      <c r="G18" s="167">
        <v>39727373.100029796</v>
      </c>
      <c r="H18" s="167">
        <v>38100051.785142213</v>
      </c>
      <c r="I18" s="327">
        <v>36768363.916884311</v>
      </c>
      <c r="J18" s="167">
        <v>34772497.49904684</v>
      </c>
      <c r="K18" s="337">
        <v>33008352.598060235</v>
      </c>
      <c r="L18" s="167">
        <v>30983440.592998363</v>
      </c>
      <c r="M18" s="167">
        <v>29407206.43639284</v>
      </c>
      <c r="N18" s="167">
        <v>27641983.666756988</v>
      </c>
      <c r="O18" s="167">
        <v>25856680.995727345</v>
      </c>
      <c r="P18" s="167">
        <v>24126067.0217163</v>
      </c>
      <c r="Q18" s="491">
        <v>41485836.800444126</v>
      </c>
    </row>
    <row r="19" spans="1:17" x14ac:dyDescent="0.2">
      <c r="A19" s="188" t="s">
        <v>145</v>
      </c>
      <c r="B19" s="199"/>
      <c r="C19" s="199"/>
      <c r="D19" s="191"/>
      <c r="E19" s="283">
        <v>0</v>
      </c>
      <c r="F19" s="167">
        <v>-1758463.7004143267</v>
      </c>
      <c r="G19" s="167">
        <v>-1627321.3148875837</v>
      </c>
      <c r="H19" s="167">
        <v>-1331687.8682578991</v>
      </c>
      <c r="I19" s="327">
        <v>-1995866.4178374677</v>
      </c>
      <c r="J19" s="167">
        <v>-1764144.9009866053</v>
      </c>
      <c r="K19" s="337">
        <v>-2024912.0050618709</v>
      </c>
      <c r="L19" s="167">
        <v>-1576234.1566055233</v>
      </c>
      <c r="M19" s="167">
        <v>-1765222.769635852</v>
      </c>
      <c r="N19" s="167">
        <v>-1785302.6710296427</v>
      </c>
      <c r="O19" s="167">
        <v>-1730613.9740110449</v>
      </c>
      <c r="P19" s="167">
        <v>-1744598.2204819194</v>
      </c>
      <c r="Q19" s="491">
        <v>-19104367.999209736</v>
      </c>
    </row>
    <row r="20" spans="1:17" x14ac:dyDescent="0.2">
      <c r="A20" s="282" t="s">
        <v>136</v>
      </c>
      <c r="B20" s="238"/>
      <c r="C20" s="238"/>
      <c r="D20" s="259">
        <v>41485836.800444126</v>
      </c>
      <c r="E20" s="287">
        <v>0</v>
      </c>
      <c r="F20" s="240">
        <v>39727373.100029796</v>
      </c>
      <c r="G20" s="240">
        <v>38100051.785142213</v>
      </c>
      <c r="H20" s="240">
        <v>36768363.916884311</v>
      </c>
      <c r="I20" s="330">
        <v>34772497.49904684</v>
      </c>
      <c r="J20" s="240">
        <v>33008352.598060235</v>
      </c>
      <c r="K20" s="340">
        <v>30983440.592998363</v>
      </c>
      <c r="L20" s="240">
        <v>29407206.43639284</v>
      </c>
      <c r="M20" s="240">
        <v>27641983.666756988</v>
      </c>
      <c r="N20" s="240">
        <v>25856680.995727345</v>
      </c>
      <c r="O20" s="240">
        <v>24126067.0217163</v>
      </c>
      <c r="P20" s="240">
        <v>22381468.801234379</v>
      </c>
      <c r="Q20" s="492">
        <v>22381468.801234391</v>
      </c>
    </row>
    <row r="21" spans="1:17" x14ac:dyDescent="0.2">
      <c r="A21" s="188"/>
      <c r="B21" s="199"/>
      <c r="C21" s="199"/>
      <c r="D21" s="191"/>
      <c r="E21" s="283"/>
      <c r="F21" s="167"/>
      <c r="G21" s="167"/>
      <c r="H21" s="167"/>
      <c r="I21" s="327"/>
      <c r="J21" s="167"/>
      <c r="K21" s="337"/>
      <c r="L21" s="167"/>
      <c r="M21" s="167"/>
      <c r="N21" s="167"/>
      <c r="O21" s="167"/>
      <c r="P21" s="167"/>
      <c r="Q21" s="491"/>
    </row>
    <row r="22" spans="1:17" x14ac:dyDescent="0.2">
      <c r="A22" s="188" t="s">
        <v>107</v>
      </c>
      <c r="B22" s="199">
        <v>12575.16387972695</v>
      </c>
      <c r="C22" s="199">
        <v>301803.93311344681</v>
      </c>
      <c r="D22" s="189">
        <v>301803.93311344681</v>
      </c>
      <c r="E22" s="283">
        <v>0</v>
      </c>
      <c r="F22" s="167">
        <v>301803.93311344681</v>
      </c>
      <c r="G22" s="167">
        <v>289011.34407697379</v>
      </c>
      <c r="H22" s="167">
        <v>277172.79841535754</v>
      </c>
      <c r="I22" s="327">
        <v>267484.94667325664</v>
      </c>
      <c r="J22" s="167">
        <v>252965.28451072445</v>
      </c>
      <c r="K22" s="337">
        <v>240131.36549733023</v>
      </c>
      <c r="L22" s="167">
        <v>225400.40055920064</v>
      </c>
      <c r="M22" s="167">
        <v>213933.50716472507</v>
      </c>
      <c r="N22" s="167">
        <v>201091.74680057573</v>
      </c>
      <c r="O22" s="167">
        <v>188103.90783021849</v>
      </c>
      <c r="P22" s="167">
        <v>175513.92184126444</v>
      </c>
      <c r="Q22" s="491">
        <v>301803.93311344681</v>
      </c>
    </row>
    <row r="23" spans="1:17" x14ac:dyDescent="0.2">
      <c r="A23" s="188" t="s">
        <v>147</v>
      </c>
      <c r="B23" s="199"/>
      <c r="C23" s="199"/>
      <c r="D23" s="189">
        <v>0</v>
      </c>
      <c r="E23" s="286">
        <v>0</v>
      </c>
      <c r="F23" s="186">
        <v>-12792.589036473</v>
      </c>
      <c r="G23" s="186">
        <v>-11838.545661616276</v>
      </c>
      <c r="H23" s="186">
        <v>-9687.8517421008837</v>
      </c>
      <c r="I23" s="331">
        <v>-14519.662162532186</v>
      </c>
      <c r="J23" s="186">
        <v>-12833.919013394225</v>
      </c>
      <c r="K23" s="341">
        <v>-14730.964938129586</v>
      </c>
      <c r="L23" s="186">
        <v>-11466.893394475557</v>
      </c>
      <c r="M23" s="186">
        <v>-12841.760364149355</v>
      </c>
      <c r="N23" s="186">
        <v>-12987.838970357228</v>
      </c>
      <c r="O23" s="186">
        <v>-12589.985988954049</v>
      </c>
      <c r="P23" s="186">
        <v>-12691.719518082058</v>
      </c>
      <c r="Q23" s="491">
        <v>-138981.73079026441</v>
      </c>
    </row>
    <row r="24" spans="1:17" x14ac:dyDescent="0.2">
      <c r="A24" s="282" t="s">
        <v>136</v>
      </c>
      <c r="B24" s="238"/>
      <c r="C24" s="238"/>
      <c r="D24" s="260">
        <v>301803.93311344681</v>
      </c>
      <c r="E24" s="287">
        <v>0</v>
      </c>
      <c r="F24" s="241">
        <v>289011.34407697379</v>
      </c>
      <c r="G24" s="241">
        <v>277172.79841535754</v>
      </c>
      <c r="H24" s="241">
        <v>267484.94667325664</v>
      </c>
      <c r="I24" s="332">
        <v>252965.28451072445</v>
      </c>
      <c r="J24" s="241">
        <v>240131.36549733023</v>
      </c>
      <c r="K24" s="342">
        <v>225400.40055920064</v>
      </c>
      <c r="L24" s="241">
        <v>213933.50716472507</v>
      </c>
      <c r="M24" s="241">
        <v>201091.74680057573</v>
      </c>
      <c r="N24" s="241">
        <v>188103.90783021849</v>
      </c>
      <c r="O24" s="241">
        <v>175513.92184126444</v>
      </c>
      <c r="P24" s="241">
        <v>162822.20232318237</v>
      </c>
      <c r="Q24" s="494">
        <v>162822.2023231824</v>
      </c>
    </row>
    <row r="25" spans="1:17" x14ac:dyDescent="0.2">
      <c r="A25" s="192"/>
      <c r="B25" s="199"/>
      <c r="C25" s="199"/>
      <c r="D25" s="189">
        <v>41787640.733557574</v>
      </c>
      <c r="E25" s="286">
        <v>0</v>
      </c>
      <c r="F25" s="186">
        <v>40016384.444106773</v>
      </c>
      <c r="G25" s="186">
        <v>38377224.583557568</v>
      </c>
      <c r="H25" s="186">
        <v>37035848.86355757</v>
      </c>
      <c r="I25" s="331">
        <v>35025462.783557564</v>
      </c>
      <c r="J25" s="186">
        <v>33248483.963557567</v>
      </c>
      <c r="K25" s="341">
        <v>31208840.993557565</v>
      </c>
      <c r="L25" s="186">
        <v>29621139.943557564</v>
      </c>
      <c r="M25" s="186">
        <v>27843075.413557563</v>
      </c>
      <c r="N25" s="186">
        <v>26044784.903557565</v>
      </c>
      <c r="O25" s="186">
        <v>24301580.943557564</v>
      </c>
      <c r="P25" s="186">
        <v>22544291.003557563</v>
      </c>
      <c r="Q25" s="166"/>
    </row>
    <row r="26" spans="1:17" x14ac:dyDescent="0.2">
      <c r="A26" s="192"/>
      <c r="B26" s="199"/>
      <c r="C26" s="199"/>
      <c r="D26" s="189"/>
      <c r="E26" s="286"/>
      <c r="F26" s="186"/>
      <c r="G26" s="186"/>
      <c r="H26" s="186"/>
      <c r="I26" s="331"/>
      <c r="J26" s="186"/>
      <c r="K26" s="341"/>
      <c r="L26" s="186"/>
      <c r="M26" s="186"/>
      <c r="N26" s="186"/>
      <c r="O26" s="186"/>
      <c r="P26" s="186"/>
      <c r="Q26" s="166"/>
    </row>
    <row r="27" spans="1:17" x14ac:dyDescent="0.2">
      <c r="A27" s="192" t="s">
        <v>148</v>
      </c>
      <c r="B27" s="199"/>
      <c r="C27" s="199"/>
      <c r="D27" s="189">
        <v>14390890.636734709</v>
      </c>
      <c r="E27" s="286">
        <v>0</v>
      </c>
      <c r="F27" s="186">
        <v>13600662.326088995</v>
      </c>
      <c r="G27" s="186">
        <v>12852892.198848635</v>
      </c>
      <c r="H27" s="186">
        <v>12510167.750330936</v>
      </c>
      <c r="I27" s="331">
        <v>11593796.301762965</v>
      </c>
      <c r="J27" s="186">
        <v>10736877.78922781</v>
      </c>
      <c r="K27" s="341">
        <v>9871858.7533461228</v>
      </c>
      <c r="L27" s="186">
        <v>9397795.0516741015</v>
      </c>
      <c r="M27" s="186">
        <v>8708548.3319503181</v>
      </c>
      <c r="N27" s="186">
        <v>7845145.1336996034</v>
      </c>
      <c r="O27" s="186">
        <v>7096207.0472375676</v>
      </c>
      <c r="P27" s="186">
        <v>6321394.9173589889</v>
      </c>
      <c r="Q27" s="186">
        <v>6321394.9173589945</v>
      </c>
    </row>
    <row r="28" spans="1:17" x14ac:dyDescent="0.2">
      <c r="A28" s="192" t="s">
        <v>149</v>
      </c>
      <c r="B28" s="199"/>
      <c r="C28" s="199"/>
      <c r="D28" s="189">
        <v>-1611315.0221331054</v>
      </c>
      <c r="E28" s="286">
        <v>0</v>
      </c>
      <c r="F28" s="186">
        <v>-1555742.4826280838</v>
      </c>
      <c r="G28" s="186">
        <v>-1505477.7106071101</v>
      </c>
      <c r="H28" s="186">
        <v>-1445336.86983516</v>
      </c>
      <c r="I28" s="331">
        <v>-1383635.591187377</v>
      </c>
      <c r="J28" s="186">
        <v>-1332412.1029647673</v>
      </c>
      <c r="K28" s="341">
        <v>-1265245.388092485</v>
      </c>
      <c r="L28" s="186">
        <v>-1198890.2708246843</v>
      </c>
      <c r="M28" s="186">
        <v>-1135759.5541061822</v>
      </c>
      <c r="N28" s="186">
        <v>-1083653.9492457688</v>
      </c>
      <c r="O28" s="186">
        <v>-1026929.8005237286</v>
      </c>
      <c r="P28" s="186">
        <v>-971146.89967320894</v>
      </c>
      <c r="Q28" s="186">
        <v>-971146.89967320918</v>
      </c>
    </row>
    <row r="29" spans="1:17" ht="12" thickBot="1" x14ac:dyDescent="0.25">
      <c r="A29" s="300" t="s">
        <v>157</v>
      </c>
      <c r="B29" s="238">
        <v>1741151.6972315656</v>
      </c>
      <c r="C29" s="238">
        <v>41787640.733557574</v>
      </c>
      <c r="D29" s="261">
        <v>12779575.614601605</v>
      </c>
      <c r="E29" s="287">
        <v>0</v>
      </c>
      <c r="F29" s="242">
        <v>12044919.843460914</v>
      </c>
      <c r="G29" s="242">
        <v>11347414.488241524</v>
      </c>
      <c r="H29" s="242">
        <v>11064830.880495779</v>
      </c>
      <c r="I29" s="333">
        <v>10210160.710575588</v>
      </c>
      <c r="J29" s="242">
        <v>9404465.6862630434</v>
      </c>
      <c r="K29" s="343">
        <v>8606613.3652536385</v>
      </c>
      <c r="L29" s="242">
        <v>8198904.7808494158</v>
      </c>
      <c r="M29" s="242">
        <v>7572788.7778441347</v>
      </c>
      <c r="N29" s="242">
        <v>6761491.1844538338</v>
      </c>
      <c r="O29" s="242">
        <v>6069277.2467138395</v>
      </c>
      <c r="P29" s="242">
        <v>5350248.0176857822</v>
      </c>
      <c r="Q29" s="242">
        <v>5350248.017685785</v>
      </c>
    </row>
    <row r="30" spans="1:17" x14ac:dyDescent="0.2">
      <c r="A30" s="301" t="s">
        <v>108</v>
      </c>
      <c r="B30" s="252">
        <v>599620.44319727947</v>
      </c>
      <c r="C30" s="168">
        <v>14390890.636734709</v>
      </c>
      <c r="D30" s="258">
        <v>14390890.636734709</v>
      </c>
      <c r="E30" s="286">
        <v>0</v>
      </c>
      <c r="F30" s="168">
        <v>13600662.326088995</v>
      </c>
      <c r="G30" s="168">
        <v>12852892.198848635</v>
      </c>
      <c r="H30" s="168">
        <v>12510167.750330936</v>
      </c>
      <c r="I30" s="245">
        <v>11593796.301762965</v>
      </c>
      <c r="J30" s="168">
        <v>10736877.78922781</v>
      </c>
      <c r="K30" s="252">
        <v>9871858.7533461228</v>
      </c>
      <c r="L30" s="168">
        <v>9397795.0516741015</v>
      </c>
      <c r="M30" s="168">
        <v>8708548.3319503181</v>
      </c>
      <c r="N30" s="168">
        <v>7845145.1336996034</v>
      </c>
      <c r="O30" s="168">
        <v>7096207.0472375676</v>
      </c>
      <c r="P30" s="168">
        <v>6321394.9173589889</v>
      </c>
      <c r="Q30" s="166"/>
    </row>
    <row r="31" spans="1:17" ht="12" thickBot="1" x14ac:dyDescent="0.25">
      <c r="A31" s="302" t="s">
        <v>156</v>
      </c>
      <c r="B31" s="253">
        <v>-67138.125922212726</v>
      </c>
      <c r="C31" s="204">
        <v>-1611315.0221331054</v>
      </c>
      <c r="D31" s="262">
        <v>-1611315.0221331054</v>
      </c>
      <c r="E31" s="288">
        <v>0</v>
      </c>
      <c r="F31" s="204">
        <v>-1555742.4826280838</v>
      </c>
      <c r="G31" s="204">
        <v>-1505477.7106071101</v>
      </c>
      <c r="H31" s="204">
        <v>-1445336.86983516</v>
      </c>
      <c r="I31" s="246">
        <v>-1383635.591187377</v>
      </c>
      <c r="J31" s="204">
        <v>-1332412.1029647673</v>
      </c>
      <c r="K31" s="253">
        <v>-1265245.388092485</v>
      </c>
      <c r="L31" s="204">
        <v>-1198890.2708246843</v>
      </c>
      <c r="M31" s="204">
        <v>-1135759.5541061822</v>
      </c>
      <c r="N31" s="204">
        <v>-1083653.9492457688</v>
      </c>
      <c r="O31" s="204">
        <v>-1026929.8005237286</v>
      </c>
      <c r="P31" s="204">
        <v>-971146.89967320894</v>
      </c>
      <c r="Q31" s="493"/>
    </row>
    <row r="32" spans="1:17" ht="12" thickBot="1" x14ac:dyDescent="0.25">
      <c r="A32" s="302" t="s">
        <v>157</v>
      </c>
      <c r="B32" s="262">
        <v>532482.31727506674</v>
      </c>
      <c r="C32" s="204">
        <v>12779575.614601605</v>
      </c>
      <c r="D32" s="262">
        <v>12779575.614601605</v>
      </c>
      <c r="E32" s="288">
        <v>0</v>
      </c>
      <c r="F32" s="204">
        <v>12044919.84346091</v>
      </c>
      <c r="G32" s="204">
        <v>11347414.488241525</v>
      </c>
      <c r="H32" s="204">
        <v>11064830.880495775</v>
      </c>
      <c r="I32" s="246">
        <v>10210160.710575588</v>
      </c>
      <c r="J32" s="204">
        <v>9404465.6862630434</v>
      </c>
      <c r="K32" s="262">
        <v>8606613.3652536385</v>
      </c>
      <c r="L32" s="298">
        <v>8198904.7808494177</v>
      </c>
      <c r="M32" s="253">
        <v>7572788.7778441356</v>
      </c>
      <c r="N32" s="204">
        <v>6761491.1844538348</v>
      </c>
      <c r="O32" s="204">
        <v>6069277.2467138395</v>
      </c>
      <c r="P32" s="204">
        <v>5350248.0176857803</v>
      </c>
      <c r="Q32" s="495">
        <v>5350248.017685785</v>
      </c>
    </row>
    <row r="33" spans="1:16" ht="15.75" x14ac:dyDescent="0.25">
      <c r="A33" s="174"/>
      <c r="B33" s="247"/>
      <c r="C33" s="205"/>
      <c r="D33" s="258"/>
      <c r="E33" s="245"/>
      <c r="F33" s="202"/>
      <c r="G33" s="297"/>
      <c r="H33" s="297"/>
      <c r="J33" s="297"/>
      <c r="L33" s="297"/>
      <c r="M33" s="297"/>
      <c r="N33" s="299"/>
      <c r="P33" s="299"/>
    </row>
    <row r="34" spans="1:16" ht="15.75" x14ac:dyDescent="0.25">
      <c r="A34" s="169" t="s">
        <v>109</v>
      </c>
      <c r="B34" s="244"/>
      <c r="C34" s="205"/>
      <c r="D34" s="258"/>
      <c r="E34" s="217"/>
      <c r="F34" s="168"/>
      <c r="G34" s="309"/>
      <c r="H34" s="173"/>
      <c r="J34" s="173"/>
      <c r="L34" s="173"/>
      <c r="M34" s="173"/>
      <c r="N34" s="166"/>
      <c r="P34" s="166"/>
    </row>
    <row r="35" spans="1:16" ht="15.75" x14ac:dyDescent="0.25">
      <c r="A35" s="171" t="s">
        <v>110</v>
      </c>
      <c r="B35" s="216"/>
      <c r="C35" s="205"/>
      <c r="D35" s="258"/>
      <c r="E35" s="245"/>
      <c r="F35" s="168"/>
      <c r="G35" s="310"/>
      <c r="H35" s="173"/>
      <c r="J35" s="173"/>
      <c r="L35" s="173"/>
      <c r="M35" s="173"/>
      <c r="N35" s="166"/>
      <c r="P35" s="166"/>
    </row>
    <row r="36" spans="1:16" x14ac:dyDescent="0.2">
      <c r="A36" s="175" t="s">
        <v>155</v>
      </c>
      <c r="B36" s="248"/>
      <c r="C36" s="176"/>
      <c r="D36" s="258"/>
      <c r="E36" s="245"/>
      <c r="F36" s="168">
        <v>13600662.326088995</v>
      </c>
      <c r="G36" s="168">
        <v>12852892.198848635</v>
      </c>
      <c r="H36" s="168">
        <v>12510167.750330936</v>
      </c>
      <c r="I36" s="258">
        <v>11593796.301762965</v>
      </c>
      <c r="J36" s="168">
        <v>10736877.78922781</v>
      </c>
      <c r="K36" s="258">
        <v>9871858.7533461228</v>
      </c>
      <c r="L36" s="168">
        <v>9397795.0516741015</v>
      </c>
      <c r="M36" s="168">
        <v>8708548.3319503181</v>
      </c>
      <c r="N36" s="168">
        <v>7845145.1336996034</v>
      </c>
      <c r="O36" s="258">
        <v>7096207.0472375676</v>
      </c>
      <c r="P36" s="168">
        <v>6321394.9173589889</v>
      </c>
    </row>
    <row r="37" spans="1:16" x14ac:dyDescent="0.2">
      <c r="A37" s="175"/>
      <c r="B37" s="248"/>
      <c r="C37" s="176"/>
      <c r="D37" s="258"/>
      <c r="E37" s="245"/>
      <c r="F37" s="168"/>
      <c r="G37" s="168"/>
      <c r="H37" s="168"/>
      <c r="I37" s="258"/>
      <c r="J37" s="168"/>
      <c r="K37" s="258"/>
      <c r="L37" s="168"/>
      <c r="M37" s="168"/>
      <c r="N37" s="168"/>
      <c r="O37" s="258"/>
      <c r="P37" s="168"/>
    </row>
    <row r="38" spans="1:16" x14ac:dyDescent="0.2">
      <c r="A38" s="175" t="s">
        <v>158</v>
      </c>
      <c r="B38" s="248"/>
      <c r="C38" s="176"/>
      <c r="D38" s="289"/>
      <c r="E38" s="293"/>
      <c r="F38" s="168">
        <v>788.5710716267713</v>
      </c>
      <c r="G38" s="168">
        <v>788.5710716267713</v>
      </c>
      <c r="H38" s="168">
        <v>788.5710716267713</v>
      </c>
      <c r="I38" s="258">
        <v>788.5710716267713</v>
      </c>
      <c r="J38" s="168">
        <v>788.5710716267713</v>
      </c>
      <c r="K38" s="168">
        <v>788.5710716267713</v>
      </c>
      <c r="L38" s="168">
        <v>788.5710716267713</v>
      </c>
      <c r="M38" s="168">
        <v>788.5710716267713</v>
      </c>
      <c r="N38" s="168">
        <v>788.5710716267713</v>
      </c>
      <c r="O38" s="168">
        <v>788.5710716267713</v>
      </c>
      <c r="P38" s="168">
        <v>788.5710716267713</v>
      </c>
    </row>
    <row r="39" spans="1:16" x14ac:dyDescent="0.2">
      <c r="A39" s="175"/>
      <c r="B39" s="248"/>
      <c r="C39" s="176"/>
      <c r="D39" s="289"/>
      <c r="E39" s="293"/>
      <c r="F39" s="168"/>
      <c r="G39" s="168"/>
      <c r="H39" s="168"/>
      <c r="I39" s="258"/>
      <c r="J39" s="168"/>
      <c r="K39" s="258"/>
      <c r="L39" s="168"/>
      <c r="M39" s="168"/>
      <c r="N39" s="168"/>
      <c r="O39" s="258"/>
      <c r="P39" s="168"/>
    </row>
    <row r="40" spans="1:16" x14ac:dyDescent="0.2">
      <c r="A40" s="175" t="s">
        <v>111</v>
      </c>
      <c r="B40" s="248"/>
      <c r="C40" s="176"/>
      <c r="D40" s="289">
        <v>0</v>
      </c>
      <c r="E40" s="293">
        <v>0</v>
      </c>
      <c r="F40" s="168">
        <v>0</v>
      </c>
      <c r="G40" s="168">
        <v>6233.636899457455</v>
      </c>
      <c r="H40" s="313">
        <v>5890.90892447229</v>
      </c>
      <c r="I40" s="334">
        <v>5733.8268855683455</v>
      </c>
      <c r="J40" s="313">
        <v>5313.8233049746914</v>
      </c>
      <c r="K40" s="313">
        <v>7963.1843603439593</v>
      </c>
      <c r="L40" s="313">
        <v>7321.6285753983748</v>
      </c>
      <c r="M40" s="313">
        <v>6970.0313299916261</v>
      </c>
      <c r="N40" s="313">
        <v>8708.5483319503182</v>
      </c>
      <c r="O40" s="313">
        <v>7845.1451336996033</v>
      </c>
      <c r="P40" s="313">
        <v>7096.2070472375672</v>
      </c>
    </row>
    <row r="41" spans="1:16" x14ac:dyDescent="0.2">
      <c r="A41" s="176" t="s">
        <v>112</v>
      </c>
      <c r="B41" s="248"/>
      <c r="C41" s="176"/>
      <c r="D41" s="289">
        <v>0</v>
      </c>
      <c r="E41" s="293">
        <v>0</v>
      </c>
      <c r="F41" s="168">
        <v>0</v>
      </c>
      <c r="G41" s="168">
        <v>6233.636899457455</v>
      </c>
      <c r="H41" s="168">
        <v>12124.545823929744</v>
      </c>
      <c r="I41" s="258">
        <v>17858.37270949809</v>
      </c>
      <c r="J41" s="168">
        <v>23172.196014472782</v>
      </c>
      <c r="K41" s="258">
        <v>31135.380374816741</v>
      </c>
      <c r="L41" s="168">
        <v>38457.008950215117</v>
      </c>
      <c r="M41" s="168">
        <v>45427.04028020674</v>
      </c>
      <c r="N41" s="168">
        <v>54135.588612157058</v>
      </c>
      <c r="O41" s="258">
        <v>61980.733745856662</v>
      </c>
      <c r="P41" s="168">
        <v>69076.940793094225</v>
      </c>
    </row>
    <row r="42" spans="1:16" ht="12" thickBot="1" x14ac:dyDescent="0.25">
      <c r="A42" s="177" t="s">
        <v>113</v>
      </c>
      <c r="B42" s="249"/>
      <c r="C42" s="207"/>
      <c r="D42" s="290">
        <v>0</v>
      </c>
      <c r="E42" s="290">
        <v>0</v>
      </c>
      <c r="F42" s="208">
        <v>12045708.414532537</v>
      </c>
      <c r="G42" s="208">
        <v>11354436.69621261</v>
      </c>
      <c r="H42" s="208">
        <v>11077743.997391332</v>
      </c>
      <c r="I42" s="263">
        <v>10228807.654356712</v>
      </c>
      <c r="J42" s="208">
        <v>9428426.4533491433</v>
      </c>
      <c r="K42" s="263">
        <v>8638537.3167000823</v>
      </c>
      <c r="L42" s="208">
        <v>8238150.3608712591</v>
      </c>
      <c r="M42" s="208">
        <v>7619004.3891959693</v>
      </c>
      <c r="N42" s="208">
        <v>6816415.3441376183</v>
      </c>
      <c r="O42" s="263">
        <v>6132046.5515313223</v>
      </c>
      <c r="P42" s="208">
        <v>5420113.5295505011</v>
      </c>
    </row>
    <row r="43" spans="1:16" x14ac:dyDescent="0.2">
      <c r="A43" s="178" t="s">
        <v>114</v>
      </c>
      <c r="B43" s="250"/>
      <c r="C43" s="209"/>
      <c r="D43" s="291">
        <v>0</v>
      </c>
      <c r="E43" s="294">
        <v>0</v>
      </c>
      <c r="F43" s="210">
        <v>12045708</v>
      </c>
      <c r="G43" s="210">
        <v>11354437</v>
      </c>
      <c r="H43" s="210">
        <v>11077743.890000001</v>
      </c>
      <c r="I43" s="296">
        <v>10228807.630000001</v>
      </c>
      <c r="J43" s="210">
        <v>9428426.4299999997</v>
      </c>
      <c r="K43" s="296">
        <v>8635495.1799999997</v>
      </c>
      <c r="L43" s="210">
        <v>8238150.3399999989</v>
      </c>
      <c r="M43" s="210">
        <v>7619004.3599999985</v>
      </c>
      <c r="N43" s="210">
        <v>6816415.3099999996</v>
      </c>
      <c r="O43" s="296">
        <v>6132046.5199999996</v>
      </c>
      <c r="P43" s="210">
        <v>5420113.6600000001</v>
      </c>
    </row>
    <row r="44" spans="1:16" ht="12" thickBot="1" x14ac:dyDescent="0.25">
      <c r="A44" s="179" t="s">
        <v>115</v>
      </c>
      <c r="B44" s="251"/>
      <c r="C44" s="211"/>
      <c r="D44" s="292">
        <v>0</v>
      </c>
      <c r="E44" s="295">
        <v>0</v>
      </c>
      <c r="F44" s="212">
        <v>0.41453253664076328</v>
      </c>
      <c r="G44" s="212">
        <v>-0.30378738977015018</v>
      </c>
      <c r="H44" s="212">
        <v>0.10739133134484291</v>
      </c>
      <c r="I44" s="499">
        <v>2.4356711655855179E-2</v>
      </c>
      <c r="J44" s="212">
        <v>2.334914356470108E-2</v>
      </c>
      <c r="K44" s="264">
        <v>3042.1367000825703</v>
      </c>
      <c r="L44" s="212">
        <v>2.0871260203421116E-2</v>
      </c>
      <c r="M44" s="212">
        <v>2.9195970855653286E-2</v>
      </c>
      <c r="N44" s="212">
        <v>3.4137618727982044E-2</v>
      </c>
      <c r="O44" s="264">
        <v>3.1531322747468948E-2</v>
      </c>
      <c r="P44" s="212">
        <v>-0.13044949900358915</v>
      </c>
    </row>
    <row r="45" spans="1:16" x14ac:dyDescent="0.2">
      <c r="I45" s="215"/>
      <c r="J45" s="215"/>
      <c r="K45" s="215"/>
      <c r="L45" s="215"/>
      <c r="P45" s="352"/>
    </row>
    <row r="46" spans="1:16" x14ac:dyDescent="0.2">
      <c r="D46" s="163" t="s">
        <v>116</v>
      </c>
      <c r="E46" s="180">
        <v>-227.82539952109005</v>
      </c>
      <c r="F46" s="180">
        <v>-18368.492315645293</v>
      </c>
      <c r="I46" s="215"/>
      <c r="J46" s="215"/>
      <c r="K46" s="215"/>
      <c r="L46" s="215"/>
    </row>
    <row r="47" spans="1:16" x14ac:dyDescent="0.2">
      <c r="D47" s="163" t="s">
        <v>117</v>
      </c>
      <c r="E47" s="203">
        <v>-227.82539952109005</v>
      </c>
      <c r="F47" s="203">
        <v>-25913.321182094562</v>
      </c>
      <c r="I47" s="215"/>
      <c r="J47" s="215"/>
      <c r="K47" s="215"/>
      <c r="L47" s="215"/>
    </row>
    <row r="48" spans="1:16" ht="12" thickBot="1" x14ac:dyDescent="0.25">
      <c r="E48" s="213">
        <v>0</v>
      </c>
      <c r="F48" s="213">
        <v>-7544.8288664492684</v>
      </c>
      <c r="I48" s="215"/>
      <c r="J48" s="215"/>
      <c r="K48" s="215"/>
      <c r="L48" s="215"/>
    </row>
    <row r="49" spans="1:12" ht="12" thickTop="1" x14ac:dyDescent="0.2">
      <c r="I49" s="215"/>
      <c r="J49" s="215"/>
      <c r="K49" s="215"/>
      <c r="L49" s="215"/>
    </row>
    <row r="50" spans="1:12" x14ac:dyDescent="0.2">
      <c r="I50" s="215"/>
      <c r="J50" s="215"/>
      <c r="K50" s="215"/>
      <c r="L50" s="215"/>
    </row>
    <row r="51" spans="1:12" x14ac:dyDescent="0.2">
      <c r="I51" s="215"/>
      <c r="J51" s="215"/>
      <c r="K51" s="215"/>
      <c r="L51" s="215"/>
    </row>
    <row r="52" spans="1:12" x14ac:dyDescent="0.2">
      <c r="A52" s="181" t="s">
        <v>118</v>
      </c>
      <c r="B52" s="214"/>
      <c r="C52" s="214"/>
      <c r="D52" s="215"/>
      <c r="F52" s="189"/>
      <c r="G52" s="206"/>
      <c r="I52" s="215"/>
      <c r="J52" s="215" t="s">
        <v>173</v>
      </c>
      <c r="K52" s="496">
        <v>7963.1843603439593</v>
      </c>
      <c r="L52" s="215"/>
    </row>
    <row r="53" spans="1:12" ht="12" thickBot="1" x14ac:dyDescent="0.25">
      <c r="A53" s="182"/>
      <c r="B53" s="215"/>
      <c r="C53" s="215"/>
      <c r="D53" s="215"/>
      <c r="F53" s="276"/>
      <c r="G53" s="206"/>
      <c r="I53" s="215"/>
      <c r="J53" s="215" t="s">
        <v>174</v>
      </c>
      <c r="K53" s="497">
        <v>4921.0689867294122</v>
      </c>
      <c r="L53" s="215"/>
    </row>
    <row r="54" spans="1:12" ht="16.5" thickBot="1" x14ac:dyDescent="0.3">
      <c r="A54" s="182" t="s">
        <v>121</v>
      </c>
      <c r="B54" s="265" t="s">
        <v>119</v>
      </c>
      <c r="C54" s="266"/>
      <c r="D54" s="266"/>
      <c r="E54" s="500"/>
      <c r="F54" s="687"/>
      <c r="G54" s="681"/>
      <c r="I54" s="215"/>
      <c r="J54" s="215" t="s">
        <v>175</v>
      </c>
      <c r="K54" s="215"/>
      <c r="L54" s="215"/>
    </row>
    <row r="55" spans="1:12" ht="12.75" x14ac:dyDescent="0.2">
      <c r="A55" s="182"/>
      <c r="B55" s="185"/>
      <c r="C55" s="268" t="s">
        <v>151</v>
      </c>
      <c r="D55" s="323" t="s">
        <v>152</v>
      </c>
      <c r="E55" s="685" t="s">
        <v>153</v>
      </c>
      <c r="F55" s="268" t="s">
        <v>154</v>
      </c>
      <c r="G55" s="682"/>
      <c r="I55" s="215"/>
      <c r="J55" s="215" t="s">
        <v>176</v>
      </c>
      <c r="K55" s="498">
        <v>3042.115373614547</v>
      </c>
      <c r="L55" s="215"/>
    </row>
    <row r="56" spans="1:12" ht="13.5" thickBot="1" x14ac:dyDescent="0.25">
      <c r="A56" s="182" t="s">
        <v>126</v>
      </c>
      <c r="B56" s="152"/>
      <c r="C56" s="269" t="s">
        <v>125</v>
      </c>
      <c r="D56" s="324" t="s">
        <v>122</v>
      </c>
      <c r="E56" s="686" t="s">
        <v>123</v>
      </c>
      <c r="F56" s="269" t="s">
        <v>124</v>
      </c>
      <c r="G56" s="683"/>
      <c r="I56" s="215"/>
      <c r="J56" s="215"/>
      <c r="K56" s="215"/>
      <c r="L56" s="215"/>
    </row>
    <row r="57" spans="1:12" ht="12.75" x14ac:dyDescent="0.2">
      <c r="A57" s="182" t="s">
        <v>128</v>
      </c>
      <c r="B57" s="144" t="s">
        <v>127</v>
      </c>
      <c r="C57" s="270">
        <v>11347414.488241527</v>
      </c>
      <c r="D57" s="692">
        <v>-1942948.8019784812</v>
      </c>
      <c r="E57" s="677">
        <v>-1831676.9084189073</v>
      </c>
      <c r="F57" s="270">
        <v>-2222540.7601583549</v>
      </c>
      <c r="G57" s="150"/>
      <c r="I57" s="215"/>
      <c r="J57" s="215"/>
      <c r="K57" s="215"/>
      <c r="L57" s="215"/>
    </row>
    <row r="58" spans="1:12" ht="12.75" x14ac:dyDescent="0.2">
      <c r="A58" s="182" t="s">
        <v>131</v>
      </c>
      <c r="B58" s="144" t="s">
        <v>129</v>
      </c>
      <c r="C58" s="271">
        <v>11347414.488241527</v>
      </c>
      <c r="D58" s="693">
        <v>9404465.6862630416</v>
      </c>
      <c r="E58" s="678">
        <v>7572788.7778441356</v>
      </c>
      <c r="F58" s="271">
        <v>5350248.0176857803</v>
      </c>
      <c r="G58" s="684"/>
    </row>
    <row r="59" spans="1:12" ht="12.75" x14ac:dyDescent="0.2">
      <c r="A59" s="182" t="s">
        <v>133</v>
      </c>
      <c r="B59" s="144" t="s">
        <v>132</v>
      </c>
      <c r="C59" s="270">
        <v>7022.2079710842263</v>
      </c>
      <c r="D59" s="692">
        <v>16938.559115015327</v>
      </c>
      <c r="E59" s="677">
        <v>22254.844265733962</v>
      </c>
      <c r="F59" s="270">
        <v>23649.900512887489</v>
      </c>
      <c r="G59" s="150"/>
    </row>
    <row r="60" spans="1:12" ht="13.5" thickBot="1" x14ac:dyDescent="0.25">
      <c r="A60" s="182" t="s">
        <v>135</v>
      </c>
      <c r="B60" s="152" t="s">
        <v>134</v>
      </c>
      <c r="C60" s="272">
        <v>7022.2079710842263</v>
      </c>
      <c r="D60" s="694">
        <v>23960.767086099553</v>
      </c>
      <c r="E60" s="679">
        <v>46215.611351833511</v>
      </c>
      <c r="F60" s="272">
        <v>69865.511864720989</v>
      </c>
      <c r="G60" s="150"/>
    </row>
    <row r="61" spans="1:12" ht="13.5" thickBot="1" x14ac:dyDescent="0.25">
      <c r="A61" s="182" t="s">
        <v>137</v>
      </c>
      <c r="B61" s="675" t="s">
        <v>136</v>
      </c>
      <c r="C61" s="688">
        <v>11354436.696212612</v>
      </c>
      <c r="D61" s="275">
        <v>9428426.4533491414</v>
      </c>
      <c r="E61" s="274">
        <v>7619004.3891959693</v>
      </c>
      <c r="F61" s="688">
        <v>5420113.5295505011</v>
      </c>
      <c r="G61" s="150"/>
    </row>
    <row r="62" spans="1:12" ht="13.5" thickBot="1" x14ac:dyDescent="0.25">
      <c r="A62" s="182" t="s">
        <v>139</v>
      </c>
      <c r="B62" s="675" t="s">
        <v>138</v>
      </c>
      <c r="C62" s="688">
        <v>11354436.696212612</v>
      </c>
      <c r="D62" s="275">
        <v>9428426.453349147</v>
      </c>
      <c r="E62" s="275">
        <v>7619004.3891959731</v>
      </c>
      <c r="F62" s="688">
        <v>5420113.5295505058</v>
      </c>
      <c r="G62" s="150"/>
    </row>
    <row r="63" spans="1:12" ht="12" thickBot="1" x14ac:dyDescent="0.25">
      <c r="B63" s="219" t="s">
        <v>163</v>
      </c>
      <c r="C63" s="689">
        <v>0</v>
      </c>
      <c r="D63" s="308">
        <v>-2.3349141702055931E-2</v>
      </c>
      <c r="E63" s="680">
        <v>-2.9195970855653286E-2</v>
      </c>
      <c r="F63" s="689">
        <v>0.13044949900358915</v>
      </c>
      <c r="G63" s="676"/>
    </row>
    <row r="64" spans="1:12" ht="12" thickBot="1" x14ac:dyDescent="0.25">
      <c r="B64" s="219" t="s">
        <v>164</v>
      </c>
      <c r="C64" s="689">
        <v>-0.30378738790750504</v>
      </c>
      <c r="D64" s="308">
        <v>2.3349147289991379E-2</v>
      </c>
      <c r="E64" s="680">
        <v>2.9195975512266159E-2</v>
      </c>
      <c r="F64" s="689">
        <v>-0.13044949434697628</v>
      </c>
      <c r="G64" s="676"/>
    </row>
    <row r="65" spans="2:7" ht="12.75" x14ac:dyDescent="0.2">
      <c r="B65" s="185"/>
      <c r="C65" s="268" t="s">
        <v>151</v>
      </c>
      <c r="D65" s="323" t="s">
        <v>152</v>
      </c>
      <c r="E65" s="685" t="s">
        <v>153</v>
      </c>
      <c r="F65" s="268" t="s">
        <v>154</v>
      </c>
      <c r="G65" s="676"/>
    </row>
    <row r="66" spans="2:7" ht="13.5" thickBot="1" x14ac:dyDescent="0.25">
      <c r="B66" s="152"/>
      <c r="C66" s="269" t="s">
        <v>125</v>
      </c>
      <c r="D66" s="324" t="s">
        <v>122</v>
      </c>
      <c r="E66" s="686" t="s">
        <v>123</v>
      </c>
      <c r="F66" s="269" t="s">
        <v>124</v>
      </c>
      <c r="G66" s="676"/>
    </row>
    <row r="67" spans="2:7" ht="12.75" x14ac:dyDescent="0.2">
      <c r="B67" s="144" t="s">
        <v>127</v>
      </c>
      <c r="C67" s="270">
        <f>'1595 May 1, 2008'!S71</f>
        <v>0</v>
      </c>
      <c r="D67" s="270">
        <f>'1595 May 1, 2008'!T71</f>
        <v>0</v>
      </c>
      <c r="E67" s="270">
        <f>'1595 May 1, 2008'!U71</f>
        <v>0</v>
      </c>
      <c r="F67" s="270">
        <f>'1595 May 1, 2008'!V71</f>
        <v>0</v>
      </c>
      <c r="G67" s="676"/>
    </row>
    <row r="68" spans="2:7" ht="12.75" x14ac:dyDescent="0.2">
      <c r="B68" s="144" t="s">
        <v>129</v>
      </c>
      <c r="C68" s="271">
        <f>'1595 May 1, 2008'!T72</f>
        <v>-147786.59737418004</v>
      </c>
      <c r="D68" s="271">
        <f>'1595 May 1, 2008'!U72</f>
        <v>-147786.59737418004</v>
      </c>
      <c r="E68" s="271">
        <f>'1595 May 1, 2008'!V72</f>
        <v>-147786.59737418004</v>
      </c>
      <c r="F68" s="271">
        <f>'1595 May 1, 2008'!W72</f>
        <v>-147786.59737418004</v>
      </c>
      <c r="G68" s="676"/>
    </row>
    <row r="69" spans="2:7" ht="12.75" x14ac:dyDescent="0.2">
      <c r="B69" s="144" t="s">
        <v>132</v>
      </c>
      <c r="C69" s="270">
        <f>'1595 May 1, 2008'!T80</f>
        <v>-203.20657138949753</v>
      </c>
      <c r="D69" s="270">
        <f>'1595 May 1, 2008'!U80</f>
        <v>-205.58657138949752</v>
      </c>
      <c r="E69" s="270">
        <f>'1595 May 1, 2008'!V80</f>
        <v>-328.82517915755056</v>
      </c>
      <c r="F69" s="270">
        <f>'1595 May 1, 2008'!W80</f>
        <v>-443.35979212254017</v>
      </c>
      <c r="G69" s="676"/>
    </row>
    <row r="70" spans="2:7" ht="13.5" thickBot="1" x14ac:dyDescent="0.25">
      <c r="B70" s="152" t="s">
        <v>134</v>
      </c>
      <c r="C70" s="270">
        <f>'1595 May 1, 2008'!T81</f>
        <v>-131678.38459447896</v>
      </c>
      <c r="D70" s="270">
        <f>'1595 May 1, 2008'!U81</f>
        <v>-131883.97116586845</v>
      </c>
      <c r="E70" s="270">
        <f>'1595 May 1, 2008'!V81</f>
        <v>-132212.79634502597</v>
      </c>
      <c r="F70" s="270">
        <f>'1595 May 1, 2008'!W81</f>
        <v>-132657</v>
      </c>
      <c r="G70" s="676"/>
    </row>
    <row r="71" spans="2:7" ht="13.5" thickBot="1" x14ac:dyDescent="0.25">
      <c r="B71" s="675" t="s">
        <v>136</v>
      </c>
      <c r="C71" s="688">
        <f>'1595 May 1, 2008'!T82</f>
        <v>-279464.98196865898</v>
      </c>
      <c r="D71" s="688">
        <f>'1595 May 1, 2008'!U82</f>
        <v>-279670.56854004849</v>
      </c>
      <c r="E71" s="688">
        <f>'1595 May 1, 2008'!V82</f>
        <v>-279999.39371920598</v>
      </c>
      <c r="F71" s="688">
        <f>'1595 May 1, 2008'!W82</f>
        <v>-280443.59737418004</v>
      </c>
      <c r="G71" s="676"/>
    </row>
    <row r="72" spans="2:7" ht="12.75" x14ac:dyDescent="0.2">
      <c r="B72" s="185"/>
      <c r="C72" s="268" t="s">
        <v>151</v>
      </c>
      <c r="D72" s="323" t="s">
        <v>152</v>
      </c>
      <c r="E72" s="685" t="s">
        <v>153</v>
      </c>
      <c r="F72" s="268" t="s">
        <v>154</v>
      </c>
      <c r="G72" s="676"/>
    </row>
    <row r="73" spans="2:7" ht="13.5" thickBot="1" x14ac:dyDescent="0.25">
      <c r="B73" s="152"/>
      <c r="C73" s="269" t="s">
        <v>125</v>
      </c>
      <c r="D73" s="324" t="s">
        <v>122</v>
      </c>
      <c r="E73" s="686" t="s">
        <v>123</v>
      </c>
      <c r="F73" s="269" t="s">
        <v>124</v>
      </c>
      <c r="G73" s="676"/>
    </row>
    <row r="74" spans="2:7" ht="12.75" x14ac:dyDescent="0.2">
      <c r="B74" s="144" t="s">
        <v>127</v>
      </c>
      <c r="C74" s="270">
        <f>C57+C67</f>
        <v>11347414.488241527</v>
      </c>
      <c r="D74" s="270">
        <f>D57+D67</f>
        <v>-1942948.8019784812</v>
      </c>
      <c r="E74" s="270">
        <f>E57+E67</f>
        <v>-1831676.9084189073</v>
      </c>
      <c r="F74" s="270">
        <f>F57+F67</f>
        <v>-2222540.7601583549</v>
      </c>
      <c r="G74" s="676"/>
    </row>
    <row r="75" spans="2:7" ht="12.75" x14ac:dyDescent="0.2">
      <c r="B75" s="144" t="s">
        <v>129</v>
      </c>
      <c r="C75" s="270">
        <f t="shared" ref="C75:F76" si="0">C58+C68</f>
        <v>11199627.890867347</v>
      </c>
      <c r="D75" s="270">
        <f t="shared" si="0"/>
        <v>9256679.0888888612</v>
      </c>
      <c r="E75" s="270">
        <f t="shared" si="0"/>
        <v>7425002.1804699553</v>
      </c>
      <c r="F75" s="270">
        <f t="shared" si="0"/>
        <v>5202461.4203116</v>
      </c>
      <c r="G75" s="676"/>
    </row>
    <row r="76" spans="2:7" ht="12.75" x14ac:dyDescent="0.2">
      <c r="B76" s="144" t="s">
        <v>132</v>
      </c>
      <c r="C76" s="270">
        <f t="shared" si="0"/>
        <v>6819.0013996947291</v>
      </c>
      <c r="D76" s="270">
        <f t="shared" si="0"/>
        <v>16732.97254362583</v>
      </c>
      <c r="E76" s="270">
        <f t="shared" si="0"/>
        <v>21926.019086576413</v>
      </c>
      <c r="F76" s="270">
        <f t="shared" si="0"/>
        <v>23206.540720764948</v>
      </c>
      <c r="G76" s="676"/>
    </row>
    <row r="77" spans="2:7" ht="13.5" thickBot="1" x14ac:dyDescent="0.25">
      <c r="B77" s="152" t="s">
        <v>134</v>
      </c>
      <c r="C77" s="270">
        <f t="shared" ref="C77:F78" si="1">C60+C70</f>
        <v>-124656.17662339474</v>
      </c>
      <c r="D77" s="270">
        <f t="shared" si="1"/>
        <v>-107923.2040797689</v>
      </c>
      <c r="E77" s="270">
        <f t="shared" si="1"/>
        <v>-85997.184993192466</v>
      </c>
      <c r="F77" s="270">
        <f t="shared" si="1"/>
        <v>-62791.488135279011</v>
      </c>
      <c r="G77" s="676"/>
    </row>
    <row r="78" spans="2:7" ht="13.5" thickBot="1" x14ac:dyDescent="0.25">
      <c r="B78" s="675" t="s">
        <v>136</v>
      </c>
      <c r="C78" s="688">
        <f t="shared" si="1"/>
        <v>11074971.714243952</v>
      </c>
      <c r="D78" s="688">
        <f t="shared" si="1"/>
        <v>9148755.8848090935</v>
      </c>
      <c r="E78" s="688">
        <f t="shared" si="1"/>
        <v>7339004.9954767637</v>
      </c>
      <c r="F78" s="688">
        <f t="shared" si="1"/>
        <v>5139669.9321763208</v>
      </c>
      <c r="G78" s="676"/>
    </row>
    <row r="79" spans="2:7" ht="13.5" thickBot="1" x14ac:dyDescent="0.25">
      <c r="B79" s="675" t="s">
        <v>138</v>
      </c>
      <c r="C79" s="688">
        <f>C62+'1595 May 1, 2008'!T82</f>
        <v>11074971.714243952</v>
      </c>
      <c r="D79" s="688">
        <f>D62+'1595 May 1, 2008'!U82</f>
        <v>9148755.8848090991</v>
      </c>
      <c r="E79" s="688">
        <f>E62+'1595 May 1, 2008'!V82</f>
        <v>7339004.9954767674</v>
      </c>
      <c r="F79" s="688">
        <f>F62+'1595 May 1, 2008'!W82</f>
        <v>5139669.9321763255</v>
      </c>
      <c r="G79" s="676"/>
    </row>
    <row r="80" spans="2:7" ht="12" thickBot="1" x14ac:dyDescent="0.25">
      <c r="B80" s="219" t="s">
        <v>163</v>
      </c>
      <c r="C80" s="689">
        <v>0</v>
      </c>
      <c r="D80" s="308">
        <v>-2.3349141702055931E-2</v>
      </c>
      <c r="E80" s="680">
        <v>-2.9195970855653286E-2</v>
      </c>
      <c r="F80" s="689">
        <v>0.13044949900358915</v>
      </c>
      <c r="G80" s="676"/>
    </row>
    <row r="81" spans="1:17" ht="12" thickBot="1" x14ac:dyDescent="0.25">
      <c r="B81" s="219" t="s">
        <v>164</v>
      </c>
      <c r="C81" s="689">
        <v>-0.30378738790750504</v>
      </c>
      <c r="D81" s="308">
        <v>2.3349147289991379E-2</v>
      </c>
      <c r="E81" s="680">
        <v>2.9195975512266159E-2</v>
      </c>
      <c r="F81" s="689">
        <v>-0.13044949434697628</v>
      </c>
      <c r="G81" s="676"/>
    </row>
    <row r="82" spans="1:17" x14ac:dyDescent="0.2">
      <c r="B82" s="206"/>
      <c r="C82" s="676"/>
      <c r="D82" s="676"/>
      <c r="E82" s="676"/>
      <c r="F82" s="676"/>
      <c r="G82" s="676"/>
    </row>
    <row r="83" spans="1:17" x14ac:dyDescent="0.2">
      <c r="B83" s="206"/>
      <c r="C83" s="676"/>
      <c r="D83" s="676"/>
      <c r="E83" s="676"/>
      <c r="F83" s="676"/>
      <c r="G83" s="676"/>
    </row>
    <row r="84" spans="1:17" ht="12" thickBot="1" x14ac:dyDescent="0.25">
      <c r="A84" s="161" t="s">
        <v>99</v>
      </c>
      <c r="B84" s="690"/>
      <c r="C84" s="691"/>
    </row>
    <row r="85" spans="1:17" ht="12" thickBot="1" x14ac:dyDescent="0.25">
      <c r="A85" s="277" t="s">
        <v>466</v>
      </c>
      <c r="B85" s="195" t="s">
        <v>100</v>
      </c>
      <c r="C85" s="195" t="s">
        <v>16</v>
      </c>
      <c r="D85" s="254" t="s">
        <v>101</v>
      </c>
      <c r="E85" s="164">
        <v>40551</v>
      </c>
      <c r="F85" s="164">
        <v>40582</v>
      </c>
      <c r="G85" s="164">
        <v>40610</v>
      </c>
      <c r="H85" s="164">
        <v>40641</v>
      </c>
      <c r="I85" s="164">
        <v>40671</v>
      </c>
      <c r="J85" s="164">
        <v>40702</v>
      </c>
      <c r="K85" s="164">
        <v>40732</v>
      </c>
      <c r="L85" s="164">
        <v>40763</v>
      </c>
      <c r="M85" s="164">
        <v>40794</v>
      </c>
      <c r="N85" s="164">
        <v>40824</v>
      </c>
      <c r="O85" s="164">
        <v>40855</v>
      </c>
      <c r="P85" s="164">
        <v>40885</v>
      </c>
      <c r="Q85" s="490" t="s">
        <v>136</v>
      </c>
    </row>
    <row r="86" spans="1:17" x14ac:dyDescent="0.2">
      <c r="A86" s="278"/>
      <c r="B86" s="196" t="s">
        <v>102</v>
      </c>
      <c r="C86" s="196"/>
      <c r="D86" s="255"/>
      <c r="E86" s="165"/>
      <c r="F86" s="165"/>
      <c r="G86" s="165"/>
      <c r="H86" s="165"/>
      <c r="I86" s="326"/>
      <c r="J86" s="165"/>
      <c r="K86" s="336"/>
      <c r="L86" s="165"/>
      <c r="M86" s="165"/>
      <c r="N86" s="165"/>
      <c r="O86" s="165"/>
      <c r="P86" s="165"/>
      <c r="Q86" s="166"/>
    </row>
    <row r="87" spans="1:17" ht="22.5" x14ac:dyDescent="0.2">
      <c r="A87" s="279" t="s">
        <v>103</v>
      </c>
      <c r="B87" s="197" t="s">
        <v>165</v>
      </c>
      <c r="C87" s="197" t="s">
        <v>165</v>
      </c>
      <c r="D87" s="190"/>
      <c r="E87" s="168"/>
      <c r="F87" s="168"/>
      <c r="G87" s="168"/>
      <c r="H87" s="168"/>
      <c r="I87" s="245"/>
      <c r="J87" s="168"/>
      <c r="K87" s="252"/>
      <c r="L87" s="168"/>
      <c r="M87" s="168"/>
      <c r="N87" s="168"/>
      <c r="O87" s="168"/>
      <c r="P87" s="168"/>
      <c r="Q87" s="166"/>
    </row>
    <row r="88" spans="1:17" x14ac:dyDescent="0.2">
      <c r="A88" s="279"/>
      <c r="B88" s="172"/>
      <c r="C88" s="172"/>
      <c r="D88" s="190"/>
      <c r="E88" s="168"/>
      <c r="F88" s="168"/>
      <c r="G88" s="168"/>
      <c r="H88" s="168"/>
      <c r="I88" s="245"/>
      <c r="J88" s="168"/>
      <c r="K88" s="252"/>
      <c r="L88" s="168"/>
      <c r="M88" s="168"/>
      <c r="N88" s="168"/>
      <c r="O88" s="168"/>
      <c r="P88" s="168"/>
      <c r="Q88" s="166"/>
    </row>
    <row r="89" spans="1:17" x14ac:dyDescent="0.2">
      <c r="A89" s="280" t="s">
        <v>150</v>
      </c>
      <c r="B89" s="198"/>
      <c r="C89" s="198"/>
      <c r="D89" s="190"/>
      <c r="E89" s="167" t="s">
        <v>31</v>
      </c>
      <c r="F89" s="167"/>
      <c r="G89" s="167"/>
      <c r="H89" s="167"/>
      <c r="I89" s="327"/>
      <c r="J89" s="167"/>
      <c r="K89" s="337"/>
      <c r="L89" s="167"/>
      <c r="M89" s="167"/>
      <c r="N89" s="167"/>
      <c r="O89" s="167"/>
      <c r="P89" s="167"/>
      <c r="Q89" s="166"/>
    </row>
    <row r="90" spans="1:17" x14ac:dyDescent="0.2">
      <c r="A90" s="280" t="s">
        <v>104</v>
      </c>
      <c r="B90" s="198"/>
      <c r="C90" s="198"/>
      <c r="D90" s="190"/>
      <c r="E90" s="167"/>
      <c r="F90" s="167"/>
      <c r="G90" s="167"/>
      <c r="H90" s="167"/>
      <c r="I90" s="327"/>
      <c r="J90" s="167"/>
      <c r="K90" s="337"/>
      <c r="L90" s="167"/>
      <c r="M90" s="167"/>
      <c r="N90" s="167"/>
      <c r="O90" s="167"/>
      <c r="P90" s="167"/>
      <c r="Q90" s="166"/>
    </row>
    <row r="91" spans="1:17" x14ac:dyDescent="0.2">
      <c r="A91" s="188" t="s">
        <v>105</v>
      </c>
      <c r="B91" s="199" t="e">
        <f>C91/24</f>
        <v>#REF!</v>
      </c>
      <c r="C91" s="199" t="e">
        <f>#REF!</f>
        <v>#REF!</v>
      </c>
      <c r="D91" s="190">
        <f>P10</f>
        <v>-16060073.883875391</v>
      </c>
      <c r="E91" s="503">
        <f>P10</f>
        <v>-16060073.883875391</v>
      </c>
      <c r="F91" s="167" t="e">
        <f t="shared" ref="F91:P91" si="2">E93</f>
        <v>#REF!</v>
      </c>
      <c r="G91" s="167" t="e">
        <f t="shared" si="2"/>
        <v>#REF!</v>
      </c>
      <c r="H91" s="167" t="e">
        <f t="shared" si="2"/>
        <v>#REF!</v>
      </c>
      <c r="I91" s="327" t="e">
        <f t="shared" si="2"/>
        <v>#REF!</v>
      </c>
      <c r="J91" s="167" t="e">
        <f t="shared" si="2"/>
        <v>#REF!</v>
      </c>
      <c r="K91" s="337" t="e">
        <f t="shared" si="2"/>
        <v>#REF!</v>
      </c>
      <c r="L91" s="167" t="e">
        <f t="shared" si="2"/>
        <v>#REF!</v>
      </c>
      <c r="M91" s="167" t="e">
        <f t="shared" si="2"/>
        <v>#REF!</v>
      </c>
      <c r="N91" s="167" t="e">
        <f t="shared" si="2"/>
        <v>#REF!</v>
      </c>
      <c r="O91" s="167" t="e">
        <f t="shared" si="2"/>
        <v>#REF!</v>
      </c>
      <c r="P91" s="167" t="e">
        <f t="shared" si="2"/>
        <v>#REF!</v>
      </c>
      <c r="Q91" s="491">
        <f>D91</f>
        <v>-16060073.883875391</v>
      </c>
    </row>
    <row r="92" spans="1:17" x14ac:dyDescent="0.2">
      <c r="A92" s="281" t="s">
        <v>143</v>
      </c>
      <c r="B92" s="200"/>
      <c r="C92" s="200"/>
      <c r="D92" s="256"/>
      <c r="E92" s="503" t="e">
        <f>'2011-2 Amortization'!L23</f>
        <v>#REF!</v>
      </c>
      <c r="F92" s="170" t="e">
        <f>'2011-2 Amortization'!L45</f>
        <v>#REF!</v>
      </c>
      <c r="G92" s="170">
        <f>'2011-2 Amortization'!L59</f>
        <v>1047690.9944817276</v>
      </c>
      <c r="H92" s="170">
        <f>'2011-2 Amortization'!L81</f>
        <v>890862.82125015068</v>
      </c>
      <c r="I92" s="328">
        <f>'2011-2 Amortization'!L103</f>
        <v>974007.77064621716</v>
      </c>
      <c r="J92" s="170" t="e">
        <f>'2011-2 Amortization'!L133</f>
        <v>#REF!</v>
      </c>
      <c r="K92" s="338" t="e">
        <f>'2011-2 Amortization'!L155</f>
        <v>#REF!</v>
      </c>
      <c r="L92" s="170" t="e">
        <f>'2011-2 Amortization'!L177</f>
        <v>#REF!</v>
      </c>
      <c r="M92" s="170">
        <f>'2011-2 Amortization'!L191</f>
        <v>1047689.1186591069</v>
      </c>
      <c r="N92" s="170">
        <f>'2011-2 Amortization'!L213</f>
        <v>928691.74111418636</v>
      </c>
      <c r="O92" s="170">
        <f>'2011-2 Amortization'!L235</f>
        <v>875190.83076179249</v>
      </c>
      <c r="P92" s="170" t="e">
        <f>'2011-2 Amortization'!L265</f>
        <v>#REF!</v>
      </c>
      <c r="Q92" s="491" t="e">
        <f>SUM(E92:P92)</f>
        <v>#REF!</v>
      </c>
    </row>
    <row r="93" spans="1:17" x14ac:dyDescent="0.2">
      <c r="A93" s="282" t="s">
        <v>136</v>
      </c>
      <c r="B93" s="238"/>
      <c r="C93" s="238"/>
      <c r="D93" s="257">
        <f t="shared" ref="D93:Q93" si="3">D91+D92</f>
        <v>-16060073.883875391</v>
      </c>
      <c r="E93" s="504" t="e">
        <f t="shared" si="3"/>
        <v>#REF!</v>
      </c>
      <c r="F93" s="239" t="e">
        <f t="shared" si="3"/>
        <v>#REF!</v>
      </c>
      <c r="G93" s="239" t="e">
        <f t="shared" si="3"/>
        <v>#REF!</v>
      </c>
      <c r="H93" s="239" t="e">
        <f t="shared" si="3"/>
        <v>#REF!</v>
      </c>
      <c r="I93" s="329" t="e">
        <f t="shared" si="3"/>
        <v>#REF!</v>
      </c>
      <c r="J93" s="239" t="e">
        <f t="shared" si="3"/>
        <v>#REF!</v>
      </c>
      <c r="K93" s="339" t="e">
        <f t="shared" si="3"/>
        <v>#REF!</v>
      </c>
      <c r="L93" s="239" t="e">
        <f t="shared" si="3"/>
        <v>#REF!</v>
      </c>
      <c r="M93" s="239" t="e">
        <f t="shared" si="3"/>
        <v>#REF!</v>
      </c>
      <c r="N93" s="239" t="e">
        <f t="shared" si="3"/>
        <v>#REF!</v>
      </c>
      <c r="O93" s="239" t="e">
        <f t="shared" si="3"/>
        <v>#REF!</v>
      </c>
      <c r="P93" s="239" t="e">
        <f t="shared" si="3"/>
        <v>#REF!</v>
      </c>
      <c r="Q93" s="492" t="e">
        <f t="shared" si="3"/>
        <v>#REF!</v>
      </c>
    </row>
    <row r="94" spans="1:17" x14ac:dyDescent="0.2">
      <c r="A94" s="188"/>
      <c r="B94" s="199"/>
      <c r="C94" s="199"/>
      <c r="D94" s="190"/>
      <c r="E94" s="283"/>
      <c r="F94" s="167"/>
      <c r="G94" s="167"/>
      <c r="H94" s="167"/>
      <c r="I94" s="327"/>
      <c r="J94" s="167"/>
      <c r="K94" s="337"/>
      <c r="L94" s="167"/>
      <c r="M94" s="167"/>
      <c r="N94" s="167"/>
      <c r="O94" s="167"/>
      <c r="P94" s="167"/>
      <c r="Q94" s="491"/>
    </row>
    <row r="95" spans="1:17" x14ac:dyDescent="0.2">
      <c r="A95" s="188" t="s">
        <v>106</v>
      </c>
      <c r="B95" s="199" t="e">
        <f>C95/24</f>
        <v>#REF!</v>
      </c>
      <c r="C95" s="199" t="e">
        <f>#REF!</f>
        <v>#REF!</v>
      </c>
      <c r="D95" s="190">
        <f>P14</f>
        <v>-1133969.1019963913</v>
      </c>
      <c r="E95" s="503">
        <f>P14</f>
        <v>-1133969.1019963913</v>
      </c>
      <c r="F95" s="167" t="e">
        <f t="shared" ref="F95:P95" si="4">E97</f>
        <v>#REF!</v>
      </c>
      <c r="G95" s="167" t="e">
        <f t="shared" si="4"/>
        <v>#REF!</v>
      </c>
      <c r="H95" s="167" t="e">
        <f t="shared" si="4"/>
        <v>#REF!</v>
      </c>
      <c r="I95" s="327" t="e">
        <f t="shared" si="4"/>
        <v>#REF!</v>
      </c>
      <c r="J95" s="167" t="e">
        <f t="shared" si="4"/>
        <v>#REF!</v>
      </c>
      <c r="K95" s="337" t="e">
        <f t="shared" si="4"/>
        <v>#REF!</v>
      </c>
      <c r="L95" s="167" t="e">
        <f t="shared" si="4"/>
        <v>#REF!</v>
      </c>
      <c r="M95" s="167" t="e">
        <f t="shared" si="4"/>
        <v>#REF!</v>
      </c>
      <c r="N95" s="167" t="e">
        <f t="shared" si="4"/>
        <v>#REF!</v>
      </c>
      <c r="O95" s="167" t="e">
        <f t="shared" si="4"/>
        <v>#REF!</v>
      </c>
      <c r="P95" s="167" t="e">
        <f t="shared" si="4"/>
        <v>#REF!</v>
      </c>
      <c r="Q95" s="491">
        <f>D95</f>
        <v>-1133969.1019963913</v>
      </c>
    </row>
    <row r="96" spans="1:17" x14ac:dyDescent="0.2">
      <c r="A96" s="188" t="s">
        <v>144</v>
      </c>
      <c r="B96" s="200"/>
      <c r="C96" s="200"/>
      <c r="D96" s="256"/>
      <c r="E96" s="503" t="e">
        <f>'2011-2 Amortization'!M23</f>
        <v>#REF!</v>
      </c>
      <c r="F96" s="170" t="e">
        <f>'2011-2 Amortization'!M45</f>
        <v>#REF!</v>
      </c>
      <c r="G96" s="170">
        <f>'2011-2 Amortization'!M59</f>
        <v>73975.326936383135</v>
      </c>
      <c r="H96" s="170">
        <f>'2011-2 Amortization'!M81</f>
        <v>62902.009089091116</v>
      </c>
      <c r="I96" s="328" t="e">
        <f>'2011-2 Amortization'!M111</f>
        <v>#REF!</v>
      </c>
      <c r="J96" s="170" t="e">
        <f>'2011-2 Amortization'!M133</f>
        <v>#REF!</v>
      </c>
      <c r="K96" s="338" t="e">
        <f>'2011-2 Amortization'!M155</f>
        <v>#REF!</v>
      </c>
      <c r="L96" s="170" t="e">
        <f>'2011-2 Amortization'!M177</f>
        <v>#REF!</v>
      </c>
      <c r="M96" s="170">
        <f>'2011-2 Amortization'!M191</f>
        <v>73975.194488369001</v>
      </c>
      <c r="N96" s="170">
        <f>'2011-2 Amortization'!M213</f>
        <v>65573.032061829945</v>
      </c>
      <c r="O96" s="170">
        <f>'2011-2 Amortization'!M235</f>
        <v>61795.44176511246</v>
      </c>
      <c r="P96" s="170">
        <f>'2011-2 Amortization'!M257</f>
        <v>64196.891158270169</v>
      </c>
      <c r="Q96" s="491" t="e">
        <f>SUM(E96:P96)</f>
        <v>#REF!</v>
      </c>
    </row>
    <row r="97" spans="1:17" x14ac:dyDescent="0.2">
      <c r="A97" s="282" t="s">
        <v>136</v>
      </c>
      <c r="B97" s="200"/>
      <c r="C97" s="200"/>
      <c r="D97" s="256">
        <f t="shared" ref="D97:Q97" si="5">D95+D96</f>
        <v>-1133969.1019963913</v>
      </c>
      <c r="E97" s="504" t="e">
        <f t="shared" si="5"/>
        <v>#REF!</v>
      </c>
      <c r="F97" s="170" t="e">
        <f t="shared" si="5"/>
        <v>#REF!</v>
      </c>
      <c r="G97" s="170" t="e">
        <f t="shared" si="5"/>
        <v>#REF!</v>
      </c>
      <c r="H97" s="170" t="e">
        <f t="shared" si="5"/>
        <v>#REF!</v>
      </c>
      <c r="I97" s="328" t="e">
        <f t="shared" si="5"/>
        <v>#REF!</v>
      </c>
      <c r="J97" s="170" t="e">
        <f t="shared" si="5"/>
        <v>#REF!</v>
      </c>
      <c r="K97" s="338" t="e">
        <f t="shared" si="5"/>
        <v>#REF!</v>
      </c>
      <c r="L97" s="170" t="e">
        <f t="shared" si="5"/>
        <v>#REF!</v>
      </c>
      <c r="M97" s="170" t="e">
        <f t="shared" si="5"/>
        <v>#REF!</v>
      </c>
      <c r="N97" s="170" t="e">
        <f t="shared" si="5"/>
        <v>#REF!</v>
      </c>
      <c r="O97" s="170" t="e">
        <f t="shared" si="5"/>
        <v>#REF!</v>
      </c>
      <c r="P97" s="170" t="e">
        <f t="shared" si="5"/>
        <v>#REF!</v>
      </c>
      <c r="Q97" s="492" t="e">
        <f t="shared" si="5"/>
        <v>#REF!</v>
      </c>
    </row>
    <row r="98" spans="1:17" x14ac:dyDescent="0.2">
      <c r="A98" s="188"/>
      <c r="B98" s="199" t="e">
        <f>SUM(B91:B95)</f>
        <v>#REF!</v>
      </c>
      <c r="C98" s="199" t="e">
        <f>SUM(C91:C95)</f>
        <v>#REF!</v>
      </c>
      <c r="D98" s="258">
        <f t="shared" ref="D98:P98" si="6">D93+D97</f>
        <v>-17194042.985871781</v>
      </c>
      <c r="E98" s="505" t="e">
        <f t="shared" si="6"/>
        <v>#REF!</v>
      </c>
      <c r="F98" s="168" t="e">
        <f t="shared" si="6"/>
        <v>#REF!</v>
      </c>
      <c r="G98" s="168" t="e">
        <f t="shared" si="6"/>
        <v>#REF!</v>
      </c>
      <c r="H98" s="168" t="e">
        <f t="shared" si="6"/>
        <v>#REF!</v>
      </c>
      <c r="I98" s="245" t="e">
        <f t="shared" si="6"/>
        <v>#REF!</v>
      </c>
      <c r="J98" s="168" t="e">
        <f t="shared" si="6"/>
        <v>#REF!</v>
      </c>
      <c r="K98" s="252" t="e">
        <f t="shared" si="6"/>
        <v>#REF!</v>
      </c>
      <c r="L98" s="168" t="e">
        <f t="shared" si="6"/>
        <v>#REF!</v>
      </c>
      <c r="M98" s="168" t="e">
        <f t="shared" si="6"/>
        <v>#REF!</v>
      </c>
      <c r="N98" s="168" t="e">
        <f t="shared" si="6"/>
        <v>#REF!</v>
      </c>
      <c r="O98" s="168" t="e">
        <f t="shared" si="6"/>
        <v>#REF!</v>
      </c>
      <c r="P98" s="168" t="e">
        <f t="shared" si="6"/>
        <v>#REF!</v>
      </c>
      <c r="Q98" s="491"/>
    </row>
    <row r="99" spans="1:17" x14ac:dyDescent="0.2">
      <c r="A99" s="183"/>
      <c r="B99" s="187"/>
      <c r="C99" s="187"/>
      <c r="D99" s="258"/>
      <c r="E99" s="286"/>
      <c r="F99" s="168"/>
      <c r="G99" s="168"/>
      <c r="H99" s="168"/>
      <c r="I99" s="245"/>
      <c r="J99" s="168"/>
      <c r="K99" s="252"/>
      <c r="L99" s="168"/>
      <c r="M99" s="168"/>
      <c r="N99" s="168"/>
      <c r="O99" s="168"/>
      <c r="P99" s="168"/>
      <c r="Q99" s="491"/>
    </row>
    <row r="100" spans="1:17" x14ac:dyDescent="0.2">
      <c r="A100" s="280" t="s">
        <v>142</v>
      </c>
      <c r="B100" s="201"/>
      <c r="C100" s="201"/>
      <c r="D100" s="258"/>
      <c r="E100" s="286"/>
      <c r="F100" s="168"/>
      <c r="G100" s="168"/>
      <c r="H100" s="168"/>
      <c r="I100" s="245"/>
      <c r="J100" s="168"/>
      <c r="K100" s="252"/>
      <c r="L100" s="168"/>
      <c r="M100" s="168"/>
      <c r="N100" s="168"/>
      <c r="O100" s="168"/>
      <c r="P100" s="168"/>
      <c r="Q100" s="491"/>
    </row>
    <row r="101" spans="1:17" x14ac:dyDescent="0.2">
      <c r="A101" s="243" t="s">
        <v>146</v>
      </c>
      <c r="B101" s="199" t="e">
        <f>C101/24</f>
        <v>#REF!</v>
      </c>
      <c r="C101" s="199" t="e">
        <f>#REF!</f>
        <v>#REF!</v>
      </c>
      <c r="D101" s="191">
        <f>P20</f>
        <v>22381468.801234379</v>
      </c>
      <c r="E101" s="503">
        <f>P20</f>
        <v>22381468.801234379</v>
      </c>
      <c r="F101" s="167" t="e">
        <f t="shared" ref="F101:P101" si="7">E103</f>
        <v>#REF!</v>
      </c>
      <c r="G101" s="167" t="e">
        <f t="shared" si="7"/>
        <v>#REF!</v>
      </c>
      <c r="H101" s="167" t="e">
        <f t="shared" si="7"/>
        <v>#REF!</v>
      </c>
      <c r="I101" s="327" t="e">
        <f t="shared" si="7"/>
        <v>#REF!</v>
      </c>
      <c r="J101" s="167" t="e">
        <f t="shared" si="7"/>
        <v>#REF!</v>
      </c>
      <c r="K101" s="337" t="e">
        <f t="shared" si="7"/>
        <v>#REF!</v>
      </c>
      <c r="L101" s="167" t="e">
        <f t="shared" si="7"/>
        <v>#REF!</v>
      </c>
      <c r="M101" s="167" t="e">
        <f t="shared" si="7"/>
        <v>#REF!</v>
      </c>
      <c r="N101" s="167" t="e">
        <f t="shared" si="7"/>
        <v>#REF!</v>
      </c>
      <c r="O101" s="167" t="e">
        <f t="shared" si="7"/>
        <v>#REF!</v>
      </c>
      <c r="P101" s="167" t="e">
        <f t="shared" si="7"/>
        <v>#REF!</v>
      </c>
      <c r="Q101" s="491">
        <f>D101</f>
        <v>22381468.801234379</v>
      </c>
    </row>
    <row r="102" spans="1:17" x14ac:dyDescent="0.2">
      <c r="A102" s="188" t="s">
        <v>145</v>
      </c>
      <c r="B102" s="199"/>
      <c r="C102" s="199"/>
      <c r="D102" s="191"/>
      <c r="E102" s="503" t="e">
        <f>'2011-2 Amortization'!L25</f>
        <v>#REF!</v>
      </c>
      <c r="F102" s="170" t="e">
        <f>'2011-2 Amortization'!L47</f>
        <v>#REF!</v>
      </c>
      <c r="G102" s="170" t="e">
        <f>'2011-2 Amortization'!L69</f>
        <v>#REF!</v>
      </c>
      <c r="H102" s="170" t="e">
        <f>'2011-2 Amortization'!L91</f>
        <v>#REF!</v>
      </c>
      <c r="I102" s="328" t="e">
        <f>'2011-2 Amortization'!L113</f>
        <v>#REF!</v>
      </c>
      <c r="J102" s="170" t="e">
        <f>'2011-2 Amortization'!L135</f>
        <v>#REF!</v>
      </c>
      <c r="K102" s="338" t="e">
        <f>'2011-2 Amortization'!L157</f>
        <v>#REF!</v>
      </c>
      <c r="L102" s="170" t="e">
        <f>'2011-2 Amortization'!L179</f>
        <v>#REF!</v>
      </c>
      <c r="M102" s="170" t="e">
        <f>'2011-2 Amortization'!L201</f>
        <v>#REF!</v>
      </c>
      <c r="N102" s="170" t="e">
        <f>'2011-2 Amortization'!L223</f>
        <v>#REF!</v>
      </c>
      <c r="O102" s="170" t="e">
        <f>'2011-2 Amortization'!L245</f>
        <v>#REF!</v>
      </c>
      <c r="P102" s="170" t="e">
        <f>'2011-2 Amortization'!L267</f>
        <v>#REF!</v>
      </c>
      <c r="Q102" s="491" t="e">
        <f>SUM(E102:P102)</f>
        <v>#REF!</v>
      </c>
    </row>
    <row r="103" spans="1:17" x14ac:dyDescent="0.2">
      <c r="A103" s="282" t="s">
        <v>136</v>
      </c>
      <c r="B103" s="238"/>
      <c r="C103" s="238"/>
      <c r="D103" s="259">
        <f t="shared" ref="D103:Q103" si="8">D101+D102</f>
        <v>22381468.801234379</v>
      </c>
      <c r="E103" s="506" t="e">
        <f t="shared" si="8"/>
        <v>#REF!</v>
      </c>
      <c r="F103" s="240" t="e">
        <f t="shared" si="8"/>
        <v>#REF!</v>
      </c>
      <c r="G103" s="240" t="e">
        <f t="shared" si="8"/>
        <v>#REF!</v>
      </c>
      <c r="H103" s="240" t="e">
        <f t="shared" si="8"/>
        <v>#REF!</v>
      </c>
      <c r="I103" s="330" t="e">
        <f t="shared" si="8"/>
        <v>#REF!</v>
      </c>
      <c r="J103" s="240" t="e">
        <f t="shared" si="8"/>
        <v>#REF!</v>
      </c>
      <c r="K103" s="340" t="e">
        <f t="shared" si="8"/>
        <v>#REF!</v>
      </c>
      <c r="L103" s="240" t="e">
        <f t="shared" si="8"/>
        <v>#REF!</v>
      </c>
      <c r="M103" s="240" t="e">
        <f t="shared" si="8"/>
        <v>#REF!</v>
      </c>
      <c r="N103" s="240" t="e">
        <f t="shared" si="8"/>
        <v>#REF!</v>
      </c>
      <c r="O103" s="240" t="e">
        <f t="shared" si="8"/>
        <v>#REF!</v>
      </c>
      <c r="P103" s="240" t="e">
        <f t="shared" si="8"/>
        <v>#REF!</v>
      </c>
      <c r="Q103" s="492" t="e">
        <f t="shared" si="8"/>
        <v>#REF!</v>
      </c>
    </row>
    <row r="104" spans="1:17" x14ac:dyDescent="0.2">
      <c r="A104" s="188"/>
      <c r="B104" s="199"/>
      <c r="C104" s="199"/>
      <c r="D104" s="191"/>
      <c r="E104" s="283"/>
      <c r="F104" s="167"/>
      <c r="G104" s="167"/>
      <c r="H104" s="167"/>
      <c r="I104" s="327"/>
      <c r="J104" s="167"/>
      <c r="K104" s="337"/>
      <c r="L104" s="167"/>
      <c r="M104" s="167"/>
      <c r="N104" s="167"/>
      <c r="O104" s="167"/>
      <c r="P104" s="167"/>
      <c r="Q104" s="491"/>
    </row>
    <row r="105" spans="1:17" x14ac:dyDescent="0.2">
      <c r="A105" s="188" t="s">
        <v>107</v>
      </c>
      <c r="B105" s="199" t="e">
        <f>C105/24</f>
        <v>#REF!</v>
      </c>
      <c r="C105" s="199" t="e">
        <f>#REF!</f>
        <v>#REF!</v>
      </c>
      <c r="D105" s="189">
        <f>P24</f>
        <v>162822.20232318237</v>
      </c>
      <c r="E105" s="503">
        <f>P24</f>
        <v>162822.20232318237</v>
      </c>
      <c r="F105" s="167" t="e">
        <f t="shared" ref="F105:P105" si="9">E107</f>
        <v>#REF!</v>
      </c>
      <c r="G105" s="167" t="e">
        <f t="shared" si="9"/>
        <v>#REF!</v>
      </c>
      <c r="H105" s="167" t="e">
        <f t="shared" si="9"/>
        <v>#REF!</v>
      </c>
      <c r="I105" s="327" t="e">
        <f>H107</f>
        <v>#REF!</v>
      </c>
      <c r="J105" s="167" t="e">
        <f t="shared" si="9"/>
        <v>#REF!</v>
      </c>
      <c r="K105" s="337" t="e">
        <f t="shared" si="9"/>
        <v>#REF!</v>
      </c>
      <c r="L105" s="167" t="e">
        <f t="shared" si="9"/>
        <v>#REF!</v>
      </c>
      <c r="M105" s="167" t="e">
        <f t="shared" si="9"/>
        <v>#REF!</v>
      </c>
      <c r="N105" s="167" t="e">
        <f t="shared" si="9"/>
        <v>#REF!</v>
      </c>
      <c r="O105" s="167" t="e">
        <f t="shared" si="9"/>
        <v>#REF!</v>
      </c>
      <c r="P105" s="167" t="e">
        <f t="shared" si="9"/>
        <v>#REF!</v>
      </c>
      <c r="Q105" s="491">
        <f>D105</f>
        <v>162822.20232318237</v>
      </c>
    </row>
    <row r="106" spans="1:17" x14ac:dyDescent="0.2">
      <c r="A106" s="188" t="s">
        <v>147</v>
      </c>
      <c r="B106" s="199"/>
      <c r="C106" s="199"/>
      <c r="D106" s="189">
        <v>0</v>
      </c>
      <c r="E106" s="503" t="e">
        <f>'2011-2 Amortization'!M25</f>
        <v>#REF!</v>
      </c>
      <c r="F106" s="170" t="e">
        <f>'2011-2 Amortization'!M47</f>
        <v>#REF!</v>
      </c>
      <c r="G106" s="170" t="e">
        <f>'2011-2 Amortization'!M69</f>
        <v>#REF!</v>
      </c>
      <c r="H106" s="170" t="e">
        <f>'2011-2 Amortization'!M91</f>
        <v>#REF!</v>
      </c>
      <c r="I106" s="328" t="e">
        <f>'2011-2 Amortization'!M113</f>
        <v>#REF!</v>
      </c>
      <c r="J106" s="170" t="e">
        <f>'2011-2 Amortization'!M135</f>
        <v>#REF!</v>
      </c>
      <c r="K106" s="338" t="e">
        <f>'2011-2 Amortization'!M157</f>
        <v>#REF!</v>
      </c>
      <c r="L106" s="170" t="e">
        <f>'2011-2 Amortization'!M179</f>
        <v>#REF!</v>
      </c>
      <c r="M106" s="170" t="e">
        <f>'2011-2 Amortization'!M201</f>
        <v>#REF!</v>
      </c>
      <c r="N106" s="170" t="e">
        <f>'2011-2 Amortization'!M223</f>
        <v>#REF!</v>
      </c>
      <c r="O106" s="170" t="e">
        <f>'2011-2 Amortization'!M245</f>
        <v>#REF!</v>
      </c>
      <c r="P106" s="170" t="e">
        <f>'2011-2 Amortization'!M267</f>
        <v>#REF!</v>
      </c>
      <c r="Q106" s="491" t="e">
        <f>SUM(E106:P106)</f>
        <v>#REF!</v>
      </c>
    </row>
    <row r="107" spans="1:17" x14ac:dyDescent="0.2">
      <c r="A107" s="282" t="s">
        <v>136</v>
      </c>
      <c r="B107" s="238"/>
      <c r="C107" s="238"/>
      <c r="D107" s="260">
        <f t="shared" ref="D107:P107" si="10">SUM(D105:D106)</f>
        <v>162822.20232318237</v>
      </c>
      <c r="E107" s="287" t="e">
        <f t="shared" si="10"/>
        <v>#REF!</v>
      </c>
      <c r="F107" s="241" t="e">
        <f t="shared" si="10"/>
        <v>#REF!</v>
      </c>
      <c r="G107" s="241" t="e">
        <f t="shared" si="10"/>
        <v>#REF!</v>
      </c>
      <c r="H107" s="241" t="e">
        <f t="shared" si="10"/>
        <v>#REF!</v>
      </c>
      <c r="I107" s="332" t="e">
        <f t="shared" si="10"/>
        <v>#REF!</v>
      </c>
      <c r="J107" s="241" t="e">
        <f t="shared" si="10"/>
        <v>#REF!</v>
      </c>
      <c r="K107" s="241" t="e">
        <f t="shared" si="10"/>
        <v>#REF!</v>
      </c>
      <c r="L107" s="241" t="e">
        <f t="shared" si="10"/>
        <v>#REF!</v>
      </c>
      <c r="M107" s="241" t="e">
        <f t="shared" si="10"/>
        <v>#REF!</v>
      </c>
      <c r="N107" s="241" t="e">
        <f t="shared" si="10"/>
        <v>#REF!</v>
      </c>
      <c r="O107" s="241" t="e">
        <f t="shared" si="10"/>
        <v>#REF!</v>
      </c>
      <c r="P107" s="241" t="e">
        <f t="shared" si="10"/>
        <v>#REF!</v>
      </c>
      <c r="Q107" s="494" t="e">
        <f>Q105+Q106</f>
        <v>#REF!</v>
      </c>
    </row>
    <row r="108" spans="1:17" x14ac:dyDescent="0.2">
      <c r="A108" s="192"/>
      <c r="B108" s="199"/>
      <c r="C108" s="199"/>
      <c r="D108" s="189">
        <f t="shared" ref="D108:P108" si="11">D103+D107</f>
        <v>22544291.003557563</v>
      </c>
      <c r="E108" s="505" t="e">
        <f t="shared" si="11"/>
        <v>#REF!</v>
      </c>
      <c r="F108" s="186" t="e">
        <f t="shared" si="11"/>
        <v>#REF!</v>
      </c>
      <c r="G108" s="186" t="e">
        <f t="shared" si="11"/>
        <v>#REF!</v>
      </c>
      <c r="H108" s="186" t="e">
        <f t="shared" si="11"/>
        <v>#REF!</v>
      </c>
      <c r="I108" s="331" t="e">
        <f t="shared" si="11"/>
        <v>#REF!</v>
      </c>
      <c r="J108" s="186" t="e">
        <f t="shared" si="11"/>
        <v>#REF!</v>
      </c>
      <c r="K108" s="341" t="e">
        <f t="shared" si="11"/>
        <v>#REF!</v>
      </c>
      <c r="L108" s="186" t="e">
        <f t="shared" si="11"/>
        <v>#REF!</v>
      </c>
      <c r="M108" s="186" t="e">
        <f t="shared" si="11"/>
        <v>#REF!</v>
      </c>
      <c r="N108" s="186" t="e">
        <f t="shared" si="11"/>
        <v>#REF!</v>
      </c>
      <c r="O108" s="186" t="e">
        <f t="shared" si="11"/>
        <v>#REF!</v>
      </c>
      <c r="P108" s="186" t="e">
        <f t="shared" si="11"/>
        <v>#REF!</v>
      </c>
      <c r="Q108" s="166"/>
    </row>
    <row r="109" spans="1:17" x14ac:dyDescent="0.2">
      <c r="A109" s="192"/>
      <c r="B109" s="199"/>
      <c r="C109" s="199"/>
      <c r="D109" s="189"/>
      <c r="E109" s="505"/>
      <c r="F109" s="186"/>
      <c r="G109" s="186"/>
      <c r="H109" s="186"/>
      <c r="I109" s="331"/>
      <c r="J109" s="186"/>
      <c r="K109" s="341"/>
      <c r="L109" s="186"/>
      <c r="M109" s="186"/>
      <c r="N109" s="186"/>
      <c r="O109" s="186"/>
      <c r="P109" s="186"/>
      <c r="Q109" s="166"/>
    </row>
    <row r="110" spans="1:17" x14ac:dyDescent="0.2">
      <c r="A110" s="192" t="s">
        <v>148</v>
      </c>
      <c r="B110" s="199"/>
      <c r="C110" s="199"/>
      <c r="D110" s="189">
        <f t="shared" ref="D110:Q110" si="12">D93+D103</f>
        <v>6321394.9173589889</v>
      </c>
      <c r="E110" s="505" t="e">
        <f t="shared" si="12"/>
        <v>#REF!</v>
      </c>
      <c r="F110" s="186" t="e">
        <f t="shared" si="12"/>
        <v>#REF!</v>
      </c>
      <c r="G110" s="186" t="e">
        <f t="shared" si="12"/>
        <v>#REF!</v>
      </c>
      <c r="H110" s="186" t="e">
        <f t="shared" si="12"/>
        <v>#REF!</v>
      </c>
      <c r="I110" s="331" t="e">
        <f t="shared" si="12"/>
        <v>#REF!</v>
      </c>
      <c r="J110" s="186" t="e">
        <f t="shared" si="12"/>
        <v>#REF!</v>
      </c>
      <c r="K110" s="341" t="e">
        <f t="shared" si="12"/>
        <v>#REF!</v>
      </c>
      <c r="L110" s="186" t="e">
        <f t="shared" si="12"/>
        <v>#REF!</v>
      </c>
      <c r="M110" s="186" t="e">
        <f t="shared" si="12"/>
        <v>#REF!</v>
      </c>
      <c r="N110" s="186" t="e">
        <f t="shared" si="12"/>
        <v>#REF!</v>
      </c>
      <c r="O110" s="186" t="e">
        <f t="shared" si="12"/>
        <v>#REF!</v>
      </c>
      <c r="P110" s="186" t="e">
        <f t="shared" si="12"/>
        <v>#REF!</v>
      </c>
      <c r="Q110" s="186" t="e">
        <f t="shared" si="12"/>
        <v>#REF!</v>
      </c>
    </row>
    <row r="111" spans="1:17" x14ac:dyDescent="0.2">
      <c r="A111" s="192" t="s">
        <v>149</v>
      </c>
      <c r="B111" s="199"/>
      <c r="C111" s="199"/>
      <c r="D111" s="189">
        <f t="shared" ref="D111:Q111" si="13">D97+D107</f>
        <v>-971146.89967320894</v>
      </c>
      <c r="E111" s="505" t="e">
        <f t="shared" si="13"/>
        <v>#REF!</v>
      </c>
      <c r="F111" s="186" t="e">
        <f t="shared" si="13"/>
        <v>#REF!</v>
      </c>
      <c r="G111" s="186" t="e">
        <f t="shared" si="13"/>
        <v>#REF!</v>
      </c>
      <c r="H111" s="186" t="e">
        <f t="shared" si="13"/>
        <v>#REF!</v>
      </c>
      <c r="I111" s="331" t="e">
        <f t="shared" si="13"/>
        <v>#REF!</v>
      </c>
      <c r="J111" s="186" t="e">
        <f t="shared" si="13"/>
        <v>#REF!</v>
      </c>
      <c r="K111" s="341" t="e">
        <f t="shared" si="13"/>
        <v>#REF!</v>
      </c>
      <c r="L111" s="186" t="e">
        <f t="shared" si="13"/>
        <v>#REF!</v>
      </c>
      <c r="M111" s="186" t="e">
        <f t="shared" si="13"/>
        <v>#REF!</v>
      </c>
      <c r="N111" s="186" t="e">
        <f t="shared" si="13"/>
        <v>#REF!</v>
      </c>
      <c r="O111" s="186" t="e">
        <f t="shared" si="13"/>
        <v>#REF!</v>
      </c>
      <c r="P111" s="186" t="e">
        <f t="shared" si="13"/>
        <v>#REF!</v>
      </c>
      <c r="Q111" s="186" t="e">
        <f t="shared" si="13"/>
        <v>#REF!</v>
      </c>
    </row>
    <row r="112" spans="1:17" ht="12" thickBot="1" x14ac:dyDescent="0.25">
      <c r="A112" s="300" t="s">
        <v>157</v>
      </c>
      <c r="B112" s="238" t="e">
        <f>SUM(B101:B105)</f>
        <v>#REF!</v>
      </c>
      <c r="C112" s="238" t="e">
        <f>SUM(C101:C105)</f>
        <v>#REF!</v>
      </c>
      <c r="D112" s="261">
        <f>D110+D111</f>
        <v>5350248.0176857803</v>
      </c>
      <c r="E112" s="506" t="e">
        <f t="shared" ref="E112:P112" si="14">E98+E108</f>
        <v>#REF!</v>
      </c>
      <c r="F112" s="242" t="e">
        <f t="shared" si="14"/>
        <v>#REF!</v>
      </c>
      <c r="G112" s="242" t="e">
        <f t="shared" si="14"/>
        <v>#REF!</v>
      </c>
      <c r="H112" s="242" t="e">
        <f t="shared" si="14"/>
        <v>#REF!</v>
      </c>
      <c r="I112" s="333" t="e">
        <f t="shared" si="14"/>
        <v>#REF!</v>
      </c>
      <c r="J112" s="242" t="e">
        <f t="shared" si="14"/>
        <v>#REF!</v>
      </c>
      <c r="K112" s="343" t="e">
        <f t="shared" si="14"/>
        <v>#REF!</v>
      </c>
      <c r="L112" s="242" t="e">
        <f t="shared" si="14"/>
        <v>#REF!</v>
      </c>
      <c r="M112" s="242" t="e">
        <f t="shared" si="14"/>
        <v>#REF!</v>
      </c>
      <c r="N112" s="242" t="e">
        <f t="shared" si="14"/>
        <v>#REF!</v>
      </c>
      <c r="O112" s="242" t="e">
        <f t="shared" si="14"/>
        <v>#REF!</v>
      </c>
      <c r="P112" s="242" t="e">
        <f t="shared" si="14"/>
        <v>#REF!</v>
      </c>
      <c r="Q112" s="242" t="e">
        <f>Q110+Q111</f>
        <v>#REF!</v>
      </c>
    </row>
    <row r="113" spans="1:17" x14ac:dyDescent="0.2">
      <c r="A113" s="301" t="s">
        <v>108</v>
      </c>
      <c r="B113" s="252" t="e">
        <f>B91+B101</f>
        <v>#REF!</v>
      </c>
      <c r="C113" s="168" t="e">
        <f>C91+C101</f>
        <v>#REF!</v>
      </c>
      <c r="D113" s="258">
        <f t="shared" ref="D113:P113" si="15">D110</f>
        <v>6321394.9173589889</v>
      </c>
      <c r="E113" s="505" t="e">
        <f t="shared" si="15"/>
        <v>#REF!</v>
      </c>
      <c r="F113" s="168" t="e">
        <f t="shared" si="15"/>
        <v>#REF!</v>
      </c>
      <c r="G113" s="168" t="e">
        <f t="shared" si="15"/>
        <v>#REF!</v>
      </c>
      <c r="H113" s="168" t="e">
        <f t="shared" si="15"/>
        <v>#REF!</v>
      </c>
      <c r="I113" s="245" t="e">
        <f t="shared" si="15"/>
        <v>#REF!</v>
      </c>
      <c r="J113" s="168" t="e">
        <f t="shared" si="15"/>
        <v>#REF!</v>
      </c>
      <c r="K113" s="252" t="e">
        <f t="shared" si="15"/>
        <v>#REF!</v>
      </c>
      <c r="L113" s="168" t="e">
        <f t="shared" si="15"/>
        <v>#REF!</v>
      </c>
      <c r="M113" s="168" t="e">
        <f t="shared" si="15"/>
        <v>#REF!</v>
      </c>
      <c r="N113" s="168" t="e">
        <f t="shared" si="15"/>
        <v>#REF!</v>
      </c>
      <c r="O113" s="168" t="e">
        <f t="shared" si="15"/>
        <v>#REF!</v>
      </c>
      <c r="P113" s="168" t="e">
        <f t="shared" si="15"/>
        <v>#REF!</v>
      </c>
      <c r="Q113" s="166"/>
    </row>
    <row r="114" spans="1:17" ht="12" thickBot="1" x14ac:dyDescent="0.25">
      <c r="A114" s="302" t="s">
        <v>156</v>
      </c>
      <c r="B114" s="253" t="e">
        <f>B95+B105</f>
        <v>#REF!</v>
      </c>
      <c r="C114" s="204" t="e">
        <f>C95+C105</f>
        <v>#REF!</v>
      </c>
      <c r="D114" s="262">
        <f t="shared" ref="D114:P114" si="16">D111</f>
        <v>-971146.89967320894</v>
      </c>
      <c r="E114" s="507" t="e">
        <f t="shared" si="16"/>
        <v>#REF!</v>
      </c>
      <c r="F114" s="204" t="e">
        <f t="shared" si="16"/>
        <v>#REF!</v>
      </c>
      <c r="G114" s="204" t="e">
        <f t="shared" si="16"/>
        <v>#REF!</v>
      </c>
      <c r="H114" s="204" t="e">
        <f t="shared" si="16"/>
        <v>#REF!</v>
      </c>
      <c r="I114" s="246" t="e">
        <f t="shared" si="16"/>
        <v>#REF!</v>
      </c>
      <c r="J114" s="204" t="e">
        <f t="shared" si="16"/>
        <v>#REF!</v>
      </c>
      <c r="K114" s="253" t="e">
        <f t="shared" si="16"/>
        <v>#REF!</v>
      </c>
      <c r="L114" s="204" t="e">
        <f t="shared" si="16"/>
        <v>#REF!</v>
      </c>
      <c r="M114" s="204" t="e">
        <f t="shared" si="16"/>
        <v>#REF!</v>
      </c>
      <c r="N114" s="204" t="e">
        <f t="shared" si="16"/>
        <v>#REF!</v>
      </c>
      <c r="O114" s="204" t="e">
        <f t="shared" si="16"/>
        <v>#REF!</v>
      </c>
      <c r="P114" s="204" t="e">
        <f t="shared" si="16"/>
        <v>#REF!</v>
      </c>
      <c r="Q114" s="493"/>
    </row>
    <row r="115" spans="1:17" ht="12" thickBot="1" x14ac:dyDescent="0.25">
      <c r="A115" s="302" t="s">
        <v>157</v>
      </c>
      <c r="B115" s="262" t="e">
        <f t="shared" ref="B115:P115" si="17">B113+B114</f>
        <v>#REF!</v>
      </c>
      <c r="C115" s="204" t="e">
        <f t="shared" si="17"/>
        <v>#REF!</v>
      </c>
      <c r="D115" s="262">
        <f t="shared" si="17"/>
        <v>5350248.0176857803</v>
      </c>
      <c r="E115" s="507" t="e">
        <f t="shared" si="17"/>
        <v>#REF!</v>
      </c>
      <c r="F115" s="204" t="e">
        <f t="shared" si="17"/>
        <v>#REF!</v>
      </c>
      <c r="G115" s="204" t="e">
        <f t="shared" si="17"/>
        <v>#REF!</v>
      </c>
      <c r="H115" s="204" t="e">
        <f t="shared" si="17"/>
        <v>#REF!</v>
      </c>
      <c r="I115" s="246" t="e">
        <f t="shared" si="17"/>
        <v>#REF!</v>
      </c>
      <c r="J115" s="204" t="e">
        <f t="shared" si="17"/>
        <v>#REF!</v>
      </c>
      <c r="K115" s="262" t="e">
        <f t="shared" si="17"/>
        <v>#REF!</v>
      </c>
      <c r="L115" s="298" t="e">
        <f t="shared" si="17"/>
        <v>#REF!</v>
      </c>
      <c r="M115" s="253" t="e">
        <f t="shared" si="17"/>
        <v>#REF!</v>
      </c>
      <c r="N115" s="204" t="e">
        <f t="shared" si="17"/>
        <v>#REF!</v>
      </c>
      <c r="O115" s="204" t="e">
        <f t="shared" si="17"/>
        <v>#REF!</v>
      </c>
      <c r="P115" s="204" t="e">
        <f t="shared" si="17"/>
        <v>#REF!</v>
      </c>
      <c r="Q115" s="495" t="e">
        <f>Q93+Q97+Q103+Q107</f>
        <v>#REF!</v>
      </c>
    </row>
    <row r="116" spans="1:17" ht="15.75" x14ac:dyDescent="0.25">
      <c r="A116" s="174"/>
      <c r="B116" s="247"/>
      <c r="C116" s="205"/>
      <c r="D116" s="258"/>
      <c r="E116" s="245"/>
      <c r="F116" s="202"/>
      <c r="G116" s="297"/>
      <c r="H116" s="297"/>
      <c r="J116" s="297"/>
      <c r="L116" s="297"/>
      <c r="M116" s="297"/>
      <c r="N116" s="299"/>
      <c r="P116" s="299"/>
    </row>
    <row r="117" spans="1:17" ht="15.75" x14ac:dyDescent="0.25">
      <c r="A117" s="169" t="s">
        <v>109</v>
      </c>
      <c r="B117" s="244"/>
      <c r="C117" s="205"/>
      <c r="D117" s="258"/>
      <c r="E117" s="217"/>
      <c r="F117" s="168"/>
      <c r="G117" s="309"/>
      <c r="H117" s="173"/>
      <c r="J117" s="173"/>
      <c r="L117" s="173"/>
      <c r="M117" s="173"/>
      <c r="N117" s="166"/>
      <c r="P117" s="166"/>
    </row>
    <row r="118" spans="1:17" ht="15.75" x14ac:dyDescent="0.25">
      <c r="A118" s="171" t="s">
        <v>110</v>
      </c>
      <c r="B118" s="216"/>
      <c r="C118" s="205"/>
      <c r="D118" s="258"/>
      <c r="E118" s="245"/>
      <c r="F118" s="168"/>
      <c r="G118" s="310"/>
      <c r="H118" s="173"/>
      <c r="J118" s="173"/>
      <c r="L118" s="173"/>
      <c r="M118" s="173"/>
      <c r="N118" s="166"/>
      <c r="P118" s="166"/>
    </row>
    <row r="119" spans="1:17" x14ac:dyDescent="0.2">
      <c r="A119" s="175" t="s">
        <v>155</v>
      </c>
      <c r="B119" s="248"/>
      <c r="C119" s="176"/>
      <c r="D119" s="168">
        <f t="shared" ref="D119:P119" si="18">D113</f>
        <v>6321394.9173589889</v>
      </c>
      <c r="E119" s="168" t="e">
        <f t="shared" si="18"/>
        <v>#REF!</v>
      </c>
      <c r="F119" s="168" t="e">
        <f t="shared" si="18"/>
        <v>#REF!</v>
      </c>
      <c r="G119" s="168" t="e">
        <f t="shared" si="18"/>
        <v>#REF!</v>
      </c>
      <c r="H119" s="168" t="e">
        <f t="shared" si="18"/>
        <v>#REF!</v>
      </c>
      <c r="I119" s="258" t="e">
        <f t="shared" si="18"/>
        <v>#REF!</v>
      </c>
      <c r="J119" s="168" t="e">
        <f t="shared" si="18"/>
        <v>#REF!</v>
      </c>
      <c r="K119" s="258" t="e">
        <f t="shared" si="18"/>
        <v>#REF!</v>
      </c>
      <c r="L119" s="168" t="e">
        <f t="shared" si="18"/>
        <v>#REF!</v>
      </c>
      <c r="M119" s="168" t="e">
        <f t="shared" si="18"/>
        <v>#REF!</v>
      </c>
      <c r="N119" s="168" t="e">
        <f t="shared" si="18"/>
        <v>#REF!</v>
      </c>
      <c r="O119" s="258" t="e">
        <f t="shared" si="18"/>
        <v>#REF!</v>
      </c>
      <c r="P119" s="168" t="e">
        <f t="shared" si="18"/>
        <v>#REF!</v>
      </c>
    </row>
    <row r="120" spans="1:17" x14ac:dyDescent="0.2">
      <c r="A120" s="175"/>
      <c r="B120" s="248"/>
      <c r="C120" s="176"/>
      <c r="D120" s="258"/>
      <c r="E120" s="245"/>
      <c r="F120" s="168"/>
      <c r="G120" s="168"/>
      <c r="H120" s="168"/>
      <c r="I120" s="258"/>
      <c r="J120" s="168"/>
      <c r="K120" s="258"/>
      <c r="L120" s="168"/>
      <c r="M120" s="168"/>
      <c r="N120" s="168"/>
      <c r="O120" s="258"/>
      <c r="P120" s="168"/>
    </row>
    <row r="121" spans="1:17" x14ac:dyDescent="0.2">
      <c r="A121" s="175" t="s">
        <v>158</v>
      </c>
      <c r="B121" s="248"/>
      <c r="C121" s="176"/>
      <c r="D121" s="289">
        <f>P38</f>
        <v>788.5710716267713</v>
      </c>
      <c r="E121" s="511">
        <f>P38</f>
        <v>788.5710716267713</v>
      </c>
      <c r="F121" s="168">
        <f t="shared" ref="F121:O121" si="19">E121</f>
        <v>788.5710716267713</v>
      </c>
      <c r="G121" s="168">
        <f t="shared" si="19"/>
        <v>788.5710716267713</v>
      </c>
      <c r="H121" s="168">
        <f t="shared" si="19"/>
        <v>788.5710716267713</v>
      </c>
      <c r="I121" s="258">
        <f t="shared" si="19"/>
        <v>788.5710716267713</v>
      </c>
      <c r="J121" s="168">
        <f t="shared" si="19"/>
        <v>788.5710716267713</v>
      </c>
      <c r="K121" s="168">
        <f t="shared" si="19"/>
        <v>788.5710716267713</v>
      </c>
      <c r="L121" s="168">
        <f t="shared" si="19"/>
        <v>788.5710716267713</v>
      </c>
      <c r="M121" s="168">
        <f t="shared" si="19"/>
        <v>788.5710716267713</v>
      </c>
      <c r="N121" s="168">
        <f t="shared" si="19"/>
        <v>788.5710716267713</v>
      </c>
      <c r="O121" s="168">
        <f t="shared" si="19"/>
        <v>788.5710716267713</v>
      </c>
      <c r="P121" s="168">
        <f>L121</f>
        <v>788.5710716267713</v>
      </c>
    </row>
    <row r="122" spans="1:17" x14ac:dyDescent="0.2">
      <c r="A122" s="175"/>
      <c r="B122" s="248"/>
      <c r="C122" s="176"/>
      <c r="D122" s="289"/>
      <c r="E122" s="511"/>
      <c r="F122" s="168"/>
      <c r="G122" s="168"/>
      <c r="H122" s="168"/>
      <c r="I122" s="258"/>
      <c r="J122" s="168"/>
      <c r="K122" s="258"/>
      <c r="L122" s="168"/>
      <c r="M122" s="168"/>
      <c r="N122" s="168"/>
      <c r="O122" s="258"/>
      <c r="P122" s="168"/>
    </row>
    <row r="123" spans="1:17" x14ac:dyDescent="0.2">
      <c r="A123" s="175" t="s">
        <v>111</v>
      </c>
      <c r="B123" s="248"/>
      <c r="C123" s="176"/>
      <c r="D123" s="289">
        <f>P41</f>
        <v>69076.940793094225</v>
      </c>
      <c r="E123" s="313">
        <f t="shared" ref="E123:P123" si="20">D119*0.0147/12</f>
        <v>7743.7087737647607</v>
      </c>
      <c r="F123" s="313" t="e">
        <f t="shared" si="20"/>
        <v>#REF!</v>
      </c>
      <c r="G123" s="313" t="e">
        <f t="shared" si="20"/>
        <v>#REF!</v>
      </c>
      <c r="H123" s="313" t="e">
        <f t="shared" si="20"/>
        <v>#REF!</v>
      </c>
      <c r="I123" s="313" t="e">
        <f t="shared" si="20"/>
        <v>#REF!</v>
      </c>
      <c r="J123" s="313" t="e">
        <f t="shared" si="20"/>
        <v>#REF!</v>
      </c>
      <c r="K123" s="313" t="e">
        <f t="shared" si="20"/>
        <v>#REF!</v>
      </c>
      <c r="L123" s="313" t="e">
        <f t="shared" si="20"/>
        <v>#REF!</v>
      </c>
      <c r="M123" s="313" t="e">
        <f t="shared" si="20"/>
        <v>#REF!</v>
      </c>
      <c r="N123" s="313" t="e">
        <f t="shared" si="20"/>
        <v>#REF!</v>
      </c>
      <c r="O123" s="313" t="e">
        <f t="shared" si="20"/>
        <v>#REF!</v>
      </c>
      <c r="P123" s="313" t="e">
        <f t="shared" si="20"/>
        <v>#REF!</v>
      </c>
    </row>
    <row r="124" spans="1:17" x14ac:dyDescent="0.2">
      <c r="A124" s="176" t="s">
        <v>112</v>
      </c>
      <c r="B124" s="248"/>
      <c r="C124" s="176"/>
      <c r="D124" s="289">
        <f>D123</f>
        <v>69076.940793094225</v>
      </c>
      <c r="E124" s="511">
        <f t="shared" ref="E124:P124" si="21">D124+E123</f>
        <v>76820.649566858992</v>
      </c>
      <c r="F124" s="168" t="e">
        <f t="shared" si="21"/>
        <v>#REF!</v>
      </c>
      <c r="G124" s="168" t="e">
        <f t="shared" si="21"/>
        <v>#REF!</v>
      </c>
      <c r="H124" s="168" t="e">
        <f t="shared" si="21"/>
        <v>#REF!</v>
      </c>
      <c r="I124" s="258" t="e">
        <f t="shared" si="21"/>
        <v>#REF!</v>
      </c>
      <c r="J124" s="168" t="e">
        <f t="shared" si="21"/>
        <v>#REF!</v>
      </c>
      <c r="K124" s="258" t="e">
        <f t="shared" si="21"/>
        <v>#REF!</v>
      </c>
      <c r="L124" s="168" t="e">
        <f t="shared" si="21"/>
        <v>#REF!</v>
      </c>
      <c r="M124" s="168" t="e">
        <f t="shared" si="21"/>
        <v>#REF!</v>
      </c>
      <c r="N124" s="168" t="e">
        <f t="shared" si="21"/>
        <v>#REF!</v>
      </c>
      <c r="O124" s="258" t="e">
        <f t="shared" si="21"/>
        <v>#REF!</v>
      </c>
      <c r="P124" s="168" t="e">
        <f t="shared" si="21"/>
        <v>#REF!</v>
      </c>
    </row>
    <row r="125" spans="1:17" ht="12" thickBot="1" x14ac:dyDescent="0.25">
      <c r="A125" s="177" t="s">
        <v>113</v>
      </c>
      <c r="B125" s="249"/>
      <c r="C125" s="207"/>
      <c r="D125" s="508">
        <f>D115+D124+D121</f>
        <v>5420113.5295505011</v>
      </c>
      <c r="E125" s="508" t="e">
        <f>E115+E124+E121</f>
        <v>#REF!</v>
      </c>
      <c r="F125" s="208" t="e">
        <f t="shared" ref="F125:P125" si="22">F115+F121+F124</f>
        <v>#REF!</v>
      </c>
      <c r="G125" s="208" t="e">
        <f t="shared" si="22"/>
        <v>#REF!</v>
      </c>
      <c r="H125" s="208" t="e">
        <f t="shared" si="22"/>
        <v>#REF!</v>
      </c>
      <c r="I125" s="263" t="e">
        <f t="shared" si="22"/>
        <v>#REF!</v>
      </c>
      <c r="J125" s="208" t="e">
        <f t="shared" si="22"/>
        <v>#REF!</v>
      </c>
      <c r="K125" s="263" t="e">
        <f t="shared" si="22"/>
        <v>#REF!</v>
      </c>
      <c r="L125" s="208" t="e">
        <f t="shared" si="22"/>
        <v>#REF!</v>
      </c>
      <c r="M125" s="208" t="e">
        <f t="shared" si="22"/>
        <v>#REF!</v>
      </c>
      <c r="N125" s="208" t="e">
        <f t="shared" si="22"/>
        <v>#REF!</v>
      </c>
      <c r="O125" s="263" t="e">
        <f t="shared" si="22"/>
        <v>#REF!</v>
      </c>
      <c r="P125" s="208" t="e">
        <f t="shared" si="22"/>
        <v>#REF!</v>
      </c>
    </row>
    <row r="126" spans="1:17" x14ac:dyDescent="0.2">
      <c r="A126" s="178" t="s">
        <v>114</v>
      </c>
      <c r="B126" s="250"/>
      <c r="C126" s="209"/>
      <c r="D126" s="509">
        <f>P43</f>
        <v>5420113.6600000001</v>
      </c>
      <c r="E126" s="509">
        <f>5619405.33-911774.59+76820.67</f>
        <v>4784451.41</v>
      </c>
      <c r="F126" s="210">
        <f>-855399.92+4947777.23+83704.44</f>
        <v>4176081.7500000005</v>
      </c>
      <c r="G126" s="210">
        <f>SUM('[20]2.Reg Asset_Liability Details'!$L$60:$L$62)</f>
        <v>3599881.64</v>
      </c>
      <c r="H126" s="210">
        <f>SUM('[21]2.Reg Asset_Liability Details'!$N$60:$N$62)</f>
        <v>2986484.7100000004</v>
      </c>
      <c r="I126" s="296">
        <v>2352034</v>
      </c>
      <c r="J126" s="210">
        <f>SUM('[22]2.Reg Asset_Liability Details'!$R$61:$R$63)</f>
        <v>1595932.37</v>
      </c>
      <c r="K126" s="296">
        <f>SUM('[23]2.Reg Asset_Liability Details'!$T$61:$T$63)</f>
        <v>840566.75</v>
      </c>
      <c r="L126" s="210">
        <f>SUM('[24]2.Reg Asset_Liability Details'!$V$61:$V$63)</f>
        <v>334904.73000000004</v>
      </c>
      <c r="M126" s="210">
        <f>SUM('[25]2.Reg Asset_Liability Details'!$X$61:$X$63)</f>
        <v>-167389.12</v>
      </c>
      <c r="N126" s="210">
        <f>SUM([26]Sheet1!$H$67:$H$69)</f>
        <v>-955763.90999999992</v>
      </c>
      <c r="O126" s="296">
        <f>SUM('[27]2.Reg Asset_Liability Details'!$AC$61:$AC$63)</f>
        <v>-1689591.08</v>
      </c>
      <c r="P126" s="210">
        <f>SUM(P135:P137)</f>
        <v>-2315480.0399999996</v>
      </c>
    </row>
    <row r="127" spans="1:17" ht="12" thickBot="1" x14ac:dyDescent="0.25">
      <c r="A127" s="179" t="s">
        <v>115</v>
      </c>
      <c r="B127" s="251"/>
      <c r="C127" s="211"/>
      <c r="D127" s="512">
        <f t="shared" ref="D127:P127" si="23">+D125-D126</f>
        <v>-0.13044949900358915</v>
      </c>
      <c r="E127" s="510" t="e">
        <f t="shared" si="23"/>
        <v>#REF!</v>
      </c>
      <c r="F127" s="212" t="e">
        <f t="shared" si="23"/>
        <v>#REF!</v>
      </c>
      <c r="G127" s="212" t="e">
        <f t="shared" si="23"/>
        <v>#REF!</v>
      </c>
      <c r="H127" s="212" t="e">
        <f t="shared" si="23"/>
        <v>#REF!</v>
      </c>
      <c r="I127" s="499" t="e">
        <f t="shared" si="23"/>
        <v>#REF!</v>
      </c>
      <c r="J127" s="212" t="e">
        <f t="shared" si="23"/>
        <v>#REF!</v>
      </c>
      <c r="K127" s="264" t="e">
        <f t="shared" si="23"/>
        <v>#REF!</v>
      </c>
      <c r="L127" s="212" t="e">
        <f t="shared" si="23"/>
        <v>#REF!</v>
      </c>
      <c r="M127" s="212" t="e">
        <f t="shared" si="23"/>
        <v>#REF!</v>
      </c>
      <c r="N127" s="212" t="e">
        <f t="shared" si="23"/>
        <v>#REF!</v>
      </c>
      <c r="O127" s="264" t="e">
        <f t="shared" si="23"/>
        <v>#REF!</v>
      </c>
      <c r="P127" s="212" t="e">
        <f t="shared" si="23"/>
        <v>#REF!</v>
      </c>
    </row>
    <row r="128" spans="1:17" x14ac:dyDescent="0.2">
      <c r="I128" s="215"/>
      <c r="J128" s="215"/>
      <c r="K128" s="215"/>
      <c r="L128" s="215"/>
      <c r="P128" s="352"/>
    </row>
    <row r="129" spans="1:16" x14ac:dyDescent="0.2">
      <c r="D129" s="163" t="s">
        <v>116</v>
      </c>
      <c r="E129" s="180">
        <v>-227.82539952109005</v>
      </c>
      <c r="F129" s="180">
        <v>-18368.492315645293</v>
      </c>
      <c r="I129" s="215"/>
      <c r="J129" s="215"/>
      <c r="K129" s="215"/>
      <c r="L129" s="215"/>
    </row>
    <row r="130" spans="1:16" x14ac:dyDescent="0.2">
      <c r="D130" s="163" t="s">
        <v>117</v>
      </c>
      <c r="E130" s="203">
        <v>-227.82539952109005</v>
      </c>
      <c r="F130" s="203">
        <v>-25913.321182094562</v>
      </c>
      <c r="I130" s="215"/>
      <c r="J130" s="215"/>
      <c r="K130" s="215"/>
      <c r="L130" s="215"/>
    </row>
    <row r="131" spans="1:16" ht="12" thickBot="1" x14ac:dyDescent="0.25">
      <c r="E131" s="213">
        <v>0</v>
      </c>
      <c r="F131" s="213">
        <v>-7544.8288664492684</v>
      </c>
      <c r="I131" s="215"/>
      <c r="J131" s="215"/>
      <c r="K131" s="215"/>
      <c r="L131" s="215"/>
    </row>
    <row r="132" spans="1:16" x14ac:dyDescent="0.2">
      <c r="I132" s="215"/>
      <c r="J132" s="215"/>
      <c r="K132" s="215"/>
      <c r="L132" s="215"/>
    </row>
    <row r="133" spans="1:16" x14ac:dyDescent="0.2">
      <c r="I133" s="215"/>
      <c r="J133" s="215"/>
      <c r="K133" s="215"/>
      <c r="L133" s="215"/>
    </row>
    <row r="134" spans="1:16" x14ac:dyDescent="0.2">
      <c r="I134" s="215"/>
      <c r="J134" s="215"/>
      <c r="K134" s="215"/>
      <c r="L134" s="215"/>
    </row>
    <row r="135" spans="1:16" x14ac:dyDescent="0.2">
      <c r="A135" s="181" t="s">
        <v>118</v>
      </c>
      <c r="B135" s="214"/>
      <c r="C135" s="214"/>
      <c r="D135" s="215"/>
      <c r="F135" s="189"/>
      <c r="G135" s="206"/>
      <c r="I135" s="215"/>
      <c r="J135" s="215" t="s">
        <v>173</v>
      </c>
      <c r="K135" s="696" t="e">
        <f>J119*0.0147/12</f>
        <v>#REF!</v>
      </c>
      <c r="L135" s="215"/>
      <c r="P135" s="715">
        <v>-278452.76</v>
      </c>
    </row>
    <row r="136" spans="1:16" ht="12" thickBot="1" x14ac:dyDescent="0.25">
      <c r="A136" s="182"/>
      <c r="B136" s="215"/>
      <c r="C136" s="215"/>
      <c r="D136" s="215"/>
      <c r="F136" s="276"/>
      <c r="G136" s="206"/>
      <c r="I136" s="215"/>
      <c r="J136" s="215" t="s">
        <v>174</v>
      </c>
      <c r="K136" s="497">
        <v>4921.0689867294122</v>
      </c>
      <c r="L136" s="215"/>
      <c r="P136" s="715">
        <v>-2142751.96</v>
      </c>
    </row>
    <row r="137" spans="1:16" ht="16.5" thickBot="1" x14ac:dyDescent="0.3">
      <c r="A137" s="182" t="s">
        <v>121</v>
      </c>
      <c r="B137" s="265" t="s">
        <v>119</v>
      </c>
      <c r="C137" s="266"/>
      <c r="D137" s="266"/>
      <c r="E137" s="500"/>
      <c r="F137" s="517"/>
      <c r="I137" s="215"/>
      <c r="J137" s="215" t="s">
        <v>175</v>
      </c>
      <c r="K137" s="215"/>
      <c r="L137" s="215"/>
      <c r="P137" s="715">
        <v>105724.68</v>
      </c>
    </row>
    <row r="138" spans="1:16" ht="12.75" x14ac:dyDescent="0.2">
      <c r="A138" s="182"/>
      <c r="B138" s="185"/>
      <c r="C138" s="268" t="s">
        <v>401</v>
      </c>
      <c r="D138" s="323" t="s">
        <v>402</v>
      </c>
      <c r="E138" s="268" t="s">
        <v>403</v>
      </c>
      <c r="F138" s="268" t="s">
        <v>404</v>
      </c>
      <c r="I138" s="215"/>
      <c r="J138" s="215" t="s">
        <v>176</v>
      </c>
      <c r="K138" s="498" t="e">
        <f>K135-K136</f>
        <v>#REF!</v>
      </c>
      <c r="L138" s="215"/>
    </row>
    <row r="139" spans="1:16" ht="13.5" thickBot="1" x14ac:dyDescent="0.25">
      <c r="A139" s="182" t="s">
        <v>126</v>
      </c>
      <c r="B139" s="152"/>
      <c r="C139" s="269" t="s">
        <v>125</v>
      </c>
      <c r="D139" s="324" t="s">
        <v>122</v>
      </c>
      <c r="E139" s="269" t="s">
        <v>123</v>
      </c>
      <c r="F139" s="269" t="s">
        <v>124</v>
      </c>
      <c r="I139" s="215"/>
      <c r="J139" s="215"/>
      <c r="K139" s="215"/>
      <c r="L139" s="215"/>
    </row>
    <row r="140" spans="1:16" ht="12.75" x14ac:dyDescent="0.2">
      <c r="A140" s="182" t="s">
        <v>128</v>
      </c>
      <c r="B140" s="144" t="s">
        <v>127</v>
      </c>
      <c r="C140" s="270" t="e">
        <f>SUM(E92:G92)+SUM(E102:G102)+SUM(E96:G96)+SUM(E106:G106)</f>
        <v>#REF!</v>
      </c>
      <c r="D140" s="270" t="e">
        <f>SUM(H92:J92)+SUM(H102:J102)+SUM(H96:J96)+SUM(H106:J106)</f>
        <v>#REF!</v>
      </c>
      <c r="E140" s="270" t="e">
        <f>SUM(K92:M92)+SUM(K102:M102)+SUM(K96:M96)+SUM(K106:M106)</f>
        <v>#REF!</v>
      </c>
      <c r="F140" s="697" t="e">
        <f>SUM(N92:P92)+SUM(N102:P102)</f>
        <v>#REF!</v>
      </c>
      <c r="I140" s="215"/>
      <c r="J140" s="215"/>
      <c r="K140" s="215"/>
      <c r="L140" s="215"/>
    </row>
    <row r="141" spans="1:16" ht="12.75" x14ac:dyDescent="0.2">
      <c r="A141" s="182" t="s">
        <v>131</v>
      </c>
      <c r="B141" s="144" t="s">
        <v>129</v>
      </c>
      <c r="C141" s="271" t="e">
        <f>G93+G103+G97+G107</f>
        <v>#REF!</v>
      </c>
      <c r="D141" s="271" t="e">
        <f>J93+J103+J97+J107</f>
        <v>#REF!</v>
      </c>
      <c r="E141" s="271" t="e">
        <f>M93+M103+M97+M107</f>
        <v>#REF!</v>
      </c>
      <c r="F141" s="709" t="e">
        <f>P93+P103</f>
        <v>#REF!</v>
      </c>
      <c r="G141" s="518" t="e">
        <f>C141-G115</f>
        <v>#REF!</v>
      </c>
    </row>
    <row r="142" spans="1:16" ht="12.75" x14ac:dyDescent="0.2">
      <c r="A142" s="182" t="s">
        <v>133</v>
      </c>
      <c r="B142" s="144" t="s">
        <v>132</v>
      </c>
      <c r="C142" s="270" t="e">
        <f>SUM(E123:G123)</f>
        <v>#REF!</v>
      </c>
      <c r="D142" s="270" t="e">
        <f>SUM(H123:J123)</f>
        <v>#REF!</v>
      </c>
      <c r="E142" s="270" t="e">
        <f>SUM(K123:M123)</f>
        <v>#REF!</v>
      </c>
      <c r="F142" s="697" t="e">
        <f>SUM(N96:P96)+SUM(N106:P106)+SUM(N123:P123)</f>
        <v>#REF!</v>
      </c>
    </row>
    <row r="143" spans="1:16" ht="13.5" thickBot="1" x14ac:dyDescent="0.25">
      <c r="A143" s="182" t="s">
        <v>135</v>
      </c>
      <c r="B143" s="152" t="s">
        <v>134</v>
      </c>
      <c r="C143" s="272" t="e">
        <f>G124+G121</f>
        <v>#REF!</v>
      </c>
      <c r="D143" s="272" t="e">
        <f>J124+J121</f>
        <v>#REF!</v>
      </c>
      <c r="E143" s="272" t="e">
        <f>M124+M121</f>
        <v>#REF!</v>
      </c>
      <c r="F143" s="710" t="e">
        <f>P97+P107+P124+P121</f>
        <v>#REF!</v>
      </c>
    </row>
    <row r="144" spans="1:16" ht="13.5" thickBot="1" x14ac:dyDescent="0.25">
      <c r="A144" s="182" t="s">
        <v>137</v>
      </c>
      <c r="B144" s="273" t="s">
        <v>136</v>
      </c>
      <c r="C144" s="274" t="e">
        <f>C141+C143</f>
        <v>#REF!</v>
      </c>
      <c r="D144" s="698" t="e">
        <f>D141+D143</f>
        <v>#REF!</v>
      </c>
      <c r="E144" s="698" t="e">
        <f>E141+E143</f>
        <v>#REF!</v>
      </c>
      <c r="F144" s="698" t="e">
        <f>F141+F143</f>
        <v>#REF!</v>
      </c>
    </row>
    <row r="145" spans="1:7" ht="13.5" thickBot="1" x14ac:dyDescent="0.25">
      <c r="A145" s="182" t="s">
        <v>139</v>
      </c>
      <c r="B145" s="273" t="s">
        <v>138</v>
      </c>
      <c r="C145" s="275" t="e">
        <f>C140+C142+F61</f>
        <v>#REF!</v>
      </c>
      <c r="D145" s="699" t="e">
        <f>D140+D142+C145</f>
        <v>#REF!</v>
      </c>
      <c r="E145" s="699" t="e">
        <f>E140+E142+D145</f>
        <v>#REF!</v>
      </c>
      <c r="F145" s="699" t="e">
        <f>F140+F142+E145</f>
        <v>#REF!</v>
      </c>
    </row>
    <row r="146" spans="1:7" ht="12" thickBot="1" x14ac:dyDescent="0.25">
      <c r="B146" s="219" t="s">
        <v>163</v>
      </c>
      <c r="C146" s="308" t="e">
        <f>C144-C145</f>
        <v>#REF!</v>
      </c>
      <c r="D146" s="700" t="e">
        <f>J126-D144</f>
        <v>#REF!</v>
      </c>
      <c r="E146" s="700" t="e">
        <f>M126-E144</f>
        <v>#REF!</v>
      </c>
      <c r="F146" s="700" t="e">
        <f>P126-F144</f>
        <v>#REF!</v>
      </c>
      <c r="G146" s="206"/>
    </row>
    <row r="147" spans="1:7" ht="12" thickBot="1" x14ac:dyDescent="0.25">
      <c r="B147" s="219" t="s">
        <v>164</v>
      </c>
      <c r="C147" s="308" t="e">
        <f>C145-G126</f>
        <v>#REF!</v>
      </c>
      <c r="D147" s="700" t="e">
        <f>D145-J126</f>
        <v>#REF!</v>
      </c>
      <c r="E147" s="700" t="e">
        <f>E145-M126</f>
        <v>#REF!</v>
      </c>
      <c r="F147" s="700" t="e">
        <f>F145-P126</f>
        <v>#REF!</v>
      </c>
      <c r="G147" s="206"/>
    </row>
    <row r="148" spans="1:7" ht="12.75" x14ac:dyDescent="0.2">
      <c r="B148" s="185"/>
      <c r="C148" s="268" t="s">
        <v>401</v>
      </c>
      <c r="D148" s="323" t="s">
        <v>402</v>
      </c>
      <c r="E148" s="268" t="s">
        <v>403</v>
      </c>
      <c r="F148" s="268" t="s">
        <v>404</v>
      </c>
    </row>
    <row r="149" spans="1:7" ht="13.5" thickBot="1" x14ac:dyDescent="0.25">
      <c r="B149" s="152"/>
      <c r="C149" s="269" t="s">
        <v>125</v>
      </c>
      <c r="D149" s="701" t="s">
        <v>122</v>
      </c>
      <c r="E149" s="706" t="s">
        <v>123</v>
      </c>
      <c r="F149" s="711" t="s">
        <v>124</v>
      </c>
    </row>
    <row r="150" spans="1:7" ht="12.75" x14ac:dyDescent="0.2">
      <c r="B150" s="144" t="s">
        <v>127</v>
      </c>
      <c r="C150" s="270">
        <v>0</v>
      </c>
      <c r="D150" s="702">
        <v>0</v>
      </c>
      <c r="E150" s="702">
        <v>0</v>
      </c>
      <c r="F150" s="702">
        <v>0</v>
      </c>
    </row>
    <row r="151" spans="1:7" ht="12.75" x14ac:dyDescent="0.2">
      <c r="B151" s="144" t="s">
        <v>129</v>
      </c>
      <c r="C151" s="270">
        <v>-147786.59737418004</v>
      </c>
      <c r="D151" s="703">
        <v>-147786.59737418004</v>
      </c>
      <c r="E151" s="703">
        <v>-147786.59737418004</v>
      </c>
      <c r="F151" s="703">
        <v>-147786.59737418004</v>
      </c>
    </row>
    <row r="152" spans="1:7" ht="12.75" x14ac:dyDescent="0.2">
      <c r="B152" s="144" t="s">
        <v>132</v>
      </c>
      <c r="C152" s="270">
        <v>-543.11574535011164</v>
      </c>
      <c r="D152" s="702">
        <v>-543.11574535011164</v>
      </c>
      <c r="E152" s="702">
        <v>-543.11574535011164</v>
      </c>
      <c r="F152" s="702">
        <v>-543.11574535011164</v>
      </c>
    </row>
    <row r="153" spans="1:7" ht="13.5" thickBot="1" x14ac:dyDescent="0.25">
      <c r="B153" s="152" t="s">
        <v>134</v>
      </c>
      <c r="C153" s="270">
        <v>-133199.27188249861</v>
      </c>
      <c r="D153" s="270">
        <v>-133742.38762784869</v>
      </c>
      <c r="E153" s="702">
        <v>-134285.50337319876</v>
      </c>
      <c r="F153" s="702">
        <v>-134828.61911854884</v>
      </c>
    </row>
    <row r="154" spans="1:7" ht="13.5" thickBot="1" x14ac:dyDescent="0.25">
      <c r="B154" s="675" t="s">
        <v>136</v>
      </c>
      <c r="C154" s="688">
        <v>-280985.86925667862</v>
      </c>
      <c r="D154" s="688">
        <v>-281528.98500202876</v>
      </c>
      <c r="E154" s="688">
        <v>-282072.10074737878</v>
      </c>
      <c r="F154" s="704">
        <v>-282615.21649272891</v>
      </c>
    </row>
    <row r="155" spans="1:7" ht="12.75" x14ac:dyDescent="0.2">
      <c r="B155" s="185"/>
      <c r="C155" s="268" t="s">
        <v>401</v>
      </c>
      <c r="D155" s="323" t="s">
        <v>402</v>
      </c>
      <c r="E155" s="268" t="s">
        <v>403</v>
      </c>
      <c r="F155" s="268" t="s">
        <v>404</v>
      </c>
    </row>
    <row r="156" spans="1:7" ht="13.5" thickBot="1" x14ac:dyDescent="0.25">
      <c r="B156" s="152"/>
      <c r="C156" s="269" t="s">
        <v>125</v>
      </c>
      <c r="D156" s="701" t="s">
        <v>122</v>
      </c>
      <c r="E156" s="706" t="s">
        <v>123</v>
      </c>
      <c r="F156" s="711" t="s">
        <v>124</v>
      </c>
    </row>
    <row r="157" spans="1:7" ht="12.75" x14ac:dyDescent="0.2">
      <c r="B157" s="144" t="s">
        <v>127</v>
      </c>
      <c r="C157" s="270" t="e">
        <f t="shared" ref="C157:F161" si="24">C140+C150</f>
        <v>#REF!</v>
      </c>
      <c r="D157" s="270" t="e">
        <f t="shared" si="24"/>
        <v>#REF!</v>
      </c>
      <c r="E157" s="270" t="e">
        <f t="shared" si="24"/>
        <v>#REF!</v>
      </c>
      <c r="F157" s="270" t="e">
        <f t="shared" si="24"/>
        <v>#REF!</v>
      </c>
    </row>
    <row r="158" spans="1:7" ht="12.75" x14ac:dyDescent="0.2">
      <c r="B158" s="144" t="s">
        <v>129</v>
      </c>
      <c r="C158" s="270" t="e">
        <f t="shared" si="24"/>
        <v>#REF!</v>
      </c>
      <c r="D158" s="270" t="e">
        <f t="shared" si="24"/>
        <v>#REF!</v>
      </c>
      <c r="E158" s="270" t="e">
        <f t="shared" si="24"/>
        <v>#REF!</v>
      </c>
      <c r="F158" s="270" t="e">
        <f t="shared" si="24"/>
        <v>#REF!</v>
      </c>
    </row>
    <row r="159" spans="1:7" ht="12.75" x14ac:dyDescent="0.2">
      <c r="B159" s="144" t="s">
        <v>132</v>
      </c>
      <c r="C159" s="270" t="e">
        <f t="shared" si="24"/>
        <v>#REF!</v>
      </c>
      <c r="D159" s="270" t="e">
        <f t="shared" si="24"/>
        <v>#REF!</v>
      </c>
      <c r="E159" s="270" t="e">
        <f t="shared" si="24"/>
        <v>#REF!</v>
      </c>
      <c r="F159" s="270" t="e">
        <f t="shared" si="24"/>
        <v>#REF!</v>
      </c>
    </row>
    <row r="160" spans="1:7" ht="13.5" thickBot="1" x14ac:dyDescent="0.25">
      <c r="B160" s="152" t="s">
        <v>134</v>
      </c>
      <c r="C160" s="272" t="e">
        <f t="shared" si="24"/>
        <v>#REF!</v>
      </c>
      <c r="D160" s="272" t="e">
        <f t="shared" si="24"/>
        <v>#REF!</v>
      </c>
      <c r="E160" s="272" t="e">
        <f t="shared" si="24"/>
        <v>#REF!</v>
      </c>
      <c r="F160" s="272" t="e">
        <f t="shared" si="24"/>
        <v>#REF!</v>
      </c>
    </row>
    <row r="161" spans="1:17" ht="13.5" thickBot="1" x14ac:dyDescent="0.25">
      <c r="B161" s="675" t="s">
        <v>136</v>
      </c>
      <c r="C161" s="272" t="e">
        <f t="shared" si="24"/>
        <v>#REF!</v>
      </c>
      <c r="D161" s="272" t="e">
        <f t="shared" si="24"/>
        <v>#REF!</v>
      </c>
      <c r="E161" s="272" t="e">
        <f t="shared" si="24"/>
        <v>#REF!</v>
      </c>
      <c r="F161" s="272" t="e">
        <f t="shared" si="24"/>
        <v>#REF!</v>
      </c>
      <c r="G161" s="708" t="e">
        <f>E158+E160-E161</f>
        <v>#REF!</v>
      </c>
      <c r="H161" s="708" t="e">
        <f>D161+E157+E159-E161</f>
        <v>#REF!</v>
      </c>
    </row>
    <row r="162" spans="1:17" ht="12" thickBot="1" x14ac:dyDescent="0.25">
      <c r="B162" s="219" t="s">
        <v>163</v>
      </c>
      <c r="C162" s="689" t="e">
        <f>'1595 May 1, 2008'!T161+'1595 Continuity 2011'!C145-'1595 Continuity 2011'!C161</f>
        <v>#REF!</v>
      </c>
      <c r="D162" s="705">
        <v>-2.3349141702055931E-2</v>
      </c>
      <c r="E162" s="707">
        <v>-2.9195970855653286E-2</v>
      </c>
      <c r="F162" s="712">
        <v>0.13044949900358915</v>
      </c>
    </row>
    <row r="163" spans="1:17" ht="12" thickBot="1" x14ac:dyDescent="0.25">
      <c r="B163" s="219" t="s">
        <v>164</v>
      </c>
      <c r="C163" s="689">
        <v>-0.30378738790750504</v>
      </c>
      <c r="D163" s="705">
        <v>2.3349147289991379E-2</v>
      </c>
      <c r="E163" s="695">
        <v>2.9195975512266159E-2</v>
      </c>
      <c r="F163" s="712">
        <v>-0.13044949434697628</v>
      </c>
    </row>
    <row r="165" spans="1:17" ht="12" thickBot="1" x14ac:dyDescent="0.25">
      <c r="A165" s="161" t="s">
        <v>99</v>
      </c>
      <c r="B165" s="690"/>
      <c r="C165" s="691"/>
    </row>
    <row r="166" spans="1:17" ht="12" thickBot="1" x14ac:dyDescent="0.25">
      <c r="A166" s="718" t="s">
        <v>471</v>
      </c>
      <c r="B166" s="195" t="s">
        <v>100</v>
      </c>
      <c r="C166" s="195" t="s">
        <v>16</v>
      </c>
      <c r="D166" s="254" t="s">
        <v>101</v>
      </c>
      <c r="E166" s="164">
        <v>40551</v>
      </c>
      <c r="F166" s="164">
        <v>40582</v>
      </c>
      <c r="G166" s="164">
        <v>40610</v>
      </c>
      <c r="H166" s="164">
        <v>40641</v>
      </c>
      <c r="I166" s="164">
        <v>40671</v>
      </c>
      <c r="J166" s="164">
        <v>40702</v>
      </c>
      <c r="K166" s="164">
        <v>40732</v>
      </c>
      <c r="L166" s="164">
        <v>40763</v>
      </c>
      <c r="M166" s="164">
        <v>40794</v>
      </c>
      <c r="N166" s="164">
        <v>40824</v>
      </c>
      <c r="O166" s="164">
        <v>40855</v>
      </c>
      <c r="P166" s="164">
        <v>40885</v>
      </c>
      <c r="Q166" s="490" t="s">
        <v>136</v>
      </c>
    </row>
    <row r="167" spans="1:17" x14ac:dyDescent="0.2">
      <c r="A167" s="278"/>
      <c r="B167" s="196"/>
      <c r="C167" s="196"/>
      <c r="D167" s="255"/>
      <c r="E167" s="165"/>
      <c r="F167" s="165"/>
      <c r="G167" s="165"/>
      <c r="H167" s="165"/>
      <c r="I167" s="326"/>
      <c r="J167" s="165"/>
      <c r="K167" s="336"/>
      <c r="L167" s="165"/>
      <c r="M167" s="165"/>
      <c r="N167" s="165"/>
      <c r="O167" s="165"/>
      <c r="P167" s="165"/>
      <c r="Q167" s="166"/>
    </row>
    <row r="168" spans="1:17" x14ac:dyDescent="0.2">
      <c r="A168" s="279" t="s">
        <v>103</v>
      </c>
      <c r="B168" s="197"/>
      <c r="C168" s="197"/>
      <c r="D168" s="190"/>
      <c r="E168" s="168"/>
      <c r="F168" s="168"/>
      <c r="G168" s="168"/>
      <c r="H168" s="168"/>
      <c r="I168" s="245"/>
      <c r="J168" s="168"/>
      <c r="K168" s="252"/>
      <c r="L168" s="168"/>
      <c r="M168" s="168"/>
      <c r="N168" s="168"/>
      <c r="O168" s="168"/>
      <c r="P168" s="168"/>
      <c r="Q168" s="166"/>
    </row>
    <row r="169" spans="1:17" x14ac:dyDescent="0.2">
      <c r="A169" s="279"/>
      <c r="B169" s="172"/>
      <c r="C169" s="172"/>
      <c r="D169" s="190"/>
      <c r="E169" s="168"/>
      <c r="F169" s="168"/>
      <c r="G169" s="168"/>
      <c r="H169" s="168"/>
      <c r="I169" s="245"/>
      <c r="J169" s="168"/>
      <c r="K169" s="252"/>
      <c r="L169" s="168"/>
      <c r="M169" s="168"/>
      <c r="N169" s="168"/>
      <c r="O169" s="168"/>
      <c r="P169" s="168"/>
      <c r="Q169" s="166"/>
    </row>
    <row r="170" spans="1:17" x14ac:dyDescent="0.2">
      <c r="A170" s="280" t="s">
        <v>150</v>
      </c>
      <c r="B170" s="198"/>
      <c r="C170" s="198"/>
      <c r="D170" s="190"/>
      <c r="E170" s="167" t="s">
        <v>31</v>
      </c>
      <c r="F170" s="167"/>
      <c r="G170" s="167"/>
      <c r="H170" s="167"/>
      <c r="I170" s="327"/>
      <c r="J170" s="167"/>
      <c r="K170" s="337"/>
      <c r="L170" s="167"/>
      <c r="M170" s="167"/>
      <c r="N170" s="167"/>
      <c r="O170" s="167"/>
      <c r="P170" s="167"/>
      <c r="Q170" s="166"/>
    </row>
    <row r="171" spans="1:17" x14ac:dyDescent="0.2">
      <c r="A171" s="280" t="s">
        <v>104</v>
      </c>
      <c r="B171" s="198"/>
      <c r="C171" s="198"/>
      <c r="D171" s="190"/>
      <c r="E171" s="167"/>
      <c r="F171" s="167"/>
      <c r="G171" s="167"/>
      <c r="H171" s="167"/>
      <c r="I171" s="327"/>
      <c r="J171" s="167"/>
      <c r="K171" s="337"/>
      <c r="L171" s="167"/>
      <c r="M171" s="167"/>
      <c r="N171" s="167"/>
      <c r="O171" s="167"/>
      <c r="P171" s="167"/>
      <c r="Q171" s="166"/>
    </row>
    <row r="172" spans="1:17" x14ac:dyDescent="0.2">
      <c r="A172" s="188" t="s">
        <v>105</v>
      </c>
      <c r="B172" s="199" t="e">
        <f>C172/24</f>
        <v>#REF!</v>
      </c>
      <c r="C172" s="199" t="e">
        <f>#REF!</f>
        <v>#REF!</v>
      </c>
      <c r="D172" s="503" t="e">
        <f>P91</f>
        <v>#REF!</v>
      </c>
      <c r="E172" s="167" t="e">
        <f t="shared" ref="E172:P172" si="25">D174</f>
        <v>#REF!</v>
      </c>
      <c r="F172" s="167" t="e">
        <f t="shared" si="25"/>
        <v>#REF!</v>
      </c>
      <c r="G172" s="167" t="e">
        <f t="shared" si="25"/>
        <v>#REF!</v>
      </c>
      <c r="H172" s="167" t="e">
        <f t="shared" si="25"/>
        <v>#REF!</v>
      </c>
      <c r="I172" s="167" t="e">
        <f t="shared" si="25"/>
        <v>#REF!</v>
      </c>
      <c r="J172" s="167" t="e">
        <f t="shared" si="25"/>
        <v>#REF!</v>
      </c>
      <c r="K172" s="167" t="e">
        <f t="shared" si="25"/>
        <v>#REF!</v>
      </c>
      <c r="L172" s="167" t="e">
        <f t="shared" si="25"/>
        <v>#REF!</v>
      </c>
      <c r="M172" s="167" t="e">
        <f t="shared" si="25"/>
        <v>#REF!</v>
      </c>
      <c r="N172" s="167" t="e">
        <f t="shared" si="25"/>
        <v>#REF!</v>
      </c>
      <c r="O172" s="167" t="e">
        <f t="shared" si="25"/>
        <v>#REF!</v>
      </c>
      <c r="P172" s="167" t="e">
        <f t="shared" si="25"/>
        <v>#REF!</v>
      </c>
      <c r="Q172" s="491"/>
    </row>
    <row r="173" spans="1:17" x14ac:dyDescent="0.2">
      <c r="A173" s="281" t="s">
        <v>143</v>
      </c>
      <c r="B173" s="200"/>
      <c r="C173" s="200"/>
      <c r="D173" s="503" t="e">
        <f t="shared" ref="D173:D208" si="26">P92</f>
        <v>#REF!</v>
      </c>
      <c r="E173" s="170">
        <f>'2011-2 Amortization'!K126</f>
        <v>0</v>
      </c>
      <c r="F173" s="170">
        <f>'2011-2 Amortization'!L126</f>
        <v>0</v>
      </c>
      <c r="G173" s="170">
        <f>'2011-2 Amortization'!M126</f>
        <v>0</v>
      </c>
      <c r="H173" s="170">
        <f>'2011-2 Amortization'!N126</f>
        <v>0</v>
      </c>
      <c r="I173" s="170">
        <f>'2011-2 Amortization'!O126</f>
        <v>0</v>
      </c>
      <c r="J173" s="170">
        <f>'2011-2 Amortization'!P126</f>
        <v>0</v>
      </c>
      <c r="K173" s="170">
        <f>'2011-2 Amortization'!Q126</f>
        <v>0</v>
      </c>
      <c r="L173" s="170">
        <f>'2011-2 Amortization'!R126</f>
        <v>0</v>
      </c>
      <c r="M173" s="170">
        <f>'2011-2 Amortization'!S126</f>
        <v>0</v>
      </c>
      <c r="N173" s="170">
        <f>'2011-2 Amortization'!T126</f>
        <v>0</v>
      </c>
      <c r="O173" s="170">
        <f>'2011-2 Amortization'!U126</f>
        <v>0</v>
      </c>
      <c r="P173" s="170">
        <f>'2011-2 Amortization'!V126</f>
        <v>0</v>
      </c>
      <c r="Q173" s="491"/>
    </row>
    <row r="174" spans="1:17" x14ac:dyDescent="0.2">
      <c r="A174" s="282" t="s">
        <v>136</v>
      </c>
      <c r="B174" s="238"/>
      <c r="C174" s="238"/>
      <c r="D174" s="504" t="e">
        <f t="shared" si="26"/>
        <v>#REF!</v>
      </c>
      <c r="E174" s="239" t="e">
        <f t="shared" ref="E174:P174" si="27">E172+E173</f>
        <v>#REF!</v>
      </c>
      <c r="F174" s="239" t="e">
        <f t="shared" si="27"/>
        <v>#REF!</v>
      </c>
      <c r="G174" s="239" t="e">
        <f t="shared" si="27"/>
        <v>#REF!</v>
      </c>
      <c r="H174" s="239" t="e">
        <f t="shared" si="27"/>
        <v>#REF!</v>
      </c>
      <c r="I174" s="239" t="e">
        <f t="shared" si="27"/>
        <v>#REF!</v>
      </c>
      <c r="J174" s="239" t="e">
        <f t="shared" si="27"/>
        <v>#REF!</v>
      </c>
      <c r="K174" s="239" t="e">
        <f t="shared" si="27"/>
        <v>#REF!</v>
      </c>
      <c r="L174" s="239" t="e">
        <f t="shared" si="27"/>
        <v>#REF!</v>
      </c>
      <c r="M174" s="239" t="e">
        <f t="shared" si="27"/>
        <v>#REF!</v>
      </c>
      <c r="N174" s="239" t="e">
        <f t="shared" si="27"/>
        <v>#REF!</v>
      </c>
      <c r="O174" s="239" t="e">
        <f t="shared" si="27"/>
        <v>#REF!</v>
      </c>
      <c r="P174" s="239" t="e">
        <f t="shared" si="27"/>
        <v>#REF!</v>
      </c>
      <c r="Q174" s="492"/>
    </row>
    <row r="175" spans="1:17" x14ac:dyDescent="0.2">
      <c r="A175" s="188"/>
      <c r="B175" s="199"/>
      <c r="C175" s="199"/>
      <c r="D175" s="283">
        <f t="shared" si="26"/>
        <v>0</v>
      </c>
      <c r="E175" s="167"/>
      <c r="F175" s="167"/>
      <c r="G175" s="167"/>
      <c r="H175" s="167"/>
      <c r="I175" s="167"/>
      <c r="J175" s="167"/>
      <c r="K175" s="167"/>
      <c r="L175" s="167"/>
      <c r="M175" s="167"/>
      <c r="N175" s="167"/>
      <c r="O175" s="167"/>
      <c r="P175" s="167"/>
      <c r="Q175" s="491"/>
    </row>
    <row r="176" spans="1:17" x14ac:dyDescent="0.2">
      <c r="A176" s="188" t="s">
        <v>106</v>
      </c>
      <c r="B176" s="199" t="e">
        <f>C176/24</f>
        <v>#REF!</v>
      </c>
      <c r="C176" s="199" t="e">
        <f>#REF!</f>
        <v>#REF!</v>
      </c>
      <c r="D176" s="503" t="e">
        <f t="shared" si="26"/>
        <v>#REF!</v>
      </c>
      <c r="E176" s="167" t="e">
        <f t="shared" ref="E176:P176" si="28">D178</f>
        <v>#REF!</v>
      </c>
      <c r="F176" s="167" t="e">
        <f t="shared" si="28"/>
        <v>#REF!</v>
      </c>
      <c r="G176" s="167" t="e">
        <f t="shared" si="28"/>
        <v>#REF!</v>
      </c>
      <c r="H176" s="167" t="e">
        <f t="shared" si="28"/>
        <v>#REF!</v>
      </c>
      <c r="I176" s="167" t="e">
        <f t="shared" si="28"/>
        <v>#REF!</v>
      </c>
      <c r="J176" s="167" t="e">
        <f t="shared" si="28"/>
        <v>#REF!</v>
      </c>
      <c r="K176" s="167" t="e">
        <f t="shared" si="28"/>
        <v>#REF!</v>
      </c>
      <c r="L176" s="167" t="e">
        <f t="shared" si="28"/>
        <v>#REF!</v>
      </c>
      <c r="M176" s="167" t="e">
        <f t="shared" si="28"/>
        <v>#REF!</v>
      </c>
      <c r="N176" s="167" t="e">
        <f t="shared" si="28"/>
        <v>#REF!</v>
      </c>
      <c r="O176" s="167" t="e">
        <f t="shared" si="28"/>
        <v>#REF!</v>
      </c>
      <c r="P176" s="167" t="e">
        <f t="shared" si="28"/>
        <v>#REF!</v>
      </c>
      <c r="Q176" s="491"/>
    </row>
    <row r="177" spans="1:17" x14ac:dyDescent="0.2">
      <c r="A177" s="188" t="s">
        <v>144</v>
      </c>
      <c r="B177" s="200"/>
      <c r="C177" s="200"/>
      <c r="D177" s="503">
        <f t="shared" si="26"/>
        <v>64196.891158270169</v>
      </c>
      <c r="E177" s="170">
        <f>'2011-2 Amortization'!L126</f>
        <v>0</v>
      </c>
      <c r="F177" s="170">
        <f>'2011-2 Amortization'!M126</f>
        <v>0</v>
      </c>
      <c r="G177" s="170">
        <f>'2011-2 Amortization'!N126</f>
        <v>0</v>
      </c>
      <c r="H177" s="170">
        <f>'2011-2 Amortization'!O126</f>
        <v>0</v>
      </c>
      <c r="I177" s="170">
        <f>'2011-2 Amortization'!P126</f>
        <v>0</v>
      </c>
      <c r="J177" s="170">
        <f>'2011-2 Amortization'!Q126</f>
        <v>0</v>
      </c>
      <c r="K177" s="170">
        <f>'2011-2 Amortization'!R126</f>
        <v>0</v>
      </c>
      <c r="L177" s="170">
        <f>'2011-2 Amortization'!S126</f>
        <v>0</v>
      </c>
      <c r="M177" s="170">
        <f>'2011-2 Amortization'!T126</f>
        <v>0</v>
      </c>
      <c r="N177" s="170">
        <f>'2011-2 Amortization'!U126</f>
        <v>0</v>
      </c>
      <c r="O177" s="170">
        <f>'2011-2 Amortization'!V126</f>
        <v>0</v>
      </c>
      <c r="P177" s="170">
        <f>'2011-2 Amortization'!W126</f>
        <v>0</v>
      </c>
      <c r="Q177" s="491"/>
    </row>
    <row r="178" spans="1:17" x14ac:dyDescent="0.2">
      <c r="A178" s="282" t="s">
        <v>136</v>
      </c>
      <c r="B178" s="200"/>
      <c r="C178" s="200"/>
      <c r="D178" s="504" t="e">
        <f t="shared" si="26"/>
        <v>#REF!</v>
      </c>
      <c r="E178" s="170" t="e">
        <f t="shared" ref="E178:P178" si="29">E176+E177</f>
        <v>#REF!</v>
      </c>
      <c r="F178" s="170" t="e">
        <f t="shared" si="29"/>
        <v>#REF!</v>
      </c>
      <c r="G178" s="170" t="e">
        <f t="shared" si="29"/>
        <v>#REF!</v>
      </c>
      <c r="H178" s="170" t="e">
        <f t="shared" si="29"/>
        <v>#REF!</v>
      </c>
      <c r="I178" s="170" t="e">
        <f t="shared" si="29"/>
        <v>#REF!</v>
      </c>
      <c r="J178" s="170" t="e">
        <f t="shared" si="29"/>
        <v>#REF!</v>
      </c>
      <c r="K178" s="170" t="e">
        <f t="shared" si="29"/>
        <v>#REF!</v>
      </c>
      <c r="L178" s="170" t="e">
        <f t="shared" si="29"/>
        <v>#REF!</v>
      </c>
      <c r="M178" s="170" t="e">
        <f t="shared" si="29"/>
        <v>#REF!</v>
      </c>
      <c r="N178" s="170" t="e">
        <f t="shared" si="29"/>
        <v>#REF!</v>
      </c>
      <c r="O178" s="170" t="e">
        <f t="shared" si="29"/>
        <v>#REF!</v>
      </c>
      <c r="P178" s="170" t="e">
        <f t="shared" si="29"/>
        <v>#REF!</v>
      </c>
      <c r="Q178" s="492"/>
    </row>
    <row r="179" spans="1:17" x14ac:dyDescent="0.2">
      <c r="A179" s="188"/>
      <c r="B179" s="199" t="e">
        <f>SUM(B172:B176)</f>
        <v>#REF!</v>
      </c>
      <c r="C179" s="199" t="e">
        <f>SUM(C172:C176)</f>
        <v>#REF!</v>
      </c>
      <c r="D179" s="505" t="e">
        <f t="shared" si="26"/>
        <v>#REF!</v>
      </c>
      <c r="E179" s="168" t="e">
        <f t="shared" ref="E179:P179" si="30">E174+E178</f>
        <v>#REF!</v>
      </c>
      <c r="F179" s="168" t="e">
        <f t="shared" si="30"/>
        <v>#REF!</v>
      </c>
      <c r="G179" s="168" t="e">
        <f t="shared" si="30"/>
        <v>#REF!</v>
      </c>
      <c r="H179" s="168" t="e">
        <f t="shared" si="30"/>
        <v>#REF!</v>
      </c>
      <c r="I179" s="168" t="e">
        <f t="shared" si="30"/>
        <v>#REF!</v>
      </c>
      <c r="J179" s="168" t="e">
        <f t="shared" si="30"/>
        <v>#REF!</v>
      </c>
      <c r="K179" s="168" t="e">
        <f t="shared" si="30"/>
        <v>#REF!</v>
      </c>
      <c r="L179" s="168" t="e">
        <f t="shared" si="30"/>
        <v>#REF!</v>
      </c>
      <c r="M179" s="168" t="e">
        <f t="shared" si="30"/>
        <v>#REF!</v>
      </c>
      <c r="N179" s="168" t="e">
        <f t="shared" si="30"/>
        <v>#REF!</v>
      </c>
      <c r="O179" s="168" t="e">
        <f t="shared" si="30"/>
        <v>#REF!</v>
      </c>
      <c r="P179" s="168" t="e">
        <f t="shared" si="30"/>
        <v>#REF!</v>
      </c>
      <c r="Q179" s="491"/>
    </row>
    <row r="180" spans="1:17" x14ac:dyDescent="0.2">
      <c r="A180" s="183"/>
      <c r="B180" s="187"/>
      <c r="C180" s="187"/>
      <c r="D180" s="286">
        <f t="shared" si="26"/>
        <v>0</v>
      </c>
      <c r="E180" s="168"/>
      <c r="F180" s="168"/>
      <c r="G180" s="168"/>
      <c r="H180" s="168"/>
      <c r="I180" s="168"/>
      <c r="J180" s="168"/>
      <c r="K180" s="168"/>
      <c r="L180" s="168"/>
      <c r="M180" s="168"/>
      <c r="N180" s="168"/>
      <c r="O180" s="168"/>
      <c r="P180" s="168"/>
      <c r="Q180" s="491"/>
    </row>
    <row r="181" spans="1:17" x14ac:dyDescent="0.2">
      <c r="A181" s="280" t="s">
        <v>142</v>
      </c>
      <c r="B181" s="201"/>
      <c r="C181" s="201"/>
      <c r="D181" s="286">
        <f t="shared" si="26"/>
        <v>0</v>
      </c>
      <c r="E181" s="168"/>
      <c r="F181" s="168"/>
      <c r="G181" s="168"/>
      <c r="H181" s="168"/>
      <c r="I181" s="168"/>
      <c r="J181" s="168"/>
      <c r="K181" s="168"/>
      <c r="L181" s="168"/>
      <c r="M181" s="168"/>
      <c r="N181" s="168"/>
      <c r="O181" s="168"/>
      <c r="P181" s="168"/>
      <c r="Q181" s="491"/>
    </row>
    <row r="182" spans="1:17" x14ac:dyDescent="0.2">
      <c r="A182" s="243" t="s">
        <v>146</v>
      </c>
      <c r="B182" s="199" t="e">
        <f>C182/24</f>
        <v>#REF!</v>
      </c>
      <c r="C182" s="199" t="e">
        <f>#REF!</f>
        <v>#REF!</v>
      </c>
      <c r="D182" s="503" t="e">
        <f t="shared" si="26"/>
        <v>#REF!</v>
      </c>
      <c r="E182" s="167" t="e">
        <f t="shared" ref="E182:P182" si="31">D184</f>
        <v>#REF!</v>
      </c>
      <c r="F182" s="167" t="e">
        <f t="shared" si="31"/>
        <v>#REF!</v>
      </c>
      <c r="G182" s="167" t="e">
        <f t="shared" si="31"/>
        <v>#REF!</v>
      </c>
      <c r="H182" s="167" t="e">
        <f t="shared" si="31"/>
        <v>#REF!</v>
      </c>
      <c r="I182" s="167" t="e">
        <f t="shared" si="31"/>
        <v>#REF!</v>
      </c>
      <c r="J182" s="167" t="e">
        <f t="shared" si="31"/>
        <v>#REF!</v>
      </c>
      <c r="K182" s="167" t="e">
        <f t="shared" si="31"/>
        <v>#REF!</v>
      </c>
      <c r="L182" s="167" t="e">
        <f t="shared" si="31"/>
        <v>#REF!</v>
      </c>
      <c r="M182" s="167" t="e">
        <f t="shared" si="31"/>
        <v>#REF!</v>
      </c>
      <c r="N182" s="167" t="e">
        <f t="shared" si="31"/>
        <v>#REF!</v>
      </c>
      <c r="O182" s="167" t="e">
        <f t="shared" si="31"/>
        <v>#REF!</v>
      </c>
      <c r="P182" s="167" t="e">
        <f t="shared" si="31"/>
        <v>#REF!</v>
      </c>
      <c r="Q182" s="491"/>
    </row>
    <row r="183" spans="1:17" x14ac:dyDescent="0.2">
      <c r="A183" s="188" t="s">
        <v>145</v>
      </c>
      <c r="B183" s="199"/>
      <c r="C183" s="199"/>
      <c r="D183" s="503" t="e">
        <f t="shared" si="26"/>
        <v>#REF!</v>
      </c>
      <c r="E183" s="170"/>
      <c r="F183" s="170"/>
      <c r="G183" s="170"/>
      <c r="H183" s="170"/>
      <c r="I183" s="170"/>
      <c r="J183" s="170"/>
      <c r="K183" s="170"/>
      <c r="L183" s="170"/>
      <c r="M183" s="170"/>
      <c r="N183" s="170"/>
      <c r="O183" s="170"/>
      <c r="P183" s="170"/>
      <c r="Q183" s="491"/>
    </row>
    <row r="184" spans="1:17" x14ac:dyDescent="0.2">
      <c r="A184" s="282" t="s">
        <v>136</v>
      </c>
      <c r="B184" s="238"/>
      <c r="C184" s="238"/>
      <c r="D184" s="506" t="e">
        <f t="shared" si="26"/>
        <v>#REF!</v>
      </c>
      <c r="E184" s="240" t="e">
        <f t="shared" ref="E184:P184" si="32">E182+E183</f>
        <v>#REF!</v>
      </c>
      <c r="F184" s="240" t="e">
        <f t="shared" si="32"/>
        <v>#REF!</v>
      </c>
      <c r="G184" s="240" t="e">
        <f t="shared" si="32"/>
        <v>#REF!</v>
      </c>
      <c r="H184" s="240" t="e">
        <f t="shared" si="32"/>
        <v>#REF!</v>
      </c>
      <c r="I184" s="240" t="e">
        <f t="shared" si="32"/>
        <v>#REF!</v>
      </c>
      <c r="J184" s="240" t="e">
        <f t="shared" si="32"/>
        <v>#REF!</v>
      </c>
      <c r="K184" s="240" t="e">
        <f t="shared" si="32"/>
        <v>#REF!</v>
      </c>
      <c r="L184" s="240" t="e">
        <f t="shared" si="32"/>
        <v>#REF!</v>
      </c>
      <c r="M184" s="240" t="e">
        <f t="shared" si="32"/>
        <v>#REF!</v>
      </c>
      <c r="N184" s="240" t="e">
        <f t="shared" si="32"/>
        <v>#REF!</v>
      </c>
      <c r="O184" s="240" t="e">
        <f t="shared" si="32"/>
        <v>#REF!</v>
      </c>
      <c r="P184" s="240" t="e">
        <f t="shared" si="32"/>
        <v>#REF!</v>
      </c>
      <c r="Q184" s="492"/>
    </row>
    <row r="185" spans="1:17" x14ac:dyDescent="0.2">
      <c r="A185" s="188"/>
      <c r="B185" s="199"/>
      <c r="C185" s="199"/>
      <c r="D185" s="283">
        <f t="shared" si="26"/>
        <v>0</v>
      </c>
      <c r="E185" s="167"/>
      <c r="F185" s="167"/>
      <c r="G185" s="167"/>
      <c r="H185" s="167"/>
      <c r="I185" s="167"/>
      <c r="J185" s="167"/>
      <c r="K185" s="167"/>
      <c r="L185" s="167"/>
      <c r="M185" s="167"/>
      <c r="N185" s="167"/>
      <c r="O185" s="167"/>
      <c r="P185" s="167"/>
      <c r="Q185" s="491"/>
    </row>
    <row r="186" spans="1:17" x14ac:dyDescent="0.2">
      <c r="A186" s="188" t="s">
        <v>107</v>
      </c>
      <c r="B186" s="199" t="e">
        <f>C186/24</f>
        <v>#REF!</v>
      </c>
      <c r="C186" s="199" t="e">
        <f>#REF!</f>
        <v>#REF!</v>
      </c>
      <c r="D186" s="503" t="e">
        <f t="shared" si="26"/>
        <v>#REF!</v>
      </c>
      <c r="E186" s="167" t="e">
        <f t="shared" ref="E186:P186" si="33">D188</f>
        <v>#REF!</v>
      </c>
      <c r="F186" s="167" t="e">
        <f t="shared" si="33"/>
        <v>#REF!</v>
      </c>
      <c r="G186" s="167" t="e">
        <f t="shared" si="33"/>
        <v>#REF!</v>
      </c>
      <c r="H186" s="167" t="e">
        <f t="shared" si="33"/>
        <v>#REF!</v>
      </c>
      <c r="I186" s="167" t="e">
        <f t="shared" si="33"/>
        <v>#REF!</v>
      </c>
      <c r="J186" s="167" t="e">
        <f t="shared" si="33"/>
        <v>#REF!</v>
      </c>
      <c r="K186" s="167" t="e">
        <f t="shared" si="33"/>
        <v>#REF!</v>
      </c>
      <c r="L186" s="167" t="e">
        <f t="shared" si="33"/>
        <v>#REF!</v>
      </c>
      <c r="M186" s="167" t="e">
        <f t="shared" si="33"/>
        <v>#REF!</v>
      </c>
      <c r="N186" s="167" t="e">
        <f t="shared" si="33"/>
        <v>#REF!</v>
      </c>
      <c r="O186" s="167" t="e">
        <f t="shared" si="33"/>
        <v>#REF!</v>
      </c>
      <c r="P186" s="167" t="e">
        <f t="shared" si="33"/>
        <v>#REF!</v>
      </c>
      <c r="Q186" s="491"/>
    </row>
    <row r="187" spans="1:17" x14ac:dyDescent="0.2">
      <c r="A187" s="188" t="s">
        <v>147</v>
      </c>
      <c r="B187" s="199"/>
      <c r="C187" s="199"/>
      <c r="D187" s="503" t="e">
        <f t="shared" si="26"/>
        <v>#REF!</v>
      </c>
      <c r="E187" s="170"/>
      <c r="F187" s="170"/>
      <c r="G187" s="170"/>
      <c r="H187" s="170"/>
      <c r="I187" s="170"/>
      <c r="J187" s="170"/>
      <c r="K187" s="170"/>
      <c r="L187" s="170"/>
      <c r="M187" s="170"/>
      <c r="N187" s="170"/>
      <c r="O187" s="170"/>
      <c r="P187" s="170"/>
      <c r="Q187" s="491"/>
    </row>
    <row r="188" spans="1:17" x14ac:dyDescent="0.2">
      <c r="A188" s="282" t="s">
        <v>136</v>
      </c>
      <c r="B188" s="238"/>
      <c r="C188" s="238"/>
      <c r="D188" s="287" t="e">
        <f t="shared" si="26"/>
        <v>#REF!</v>
      </c>
      <c r="E188" s="241" t="e">
        <f t="shared" ref="E188:P188" si="34">SUM(E186:E187)</f>
        <v>#REF!</v>
      </c>
      <c r="F188" s="241" t="e">
        <f t="shared" si="34"/>
        <v>#REF!</v>
      </c>
      <c r="G188" s="241" t="e">
        <f t="shared" si="34"/>
        <v>#REF!</v>
      </c>
      <c r="H188" s="241" t="e">
        <f t="shared" si="34"/>
        <v>#REF!</v>
      </c>
      <c r="I188" s="241" t="e">
        <f t="shared" si="34"/>
        <v>#REF!</v>
      </c>
      <c r="J188" s="241" t="e">
        <f t="shared" si="34"/>
        <v>#REF!</v>
      </c>
      <c r="K188" s="241" t="e">
        <f t="shared" si="34"/>
        <v>#REF!</v>
      </c>
      <c r="L188" s="241" t="e">
        <f t="shared" si="34"/>
        <v>#REF!</v>
      </c>
      <c r="M188" s="241" t="e">
        <f t="shared" si="34"/>
        <v>#REF!</v>
      </c>
      <c r="N188" s="241" t="e">
        <f t="shared" si="34"/>
        <v>#REF!</v>
      </c>
      <c r="O188" s="241" t="e">
        <f t="shared" si="34"/>
        <v>#REF!</v>
      </c>
      <c r="P188" s="241" t="e">
        <f t="shared" si="34"/>
        <v>#REF!</v>
      </c>
      <c r="Q188" s="494"/>
    </row>
    <row r="189" spans="1:17" x14ac:dyDescent="0.2">
      <c r="A189" s="192"/>
      <c r="B189" s="199"/>
      <c r="C189" s="199"/>
      <c r="D189" s="505" t="e">
        <f t="shared" si="26"/>
        <v>#REF!</v>
      </c>
      <c r="E189" s="186" t="e">
        <f t="shared" ref="E189:P189" si="35">E184+E188</f>
        <v>#REF!</v>
      </c>
      <c r="F189" s="186" t="e">
        <f t="shared" si="35"/>
        <v>#REF!</v>
      </c>
      <c r="G189" s="186" t="e">
        <f t="shared" si="35"/>
        <v>#REF!</v>
      </c>
      <c r="H189" s="186" t="e">
        <f t="shared" si="35"/>
        <v>#REF!</v>
      </c>
      <c r="I189" s="186" t="e">
        <f t="shared" si="35"/>
        <v>#REF!</v>
      </c>
      <c r="J189" s="186" t="e">
        <f t="shared" si="35"/>
        <v>#REF!</v>
      </c>
      <c r="K189" s="186" t="e">
        <f t="shared" si="35"/>
        <v>#REF!</v>
      </c>
      <c r="L189" s="186" t="e">
        <f t="shared" si="35"/>
        <v>#REF!</v>
      </c>
      <c r="M189" s="186" t="e">
        <f t="shared" si="35"/>
        <v>#REF!</v>
      </c>
      <c r="N189" s="186" t="e">
        <f t="shared" si="35"/>
        <v>#REF!</v>
      </c>
      <c r="O189" s="186" t="e">
        <f t="shared" si="35"/>
        <v>#REF!</v>
      </c>
      <c r="P189" s="186" t="e">
        <f t="shared" si="35"/>
        <v>#REF!</v>
      </c>
      <c r="Q189" s="166"/>
    </row>
    <row r="190" spans="1:17" x14ac:dyDescent="0.2">
      <c r="A190" s="192"/>
      <c r="B190" s="199"/>
      <c r="C190" s="199"/>
      <c r="D190" s="505">
        <f t="shared" si="26"/>
        <v>0</v>
      </c>
      <c r="E190" s="186"/>
      <c r="F190" s="186"/>
      <c r="G190" s="186"/>
      <c r="H190" s="186"/>
      <c r="I190" s="186"/>
      <c r="J190" s="186"/>
      <c r="K190" s="186"/>
      <c r="L190" s="186"/>
      <c r="M190" s="186"/>
      <c r="N190" s="186"/>
      <c r="O190" s="186"/>
      <c r="P190" s="186"/>
      <c r="Q190" s="166"/>
    </row>
    <row r="191" spans="1:17" x14ac:dyDescent="0.2">
      <c r="A191" s="192" t="s">
        <v>148</v>
      </c>
      <c r="B191" s="199"/>
      <c r="C191" s="199"/>
      <c r="D191" s="505" t="e">
        <f t="shared" si="26"/>
        <v>#REF!</v>
      </c>
      <c r="E191" s="186" t="e">
        <f t="shared" ref="E191:P191" si="36">E174+E184</f>
        <v>#REF!</v>
      </c>
      <c r="F191" s="186" t="e">
        <f t="shared" si="36"/>
        <v>#REF!</v>
      </c>
      <c r="G191" s="186" t="e">
        <f t="shared" si="36"/>
        <v>#REF!</v>
      </c>
      <c r="H191" s="186" t="e">
        <f t="shared" si="36"/>
        <v>#REF!</v>
      </c>
      <c r="I191" s="186" t="e">
        <f t="shared" si="36"/>
        <v>#REF!</v>
      </c>
      <c r="J191" s="186" t="e">
        <f t="shared" si="36"/>
        <v>#REF!</v>
      </c>
      <c r="K191" s="186" t="e">
        <f t="shared" si="36"/>
        <v>#REF!</v>
      </c>
      <c r="L191" s="186" t="e">
        <f t="shared" si="36"/>
        <v>#REF!</v>
      </c>
      <c r="M191" s="186" t="e">
        <f t="shared" si="36"/>
        <v>#REF!</v>
      </c>
      <c r="N191" s="186" t="e">
        <f t="shared" si="36"/>
        <v>#REF!</v>
      </c>
      <c r="O191" s="186" t="e">
        <f t="shared" si="36"/>
        <v>#REF!</v>
      </c>
      <c r="P191" s="186" t="e">
        <f t="shared" si="36"/>
        <v>#REF!</v>
      </c>
      <c r="Q191" s="186"/>
    </row>
    <row r="192" spans="1:17" x14ac:dyDescent="0.2">
      <c r="A192" s="192" t="s">
        <v>149</v>
      </c>
      <c r="B192" s="199"/>
      <c r="C192" s="199"/>
      <c r="D192" s="505" t="e">
        <f t="shared" si="26"/>
        <v>#REF!</v>
      </c>
      <c r="E192" s="186" t="e">
        <f t="shared" ref="E192:P192" si="37">E178+E188</f>
        <v>#REF!</v>
      </c>
      <c r="F192" s="186" t="e">
        <f t="shared" si="37"/>
        <v>#REF!</v>
      </c>
      <c r="G192" s="186" t="e">
        <f t="shared" si="37"/>
        <v>#REF!</v>
      </c>
      <c r="H192" s="186" t="e">
        <f t="shared" si="37"/>
        <v>#REF!</v>
      </c>
      <c r="I192" s="186" t="e">
        <f t="shared" si="37"/>
        <v>#REF!</v>
      </c>
      <c r="J192" s="186" t="e">
        <f t="shared" si="37"/>
        <v>#REF!</v>
      </c>
      <c r="K192" s="186" t="e">
        <f t="shared" si="37"/>
        <v>#REF!</v>
      </c>
      <c r="L192" s="186" t="e">
        <f t="shared" si="37"/>
        <v>#REF!</v>
      </c>
      <c r="M192" s="186" t="e">
        <f t="shared" si="37"/>
        <v>#REF!</v>
      </c>
      <c r="N192" s="186" t="e">
        <f t="shared" si="37"/>
        <v>#REF!</v>
      </c>
      <c r="O192" s="186" t="e">
        <f t="shared" si="37"/>
        <v>#REF!</v>
      </c>
      <c r="P192" s="186" t="e">
        <f t="shared" si="37"/>
        <v>#REF!</v>
      </c>
      <c r="Q192" s="186"/>
    </row>
    <row r="193" spans="1:17" ht="12" thickBot="1" x14ac:dyDescent="0.25">
      <c r="A193" s="300" t="s">
        <v>157</v>
      </c>
      <c r="B193" s="238" t="e">
        <f>SUM(B182:B186)</f>
        <v>#REF!</v>
      </c>
      <c r="C193" s="238" t="e">
        <f>SUM(C182:C186)</f>
        <v>#REF!</v>
      </c>
      <c r="D193" s="506" t="e">
        <f t="shared" si="26"/>
        <v>#REF!</v>
      </c>
      <c r="E193" s="242" t="e">
        <f t="shared" ref="E193:P193" si="38">E179+E189</f>
        <v>#REF!</v>
      </c>
      <c r="F193" s="242" t="e">
        <f t="shared" si="38"/>
        <v>#REF!</v>
      </c>
      <c r="G193" s="242" t="e">
        <f t="shared" si="38"/>
        <v>#REF!</v>
      </c>
      <c r="H193" s="242" t="e">
        <f t="shared" si="38"/>
        <v>#REF!</v>
      </c>
      <c r="I193" s="242" t="e">
        <f t="shared" si="38"/>
        <v>#REF!</v>
      </c>
      <c r="J193" s="242" t="e">
        <f t="shared" si="38"/>
        <v>#REF!</v>
      </c>
      <c r="K193" s="242" t="e">
        <f t="shared" si="38"/>
        <v>#REF!</v>
      </c>
      <c r="L193" s="242" t="e">
        <f t="shared" si="38"/>
        <v>#REF!</v>
      </c>
      <c r="M193" s="242" t="e">
        <f t="shared" si="38"/>
        <v>#REF!</v>
      </c>
      <c r="N193" s="242" t="e">
        <f t="shared" si="38"/>
        <v>#REF!</v>
      </c>
      <c r="O193" s="242" t="e">
        <f t="shared" si="38"/>
        <v>#REF!</v>
      </c>
      <c r="P193" s="242" t="e">
        <f t="shared" si="38"/>
        <v>#REF!</v>
      </c>
      <c r="Q193" s="242"/>
    </row>
    <row r="194" spans="1:17" x14ac:dyDescent="0.2">
      <c r="A194" s="301" t="s">
        <v>108</v>
      </c>
      <c r="B194" s="252" t="e">
        <f>B172+B182</f>
        <v>#REF!</v>
      </c>
      <c r="C194" s="168" t="e">
        <f>C172+C182</f>
        <v>#REF!</v>
      </c>
      <c r="D194" s="505" t="e">
        <f t="shared" si="26"/>
        <v>#REF!</v>
      </c>
      <c r="E194" s="168" t="e">
        <f t="shared" ref="E194:P194" si="39">E191</f>
        <v>#REF!</v>
      </c>
      <c r="F194" s="168" t="e">
        <f t="shared" si="39"/>
        <v>#REF!</v>
      </c>
      <c r="G194" s="168" t="e">
        <f t="shared" si="39"/>
        <v>#REF!</v>
      </c>
      <c r="H194" s="168" t="e">
        <f t="shared" si="39"/>
        <v>#REF!</v>
      </c>
      <c r="I194" s="168" t="e">
        <f t="shared" si="39"/>
        <v>#REF!</v>
      </c>
      <c r="J194" s="168" t="e">
        <f t="shared" si="39"/>
        <v>#REF!</v>
      </c>
      <c r="K194" s="168" t="e">
        <f t="shared" si="39"/>
        <v>#REF!</v>
      </c>
      <c r="L194" s="168" t="e">
        <f t="shared" si="39"/>
        <v>#REF!</v>
      </c>
      <c r="M194" s="168" t="e">
        <f t="shared" si="39"/>
        <v>#REF!</v>
      </c>
      <c r="N194" s="168" t="e">
        <f t="shared" si="39"/>
        <v>#REF!</v>
      </c>
      <c r="O194" s="168" t="e">
        <f t="shared" si="39"/>
        <v>#REF!</v>
      </c>
      <c r="P194" s="168" t="e">
        <f t="shared" si="39"/>
        <v>#REF!</v>
      </c>
      <c r="Q194" s="166"/>
    </row>
    <row r="195" spans="1:17" ht="12" thickBot="1" x14ac:dyDescent="0.25">
      <c r="A195" s="302" t="s">
        <v>156</v>
      </c>
      <c r="B195" s="253" t="e">
        <f>B176+B186</f>
        <v>#REF!</v>
      </c>
      <c r="C195" s="204" t="e">
        <f>C176+C186</f>
        <v>#REF!</v>
      </c>
      <c r="D195" s="507" t="e">
        <f t="shared" si="26"/>
        <v>#REF!</v>
      </c>
      <c r="E195" s="204" t="e">
        <f t="shared" ref="E195:P195" si="40">E192</f>
        <v>#REF!</v>
      </c>
      <c r="F195" s="204" t="e">
        <f t="shared" si="40"/>
        <v>#REF!</v>
      </c>
      <c r="G195" s="204" t="e">
        <f t="shared" si="40"/>
        <v>#REF!</v>
      </c>
      <c r="H195" s="204" t="e">
        <f t="shared" si="40"/>
        <v>#REF!</v>
      </c>
      <c r="I195" s="204" t="e">
        <f t="shared" si="40"/>
        <v>#REF!</v>
      </c>
      <c r="J195" s="204" t="e">
        <f t="shared" si="40"/>
        <v>#REF!</v>
      </c>
      <c r="K195" s="204" t="e">
        <f t="shared" si="40"/>
        <v>#REF!</v>
      </c>
      <c r="L195" s="204" t="e">
        <f t="shared" si="40"/>
        <v>#REF!</v>
      </c>
      <c r="M195" s="204" t="e">
        <f t="shared" si="40"/>
        <v>#REF!</v>
      </c>
      <c r="N195" s="204" t="e">
        <f t="shared" si="40"/>
        <v>#REF!</v>
      </c>
      <c r="O195" s="204" t="e">
        <f t="shared" si="40"/>
        <v>#REF!</v>
      </c>
      <c r="P195" s="204" t="e">
        <f t="shared" si="40"/>
        <v>#REF!</v>
      </c>
      <c r="Q195" s="493"/>
    </row>
    <row r="196" spans="1:17" ht="12" thickBot="1" x14ac:dyDescent="0.25">
      <c r="A196" s="302" t="s">
        <v>157</v>
      </c>
      <c r="B196" s="262" t="e">
        <f>B194+B195</f>
        <v>#REF!</v>
      </c>
      <c r="C196" s="204" t="e">
        <f>C194+C195</f>
        <v>#REF!</v>
      </c>
      <c r="D196" s="507" t="e">
        <f t="shared" si="26"/>
        <v>#REF!</v>
      </c>
      <c r="E196" s="204" t="e">
        <f t="shared" ref="E196:P196" si="41">E194+E195</f>
        <v>#REF!</v>
      </c>
      <c r="F196" s="204" t="e">
        <f t="shared" si="41"/>
        <v>#REF!</v>
      </c>
      <c r="G196" s="204" t="e">
        <f t="shared" si="41"/>
        <v>#REF!</v>
      </c>
      <c r="H196" s="204" t="e">
        <f t="shared" si="41"/>
        <v>#REF!</v>
      </c>
      <c r="I196" s="204" t="e">
        <f t="shared" si="41"/>
        <v>#REF!</v>
      </c>
      <c r="J196" s="204" t="e">
        <f t="shared" si="41"/>
        <v>#REF!</v>
      </c>
      <c r="K196" s="204" t="e">
        <f t="shared" si="41"/>
        <v>#REF!</v>
      </c>
      <c r="L196" s="204" t="e">
        <f t="shared" si="41"/>
        <v>#REF!</v>
      </c>
      <c r="M196" s="204" t="e">
        <f t="shared" si="41"/>
        <v>#REF!</v>
      </c>
      <c r="N196" s="204" t="e">
        <f t="shared" si="41"/>
        <v>#REF!</v>
      </c>
      <c r="O196" s="204" t="e">
        <f t="shared" si="41"/>
        <v>#REF!</v>
      </c>
      <c r="P196" s="204" t="e">
        <f t="shared" si="41"/>
        <v>#REF!</v>
      </c>
      <c r="Q196" s="495"/>
    </row>
    <row r="197" spans="1:17" ht="15.75" x14ac:dyDescent="0.25">
      <c r="A197" s="174"/>
      <c r="B197" s="247"/>
      <c r="C197" s="205"/>
      <c r="D197" s="245">
        <f t="shared" si="26"/>
        <v>0</v>
      </c>
      <c r="E197" s="202"/>
      <c r="F197" s="202"/>
      <c r="G197" s="297"/>
      <c r="H197" s="297"/>
      <c r="J197" s="297"/>
      <c r="L197" s="297"/>
      <c r="M197" s="297"/>
      <c r="N197" s="299"/>
      <c r="P197" s="299"/>
    </row>
    <row r="198" spans="1:17" ht="15.75" x14ac:dyDescent="0.25">
      <c r="A198" s="169" t="s">
        <v>109</v>
      </c>
      <c r="B198" s="244"/>
      <c r="C198" s="205"/>
      <c r="D198" s="217">
        <f t="shared" si="26"/>
        <v>0</v>
      </c>
      <c r="E198" s="168"/>
      <c r="F198" s="168"/>
      <c r="G198" s="309"/>
      <c r="H198" s="173"/>
      <c r="J198" s="173"/>
      <c r="L198" s="173"/>
      <c r="M198" s="173"/>
      <c r="N198" s="166"/>
      <c r="P198" s="166"/>
    </row>
    <row r="199" spans="1:17" ht="15.75" x14ac:dyDescent="0.25">
      <c r="A199" s="171" t="s">
        <v>110</v>
      </c>
      <c r="B199" s="216"/>
      <c r="C199" s="205"/>
      <c r="D199" s="245">
        <f t="shared" si="26"/>
        <v>0</v>
      </c>
      <c r="E199" s="168"/>
      <c r="F199" s="168"/>
      <c r="G199" s="310"/>
      <c r="H199" s="173"/>
      <c r="J199" s="173"/>
      <c r="L199" s="173"/>
      <c r="M199" s="173"/>
      <c r="N199" s="166"/>
      <c r="P199" s="166"/>
    </row>
    <row r="200" spans="1:17" x14ac:dyDescent="0.2">
      <c r="A200" s="175" t="s">
        <v>155</v>
      </c>
      <c r="B200" s="248"/>
      <c r="C200" s="176"/>
      <c r="D200" s="168" t="e">
        <f t="shared" si="26"/>
        <v>#REF!</v>
      </c>
      <c r="E200" s="168" t="e">
        <f>E194</f>
        <v>#REF!</v>
      </c>
      <c r="F200" s="168" t="e">
        <f t="shared" ref="F200:P200" si="42">F194</f>
        <v>#REF!</v>
      </c>
      <c r="G200" s="168" t="e">
        <f t="shared" si="42"/>
        <v>#REF!</v>
      </c>
      <c r="H200" s="168" t="e">
        <f t="shared" si="42"/>
        <v>#REF!</v>
      </c>
      <c r="I200" s="258" t="e">
        <f t="shared" si="42"/>
        <v>#REF!</v>
      </c>
      <c r="J200" s="168" t="e">
        <f t="shared" si="42"/>
        <v>#REF!</v>
      </c>
      <c r="K200" s="258" t="e">
        <f t="shared" si="42"/>
        <v>#REF!</v>
      </c>
      <c r="L200" s="168" t="e">
        <f t="shared" si="42"/>
        <v>#REF!</v>
      </c>
      <c r="M200" s="168" t="e">
        <f t="shared" si="42"/>
        <v>#REF!</v>
      </c>
      <c r="N200" s="168" t="e">
        <f t="shared" si="42"/>
        <v>#REF!</v>
      </c>
      <c r="O200" s="258" t="e">
        <f t="shared" si="42"/>
        <v>#REF!</v>
      </c>
      <c r="P200" s="168" t="e">
        <f t="shared" si="42"/>
        <v>#REF!</v>
      </c>
    </row>
    <row r="201" spans="1:17" x14ac:dyDescent="0.2">
      <c r="A201" s="175"/>
      <c r="B201" s="248"/>
      <c r="C201" s="176"/>
      <c r="D201" s="245">
        <f t="shared" si="26"/>
        <v>0</v>
      </c>
      <c r="E201" s="168"/>
      <c r="F201" s="168"/>
      <c r="G201" s="168"/>
      <c r="H201" s="168"/>
      <c r="I201" s="258"/>
      <c r="J201" s="168"/>
      <c r="K201" s="258"/>
      <c r="L201" s="168"/>
      <c r="M201" s="168"/>
      <c r="N201" s="168"/>
      <c r="O201" s="258"/>
      <c r="P201" s="168"/>
    </row>
    <row r="202" spans="1:17" x14ac:dyDescent="0.2">
      <c r="A202" s="175" t="s">
        <v>158</v>
      </c>
      <c r="B202" s="248"/>
      <c r="C202" s="176"/>
      <c r="D202" s="511">
        <f t="shared" si="26"/>
        <v>788.5710716267713</v>
      </c>
      <c r="E202" s="168">
        <f t="shared" ref="E202:O202" si="43">D202</f>
        <v>788.5710716267713</v>
      </c>
      <c r="F202" s="168">
        <f t="shared" si="43"/>
        <v>788.5710716267713</v>
      </c>
      <c r="G202" s="168">
        <f t="shared" si="43"/>
        <v>788.5710716267713</v>
      </c>
      <c r="H202" s="168">
        <f t="shared" si="43"/>
        <v>788.5710716267713</v>
      </c>
      <c r="I202" s="258">
        <f t="shared" si="43"/>
        <v>788.5710716267713</v>
      </c>
      <c r="J202" s="168">
        <f t="shared" si="43"/>
        <v>788.5710716267713</v>
      </c>
      <c r="K202" s="168">
        <f t="shared" si="43"/>
        <v>788.5710716267713</v>
      </c>
      <c r="L202" s="168">
        <f t="shared" si="43"/>
        <v>788.5710716267713</v>
      </c>
      <c r="M202" s="168">
        <f t="shared" si="43"/>
        <v>788.5710716267713</v>
      </c>
      <c r="N202" s="168">
        <f t="shared" si="43"/>
        <v>788.5710716267713</v>
      </c>
      <c r="O202" s="168">
        <f t="shared" si="43"/>
        <v>788.5710716267713</v>
      </c>
      <c r="P202" s="168">
        <f>L202</f>
        <v>788.5710716267713</v>
      </c>
    </row>
    <row r="203" spans="1:17" x14ac:dyDescent="0.2">
      <c r="A203" s="175"/>
      <c r="B203" s="248"/>
      <c r="C203" s="176"/>
      <c r="D203" s="511">
        <f t="shared" si="26"/>
        <v>0</v>
      </c>
      <c r="E203" s="168"/>
      <c r="F203" s="168"/>
      <c r="G203" s="168"/>
      <c r="H203" s="168"/>
      <c r="I203" s="258"/>
      <c r="J203" s="168"/>
      <c r="K203" s="258"/>
      <c r="L203" s="168"/>
      <c r="M203" s="168"/>
      <c r="N203" s="168"/>
      <c r="O203" s="258"/>
      <c r="P203" s="168"/>
    </row>
    <row r="204" spans="1:17" x14ac:dyDescent="0.2">
      <c r="A204" s="175" t="s">
        <v>111</v>
      </c>
      <c r="B204" s="248"/>
      <c r="C204" s="176"/>
      <c r="D204" s="313" t="e">
        <f t="shared" si="26"/>
        <v>#REF!</v>
      </c>
      <c r="E204" s="313" t="e">
        <f t="shared" ref="E204:P204" si="44">D200*0.0147/12</f>
        <v>#REF!</v>
      </c>
      <c r="F204" s="313" t="e">
        <f t="shared" si="44"/>
        <v>#REF!</v>
      </c>
      <c r="G204" s="313" t="e">
        <f t="shared" si="44"/>
        <v>#REF!</v>
      </c>
      <c r="H204" s="313" t="e">
        <f t="shared" si="44"/>
        <v>#REF!</v>
      </c>
      <c r="I204" s="313" t="e">
        <f t="shared" si="44"/>
        <v>#REF!</v>
      </c>
      <c r="J204" s="313" t="e">
        <f t="shared" si="44"/>
        <v>#REF!</v>
      </c>
      <c r="K204" s="313" t="e">
        <f t="shared" si="44"/>
        <v>#REF!</v>
      </c>
      <c r="L204" s="313" t="e">
        <f t="shared" si="44"/>
        <v>#REF!</v>
      </c>
      <c r="M204" s="313" t="e">
        <f t="shared" si="44"/>
        <v>#REF!</v>
      </c>
      <c r="N204" s="313" t="e">
        <f t="shared" si="44"/>
        <v>#REF!</v>
      </c>
      <c r="O204" s="313" t="e">
        <f t="shared" si="44"/>
        <v>#REF!</v>
      </c>
      <c r="P204" s="313" t="e">
        <f t="shared" si="44"/>
        <v>#REF!</v>
      </c>
    </row>
    <row r="205" spans="1:17" x14ac:dyDescent="0.2">
      <c r="A205" s="176" t="s">
        <v>112</v>
      </c>
      <c r="B205" s="248"/>
      <c r="C205" s="176"/>
      <c r="D205" s="511" t="e">
        <f t="shared" si="26"/>
        <v>#REF!</v>
      </c>
      <c r="E205" s="168" t="e">
        <f t="shared" ref="E205:P205" si="45">D205+E204</f>
        <v>#REF!</v>
      </c>
      <c r="F205" s="168" t="e">
        <f t="shared" si="45"/>
        <v>#REF!</v>
      </c>
      <c r="G205" s="168" t="e">
        <f t="shared" si="45"/>
        <v>#REF!</v>
      </c>
      <c r="H205" s="168" t="e">
        <f t="shared" si="45"/>
        <v>#REF!</v>
      </c>
      <c r="I205" s="258" t="e">
        <f t="shared" si="45"/>
        <v>#REF!</v>
      </c>
      <c r="J205" s="168" t="e">
        <f t="shared" si="45"/>
        <v>#REF!</v>
      </c>
      <c r="K205" s="258" t="e">
        <f t="shared" si="45"/>
        <v>#REF!</v>
      </c>
      <c r="L205" s="168" t="e">
        <f t="shared" si="45"/>
        <v>#REF!</v>
      </c>
      <c r="M205" s="168" t="e">
        <f t="shared" si="45"/>
        <v>#REF!</v>
      </c>
      <c r="N205" s="168" t="e">
        <f t="shared" si="45"/>
        <v>#REF!</v>
      </c>
      <c r="O205" s="258" t="e">
        <f t="shared" si="45"/>
        <v>#REF!</v>
      </c>
      <c r="P205" s="168" t="e">
        <f t="shared" si="45"/>
        <v>#REF!</v>
      </c>
    </row>
    <row r="206" spans="1:17" ht="12" thickBot="1" x14ac:dyDescent="0.25">
      <c r="A206" s="177" t="s">
        <v>113</v>
      </c>
      <c r="B206" s="249"/>
      <c r="C206" s="207"/>
      <c r="D206" s="508" t="e">
        <f t="shared" si="26"/>
        <v>#REF!</v>
      </c>
      <c r="E206" s="208" t="e">
        <f>E196+E202+E205</f>
        <v>#REF!</v>
      </c>
      <c r="F206" s="208" t="e">
        <f t="shared" ref="F206:P206" si="46">F196+F202+F205</f>
        <v>#REF!</v>
      </c>
      <c r="G206" s="208" t="e">
        <f t="shared" si="46"/>
        <v>#REF!</v>
      </c>
      <c r="H206" s="208" t="e">
        <f t="shared" si="46"/>
        <v>#REF!</v>
      </c>
      <c r="I206" s="263" t="e">
        <f t="shared" si="46"/>
        <v>#REF!</v>
      </c>
      <c r="J206" s="208" t="e">
        <f t="shared" si="46"/>
        <v>#REF!</v>
      </c>
      <c r="K206" s="263" t="e">
        <f t="shared" si="46"/>
        <v>#REF!</v>
      </c>
      <c r="L206" s="208" t="e">
        <f t="shared" si="46"/>
        <v>#REF!</v>
      </c>
      <c r="M206" s="208" t="e">
        <f t="shared" si="46"/>
        <v>#REF!</v>
      </c>
      <c r="N206" s="208" t="e">
        <f t="shared" si="46"/>
        <v>#REF!</v>
      </c>
      <c r="O206" s="263" t="e">
        <f t="shared" si="46"/>
        <v>#REF!</v>
      </c>
      <c r="P206" s="208" t="e">
        <f t="shared" si="46"/>
        <v>#REF!</v>
      </c>
    </row>
    <row r="207" spans="1:17" x14ac:dyDescent="0.2">
      <c r="A207" s="178" t="s">
        <v>114</v>
      </c>
      <c r="B207" s="250"/>
      <c r="C207" s="209"/>
      <c r="D207" s="509">
        <f t="shared" si="26"/>
        <v>-2315480.0399999996</v>
      </c>
      <c r="E207" s="509">
        <v>0</v>
      </c>
      <c r="F207" s="210">
        <v>0</v>
      </c>
      <c r="G207" s="210">
        <v>0</v>
      </c>
      <c r="H207" s="210"/>
      <c r="I207" s="296"/>
      <c r="J207" s="210"/>
      <c r="K207" s="296"/>
      <c r="L207" s="210"/>
      <c r="M207" s="210"/>
      <c r="N207" s="210"/>
      <c r="O207" s="296"/>
      <c r="P207" s="210"/>
    </row>
    <row r="208" spans="1:17" ht="12" thickBot="1" x14ac:dyDescent="0.25">
      <c r="A208" s="179" t="s">
        <v>115</v>
      </c>
      <c r="B208" s="251"/>
      <c r="C208" s="211"/>
      <c r="D208" s="510" t="e">
        <f t="shared" si="26"/>
        <v>#REF!</v>
      </c>
      <c r="E208" s="510" t="e">
        <f t="shared" ref="E208:P208" si="47">+E206-E207</f>
        <v>#REF!</v>
      </c>
      <c r="F208" s="212" t="e">
        <f t="shared" si="47"/>
        <v>#REF!</v>
      </c>
      <c r="G208" s="212" t="e">
        <f t="shared" si="47"/>
        <v>#REF!</v>
      </c>
      <c r="H208" s="212" t="e">
        <f t="shared" si="47"/>
        <v>#REF!</v>
      </c>
      <c r="I208" s="499" t="e">
        <f t="shared" si="47"/>
        <v>#REF!</v>
      </c>
      <c r="J208" s="212" t="e">
        <f t="shared" si="47"/>
        <v>#REF!</v>
      </c>
      <c r="K208" s="264" t="e">
        <f t="shared" si="47"/>
        <v>#REF!</v>
      </c>
      <c r="L208" s="212" t="e">
        <f t="shared" si="47"/>
        <v>#REF!</v>
      </c>
      <c r="M208" s="212" t="e">
        <f t="shared" si="47"/>
        <v>#REF!</v>
      </c>
      <c r="N208" s="212" t="e">
        <f t="shared" si="47"/>
        <v>#REF!</v>
      </c>
      <c r="O208" s="264" t="e">
        <f t="shared" si="47"/>
        <v>#REF!</v>
      </c>
      <c r="P208" s="212" t="e">
        <f t="shared" si="47"/>
        <v>#REF!</v>
      </c>
    </row>
    <row r="209" spans="1:16" x14ac:dyDescent="0.2">
      <c r="I209" s="215"/>
      <c r="J209" s="215"/>
      <c r="K209" s="215"/>
      <c r="L209" s="215"/>
      <c r="P209" s="352"/>
    </row>
    <row r="210" spans="1:16" hidden="1" x14ac:dyDescent="0.2">
      <c r="D210" s="163" t="s">
        <v>116</v>
      </c>
      <c r="E210" s="180">
        <v>-227.82539952109005</v>
      </c>
      <c r="F210" s="180">
        <v>-18368.492315645293</v>
      </c>
      <c r="I210" s="215"/>
      <c r="J210" s="215"/>
      <c r="K210" s="215"/>
      <c r="L210" s="215"/>
    </row>
    <row r="211" spans="1:16" hidden="1" x14ac:dyDescent="0.2">
      <c r="D211" s="163" t="s">
        <v>117</v>
      </c>
      <c r="E211" s="203">
        <v>-227.82539952109005</v>
      </c>
      <c r="F211" s="203">
        <v>-25913.321182094562</v>
      </c>
      <c r="I211" s="215"/>
      <c r="J211" s="215"/>
      <c r="K211" s="215"/>
      <c r="L211" s="215"/>
    </row>
    <row r="212" spans="1:16" ht="12" hidden="1" thickBot="1" x14ac:dyDescent="0.25">
      <c r="E212" s="213">
        <v>0</v>
      </c>
      <c r="F212" s="213">
        <v>-7544.8288664492684</v>
      </c>
      <c r="I212" s="215"/>
      <c r="J212" s="215"/>
      <c r="K212" s="215"/>
      <c r="L212" s="215"/>
    </row>
    <row r="213" spans="1:16" ht="12" hidden="1" thickTop="1" x14ac:dyDescent="0.2">
      <c r="I213" s="215"/>
      <c r="J213" s="215"/>
      <c r="K213" s="215"/>
      <c r="L213" s="215"/>
    </row>
    <row r="214" spans="1:16" x14ac:dyDescent="0.2">
      <c r="I214" s="215"/>
      <c r="J214" s="215"/>
      <c r="K214" s="215"/>
      <c r="L214" s="215"/>
    </row>
    <row r="215" spans="1:16" x14ac:dyDescent="0.2">
      <c r="I215" s="215"/>
      <c r="J215" s="215"/>
      <c r="K215" s="215"/>
      <c r="L215" s="215"/>
    </row>
    <row r="216" spans="1:16" x14ac:dyDescent="0.2">
      <c r="A216" s="181" t="s">
        <v>118</v>
      </c>
      <c r="B216" s="214"/>
      <c r="C216" s="214"/>
      <c r="D216" s="215"/>
      <c r="F216" s="189"/>
      <c r="G216" s="206"/>
      <c r="I216" s="215"/>
      <c r="J216" s="215" t="s">
        <v>173</v>
      </c>
      <c r="K216" s="696" t="e">
        <f>J200*0.0147/12</f>
        <v>#REF!</v>
      </c>
      <c r="L216" s="215"/>
      <c r="P216" s="715">
        <v>-278452.76</v>
      </c>
    </row>
    <row r="217" spans="1:16" ht="12" thickBot="1" x14ac:dyDescent="0.25">
      <c r="A217" s="182"/>
      <c r="B217" s="215"/>
      <c r="C217" s="215"/>
      <c r="D217" s="215"/>
      <c r="F217" s="276"/>
      <c r="G217" s="206"/>
      <c r="I217" s="215"/>
      <c r="J217" s="215" t="s">
        <v>174</v>
      </c>
      <c r="K217" s="497">
        <v>4921.0689867294122</v>
      </c>
      <c r="L217" s="215"/>
      <c r="P217" s="715">
        <v>-2142751.96</v>
      </c>
    </row>
    <row r="218" spans="1:16" ht="16.5" thickBot="1" x14ac:dyDescent="0.3">
      <c r="A218" s="182" t="s">
        <v>121</v>
      </c>
      <c r="B218" s="265" t="s">
        <v>119</v>
      </c>
      <c r="C218" s="266"/>
      <c r="D218" s="266"/>
      <c r="E218" s="500"/>
      <c r="F218" s="517"/>
      <c r="I218" s="215"/>
      <c r="J218" s="215" t="s">
        <v>175</v>
      </c>
      <c r="K218" s="215"/>
      <c r="L218" s="215"/>
      <c r="P218" s="715">
        <v>105724.68</v>
      </c>
    </row>
    <row r="219" spans="1:16" ht="12.75" x14ac:dyDescent="0.2">
      <c r="A219" s="182"/>
      <c r="B219" s="185"/>
      <c r="C219" s="716" t="s">
        <v>467</v>
      </c>
      <c r="D219" s="717" t="s">
        <v>468</v>
      </c>
      <c r="E219" s="716" t="s">
        <v>469</v>
      </c>
      <c r="F219" s="716" t="s">
        <v>470</v>
      </c>
      <c r="I219" s="215"/>
      <c r="J219" s="215" t="s">
        <v>176</v>
      </c>
      <c r="K219" s="498" t="e">
        <f>K216-K217</f>
        <v>#REF!</v>
      </c>
      <c r="L219" s="215"/>
    </row>
    <row r="220" spans="1:16" ht="13.5" thickBot="1" x14ac:dyDescent="0.25">
      <c r="A220" s="182" t="s">
        <v>126</v>
      </c>
      <c r="B220" s="152"/>
      <c r="C220" s="269" t="s">
        <v>125</v>
      </c>
      <c r="D220" s="324" t="s">
        <v>122</v>
      </c>
      <c r="E220" s="269" t="s">
        <v>123</v>
      </c>
      <c r="F220" s="269" t="s">
        <v>124</v>
      </c>
      <c r="I220" s="215"/>
      <c r="J220" s="215"/>
      <c r="K220" s="215"/>
      <c r="L220" s="215"/>
    </row>
    <row r="221" spans="1:16" ht="12.75" x14ac:dyDescent="0.2">
      <c r="A221" s="182" t="s">
        <v>128</v>
      </c>
      <c r="B221" s="144" t="s">
        <v>127</v>
      </c>
      <c r="C221" s="270">
        <f>SUM(E173:G173)+SUM(E183:G183)+SUM(E177:G177)+SUM(E187:G187)</f>
        <v>0</v>
      </c>
      <c r="D221" s="270">
        <f>SUM(H173:J173)+SUM(H183:J183)+SUM(H177:J177)+SUM(H187:J187)</f>
        <v>0</v>
      </c>
      <c r="E221" s="270">
        <f>SUM(K173:M173)+SUM(K183:M183)+SUM(K177:M177)+SUM(K187:M187)</f>
        <v>0</v>
      </c>
      <c r="F221" s="697">
        <f>SUM(N173:P173)+SUM(N183:P183)</f>
        <v>0</v>
      </c>
      <c r="I221" s="215"/>
      <c r="J221" s="215"/>
      <c r="K221" s="215"/>
      <c r="L221" s="215"/>
    </row>
    <row r="222" spans="1:16" ht="12.75" x14ac:dyDescent="0.2">
      <c r="A222" s="182" t="s">
        <v>131</v>
      </c>
      <c r="B222" s="144" t="s">
        <v>129</v>
      </c>
      <c r="C222" s="271" t="e">
        <f>G174+G184+G178+G188</f>
        <v>#REF!</v>
      </c>
      <c r="D222" s="271" t="e">
        <f>J174+J184+J178+J188</f>
        <v>#REF!</v>
      </c>
      <c r="E222" s="271" t="e">
        <f>M174+M184+M178+M188</f>
        <v>#REF!</v>
      </c>
      <c r="F222" s="709" t="e">
        <f>P174+P184</f>
        <v>#REF!</v>
      </c>
      <c r="G222" s="518" t="e">
        <f>C222-G196</f>
        <v>#REF!</v>
      </c>
    </row>
    <row r="223" spans="1:16" ht="12.75" x14ac:dyDescent="0.2">
      <c r="A223" s="182" t="s">
        <v>133</v>
      </c>
      <c r="B223" s="144" t="s">
        <v>132</v>
      </c>
      <c r="C223" s="270" t="e">
        <f>SUM(E204:G204)</f>
        <v>#REF!</v>
      </c>
      <c r="D223" s="270" t="e">
        <f>SUM(H204:J204)</f>
        <v>#REF!</v>
      </c>
      <c r="E223" s="270" t="e">
        <f>SUM(K204:M204)</f>
        <v>#REF!</v>
      </c>
      <c r="F223" s="697" t="e">
        <f>SUM(N177:P177)+SUM(N187:P187)+SUM(N204:P204)</f>
        <v>#REF!</v>
      </c>
    </row>
    <row r="224" spans="1:16" ht="13.5" thickBot="1" x14ac:dyDescent="0.25">
      <c r="A224" s="182" t="s">
        <v>135</v>
      </c>
      <c r="B224" s="152" t="s">
        <v>134</v>
      </c>
      <c r="C224" s="272" t="e">
        <f>G205+G202</f>
        <v>#REF!</v>
      </c>
      <c r="D224" s="272" t="e">
        <f>J205+J202</f>
        <v>#REF!</v>
      </c>
      <c r="E224" s="272" t="e">
        <f>M205+M202</f>
        <v>#REF!</v>
      </c>
      <c r="F224" s="710" t="e">
        <f>P178+P188+P205+P202</f>
        <v>#REF!</v>
      </c>
    </row>
    <row r="225" spans="1:7" ht="13.5" thickBot="1" x14ac:dyDescent="0.25">
      <c r="A225" s="182" t="s">
        <v>137</v>
      </c>
      <c r="B225" s="273" t="s">
        <v>136</v>
      </c>
      <c r="C225" s="274" t="e">
        <f>C222+C224</f>
        <v>#REF!</v>
      </c>
      <c r="D225" s="698" t="e">
        <f>D222+D224</f>
        <v>#REF!</v>
      </c>
      <c r="E225" s="698" t="e">
        <f>E222+E224</f>
        <v>#REF!</v>
      </c>
      <c r="F225" s="698" t="e">
        <f>F222+F224</f>
        <v>#REF!</v>
      </c>
    </row>
    <row r="226" spans="1:7" ht="13.5" thickBot="1" x14ac:dyDescent="0.25">
      <c r="A226" s="182" t="s">
        <v>139</v>
      </c>
      <c r="B226" s="273" t="s">
        <v>138</v>
      </c>
      <c r="C226" s="275" t="e">
        <f>C225-G206</f>
        <v>#REF!</v>
      </c>
      <c r="D226" s="699" t="e">
        <f>D221+D223+C226</f>
        <v>#REF!</v>
      </c>
      <c r="E226" s="699" t="e">
        <f>E221+E223+D226</f>
        <v>#REF!</v>
      </c>
      <c r="F226" s="699" t="e">
        <f>F221+F223+E226</f>
        <v>#REF!</v>
      </c>
    </row>
    <row r="227" spans="1:7" ht="12" thickBot="1" x14ac:dyDescent="0.25">
      <c r="B227" s="219" t="s">
        <v>163</v>
      </c>
      <c r="C227" s="308" t="e">
        <f>C225-C226</f>
        <v>#REF!</v>
      </c>
      <c r="D227" s="700" t="e">
        <f>J207-D225</f>
        <v>#REF!</v>
      </c>
      <c r="E227" s="700" t="e">
        <f>M207-E225</f>
        <v>#REF!</v>
      </c>
      <c r="F227" s="700" t="e">
        <f>P207-F225</f>
        <v>#REF!</v>
      </c>
      <c r="G227" s="206"/>
    </row>
    <row r="228" spans="1:7" ht="12" thickBot="1" x14ac:dyDescent="0.25">
      <c r="B228" s="219" t="s">
        <v>164</v>
      </c>
      <c r="C228" s="308" t="e">
        <f>C226-G207</f>
        <v>#REF!</v>
      </c>
      <c r="D228" s="700" t="e">
        <f>D226-J207</f>
        <v>#REF!</v>
      </c>
      <c r="E228" s="700" t="e">
        <f>E226-M207</f>
        <v>#REF!</v>
      </c>
      <c r="F228" s="700" t="e">
        <f>F226-P207</f>
        <v>#REF!</v>
      </c>
      <c r="G228" s="206"/>
    </row>
    <row r="229" spans="1:7" ht="12.75" x14ac:dyDescent="0.2">
      <c r="B229" s="185"/>
      <c r="C229" s="716" t="s">
        <v>467</v>
      </c>
      <c r="D229" s="717" t="s">
        <v>468</v>
      </c>
      <c r="E229" s="716" t="s">
        <v>469</v>
      </c>
      <c r="F229" s="716" t="s">
        <v>470</v>
      </c>
    </row>
    <row r="230" spans="1:7" ht="13.5" thickBot="1" x14ac:dyDescent="0.25">
      <c r="B230" s="152"/>
      <c r="C230" s="269" t="s">
        <v>125</v>
      </c>
      <c r="D230" s="701" t="s">
        <v>122</v>
      </c>
      <c r="E230" s="706" t="s">
        <v>123</v>
      </c>
      <c r="F230" s="711" t="s">
        <v>124</v>
      </c>
    </row>
    <row r="231" spans="1:7" ht="12.75" x14ac:dyDescent="0.2">
      <c r="B231" s="144" t="s">
        <v>127</v>
      </c>
      <c r="C231" s="270">
        <v>0</v>
      </c>
      <c r="D231" s="702">
        <v>0</v>
      </c>
      <c r="E231" s="702">
        <v>0</v>
      </c>
      <c r="F231" s="702">
        <v>0</v>
      </c>
    </row>
    <row r="232" spans="1:7" ht="12.75" x14ac:dyDescent="0.2">
      <c r="B232" s="144" t="s">
        <v>129</v>
      </c>
      <c r="C232" s="270">
        <v>-147786.59737418004</v>
      </c>
      <c r="D232" s="703">
        <v>-147786.59737418004</v>
      </c>
      <c r="E232" s="703">
        <v>-147786.59737418004</v>
      </c>
      <c r="F232" s="703">
        <v>-147786.59737418004</v>
      </c>
    </row>
    <row r="233" spans="1:7" ht="12.75" x14ac:dyDescent="0.2">
      <c r="B233" s="144" t="s">
        <v>132</v>
      </c>
      <c r="C233" s="270">
        <v>-543.11574535011164</v>
      </c>
      <c r="D233" s="702">
        <v>-543.11574535011164</v>
      </c>
      <c r="E233" s="702">
        <v>-543.11574535011164</v>
      </c>
      <c r="F233" s="702">
        <v>-543.11574535011164</v>
      </c>
    </row>
    <row r="234" spans="1:7" ht="13.5" thickBot="1" x14ac:dyDescent="0.25">
      <c r="B234" s="152" t="s">
        <v>134</v>
      </c>
      <c r="C234" s="270">
        <v>-133199.27188249861</v>
      </c>
      <c r="D234" s="270">
        <v>-133742.38762784869</v>
      </c>
      <c r="E234" s="702">
        <v>-134285.50337319876</v>
      </c>
      <c r="F234" s="702">
        <v>-134828.61911854884</v>
      </c>
    </row>
    <row r="235" spans="1:7" ht="13.5" thickBot="1" x14ac:dyDescent="0.25">
      <c r="B235" s="675" t="s">
        <v>136</v>
      </c>
      <c r="C235" s="688">
        <v>-280985.86925667862</v>
      </c>
      <c r="D235" s="688">
        <v>-281528.98500202876</v>
      </c>
      <c r="E235" s="688">
        <v>-282072.10074737878</v>
      </c>
      <c r="F235" s="704">
        <v>-282615.21649272891</v>
      </c>
    </row>
    <row r="236" spans="1:7" ht="12.75" x14ac:dyDescent="0.2">
      <c r="B236" s="185"/>
      <c r="C236" s="268" t="s">
        <v>401</v>
      </c>
      <c r="D236" s="323" t="s">
        <v>402</v>
      </c>
      <c r="E236" s="268" t="s">
        <v>403</v>
      </c>
      <c r="F236" s="268" t="s">
        <v>404</v>
      </c>
    </row>
    <row r="237" spans="1:7" ht="13.5" thickBot="1" x14ac:dyDescent="0.25">
      <c r="B237" s="152"/>
      <c r="C237" s="269" t="s">
        <v>125</v>
      </c>
      <c r="D237" s="701" t="s">
        <v>122</v>
      </c>
      <c r="E237" s="706" t="s">
        <v>123</v>
      </c>
      <c r="F237" s="711" t="s">
        <v>124</v>
      </c>
    </row>
    <row r="238" spans="1:7" ht="12.75" x14ac:dyDescent="0.2">
      <c r="B238" s="144" t="s">
        <v>127</v>
      </c>
      <c r="C238" s="270">
        <f t="shared" ref="C238:F242" si="48">C221+C231</f>
        <v>0</v>
      </c>
      <c r="D238" s="270">
        <f t="shared" si="48"/>
        <v>0</v>
      </c>
      <c r="E238" s="270">
        <f t="shared" si="48"/>
        <v>0</v>
      </c>
      <c r="F238" s="270">
        <f t="shared" si="48"/>
        <v>0</v>
      </c>
    </row>
    <row r="239" spans="1:7" ht="12.75" x14ac:dyDescent="0.2">
      <c r="B239" s="144" t="s">
        <v>129</v>
      </c>
      <c r="C239" s="270" t="e">
        <f t="shared" si="48"/>
        <v>#REF!</v>
      </c>
      <c r="D239" s="270" t="e">
        <f t="shared" si="48"/>
        <v>#REF!</v>
      </c>
      <c r="E239" s="270" t="e">
        <f t="shared" si="48"/>
        <v>#REF!</v>
      </c>
      <c r="F239" s="270" t="e">
        <f t="shared" si="48"/>
        <v>#REF!</v>
      </c>
    </row>
    <row r="240" spans="1:7" ht="12.75" x14ac:dyDescent="0.2">
      <c r="B240" s="144" t="s">
        <v>132</v>
      </c>
      <c r="C240" s="270" t="e">
        <f t="shared" si="48"/>
        <v>#REF!</v>
      </c>
      <c r="D240" s="270" t="e">
        <f t="shared" si="48"/>
        <v>#REF!</v>
      </c>
      <c r="E240" s="270" t="e">
        <f t="shared" si="48"/>
        <v>#REF!</v>
      </c>
      <c r="F240" s="270" t="e">
        <f t="shared" si="48"/>
        <v>#REF!</v>
      </c>
    </row>
    <row r="241" spans="2:8" ht="13.5" thickBot="1" x14ac:dyDescent="0.25">
      <c r="B241" s="152" t="s">
        <v>134</v>
      </c>
      <c r="C241" s="272" t="e">
        <f t="shared" si="48"/>
        <v>#REF!</v>
      </c>
      <c r="D241" s="272" t="e">
        <f t="shared" si="48"/>
        <v>#REF!</v>
      </c>
      <c r="E241" s="272" t="e">
        <f t="shared" si="48"/>
        <v>#REF!</v>
      </c>
      <c r="F241" s="272" t="e">
        <f t="shared" si="48"/>
        <v>#REF!</v>
      </c>
    </row>
    <row r="242" spans="2:8" ht="13.5" thickBot="1" x14ac:dyDescent="0.25">
      <c r="B242" s="675" t="s">
        <v>136</v>
      </c>
      <c r="C242" s="272" t="e">
        <f t="shared" si="48"/>
        <v>#REF!</v>
      </c>
      <c r="D242" s="272" t="e">
        <f t="shared" si="48"/>
        <v>#REF!</v>
      </c>
      <c r="E242" s="272" t="e">
        <f t="shared" si="48"/>
        <v>#REF!</v>
      </c>
      <c r="F242" s="272" t="e">
        <f t="shared" si="48"/>
        <v>#REF!</v>
      </c>
      <c r="G242" s="708" t="e">
        <f>E239+E241-E242</f>
        <v>#REF!</v>
      </c>
      <c r="H242" s="708" t="e">
        <f>D242+E238+E240-E242</f>
        <v>#REF!</v>
      </c>
    </row>
    <row r="243" spans="2:8" ht="12" thickBot="1" x14ac:dyDescent="0.25">
      <c r="B243" s="219" t="s">
        <v>163</v>
      </c>
      <c r="C243" s="689" t="e">
        <f>'1595 May 1, 2008'!T242+'1595 Continuity 2011'!C226-'1595 Continuity 2011'!C242</f>
        <v>#REF!</v>
      </c>
      <c r="D243" s="705">
        <v>-2.3349141702055931E-2</v>
      </c>
      <c r="E243" s="707">
        <v>-2.9195970855653286E-2</v>
      </c>
      <c r="F243" s="712">
        <v>0.13044949900358915</v>
      </c>
    </row>
    <row r="244" spans="2:8" ht="12" thickBot="1" x14ac:dyDescent="0.25">
      <c r="B244" s="219" t="s">
        <v>164</v>
      </c>
      <c r="C244" s="689">
        <v>-0.30378738790750504</v>
      </c>
      <c r="D244" s="705">
        <v>2.3349147289991379E-2</v>
      </c>
      <c r="E244" s="695">
        <v>2.9195975512266159E-2</v>
      </c>
      <c r="F244" s="712">
        <v>-0.13044949434697628</v>
      </c>
    </row>
  </sheetData>
  <phoneticPr fontId="18" type="noConversion"/>
  <pageMargins left="0" right="0" top="0" bottom="0" header="0.51181102362204722" footer="0.51181102362204722"/>
  <pageSetup scale="48" orientation="landscape"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0"/>
  <dimension ref="A1:AH170"/>
  <sheetViews>
    <sheetView topLeftCell="P135" zoomScaleNormal="100" workbookViewId="0">
      <selection activeCell="U138" sqref="U138:W138"/>
    </sheetView>
  </sheetViews>
  <sheetFormatPr defaultRowHeight="11.25" x14ac:dyDescent="0.2"/>
  <cols>
    <col min="1" max="1" width="56.140625" style="162" customWidth="1"/>
    <col min="2" max="3" width="14" style="162" hidden="1" customWidth="1"/>
    <col min="4" max="4" width="16.5703125" style="162" hidden="1" customWidth="1"/>
    <col min="5" max="6" width="12" style="162" hidden="1" customWidth="1"/>
    <col min="7" max="7" width="13.42578125" style="162" hidden="1" customWidth="1"/>
    <col min="8" max="8" width="13.28515625" style="163" hidden="1" customWidth="1"/>
    <col min="9" max="15" width="12" style="162" hidden="1" customWidth="1"/>
    <col min="16" max="30" width="12" style="162" customWidth="1"/>
    <col min="31" max="31" width="14.140625" style="162" customWidth="1"/>
    <col min="32" max="32" width="13.7109375" style="162" customWidth="1"/>
    <col min="33" max="33" width="13.28515625" style="162" customWidth="1"/>
    <col min="34" max="34" width="12.42578125" style="162" customWidth="1"/>
    <col min="35" max="16384" width="9.140625" style="162"/>
  </cols>
  <sheetData>
    <row r="1" spans="1:33" ht="12" thickBot="1" x14ac:dyDescent="0.25">
      <c r="A1" s="161" t="s">
        <v>99</v>
      </c>
      <c r="B1" s="520" t="s">
        <v>410</v>
      </c>
      <c r="C1" s="521">
        <v>12</v>
      </c>
      <c r="AG1" s="161"/>
    </row>
    <row r="2" spans="1:33" ht="45.75" thickBot="1" x14ac:dyDescent="0.25">
      <c r="A2" s="522" t="s">
        <v>411</v>
      </c>
      <c r="B2" s="523" t="s">
        <v>100</v>
      </c>
      <c r="C2" s="523" t="s">
        <v>16</v>
      </c>
      <c r="D2" s="164" t="s">
        <v>101</v>
      </c>
      <c r="E2" s="164">
        <v>39576</v>
      </c>
      <c r="F2" s="164">
        <v>39607</v>
      </c>
      <c r="G2" s="164">
        <v>39637</v>
      </c>
      <c r="H2" s="164">
        <v>39668</v>
      </c>
      <c r="I2" s="164">
        <v>39699</v>
      </c>
      <c r="J2" s="164">
        <v>39729</v>
      </c>
      <c r="K2" s="164">
        <v>39760</v>
      </c>
      <c r="L2" s="164">
        <v>39790</v>
      </c>
      <c r="M2" s="164">
        <v>39822</v>
      </c>
      <c r="N2" s="164">
        <v>39853</v>
      </c>
      <c r="O2" s="164">
        <v>39881</v>
      </c>
      <c r="P2" s="164">
        <v>39912</v>
      </c>
      <c r="Q2" s="164">
        <v>40156</v>
      </c>
      <c r="R2" s="164">
        <v>40187</v>
      </c>
      <c r="S2" s="164">
        <v>40218</v>
      </c>
      <c r="T2" s="164">
        <v>40246</v>
      </c>
      <c r="U2" s="164">
        <v>40277</v>
      </c>
      <c r="V2" s="164">
        <v>40307</v>
      </c>
      <c r="W2" s="164">
        <v>40338</v>
      </c>
      <c r="X2" s="164">
        <v>40368</v>
      </c>
      <c r="Y2" s="164">
        <v>40399</v>
      </c>
      <c r="Z2" s="164">
        <v>40430</v>
      </c>
      <c r="AA2" s="164">
        <v>40460</v>
      </c>
      <c r="AB2" s="164">
        <v>40491</v>
      </c>
      <c r="AC2" s="164">
        <v>40521</v>
      </c>
      <c r="AD2" s="524" t="s">
        <v>62</v>
      </c>
      <c r="AE2" s="523" t="s">
        <v>412</v>
      </c>
      <c r="AF2" s="525" t="s">
        <v>413</v>
      </c>
      <c r="AG2" s="525" t="s">
        <v>414</v>
      </c>
    </row>
    <row r="3" spans="1:33" x14ac:dyDescent="0.2">
      <c r="A3" s="526"/>
      <c r="B3" s="527" t="s">
        <v>102</v>
      </c>
      <c r="C3" s="527"/>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528"/>
      <c r="AE3" s="166"/>
      <c r="AF3" s="166"/>
      <c r="AG3" s="166"/>
    </row>
    <row r="4" spans="1:33" ht="22.5" x14ac:dyDescent="0.2">
      <c r="A4" s="529" t="s">
        <v>103</v>
      </c>
      <c r="B4" s="530" t="s">
        <v>415</v>
      </c>
      <c r="C4" s="530" t="s">
        <v>415</v>
      </c>
      <c r="D4" s="167">
        <v>0</v>
      </c>
      <c r="E4" s="531">
        <v>0</v>
      </c>
      <c r="F4" s="531">
        <f t="shared" ref="F4:P4" si="0">E56</f>
        <v>-6476444.8321259702</v>
      </c>
      <c r="G4" s="531">
        <f t="shared" si="0"/>
        <v>-5943177.7444416154</v>
      </c>
      <c r="H4" s="531">
        <f t="shared" si="0"/>
        <v>-5354651.1934613222</v>
      </c>
      <c r="I4" s="531">
        <f t="shared" si="0"/>
        <v>-4755816.6622551437</v>
      </c>
      <c r="J4" s="531">
        <f t="shared" si="0"/>
        <v>-4144820.8686699262</v>
      </c>
      <c r="K4" s="531">
        <f t="shared" si="0"/>
        <v>-3626896.7420805995</v>
      </c>
      <c r="L4" s="531">
        <f t="shared" si="0"/>
        <v>-3112632.2919334597</v>
      </c>
      <c r="M4" s="531">
        <f t="shared" si="0"/>
        <v>-2537375.6804996529</v>
      </c>
      <c r="N4" s="531">
        <f t="shared" si="0"/>
        <v>-1963539.6023694712</v>
      </c>
      <c r="O4" s="531">
        <f t="shared" si="0"/>
        <v>-1393362.0781877905</v>
      </c>
      <c r="P4" s="531">
        <f t="shared" si="0"/>
        <v>-788284.87530194293</v>
      </c>
      <c r="Q4" s="531"/>
      <c r="R4" s="531"/>
      <c r="S4" s="531"/>
      <c r="T4" s="531"/>
      <c r="U4" s="531"/>
      <c r="V4" s="531"/>
      <c r="W4" s="531"/>
      <c r="X4" s="531"/>
      <c r="Y4" s="531"/>
      <c r="Z4" s="531"/>
      <c r="AA4" s="531"/>
      <c r="AB4" s="531"/>
      <c r="AC4" s="531"/>
      <c r="AD4" s="532">
        <f>D4</f>
        <v>0</v>
      </c>
      <c r="AE4" s="166"/>
      <c r="AF4" s="166"/>
      <c r="AG4" s="166"/>
    </row>
    <row r="5" spans="1:33" x14ac:dyDescent="0.2">
      <c r="A5" s="529"/>
      <c r="B5" s="533"/>
      <c r="C5" s="533"/>
      <c r="D5" s="167"/>
      <c r="E5" s="531"/>
      <c r="F5" s="531"/>
      <c r="G5" s="531"/>
      <c r="H5" s="534"/>
      <c r="I5" s="534"/>
      <c r="J5" s="534"/>
      <c r="K5" s="534"/>
      <c r="L5" s="534"/>
      <c r="M5" s="534"/>
      <c r="N5" s="534"/>
      <c r="O5" s="534"/>
      <c r="P5" s="534"/>
      <c r="Q5" s="534"/>
      <c r="R5" s="534"/>
      <c r="S5" s="534"/>
      <c r="T5" s="534"/>
      <c r="U5" s="534"/>
      <c r="V5" s="534"/>
      <c r="W5" s="534"/>
      <c r="X5" s="534"/>
      <c r="Y5" s="534"/>
      <c r="Z5" s="534"/>
      <c r="AA5" s="534"/>
      <c r="AB5" s="534"/>
      <c r="AC5" s="534"/>
      <c r="AD5" s="532"/>
      <c r="AE5" s="166"/>
      <c r="AF5" s="166"/>
      <c r="AG5" s="166"/>
    </row>
    <row r="6" spans="1:33" x14ac:dyDescent="0.2">
      <c r="A6" s="169" t="s">
        <v>416</v>
      </c>
      <c r="B6" s="535"/>
      <c r="C6" s="535"/>
      <c r="D6" s="167"/>
      <c r="E6" s="167" t="s">
        <v>31</v>
      </c>
      <c r="F6" s="167"/>
      <c r="G6" s="167"/>
      <c r="H6" s="167"/>
      <c r="I6" s="167"/>
      <c r="J6" s="167"/>
      <c r="K6" s="165"/>
      <c r="L6" s="165"/>
      <c r="M6" s="536"/>
      <c r="N6" s="165"/>
      <c r="O6" s="165"/>
      <c r="P6" s="165"/>
      <c r="Q6" s="165"/>
      <c r="R6" s="165"/>
      <c r="S6" s="165"/>
      <c r="T6" s="165"/>
      <c r="U6" s="165"/>
      <c r="V6" s="165"/>
      <c r="W6" s="165"/>
      <c r="X6" s="165"/>
      <c r="Y6" s="165"/>
      <c r="Z6" s="165"/>
      <c r="AA6" s="165"/>
      <c r="AB6" s="165"/>
      <c r="AC6" s="165"/>
      <c r="AD6" s="532"/>
      <c r="AE6" s="166"/>
      <c r="AF6" s="166"/>
      <c r="AG6" s="166"/>
    </row>
    <row r="7" spans="1:33" x14ac:dyDescent="0.2">
      <c r="A7" s="169" t="s">
        <v>104</v>
      </c>
      <c r="B7" s="535"/>
      <c r="C7" s="535"/>
      <c r="D7" s="167"/>
      <c r="E7" s="167"/>
      <c r="F7" s="167"/>
      <c r="G7" s="167"/>
      <c r="H7" s="167"/>
      <c r="I7" s="167"/>
      <c r="J7" s="167"/>
      <c r="K7" s="165"/>
      <c r="L7" s="165"/>
      <c r="M7" s="536"/>
      <c r="N7" s="165"/>
      <c r="O7" s="165"/>
      <c r="P7" s="165"/>
      <c r="Q7" s="165"/>
      <c r="R7" s="165"/>
      <c r="S7" s="165"/>
      <c r="T7" s="165"/>
      <c r="U7" s="165"/>
      <c r="V7" s="165"/>
      <c r="W7" s="165"/>
      <c r="X7" s="165"/>
      <c r="Y7" s="165"/>
      <c r="Z7" s="165"/>
      <c r="AA7" s="165"/>
      <c r="AB7" s="165"/>
      <c r="AC7" s="165"/>
      <c r="AD7" s="532"/>
      <c r="AE7" s="166"/>
      <c r="AF7" s="166"/>
      <c r="AG7" s="166"/>
    </row>
    <row r="8" spans="1:33" x14ac:dyDescent="0.2">
      <c r="A8" s="537" t="s">
        <v>105</v>
      </c>
      <c r="B8" s="538">
        <f>D8/12</f>
        <v>-873923.33333333337</v>
      </c>
      <c r="C8" s="538">
        <f>B8*$C$1</f>
        <v>-10487080</v>
      </c>
      <c r="D8" s="539">
        <f>-10487080</f>
        <v>-10487080</v>
      </c>
      <c r="E8" s="167">
        <f t="shared" ref="E8:P8" si="1">D11</f>
        <v>-11286008</v>
      </c>
      <c r="F8" s="167">
        <f t="shared" si="1"/>
        <v>-10391087.462775197</v>
      </c>
      <c r="G8" s="167">
        <f t="shared" si="1"/>
        <v>-9505330.252775196</v>
      </c>
      <c r="H8" s="167">
        <f t="shared" si="1"/>
        <v>-8533674.0503249019</v>
      </c>
      <c r="I8" s="167">
        <f t="shared" si="1"/>
        <v>-7535456.7857863354</v>
      </c>
      <c r="J8" s="167">
        <f t="shared" si="1"/>
        <v>-6524322.8112427648</v>
      </c>
      <c r="K8" s="167">
        <f t="shared" si="1"/>
        <v>-5668077.9682329595</v>
      </c>
      <c r="L8" s="167">
        <f t="shared" si="1"/>
        <v>-4823362.5482329596</v>
      </c>
      <c r="M8" s="167">
        <f t="shared" si="1"/>
        <v>-3884223.1182329594</v>
      </c>
      <c r="N8" s="167">
        <f t="shared" si="1"/>
        <v>-2935421.8337005931</v>
      </c>
      <c r="O8" s="167">
        <f t="shared" si="1"/>
        <v>-2002195.7296834332</v>
      </c>
      <c r="P8" s="167">
        <f t="shared" si="1"/>
        <v>-1016088.8840162293</v>
      </c>
      <c r="Q8" s="167"/>
      <c r="R8" s="167">
        <f>Q11</f>
        <v>-194272.73649865354</v>
      </c>
      <c r="S8" s="167">
        <f t="shared" ref="S8:AC8" si="2">R8</f>
        <v>-194272.73649865354</v>
      </c>
      <c r="T8" s="167">
        <f t="shared" si="2"/>
        <v>-194272.73649865354</v>
      </c>
      <c r="U8" s="167">
        <f t="shared" si="2"/>
        <v>-194272.73649865354</v>
      </c>
      <c r="V8" s="167">
        <f t="shared" si="2"/>
        <v>-194272.73649865354</v>
      </c>
      <c r="W8" s="167">
        <f t="shared" si="2"/>
        <v>-194272.73649865354</v>
      </c>
      <c r="X8" s="167">
        <f t="shared" si="2"/>
        <v>-194272.73649865354</v>
      </c>
      <c r="Y8" s="167">
        <f t="shared" si="2"/>
        <v>-194272.73649865354</v>
      </c>
      <c r="Z8" s="167">
        <f t="shared" si="2"/>
        <v>-194272.73649865354</v>
      </c>
      <c r="AA8" s="167">
        <f t="shared" si="2"/>
        <v>-194272.73649865354</v>
      </c>
      <c r="AB8" s="167">
        <f t="shared" si="2"/>
        <v>-194272.73649865354</v>
      </c>
      <c r="AC8" s="167">
        <f t="shared" si="2"/>
        <v>-194272.73649865354</v>
      </c>
      <c r="AD8" s="532">
        <f>+E8</f>
        <v>-11286008</v>
      </c>
      <c r="AE8" s="166"/>
      <c r="AF8" s="166"/>
      <c r="AG8" s="166"/>
    </row>
    <row r="9" spans="1:33" x14ac:dyDescent="0.2">
      <c r="A9" s="537" t="s">
        <v>106</v>
      </c>
      <c r="B9" s="538">
        <f>D9/12</f>
        <v>-66577.333333333328</v>
      </c>
      <c r="C9" s="538">
        <f>B9*$C$1</f>
        <v>-798928</v>
      </c>
      <c r="D9" s="540">
        <v>-798928</v>
      </c>
      <c r="E9" s="167"/>
      <c r="F9" s="167"/>
      <c r="G9" s="167"/>
      <c r="H9" s="167"/>
      <c r="I9" s="167"/>
      <c r="J9" s="167"/>
      <c r="K9" s="167"/>
      <c r="L9" s="167"/>
      <c r="M9" s="167"/>
      <c r="N9" s="167"/>
      <c r="O9" s="167"/>
      <c r="P9" s="167"/>
      <c r="Q9" s="167"/>
      <c r="R9" s="167"/>
      <c r="S9" s="167"/>
      <c r="T9" s="167"/>
      <c r="U9" s="167"/>
      <c r="V9" s="167"/>
      <c r="W9" s="167"/>
      <c r="X9" s="167"/>
      <c r="Y9" s="167"/>
      <c r="Z9" s="167"/>
      <c r="AA9" s="167"/>
      <c r="AB9" s="167"/>
      <c r="AC9" s="167"/>
      <c r="AD9" s="532"/>
      <c r="AE9" s="166"/>
      <c r="AF9" s="166"/>
      <c r="AG9" s="166"/>
    </row>
    <row r="10" spans="1:33" x14ac:dyDescent="0.2">
      <c r="A10" s="537" t="s">
        <v>107</v>
      </c>
      <c r="B10" s="541"/>
      <c r="C10" s="541"/>
      <c r="D10" s="542">
        <v>0</v>
      </c>
      <c r="E10" s="170">
        <f>[28]JE!$B$13</f>
        <v>894920.5372248037</v>
      </c>
      <c r="F10" s="170">
        <v>885757.21</v>
      </c>
      <c r="G10" s="170">
        <v>971656.20245029405</v>
      </c>
      <c r="H10" s="170">
        <v>998217.26453856647</v>
      </c>
      <c r="I10" s="170">
        <v>1011133.9745435709</v>
      </c>
      <c r="J10" s="170">
        <v>856244.84300980577</v>
      </c>
      <c r="K10" s="170">
        <v>844715.42</v>
      </c>
      <c r="L10" s="170">
        <v>939139.43</v>
      </c>
      <c r="M10" s="170">
        <v>948801.28453236644</v>
      </c>
      <c r="N10" s="170">
        <v>933226.1040171599</v>
      </c>
      <c r="O10" s="170">
        <v>986106.84566720389</v>
      </c>
      <c r="P10" s="170">
        <v>821816.14751757577</v>
      </c>
      <c r="Q10" s="170"/>
      <c r="R10" s="170"/>
      <c r="S10" s="170"/>
      <c r="T10" s="170"/>
      <c r="U10" s="170"/>
      <c r="V10" s="170"/>
      <c r="W10" s="170"/>
      <c r="X10" s="170"/>
      <c r="Y10" s="170"/>
      <c r="Z10" s="170"/>
      <c r="AA10" s="170"/>
      <c r="AB10" s="170"/>
      <c r="AC10" s="170"/>
      <c r="AD10" s="543">
        <f>+SUM(E10:P10)</f>
        <v>11091735.263501346</v>
      </c>
      <c r="AE10" s="544">
        <f>AD10</f>
        <v>11091735.263501346</v>
      </c>
      <c r="AF10" s="545">
        <f>C11+AE10</f>
        <v>-194272.73649865389</v>
      </c>
      <c r="AG10" s="545">
        <f>AF10/1</f>
        <v>-194272.73649865389</v>
      </c>
    </row>
    <row r="11" spans="1:33" x14ac:dyDescent="0.2">
      <c r="A11" s="537"/>
      <c r="B11" s="538">
        <f>D11/12</f>
        <v>-940500.66666666663</v>
      </c>
      <c r="C11" s="538">
        <f>SUM(C8:C9)</f>
        <v>-11286008</v>
      </c>
      <c r="D11" s="546">
        <f>+D8+D9+D10</f>
        <v>-11286008</v>
      </c>
      <c r="E11" s="534">
        <f t="shared" ref="E11:P11" si="3">+D11+E10</f>
        <v>-10391087.462775197</v>
      </c>
      <c r="F11" s="534">
        <f t="shared" si="3"/>
        <v>-9505330.252775196</v>
      </c>
      <c r="G11" s="534">
        <f t="shared" si="3"/>
        <v>-8533674.0503249019</v>
      </c>
      <c r="H11" s="534">
        <f t="shared" si="3"/>
        <v>-7535456.7857863354</v>
      </c>
      <c r="I11" s="534">
        <f t="shared" si="3"/>
        <v>-6524322.8112427648</v>
      </c>
      <c r="J11" s="534">
        <f t="shared" si="3"/>
        <v>-5668077.9682329595</v>
      </c>
      <c r="K11" s="534">
        <f t="shared" si="3"/>
        <v>-4823362.5482329596</v>
      </c>
      <c r="L11" s="534">
        <f t="shared" si="3"/>
        <v>-3884223.1182329594</v>
      </c>
      <c r="M11" s="534">
        <f t="shared" si="3"/>
        <v>-2935421.8337005931</v>
      </c>
      <c r="N11" s="534">
        <f t="shared" si="3"/>
        <v>-2002195.7296834332</v>
      </c>
      <c r="O11" s="534">
        <f t="shared" si="3"/>
        <v>-1016088.8840162293</v>
      </c>
      <c r="P11" s="534">
        <f t="shared" si="3"/>
        <v>-194272.73649865354</v>
      </c>
      <c r="Q11" s="534">
        <f>P11</f>
        <v>-194272.73649865354</v>
      </c>
      <c r="R11" s="534">
        <f t="shared" ref="R11:AF11" si="4">SUM(R8:R10)</f>
        <v>-194272.73649865354</v>
      </c>
      <c r="S11" s="534">
        <f t="shared" si="4"/>
        <v>-194272.73649865354</v>
      </c>
      <c r="T11" s="534">
        <f t="shared" si="4"/>
        <v>-194272.73649865354</v>
      </c>
      <c r="U11" s="534">
        <f t="shared" si="4"/>
        <v>-194272.73649865354</v>
      </c>
      <c r="V11" s="534">
        <f t="shared" si="4"/>
        <v>-194272.73649865354</v>
      </c>
      <c r="W11" s="534">
        <f t="shared" si="4"/>
        <v>-194272.73649865354</v>
      </c>
      <c r="X11" s="534">
        <f t="shared" si="4"/>
        <v>-194272.73649865354</v>
      </c>
      <c r="Y11" s="534">
        <f t="shared" si="4"/>
        <v>-194272.73649865354</v>
      </c>
      <c r="Z11" s="534">
        <f t="shared" si="4"/>
        <v>-194272.73649865354</v>
      </c>
      <c r="AA11" s="534">
        <f t="shared" si="4"/>
        <v>-194272.73649865354</v>
      </c>
      <c r="AB11" s="534">
        <f t="shared" si="4"/>
        <v>-194272.73649865354</v>
      </c>
      <c r="AC11" s="534">
        <f t="shared" si="4"/>
        <v>-194272.73649865354</v>
      </c>
      <c r="AD11" s="547">
        <f t="shared" si="4"/>
        <v>-194272.73649865389</v>
      </c>
      <c r="AE11" s="547">
        <f t="shared" si="4"/>
        <v>11091735.263501346</v>
      </c>
      <c r="AF11" s="547">
        <f t="shared" si="4"/>
        <v>-194272.73649865389</v>
      </c>
      <c r="AG11" s="548">
        <f>AG10</f>
        <v>-194272.73649865389</v>
      </c>
    </row>
    <row r="12" spans="1:33" x14ac:dyDescent="0.2">
      <c r="A12" s="171"/>
      <c r="B12" s="549"/>
      <c r="C12" s="549"/>
      <c r="D12" s="531"/>
      <c r="E12" s="531"/>
      <c r="F12" s="531"/>
      <c r="G12" s="531"/>
      <c r="H12" s="534"/>
      <c r="I12" s="534"/>
      <c r="J12" s="534"/>
      <c r="K12" s="534"/>
      <c r="L12" s="534"/>
      <c r="M12" s="534"/>
      <c r="N12" s="534"/>
      <c r="O12" s="534"/>
      <c r="P12" s="534"/>
      <c r="Q12" s="534"/>
      <c r="R12" s="534"/>
      <c r="S12" s="534"/>
      <c r="T12" s="534"/>
      <c r="U12" s="534"/>
      <c r="V12" s="534"/>
      <c r="W12" s="534"/>
      <c r="X12" s="534"/>
      <c r="Y12" s="534"/>
      <c r="Z12" s="534"/>
      <c r="AA12" s="534"/>
      <c r="AB12" s="534"/>
      <c r="AC12" s="534"/>
      <c r="AD12" s="550"/>
      <c r="AE12" s="166"/>
      <c r="AF12" s="548"/>
      <c r="AG12" s="166"/>
    </row>
    <row r="13" spans="1:33" x14ac:dyDescent="0.2">
      <c r="A13" s="169" t="s">
        <v>417</v>
      </c>
      <c r="B13" s="535"/>
      <c r="C13" s="535"/>
      <c r="D13" s="531"/>
      <c r="E13" s="531"/>
      <c r="F13" s="531"/>
      <c r="G13" s="531"/>
      <c r="H13" s="534"/>
      <c r="I13" s="534"/>
      <c r="J13" s="534"/>
      <c r="K13" s="534"/>
      <c r="L13" s="534"/>
      <c r="M13" s="534"/>
      <c r="N13" s="534"/>
      <c r="O13" s="534"/>
      <c r="P13" s="534"/>
      <c r="Q13" s="534"/>
      <c r="R13" s="534"/>
      <c r="S13" s="534"/>
      <c r="T13" s="534"/>
      <c r="U13" s="534"/>
      <c r="V13" s="534"/>
      <c r="W13" s="534"/>
      <c r="X13" s="534"/>
      <c r="Y13" s="534"/>
      <c r="Z13" s="534"/>
      <c r="AA13" s="534"/>
      <c r="AB13" s="534"/>
      <c r="AC13" s="534"/>
      <c r="AD13" s="550"/>
      <c r="AE13" s="166"/>
      <c r="AF13" s="548"/>
      <c r="AG13" s="166"/>
    </row>
    <row r="14" spans="1:33" x14ac:dyDescent="0.2">
      <c r="A14" s="172" t="s">
        <v>417</v>
      </c>
      <c r="B14" s="538">
        <f>D14/12</f>
        <v>128118.41666666667</v>
      </c>
      <c r="C14" s="538">
        <f>B14*$C$1</f>
        <v>1537421</v>
      </c>
      <c r="D14" s="551">
        <v>1537421</v>
      </c>
      <c r="E14" s="167">
        <f t="shared" ref="E14:P14" si="5">D16</f>
        <v>1537421</v>
      </c>
      <c r="F14" s="167">
        <f t="shared" si="5"/>
        <v>1421438.7910891243</v>
      </c>
      <c r="G14" s="167">
        <f t="shared" si="5"/>
        <v>1301375.5510891243</v>
      </c>
      <c r="H14" s="167">
        <f t="shared" si="5"/>
        <v>1166605.2416166377</v>
      </c>
      <c r="I14" s="167">
        <f t="shared" si="5"/>
        <v>1020320.0108664602</v>
      </c>
      <c r="J14" s="167">
        <f t="shared" si="5"/>
        <v>875128.89066207875</v>
      </c>
      <c r="K14" s="167">
        <f t="shared" si="5"/>
        <v>758200.84256970149</v>
      </c>
      <c r="L14" s="167">
        <f t="shared" si="5"/>
        <v>644870.00256970152</v>
      </c>
      <c r="M14" s="167">
        <f t="shared" si="5"/>
        <v>519453.6025697015</v>
      </c>
      <c r="N14" s="167">
        <f t="shared" si="5"/>
        <v>381001.0064237453</v>
      </c>
      <c r="O14" s="167">
        <f t="shared" si="5"/>
        <v>249514.7080479702</v>
      </c>
      <c r="P14" s="167">
        <f t="shared" si="5"/>
        <v>111650.45480254819</v>
      </c>
      <c r="Q14" s="167"/>
      <c r="R14" s="167">
        <f>Q16</f>
        <v>-465.67210770936799</v>
      </c>
      <c r="S14" s="167">
        <f t="shared" ref="S14:AC14" si="6">R14</f>
        <v>-465.67210770936799</v>
      </c>
      <c r="T14" s="167">
        <f t="shared" si="6"/>
        <v>-465.67210770936799</v>
      </c>
      <c r="U14" s="167">
        <f t="shared" si="6"/>
        <v>-465.67210770936799</v>
      </c>
      <c r="V14" s="167">
        <f t="shared" si="6"/>
        <v>-465.67210770936799</v>
      </c>
      <c r="W14" s="167">
        <f t="shared" si="6"/>
        <v>-465.67210770936799</v>
      </c>
      <c r="X14" s="167">
        <f t="shared" si="6"/>
        <v>-465.67210770936799</v>
      </c>
      <c r="Y14" s="167">
        <f t="shared" si="6"/>
        <v>-465.67210770936799</v>
      </c>
      <c r="Z14" s="167">
        <f t="shared" si="6"/>
        <v>-465.67210770936799</v>
      </c>
      <c r="AA14" s="167">
        <f t="shared" si="6"/>
        <v>-465.67210770936799</v>
      </c>
      <c r="AB14" s="167">
        <f t="shared" si="6"/>
        <v>-465.67210770936799</v>
      </c>
      <c r="AC14" s="167">
        <f t="shared" si="6"/>
        <v>-465.67210770936799</v>
      </c>
      <c r="AD14" s="532">
        <f>+E14</f>
        <v>1537421</v>
      </c>
      <c r="AE14" s="166"/>
      <c r="AF14" s="548"/>
      <c r="AG14" s="166"/>
    </row>
    <row r="15" spans="1:33" x14ac:dyDescent="0.2">
      <c r="A15" s="537" t="s">
        <v>107</v>
      </c>
      <c r="B15" s="541"/>
      <c r="C15" s="541"/>
      <c r="D15" s="552">
        <v>0</v>
      </c>
      <c r="E15" s="553">
        <f>[28]JE!$B$12</f>
        <v>-115982.20891087576</v>
      </c>
      <c r="F15" s="553">
        <v>-120063.24</v>
      </c>
      <c r="G15" s="553">
        <v>-134770.30947248661</v>
      </c>
      <c r="H15" s="170">
        <v>-146285.23075017758</v>
      </c>
      <c r="I15" s="553">
        <v>-145191.12020438141</v>
      </c>
      <c r="J15" s="553">
        <v>-116928.04809237724</v>
      </c>
      <c r="K15" s="553">
        <v>-113330.84</v>
      </c>
      <c r="L15" s="554">
        <v>-125416.4</v>
      </c>
      <c r="M15" s="554">
        <v>-138452.59614595619</v>
      </c>
      <c r="N15" s="554">
        <v>-131486.29837577511</v>
      </c>
      <c r="O15" s="554">
        <v>-137864.25324542201</v>
      </c>
      <c r="P15" s="554">
        <v>-112116.12691025756</v>
      </c>
      <c r="Q15" s="554"/>
      <c r="R15" s="170"/>
      <c r="S15" s="170"/>
      <c r="T15" s="170"/>
      <c r="U15" s="170"/>
      <c r="V15" s="170"/>
      <c r="W15" s="170"/>
      <c r="X15" s="170"/>
      <c r="Y15" s="170"/>
      <c r="Z15" s="170"/>
      <c r="AA15" s="170"/>
      <c r="AB15" s="170"/>
      <c r="AC15" s="170"/>
      <c r="AD15" s="555">
        <f>SUM(E15:P15)</f>
        <v>-1537886.6721077093</v>
      </c>
      <c r="AE15" s="544">
        <f>AD15</f>
        <v>-1537886.6721077093</v>
      </c>
      <c r="AF15" s="545">
        <f>C16+AE15</f>
        <v>-465.67210770933889</v>
      </c>
      <c r="AG15" s="545">
        <f>AF15/1</f>
        <v>-465.67210770933889</v>
      </c>
    </row>
    <row r="16" spans="1:33" x14ac:dyDescent="0.2">
      <c r="A16" s="537"/>
      <c r="B16" s="538">
        <f>D16/12</f>
        <v>128118.41666666667</v>
      </c>
      <c r="C16" s="538">
        <f>SUM(C13:C14)</f>
        <v>1537421</v>
      </c>
      <c r="D16" s="546">
        <f>+D14+D15</f>
        <v>1537421</v>
      </c>
      <c r="E16" s="534">
        <f t="shared" ref="E16:P16" si="7">+D16+E15</f>
        <v>1421438.7910891243</v>
      </c>
      <c r="F16" s="534">
        <f t="shared" si="7"/>
        <v>1301375.5510891243</v>
      </c>
      <c r="G16" s="534">
        <f t="shared" si="7"/>
        <v>1166605.2416166377</v>
      </c>
      <c r="H16" s="534">
        <f t="shared" si="7"/>
        <v>1020320.0108664602</v>
      </c>
      <c r="I16" s="534">
        <f t="shared" si="7"/>
        <v>875128.89066207875</v>
      </c>
      <c r="J16" s="534">
        <f t="shared" si="7"/>
        <v>758200.84256970149</v>
      </c>
      <c r="K16" s="534">
        <f t="shared" si="7"/>
        <v>644870.00256970152</v>
      </c>
      <c r="L16" s="534">
        <f t="shared" si="7"/>
        <v>519453.6025697015</v>
      </c>
      <c r="M16" s="534">
        <f t="shared" si="7"/>
        <v>381001.0064237453</v>
      </c>
      <c r="N16" s="534">
        <f t="shared" si="7"/>
        <v>249514.7080479702</v>
      </c>
      <c r="O16" s="534">
        <f t="shared" si="7"/>
        <v>111650.45480254819</v>
      </c>
      <c r="P16" s="534">
        <f t="shared" si="7"/>
        <v>-465.67210770936799</v>
      </c>
      <c r="Q16" s="534">
        <f>P16</f>
        <v>-465.67210770936799</v>
      </c>
      <c r="R16" s="534">
        <f t="shared" ref="R16:AC16" si="8">R14</f>
        <v>-465.67210770936799</v>
      </c>
      <c r="S16" s="534">
        <f t="shared" si="8"/>
        <v>-465.67210770936799</v>
      </c>
      <c r="T16" s="534">
        <f t="shared" si="8"/>
        <v>-465.67210770936799</v>
      </c>
      <c r="U16" s="534">
        <f t="shared" si="8"/>
        <v>-465.67210770936799</v>
      </c>
      <c r="V16" s="534">
        <f t="shared" si="8"/>
        <v>-465.67210770936799</v>
      </c>
      <c r="W16" s="534">
        <f t="shared" si="8"/>
        <v>-465.67210770936799</v>
      </c>
      <c r="X16" s="534">
        <f t="shared" si="8"/>
        <v>-465.67210770936799</v>
      </c>
      <c r="Y16" s="534">
        <f t="shared" si="8"/>
        <v>-465.67210770936799</v>
      </c>
      <c r="Z16" s="534">
        <f t="shared" si="8"/>
        <v>-465.67210770936799</v>
      </c>
      <c r="AA16" s="534">
        <f t="shared" si="8"/>
        <v>-465.67210770936799</v>
      </c>
      <c r="AB16" s="534">
        <f t="shared" si="8"/>
        <v>-465.67210770936799</v>
      </c>
      <c r="AC16" s="534">
        <f t="shared" si="8"/>
        <v>-465.67210770936799</v>
      </c>
      <c r="AD16" s="547">
        <f>SUM(AD14:AD15)</f>
        <v>-465.67210770933889</v>
      </c>
      <c r="AE16" s="547">
        <f>SUM(AE14:AE15)</f>
        <v>-1537886.6721077093</v>
      </c>
      <c r="AF16" s="547">
        <f>SUM(AF14:AF15)</f>
        <v>-465.67210770933889</v>
      </c>
      <c r="AG16" s="548">
        <f>AG15</f>
        <v>-465.67210770933889</v>
      </c>
    </row>
    <row r="17" spans="1:33" x14ac:dyDescent="0.2">
      <c r="A17" s="171"/>
      <c r="B17" s="549"/>
      <c r="C17" s="549"/>
      <c r="D17" s="531"/>
      <c r="E17" s="531"/>
      <c r="F17" s="531"/>
      <c r="G17" s="531"/>
      <c r="H17" s="534"/>
      <c r="I17" s="534"/>
      <c r="J17" s="534"/>
      <c r="K17" s="534"/>
      <c r="L17" s="534"/>
      <c r="M17" s="534"/>
      <c r="N17" s="534"/>
      <c r="O17" s="534"/>
      <c r="P17" s="534"/>
      <c r="Q17" s="534"/>
      <c r="R17" s="534"/>
      <c r="S17" s="534"/>
      <c r="T17" s="534"/>
      <c r="U17" s="534"/>
      <c r="V17" s="534"/>
      <c r="W17" s="534"/>
      <c r="X17" s="534"/>
      <c r="Y17" s="534"/>
      <c r="Z17" s="534"/>
      <c r="AA17" s="534"/>
      <c r="AB17" s="534"/>
      <c r="AC17" s="534"/>
      <c r="AD17" s="550" t="s">
        <v>31</v>
      </c>
      <c r="AE17" s="166"/>
      <c r="AF17" s="548"/>
      <c r="AG17" s="166"/>
    </row>
    <row r="18" spans="1:33" x14ac:dyDescent="0.2">
      <c r="A18" s="169" t="s">
        <v>418</v>
      </c>
      <c r="B18" s="535"/>
      <c r="C18" s="535"/>
      <c r="D18" s="534"/>
      <c r="E18" s="534"/>
      <c r="F18" s="534"/>
      <c r="G18" s="534"/>
      <c r="H18" s="534"/>
      <c r="I18" s="534"/>
      <c r="J18" s="534"/>
      <c r="K18" s="534"/>
      <c r="L18" s="534"/>
      <c r="M18" s="534"/>
      <c r="N18" s="534"/>
      <c r="O18" s="534"/>
      <c r="P18" s="534"/>
      <c r="Q18" s="534"/>
      <c r="R18" s="534"/>
      <c r="S18" s="534"/>
      <c r="T18" s="534"/>
      <c r="U18" s="534"/>
      <c r="V18" s="534"/>
      <c r="W18" s="534"/>
      <c r="X18" s="534"/>
      <c r="Y18" s="534"/>
      <c r="Z18" s="534"/>
      <c r="AA18" s="534"/>
      <c r="AB18" s="534"/>
      <c r="AC18" s="534"/>
      <c r="AD18" s="547"/>
      <c r="AE18" s="166"/>
      <c r="AF18" s="548"/>
      <c r="AG18" s="166"/>
    </row>
    <row r="19" spans="1:33" x14ac:dyDescent="0.2">
      <c r="A19" s="556" t="s">
        <v>419</v>
      </c>
      <c r="B19" s="538">
        <f>D19/12</f>
        <v>78557.323333333334</v>
      </c>
      <c r="C19" s="538">
        <f>B19*$C$1</f>
        <v>942687.88</v>
      </c>
      <c r="D19" s="546">
        <f>'[29]1508'!F268</f>
        <v>942687.88</v>
      </c>
      <c r="E19" s="167">
        <f t="shared" ref="E19:P19" si="9">D23</f>
        <v>1103903.4429284167</v>
      </c>
      <c r="F19" s="167">
        <f t="shared" si="9"/>
        <v>1014958.823906044</v>
      </c>
      <c r="G19" s="167">
        <f t="shared" si="9"/>
        <v>926924.933906044</v>
      </c>
      <c r="H19" s="167">
        <f t="shared" si="9"/>
        <v>830353.68857998296</v>
      </c>
      <c r="I19" s="167">
        <f t="shared" si="9"/>
        <v>731142.58479721798</v>
      </c>
      <c r="J19" s="167">
        <f t="shared" si="9"/>
        <v>648441.14840746764</v>
      </c>
      <c r="K19" s="167">
        <f t="shared" si="9"/>
        <v>563340.44037416042</v>
      </c>
      <c r="L19" s="167">
        <f t="shared" si="9"/>
        <v>479385.62037416041</v>
      </c>
      <c r="M19" s="167">
        <f t="shared" si="9"/>
        <v>386046.16037416039</v>
      </c>
      <c r="N19" s="167">
        <f t="shared" si="9"/>
        <v>291746.42618505633</v>
      </c>
      <c r="O19" s="167">
        <f t="shared" si="9"/>
        <v>198994.68250405451</v>
      </c>
      <c r="P19" s="167">
        <f t="shared" si="9"/>
        <v>100987.21250541855</v>
      </c>
      <c r="Q19" s="167"/>
      <c r="R19" s="167"/>
      <c r="S19" s="167"/>
      <c r="T19" s="167"/>
      <c r="U19" s="167"/>
      <c r="V19" s="167"/>
      <c r="W19" s="167"/>
      <c r="X19" s="167"/>
      <c r="Y19" s="167"/>
      <c r="Z19" s="167"/>
      <c r="AA19" s="167"/>
      <c r="AB19" s="167"/>
      <c r="AC19" s="167"/>
      <c r="AD19" s="532">
        <f>+E19</f>
        <v>1103903.4429284167</v>
      </c>
      <c r="AE19" s="166"/>
      <c r="AF19" s="548"/>
      <c r="AG19" s="166"/>
    </row>
    <row r="20" spans="1:33" x14ac:dyDescent="0.2">
      <c r="A20" s="556" t="s">
        <v>420</v>
      </c>
      <c r="B20" s="538">
        <f>D20/12</f>
        <v>13434.630244034723</v>
      </c>
      <c r="C20" s="538">
        <f>B20*$C$1</f>
        <v>161215.56292841668</v>
      </c>
      <c r="D20" s="546">
        <f>'[29]1508'!F278</f>
        <v>161215.56292841668</v>
      </c>
      <c r="E20" s="534"/>
      <c r="F20" s="534"/>
      <c r="G20" s="534"/>
      <c r="H20" s="534"/>
      <c r="I20" s="534"/>
      <c r="J20" s="534"/>
      <c r="K20" s="534"/>
      <c r="L20" s="534"/>
      <c r="M20" s="534"/>
      <c r="N20" s="534"/>
      <c r="O20" s="534"/>
      <c r="P20" s="557"/>
      <c r="Q20" s="557"/>
      <c r="R20" s="557"/>
      <c r="S20" s="557"/>
      <c r="T20" s="557"/>
      <c r="U20" s="557"/>
      <c r="V20" s="557"/>
      <c r="W20" s="557"/>
      <c r="X20" s="557"/>
      <c r="Y20" s="557"/>
      <c r="Z20" s="557"/>
      <c r="AA20" s="557"/>
      <c r="AB20" s="557"/>
      <c r="AC20" s="557"/>
      <c r="AD20" s="528"/>
      <c r="AE20" s="166"/>
      <c r="AF20" s="548"/>
      <c r="AG20" s="166"/>
    </row>
    <row r="21" spans="1:33" x14ac:dyDescent="0.2">
      <c r="A21" s="556" t="s">
        <v>421</v>
      </c>
      <c r="B21" s="538"/>
      <c r="C21" s="538"/>
      <c r="D21" s="546"/>
      <c r="E21" s="534"/>
      <c r="F21" s="534"/>
      <c r="G21" s="534"/>
      <c r="H21" s="534"/>
      <c r="I21" s="532">
        <f>179009-D20</f>
        <v>17793.437071583321</v>
      </c>
      <c r="J21" s="534"/>
      <c r="K21" s="534"/>
      <c r="L21" s="534"/>
      <c r="M21" s="534"/>
      <c r="N21" s="534"/>
      <c r="O21" s="534"/>
      <c r="P21" s="557"/>
      <c r="Q21" s="557"/>
      <c r="R21" s="167">
        <f>Q23</f>
        <v>19308.313534053101</v>
      </c>
      <c r="S21" s="167">
        <f t="shared" ref="S21:AC21" si="10">R21</f>
        <v>19308.313534053101</v>
      </c>
      <c r="T21" s="167">
        <f t="shared" si="10"/>
        <v>19308.313534053101</v>
      </c>
      <c r="U21" s="167">
        <f t="shared" si="10"/>
        <v>19308.313534053101</v>
      </c>
      <c r="V21" s="167">
        <f t="shared" si="10"/>
        <v>19308.313534053101</v>
      </c>
      <c r="W21" s="167">
        <f t="shared" si="10"/>
        <v>19308.313534053101</v>
      </c>
      <c r="X21" s="167">
        <f t="shared" si="10"/>
        <v>19308.313534053101</v>
      </c>
      <c r="Y21" s="167">
        <f t="shared" si="10"/>
        <v>19308.313534053101</v>
      </c>
      <c r="Z21" s="167">
        <f t="shared" si="10"/>
        <v>19308.313534053101</v>
      </c>
      <c r="AA21" s="167">
        <f t="shared" si="10"/>
        <v>19308.313534053101</v>
      </c>
      <c r="AB21" s="167">
        <f t="shared" si="10"/>
        <v>19308.313534053101</v>
      </c>
      <c r="AC21" s="167">
        <f t="shared" si="10"/>
        <v>19308.313534053101</v>
      </c>
      <c r="AD21" s="532">
        <f>I21</f>
        <v>17793.437071583321</v>
      </c>
      <c r="AE21" s="166"/>
      <c r="AF21" s="548">
        <f>AD21</f>
        <v>17793.437071583321</v>
      </c>
      <c r="AG21" s="548">
        <f>AF21</f>
        <v>17793.437071583321</v>
      </c>
    </row>
    <row r="22" spans="1:33" x14ac:dyDescent="0.2">
      <c r="A22" s="537" t="s">
        <v>107</v>
      </c>
      <c r="B22" s="541"/>
      <c r="C22" s="541"/>
      <c r="D22" s="558"/>
      <c r="E22" s="559">
        <f>[28]JE!$B$17</f>
        <v>-88944.619022372703</v>
      </c>
      <c r="F22" s="559">
        <v>-88033.89</v>
      </c>
      <c r="G22" s="559">
        <v>-96571.24532606102</v>
      </c>
      <c r="H22" s="170">
        <v>-99211.103782765</v>
      </c>
      <c r="I22" s="559">
        <v>-100494.87346133369</v>
      </c>
      <c r="J22" s="559">
        <v>-85100.708033307252</v>
      </c>
      <c r="K22" s="559">
        <v>-83954.82</v>
      </c>
      <c r="L22" s="559">
        <v>-93339.46</v>
      </c>
      <c r="M22" s="559">
        <v>-94299.734189104056</v>
      </c>
      <c r="N22" s="559">
        <v>-92751.743681001812</v>
      </c>
      <c r="O22" s="559">
        <v>-98007.469998635963</v>
      </c>
      <c r="P22" s="559">
        <v>-81678.898971365445</v>
      </c>
      <c r="Q22" s="559"/>
      <c r="R22" s="559"/>
      <c r="S22" s="170"/>
      <c r="T22" s="170"/>
      <c r="U22" s="170"/>
      <c r="V22" s="170"/>
      <c r="W22" s="170"/>
      <c r="X22" s="170"/>
      <c r="Y22" s="170"/>
      <c r="Z22" s="170"/>
      <c r="AA22" s="170"/>
      <c r="AB22" s="170"/>
      <c r="AC22" s="170"/>
      <c r="AD22" s="555">
        <f>SUM(E22:P22)</f>
        <v>-1102388.5664659471</v>
      </c>
      <c r="AE22" s="544">
        <f>AD22</f>
        <v>-1102388.5664659471</v>
      </c>
      <c r="AF22" s="545">
        <f>C23+AE22</f>
        <v>1514.8764624695759</v>
      </c>
      <c r="AG22" s="545">
        <f>AF22/1</f>
        <v>1514.8764624695759</v>
      </c>
    </row>
    <row r="23" spans="1:33" x14ac:dyDescent="0.2">
      <c r="A23" s="537"/>
      <c r="B23" s="538">
        <f>D23/12</f>
        <v>91991.953577368055</v>
      </c>
      <c r="C23" s="538">
        <f>SUM(C19:C20)</f>
        <v>1103903.4429284167</v>
      </c>
      <c r="D23" s="560">
        <f>+D19+D20+D22</f>
        <v>1103903.4429284167</v>
      </c>
      <c r="E23" s="534">
        <f>+D23+E22</f>
        <v>1014958.823906044</v>
      </c>
      <c r="F23" s="534">
        <f>+E23+F22</f>
        <v>926924.933906044</v>
      </c>
      <c r="G23" s="534">
        <f>+F23+G22</f>
        <v>830353.68857998296</v>
      </c>
      <c r="H23" s="534">
        <f>+G23+H22</f>
        <v>731142.58479721798</v>
      </c>
      <c r="I23" s="534">
        <f>+H23+I22+I21</f>
        <v>648441.14840746764</v>
      </c>
      <c r="J23" s="534">
        <f t="shared" ref="J23:P23" si="11">+I23+J22</f>
        <v>563340.44037416042</v>
      </c>
      <c r="K23" s="534">
        <f t="shared" si="11"/>
        <v>479385.62037416041</v>
      </c>
      <c r="L23" s="534">
        <f t="shared" si="11"/>
        <v>386046.16037416039</v>
      </c>
      <c r="M23" s="534">
        <f t="shared" si="11"/>
        <v>291746.42618505633</v>
      </c>
      <c r="N23" s="534">
        <f t="shared" si="11"/>
        <v>198994.68250405451</v>
      </c>
      <c r="O23" s="534">
        <f t="shared" si="11"/>
        <v>100987.21250541855</v>
      </c>
      <c r="P23" s="534">
        <f t="shared" si="11"/>
        <v>19308.313534053101</v>
      </c>
      <c r="Q23" s="534">
        <f>P23</f>
        <v>19308.313534053101</v>
      </c>
      <c r="R23" s="534">
        <f t="shared" ref="R23:AC23" si="12">R21</f>
        <v>19308.313534053101</v>
      </c>
      <c r="S23" s="534">
        <f t="shared" si="12"/>
        <v>19308.313534053101</v>
      </c>
      <c r="T23" s="534">
        <f t="shared" si="12"/>
        <v>19308.313534053101</v>
      </c>
      <c r="U23" s="534">
        <f t="shared" si="12"/>
        <v>19308.313534053101</v>
      </c>
      <c r="V23" s="534">
        <f t="shared" si="12"/>
        <v>19308.313534053101</v>
      </c>
      <c r="W23" s="534">
        <f t="shared" si="12"/>
        <v>19308.313534053101</v>
      </c>
      <c r="X23" s="534">
        <f t="shared" si="12"/>
        <v>19308.313534053101</v>
      </c>
      <c r="Y23" s="534">
        <f t="shared" si="12"/>
        <v>19308.313534053101</v>
      </c>
      <c r="Z23" s="534">
        <f t="shared" si="12"/>
        <v>19308.313534053101</v>
      </c>
      <c r="AA23" s="534">
        <f t="shared" si="12"/>
        <v>19308.313534053101</v>
      </c>
      <c r="AB23" s="534">
        <f t="shared" si="12"/>
        <v>19308.313534053101</v>
      </c>
      <c r="AC23" s="534">
        <f t="shared" si="12"/>
        <v>19308.313534053101</v>
      </c>
      <c r="AD23" s="547">
        <f>SUM(AD19:AD22)</f>
        <v>19308.31353405281</v>
      </c>
      <c r="AE23" s="547">
        <f>SUM(AE19:AE22)</f>
        <v>-1102388.5664659471</v>
      </c>
      <c r="AF23" s="547">
        <f>SUM(AF19:AF22)</f>
        <v>19308.313534052897</v>
      </c>
      <c r="AG23" s="548">
        <f>SUM(AG21:AG22)</f>
        <v>19308.313534052897</v>
      </c>
    </row>
    <row r="24" spans="1:33" x14ac:dyDescent="0.2">
      <c r="A24" s="537"/>
      <c r="B24" s="561"/>
      <c r="C24" s="561"/>
      <c r="D24" s="546"/>
      <c r="E24" s="534"/>
      <c r="F24" s="534"/>
      <c r="G24" s="534"/>
      <c r="H24" s="534"/>
      <c r="I24" s="534"/>
      <c r="J24" s="534"/>
      <c r="K24" s="534"/>
      <c r="L24" s="534"/>
      <c r="M24" s="534"/>
      <c r="N24" s="534"/>
      <c r="O24" s="534"/>
      <c r="P24" s="534"/>
      <c r="Q24" s="534"/>
      <c r="R24" s="534"/>
      <c r="S24" s="534"/>
      <c r="T24" s="534"/>
      <c r="U24" s="534"/>
      <c r="V24" s="534"/>
      <c r="W24" s="534"/>
      <c r="X24" s="534"/>
      <c r="Y24" s="534"/>
      <c r="Z24" s="534"/>
      <c r="AA24" s="534"/>
      <c r="AB24" s="534"/>
      <c r="AC24" s="534"/>
      <c r="AD24" s="547"/>
      <c r="AE24" s="166"/>
      <c r="AF24" s="548"/>
      <c r="AG24" s="166"/>
    </row>
    <row r="25" spans="1:33" x14ac:dyDescent="0.2">
      <c r="A25" s="169" t="s">
        <v>422</v>
      </c>
      <c r="B25" s="535"/>
      <c r="C25" s="535"/>
      <c r="D25" s="534"/>
      <c r="E25" s="534"/>
      <c r="F25" s="534"/>
      <c r="G25" s="534"/>
      <c r="H25" s="534"/>
      <c r="I25" s="534"/>
      <c r="J25" s="534"/>
      <c r="K25" s="534"/>
      <c r="L25" s="534"/>
      <c r="M25" s="534"/>
      <c r="N25" s="534"/>
      <c r="O25" s="534"/>
      <c r="P25" s="534"/>
      <c r="Q25" s="534"/>
      <c r="R25" s="534"/>
      <c r="S25" s="534"/>
      <c r="T25" s="534"/>
      <c r="U25" s="534"/>
      <c r="V25" s="534"/>
      <c r="W25" s="534"/>
      <c r="X25" s="534"/>
      <c r="Y25" s="534"/>
      <c r="Z25" s="534"/>
      <c r="AA25" s="534"/>
      <c r="AB25" s="534"/>
      <c r="AC25" s="534"/>
      <c r="AD25" s="547"/>
      <c r="AE25" s="166"/>
      <c r="AF25" s="548"/>
      <c r="AG25" s="166"/>
    </row>
    <row r="26" spans="1:33" x14ac:dyDescent="0.2">
      <c r="A26" s="556" t="s">
        <v>423</v>
      </c>
      <c r="B26" s="538">
        <f>D26/12</f>
        <v>114330.33692094048</v>
      </c>
      <c r="C26" s="538">
        <f>B26*$C$1</f>
        <v>1371964.0430512857</v>
      </c>
      <c r="D26" s="546">
        <f>'[29]1508'!F285</f>
        <v>1371964.0430512857</v>
      </c>
      <c r="E26" s="167">
        <f t="shared" ref="E26:P26" si="13">D30</f>
        <v>1577267.8329736439</v>
      </c>
      <c r="F26" s="167">
        <f t="shared" si="13"/>
        <v>1449358.3569754027</v>
      </c>
      <c r="G26" s="167">
        <f t="shared" si="13"/>
        <v>1322758.5769754027</v>
      </c>
      <c r="H26" s="167">
        <f t="shared" si="13"/>
        <v>1183881.4023703036</v>
      </c>
      <c r="I26" s="167">
        <f t="shared" si="13"/>
        <v>1041207.9001669989</v>
      </c>
      <c r="J26" s="167">
        <f t="shared" si="13"/>
        <v>932513.44456688385</v>
      </c>
      <c r="K26" s="167">
        <f t="shared" si="13"/>
        <v>810131.82000922912</v>
      </c>
      <c r="L26" s="167">
        <f t="shared" si="13"/>
        <v>689398.08000922913</v>
      </c>
      <c r="M26" s="167">
        <f t="shared" si="13"/>
        <v>555168.47000922915</v>
      </c>
      <c r="N26" s="167">
        <f t="shared" si="13"/>
        <v>419557.91009589972</v>
      </c>
      <c r="O26" s="167">
        <f t="shared" si="13"/>
        <v>286173.48434243223</v>
      </c>
      <c r="P26" s="167">
        <f t="shared" si="13"/>
        <v>145230.9037880582</v>
      </c>
      <c r="Q26" s="167"/>
      <c r="R26" s="167"/>
      <c r="S26" s="167"/>
      <c r="T26" s="167"/>
      <c r="U26" s="167"/>
      <c r="V26" s="167"/>
      <c r="W26" s="167"/>
      <c r="X26" s="167"/>
      <c r="Y26" s="167"/>
      <c r="Z26" s="167"/>
      <c r="AA26" s="167"/>
      <c r="AB26" s="167"/>
      <c r="AC26" s="167"/>
      <c r="AD26" s="532">
        <f>+E26</f>
        <v>1577267.8329736439</v>
      </c>
      <c r="AE26" s="166"/>
      <c r="AF26" s="548"/>
      <c r="AG26" s="166"/>
    </row>
    <row r="27" spans="1:33" x14ac:dyDescent="0.2">
      <c r="A27" s="556" t="s">
        <v>424</v>
      </c>
      <c r="B27" s="538">
        <f>D27/12</f>
        <v>17108.649160196514</v>
      </c>
      <c r="C27" s="538">
        <f>B27*$C$1</f>
        <v>205303.78992235818</v>
      </c>
      <c r="D27" s="546">
        <f>'[29]1508'!F295</f>
        <v>205303.78992235818</v>
      </c>
      <c r="E27" s="534"/>
      <c r="F27" s="534"/>
      <c r="G27" s="534"/>
      <c r="H27" s="167"/>
      <c r="I27" s="534"/>
      <c r="J27" s="534"/>
      <c r="K27" s="534"/>
      <c r="L27" s="534"/>
      <c r="M27" s="534"/>
      <c r="N27" s="534"/>
      <c r="O27" s="534"/>
      <c r="P27" s="557"/>
      <c r="Q27" s="557"/>
      <c r="R27" s="557"/>
      <c r="S27" s="557"/>
      <c r="T27" s="557"/>
      <c r="U27" s="557"/>
      <c r="V27" s="557"/>
      <c r="W27" s="557"/>
      <c r="X27" s="557"/>
      <c r="Y27" s="557"/>
      <c r="Z27" s="557"/>
      <c r="AA27" s="557"/>
      <c r="AB27" s="557"/>
      <c r="AC27" s="557"/>
      <c r="AD27" s="532"/>
      <c r="AE27" s="166"/>
      <c r="AF27" s="548"/>
      <c r="AG27" s="166"/>
    </row>
    <row r="28" spans="1:33" x14ac:dyDescent="0.2">
      <c r="A28" s="556" t="s">
        <v>421</v>
      </c>
      <c r="B28" s="538"/>
      <c r="C28" s="538"/>
      <c r="D28" s="546"/>
      <c r="E28" s="534"/>
      <c r="F28" s="534"/>
      <c r="G28" s="534"/>
      <c r="H28" s="167"/>
      <c r="I28" s="534">
        <f>241129-D27</f>
        <v>35825.210077641823</v>
      </c>
      <c r="J28" s="534"/>
      <c r="K28" s="534"/>
      <c r="L28" s="534"/>
      <c r="M28" s="534"/>
      <c r="N28" s="534"/>
      <c r="O28" s="534"/>
      <c r="P28" s="557"/>
      <c r="Q28" s="557"/>
      <c r="R28" s="167">
        <f>Q30</f>
        <v>27770.114339820517</v>
      </c>
      <c r="S28" s="167">
        <f t="shared" ref="S28:AC28" si="14">R28</f>
        <v>27770.114339820517</v>
      </c>
      <c r="T28" s="167">
        <f t="shared" si="14"/>
        <v>27770.114339820517</v>
      </c>
      <c r="U28" s="167">
        <f t="shared" si="14"/>
        <v>27770.114339820517</v>
      </c>
      <c r="V28" s="167">
        <f t="shared" si="14"/>
        <v>27770.114339820517</v>
      </c>
      <c r="W28" s="167">
        <f t="shared" si="14"/>
        <v>27770.114339820517</v>
      </c>
      <c r="X28" s="167">
        <f t="shared" si="14"/>
        <v>27770.114339820517</v>
      </c>
      <c r="Y28" s="167">
        <f t="shared" si="14"/>
        <v>27770.114339820517</v>
      </c>
      <c r="Z28" s="167">
        <f t="shared" si="14"/>
        <v>27770.114339820517</v>
      </c>
      <c r="AA28" s="167">
        <f t="shared" si="14"/>
        <v>27770.114339820517</v>
      </c>
      <c r="AB28" s="167">
        <f t="shared" si="14"/>
        <v>27770.114339820517</v>
      </c>
      <c r="AC28" s="167">
        <f t="shared" si="14"/>
        <v>27770.114339820517</v>
      </c>
      <c r="AD28" s="532">
        <f>I28</f>
        <v>35825.210077641823</v>
      </c>
      <c r="AE28" s="166"/>
      <c r="AF28" s="548">
        <f>AD28</f>
        <v>35825.210077641823</v>
      </c>
      <c r="AG28" s="548">
        <f>AF28</f>
        <v>35825.210077641823</v>
      </c>
    </row>
    <row r="29" spans="1:33" x14ac:dyDescent="0.2">
      <c r="A29" s="556" t="s">
        <v>425</v>
      </c>
      <c r="B29" s="541"/>
      <c r="C29" s="541"/>
      <c r="D29" s="558">
        <v>0</v>
      </c>
      <c r="E29" s="559">
        <f>[28]JE!$B$16</f>
        <v>-127909.47599824122</v>
      </c>
      <c r="F29" s="559">
        <v>-126599.78</v>
      </c>
      <c r="G29" s="559">
        <v>-138877.17460509902</v>
      </c>
      <c r="H29" s="170">
        <v>-142673.50220330482</v>
      </c>
      <c r="I29" s="559">
        <v>-144519.6656777568</v>
      </c>
      <c r="J29" s="559">
        <v>-122381.62455765469</v>
      </c>
      <c r="K29" s="559">
        <v>-120733.74</v>
      </c>
      <c r="L29" s="559">
        <v>-134229.60999999999</v>
      </c>
      <c r="M29" s="559">
        <v>-135610.5599133294</v>
      </c>
      <c r="N29" s="559">
        <v>-133384.42575346751</v>
      </c>
      <c r="O29" s="559">
        <v>-140942.58055437403</v>
      </c>
      <c r="P29" s="559">
        <v>-117460.78944823769</v>
      </c>
      <c r="Q29" s="559"/>
      <c r="R29" s="170"/>
      <c r="S29" s="170"/>
      <c r="T29" s="170"/>
      <c r="U29" s="170"/>
      <c r="V29" s="170"/>
      <c r="W29" s="170"/>
      <c r="X29" s="170"/>
      <c r="Y29" s="170"/>
      <c r="Z29" s="170"/>
      <c r="AA29" s="170"/>
      <c r="AB29" s="170"/>
      <c r="AC29" s="170"/>
      <c r="AD29" s="555">
        <f>SUM(E29:P29)</f>
        <v>-1585322.9287114651</v>
      </c>
      <c r="AE29" s="544">
        <f>AD29</f>
        <v>-1585322.9287114651</v>
      </c>
      <c r="AF29" s="545">
        <f>C30+AE29</f>
        <v>-8055.0957378211897</v>
      </c>
      <c r="AG29" s="545">
        <f>AF29/1</f>
        <v>-8055.0957378211897</v>
      </c>
    </row>
    <row r="30" spans="1:33" x14ac:dyDescent="0.2">
      <c r="A30" s="556"/>
      <c r="B30" s="538">
        <f>D30/12</f>
        <v>131438.986081137</v>
      </c>
      <c r="C30" s="538">
        <f>SUM(C26:C27)</f>
        <v>1577267.8329736439</v>
      </c>
      <c r="D30" s="560">
        <f>+D26+D27+D29</f>
        <v>1577267.8329736439</v>
      </c>
      <c r="E30" s="534">
        <f>+D30+E29</f>
        <v>1449358.3569754027</v>
      </c>
      <c r="F30" s="534">
        <f>+E30+F29</f>
        <v>1322758.5769754027</v>
      </c>
      <c r="G30" s="534">
        <f>+F30+G29</f>
        <v>1183881.4023703036</v>
      </c>
      <c r="H30" s="534">
        <f>+G30+H29</f>
        <v>1041207.9001669989</v>
      </c>
      <c r="I30" s="534">
        <f>+H30+I29+I28</f>
        <v>932513.44456688385</v>
      </c>
      <c r="J30" s="534">
        <f t="shared" ref="J30:P30" si="15">+I30+J29</f>
        <v>810131.82000922912</v>
      </c>
      <c r="K30" s="534">
        <f t="shared" si="15"/>
        <v>689398.08000922913</v>
      </c>
      <c r="L30" s="534">
        <f t="shared" si="15"/>
        <v>555168.47000922915</v>
      </c>
      <c r="M30" s="534">
        <f t="shared" si="15"/>
        <v>419557.91009589972</v>
      </c>
      <c r="N30" s="534">
        <f t="shared" si="15"/>
        <v>286173.48434243223</v>
      </c>
      <c r="O30" s="534">
        <f t="shared" si="15"/>
        <v>145230.9037880582</v>
      </c>
      <c r="P30" s="534">
        <f t="shared" si="15"/>
        <v>27770.114339820517</v>
      </c>
      <c r="Q30" s="534">
        <f>P30</f>
        <v>27770.114339820517</v>
      </c>
      <c r="R30" s="534">
        <f t="shared" ref="R30:AC30" si="16">R28</f>
        <v>27770.114339820517</v>
      </c>
      <c r="S30" s="534">
        <f t="shared" si="16"/>
        <v>27770.114339820517</v>
      </c>
      <c r="T30" s="534">
        <f t="shared" si="16"/>
        <v>27770.114339820517</v>
      </c>
      <c r="U30" s="534">
        <f t="shared" si="16"/>
        <v>27770.114339820517</v>
      </c>
      <c r="V30" s="534">
        <f t="shared" si="16"/>
        <v>27770.114339820517</v>
      </c>
      <c r="W30" s="534">
        <f t="shared" si="16"/>
        <v>27770.114339820517</v>
      </c>
      <c r="X30" s="534">
        <f t="shared" si="16"/>
        <v>27770.114339820517</v>
      </c>
      <c r="Y30" s="534">
        <f t="shared" si="16"/>
        <v>27770.114339820517</v>
      </c>
      <c r="Z30" s="534">
        <f t="shared" si="16"/>
        <v>27770.114339820517</v>
      </c>
      <c r="AA30" s="534">
        <f t="shared" si="16"/>
        <v>27770.114339820517</v>
      </c>
      <c r="AB30" s="534">
        <f t="shared" si="16"/>
        <v>27770.114339820517</v>
      </c>
      <c r="AC30" s="534">
        <f t="shared" si="16"/>
        <v>27770.114339820517</v>
      </c>
      <c r="AD30" s="547">
        <f>SUM(AD26:AD29)</f>
        <v>27770.114339820575</v>
      </c>
      <c r="AE30" s="547">
        <f>SUM(AE26:AE29)</f>
        <v>-1585322.9287114651</v>
      </c>
      <c r="AF30" s="547">
        <f>SUM(AF26:AF29)</f>
        <v>27770.114339820633</v>
      </c>
      <c r="AG30" s="548">
        <f>SUM(AG28:AG29)</f>
        <v>27770.114339820633</v>
      </c>
    </row>
    <row r="31" spans="1:33" x14ac:dyDescent="0.2">
      <c r="A31" s="537"/>
      <c r="B31" s="561"/>
      <c r="C31" s="561"/>
      <c r="D31" s="534"/>
      <c r="E31" s="534"/>
      <c r="F31" s="534"/>
      <c r="G31" s="534"/>
      <c r="H31" s="534"/>
      <c r="I31" s="534"/>
      <c r="J31" s="534"/>
      <c r="K31" s="534"/>
      <c r="L31" s="534"/>
      <c r="M31" s="534"/>
      <c r="N31" s="534"/>
      <c r="O31" s="534"/>
      <c r="P31" s="557"/>
      <c r="Q31" s="557"/>
      <c r="R31" s="557"/>
      <c r="S31" s="557"/>
      <c r="T31" s="557"/>
      <c r="U31" s="557"/>
      <c r="V31" s="557"/>
      <c r="W31" s="557"/>
      <c r="X31" s="557"/>
      <c r="Y31" s="557"/>
      <c r="Z31" s="557"/>
      <c r="AA31" s="557"/>
      <c r="AB31" s="557"/>
      <c r="AC31" s="557"/>
      <c r="AD31" s="528"/>
      <c r="AE31" s="166"/>
      <c r="AF31" s="548"/>
      <c r="AG31" s="166"/>
    </row>
    <row r="32" spans="1:33" x14ac:dyDescent="0.2">
      <c r="A32" s="169" t="s">
        <v>426</v>
      </c>
      <c r="B32" s="535"/>
      <c r="C32" s="535"/>
      <c r="D32" s="534"/>
      <c r="E32" s="534"/>
      <c r="F32" s="534"/>
      <c r="G32" s="534"/>
      <c r="H32" s="534"/>
      <c r="I32" s="534"/>
      <c r="J32" s="534"/>
      <c r="K32" s="534"/>
      <c r="L32" s="534"/>
      <c r="M32" s="534"/>
      <c r="N32" s="534"/>
      <c r="O32" s="534"/>
      <c r="P32" s="534"/>
      <c r="Q32" s="534"/>
      <c r="R32" s="534"/>
      <c r="S32" s="534"/>
      <c r="T32" s="534"/>
      <c r="U32" s="534"/>
      <c r="V32" s="534"/>
      <c r="W32" s="534"/>
      <c r="X32" s="534"/>
      <c r="Y32" s="534"/>
      <c r="Z32" s="534"/>
      <c r="AA32" s="534"/>
      <c r="AB32" s="534"/>
      <c r="AC32" s="534"/>
      <c r="AD32" s="547"/>
      <c r="AE32" s="166"/>
      <c r="AF32" s="548"/>
      <c r="AG32" s="166"/>
    </row>
    <row r="33" spans="1:34" x14ac:dyDescent="0.2">
      <c r="A33" s="556" t="s">
        <v>427</v>
      </c>
      <c r="B33" s="538">
        <f>D33/12</f>
        <v>1757.88</v>
      </c>
      <c r="C33" s="538">
        <f>B33*$C$1</f>
        <v>21094.560000000001</v>
      </c>
      <c r="D33" s="546">
        <f>-[30]JE!$B$33</f>
        <v>21094.560000000001</v>
      </c>
      <c r="E33" s="167">
        <f t="shared" ref="E33:P33" si="17">D37</f>
        <v>23195.863980000002</v>
      </c>
      <c r="F33" s="167">
        <f t="shared" si="17"/>
        <v>21360.429725909227</v>
      </c>
      <c r="G33" s="167">
        <f t="shared" si="17"/>
        <v>19543.789725909228</v>
      </c>
      <c r="H33" s="167">
        <f t="shared" si="17"/>
        <v>17550.974718324884</v>
      </c>
      <c r="I33" s="167">
        <f t="shared" si="17"/>
        <v>15503.684390134953</v>
      </c>
      <c r="J33" s="167">
        <f t="shared" si="17"/>
        <v>13380.59859917398</v>
      </c>
      <c r="K33" s="167">
        <f t="shared" si="17"/>
        <v>11624.486129543622</v>
      </c>
      <c r="L33" s="167">
        <f t="shared" si="17"/>
        <v>9892.0161295436228</v>
      </c>
      <c r="M33" s="167">
        <f t="shared" si="17"/>
        <v>7965.8961295436229</v>
      </c>
      <c r="N33" s="167">
        <f t="shared" si="17"/>
        <v>6019.9553386926254</v>
      </c>
      <c r="O33" s="167">
        <f t="shared" si="17"/>
        <v>4105.9584117291506</v>
      </c>
      <c r="P33" s="167">
        <f t="shared" si="17"/>
        <v>2083.505906232188</v>
      </c>
      <c r="Q33" s="167"/>
      <c r="R33" s="167"/>
      <c r="S33" s="167"/>
      <c r="T33" s="167"/>
      <c r="U33" s="167"/>
      <c r="V33" s="167"/>
      <c r="W33" s="167"/>
      <c r="X33" s="167"/>
      <c r="Y33" s="167"/>
      <c r="Z33" s="167"/>
      <c r="AA33" s="167"/>
      <c r="AB33" s="167"/>
      <c r="AC33" s="167"/>
      <c r="AD33" s="532">
        <f>+E33</f>
        <v>23195.863980000002</v>
      </c>
      <c r="AE33" s="166"/>
      <c r="AF33" s="548"/>
      <c r="AG33" s="166"/>
    </row>
    <row r="34" spans="1:34" x14ac:dyDescent="0.2">
      <c r="A34" s="556" t="s">
        <v>428</v>
      </c>
      <c r="B34" s="538">
        <f>D34/12</f>
        <v>175.10866499999997</v>
      </c>
      <c r="C34" s="538">
        <f>B34*$C$1</f>
        <v>2101.3039799999997</v>
      </c>
      <c r="D34" s="546">
        <f>-[30]JE!$B$34</f>
        <v>2101.3039799999997</v>
      </c>
      <c r="E34" s="534"/>
      <c r="F34" s="534"/>
      <c r="G34" s="534"/>
      <c r="H34" s="167"/>
      <c r="I34" s="534"/>
      <c r="J34" s="534"/>
      <c r="K34" s="534"/>
      <c r="L34" s="534"/>
      <c r="M34" s="534"/>
      <c r="N34" s="534"/>
      <c r="O34" s="534"/>
      <c r="P34" s="557"/>
      <c r="Q34" s="557"/>
      <c r="R34" s="557"/>
      <c r="S34" s="557"/>
      <c r="T34" s="557"/>
      <c r="U34" s="557"/>
      <c r="V34" s="557"/>
      <c r="W34" s="557"/>
      <c r="X34" s="557"/>
      <c r="Y34" s="557"/>
      <c r="Z34" s="557"/>
      <c r="AA34" s="557"/>
      <c r="AB34" s="557"/>
      <c r="AC34" s="557"/>
      <c r="AD34" s="528"/>
      <c r="AE34" s="166"/>
      <c r="AF34" s="548"/>
      <c r="AG34" s="166"/>
    </row>
    <row r="35" spans="1:34" x14ac:dyDescent="0.2">
      <c r="A35" s="556" t="s">
        <v>421</v>
      </c>
      <c r="B35" s="538"/>
      <c r="C35" s="538"/>
      <c r="D35" s="546"/>
      <c r="E35" s="534"/>
      <c r="F35" s="534"/>
      <c r="G35" s="534"/>
      <c r="H35" s="167"/>
      <c r="I35" s="534">
        <f>2052-D34</f>
        <v>-49.303979999999683</v>
      </c>
      <c r="J35" s="534"/>
      <c r="K35" s="534"/>
      <c r="L35" s="534"/>
      <c r="M35" s="534"/>
      <c r="N35" s="534"/>
      <c r="O35" s="534"/>
      <c r="P35" s="557"/>
      <c r="Q35" s="557"/>
      <c r="R35" s="557">
        <f>Q37</f>
        <v>398.00485337192731</v>
      </c>
      <c r="S35" s="167">
        <f t="shared" ref="S35:AC35" si="18">R35</f>
        <v>398.00485337192731</v>
      </c>
      <c r="T35" s="167">
        <f t="shared" si="18"/>
        <v>398.00485337192731</v>
      </c>
      <c r="U35" s="167">
        <f t="shared" si="18"/>
        <v>398.00485337192731</v>
      </c>
      <c r="V35" s="167">
        <f t="shared" si="18"/>
        <v>398.00485337192731</v>
      </c>
      <c r="W35" s="167">
        <f t="shared" si="18"/>
        <v>398.00485337192731</v>
      </c>
      <c r="X35" s="167">
        <f t="shared" si="18"/>
        <v>398.00485337192731</v>
      </c>
      <c r="Y35" s="167">
        <f t="shared" si="18"/>
        <v>398.00485337192731</v>
      </c>
      <c r="Z35" s="167">
        <f t="shared" si="18"/>
        <v>398.00485337192731</v>
      </c>
      <c r="AA35" s="167">
        <f t="shared" si="18"/>
        <v>398.00485337192731</v>
      </c>
      <c r="AB35" s="167">
        <f t="shared" si="18"/>
        <v>398.00485337192731</v>
      </c>
      <c r="AC35" s="167">
        <f t="shared" si="18"/>
        <v>398.00485337192731</v>
      </c>
      <c r="AD35" s="532">
        <f>I35</f>
        <v>-49.303979999999683</v>
      </c>
      <c r="AE35" s="166"/>
      <c r="AF35" s="548">
        <f>AD35</f>
        <v>-49.303979999999683</v>
      </c>
      <c r="AG35" s="548">
        <f>AF35</f>
        <v>-49.303979999999683</v>
      </c>
    </row>
    <row r="36" spans="1:34" x14ac:dyDescent="0.2">
      <c r="A36" s="556" t="s">
        <v>425</v>
      </c>
      <c r="B36" s="541"/>
      <c r="C36" s="541"/>
      <c r="D36" s="558">
        <v>0</v>
      </c>
      <c r="E36" s="559">
        <f>[28]JE!$B$14</f>
        <v>-1835.434254090776</v>
      </c>
      <c r="F36" s="559">
        <v>-1816.64</v>
      </c>
      <c r="G36" s="559">
        <v>-1992.8150075843428</v>
      </c>
      <c r="H36" s="559">
        <v>-2047.2903281899314</v>
      </c>
      <c r="I36" s="559">
        <v>-2073.7818109609734</v>
      </c>
      <c r="J36" s="559">
        <v>-1756.1124696303577</v>
      </c>
      <c r="K36" s="559">
        <v>-1732.47</v>
      </c>
      <c r="L36" s="559">
        <v>-1926.12</v>
      </c>
      <c r="M36" s="559">
        <v>-1945.9407908509972</v>
      </c>
      <c r="N36" s="559">
        <v>-1913.9969269634753</v>
      </c>
      <c r="O36" s="559">
        <v>-2022.4525054969627</v>
      </c>
      <c r="P36" s="559">
        <v>-1685.5010528602606</v>
      </c>
      <c r="Q36" s="559"/>
      <c r="R36" s="559"/>
      <c r="S36" s="170"/>
      <c r="T36" s="170"/>
      <c r="U36" s="170"/>
      <c r="V36" s="170"/>
      <c r="W36" s="170"/>
      <c r="X36" s="170"/>
      <c r="Y36" s="170"/>
      <c r="Z36" s="170"/>
      <c r="AA36" s="170"/>
      <c r="AB36" s="170"/>
      <c r="AC36" s="170"/>
      <c r="AD36" s="555">
        <f>SUM(E36:P36)</f>
        <v>-22748.555146628078</v>
      </c>
      <c r="AE36" s="544">
        <f>AD36</f>
        <v>-22748.555146628078</v>
      </c>
      <c r="AF36" s="545">
        <f>C37+AE36</f>
        <v>447.30883337192427</v>
      </c>
      <c r="AG36" s="545">
        <f>AF36/1</f>
        <v>447.30883337192427</v>
      </c>
    </row>
    <row r="37" spans="1:34" x14ac:dyDescent="0.2">
      <c r="A37" s="556"/>
      <c r="B37" s="538">
        <f>D37/12</f>
        <v>1932.9886650000001</v>
      </c>
      <c r="C37" s="538">
        <f>SUM(C33:C34)</f>
        <v>23195.863980000002</v>
      </c>
      <c r="D37" s="560">
        <f>+D33+D34+D36</f>
        <v>23195.863980000002</v>
      </c>
      <c r="E37" s="534">
        <f>+D37+E36</f>
        <v>21360.429725909227</v>
      </c>
      <c r="F37" s="534">
        <f>+E37+F36</f>
        <v>19543.789725909228</v>
      </c>
      <c r="G37" s="534">
        <f>+F37+G36</f>
        <v>17550.974718324884</v>
      </c>
      <c r="H37" s="534">
        <f>+G37+H36</f>
        <v>15503.684390134953</v>
      </c>
      <c r="I37" s="534">
        <f>+H37+I36+I35</f>
        <v>13380.59859917398</v>
      </c>
      <c r="J37" s="534">
        <f t="shared" ref="J37:P37" si="19">+I37+J36</f>
        <v>11624.486129543622</v>
      </c>
      <c r="K37" s="534">
        <f t="shared" si="19"/>
        <v>9892.0161295436228</v>
      </c>
      <c r="L37" s="534">
        <f t="shared" si="19"/>
        <v>7965.8961295436229</v>
      </c>
      <c r="M37" s="534">
        <f t="shared" si="19"/>
        <v>6019.9553386926254</v>
      </c>
      <c r="N37" s="534">
        <f t="shared" si="19"/>
        <v>4105.9584117291506</v>
      </c>
      <c r="O37" s="534">
        <f t="shared" si="19"/>
        <v>2083.505906232188</v>
      </c>
      <c r="P37" s="534">
        <f t="shared" si="19"/>
        <v>398.00485337192731</v>
      </c>
      <c r="Q37" s="534">
        <f>P37</f>
        <v>398.00485337192731</v>
      </c>
      <c r="R37" s="534">
        <f t="shared" ref="R37:AC37" si="20">R35</f>
        <v>398.00485337192731</v>
      </c>
      <c r="S37" s="534">
        <f t="shared" si="20"/>
        <v>398.00485337192731</v>
      </c>
      <c r="T37" s="534">
        <f t="shared" si="20"/>
        <v>398.00485337192731</v>
      </c>
      <c r="U37" s="534">
        <f t="shared" si="20"/>
        <v>398.00485337192731</v>
      </c>
      <c r="V37" s="534">
        <f t="shared" si="20"/>
        <v>398.00485337192731</v>
      </c>
      <c r="W37" s="534">
        <f t="shared" si="20"/>
        <v>398.00485337192731</v>
      </c>
      <c r="X37" s="534">
        <f t="shared" si="20"/>
        <v>398.00485337192731</v>
      </c>
      <c r="Y37" s="534">
        <f t="shared" si="20"/>
        <v>398.00485337192731</v>
      </c>
      <c r="Z37" s="534">
        <f t="shared" si="20"/>
        <v>398.00485337192731</v>
      </c>
      <c r="AA37" s="534">
        <f t="shared" si="20"/>
        <v>398.00485337192731</v>
      </c>
      <c r="AB37" s="534">
        <f t="shared" si="20"/>
        <v>398.00485337192731</v>
      </c>
      <c r="AC37" s="534">
        <f t="shared" si="20"/>
        <v>398.00485337192731</v>
      </c>
      <c r="AD37" s="547">
        <f>SUM(AD33:AD36)</f>
        <v>398.00485337192367</v>
      </c>
      <c r="AE37" s="547">
        <f>SUM(AE33:AE36)</f>
        <v>-22748.555146628078</v>
      </c>
      <c r="AF37" s="534">
        <f>SUM(AF33:AF36)</f>
        <v>398.00485337192458</v>
      </c>
      <c r="AG37" s="548">
        <f>SUM(AG35:AG36)</f>
        <v>398.00485337192458</v>
      </c>
    </row>
    <row r="38" spans="1:34" x14ac:dyDescent="0.2">
      <c r="A38" s="172"/>
      <c r="B38" s="533"/>
      <c r="C38" s="533"/>
      <c r="D38" s="166"/>
      <c r="E38" s="166"/>
      <c r="F38" s="166"/>
      <c r="G38" s="166"/>
      <c r="H38" s="173"/>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548"/>
      <c r="AG38" s="166"/>
    </row>
    <row r="39" spans="1:34" x14ac:dyDescent="0.2">
      <c r="A39" s="169" t="s">
        <v>429</v>
      </c>
      <c r="B39" s="535"/>
      <c r="C39" s="535"/>
      <c r="D39" s="534"/>
      <c r="E39" s="534"/>
      <c r="F39" s="534"/>
      <c r="G39" s="534"/>
      <c r="H39" s="534"/>
      <c r="I39" s="534"/>
      <c r="J39" s="534"/>
      <c r="K39" s="534"/>
      <c r="L39" s="534"/>
      <c r="M39" s="534"/>
      <c r="N39" s="534"/>
      <c r="O39" s="534"/>
      <c r="P39" s="534"/>
      <c r="Q39" s="534"/>
      <c r="R39" s="534"/>
      <c r="S39" s="534"/>
      <c r="T39" s="534"/>
      <c r="U39" s="534"/>
      <c r="V39" s="534"/>
      <c r="W39" s="534"/>
      <c r="X39" s="534"/>
      <c r="Y39" s="534"/>
      <c r="Z39" s="534"/>
      <c r="AA39" s="534"/>
      <c r="AB39" s="534"/>
      <c r="AC39" s="534"/>
      <c r="AD39" s="547"/>
      <c r="AE39" s="166"/>
      <c r="AF39" s="548"/>
      <c r="AG39" s="166"/>
    </row>
    <row r="40" spans="1:34" x14ac:dyDescent="0.2">
      <c r="A40" s="556" t="s">
        <v>430</v>
      </c>
      <c r="B40" s="538">
        <f>D40/12</f>
        <v>-2741.4166666666665</v>
      </c>
      <c r="C40" s="538">
        <f>B40*$C$1</f>
        <v>-32897</v>
      </c>
      <c r="D40" s="546">
        <v>-32897</v>
      </c>
      <c r="E40" s="167">
        <f t="shared" ref="E40:P40" si="21">D43</f>
        <v>-30477</v>
      </c>
      <c r="F40" s="167">
        <f t="shared" si="21"/>
        <v>-28060.335647732987</v>
      </c>
      <c r="G40" s="167">
        <f t="shared" si="21"/>
        <v>-25668.415647732989</v>
      </c>
      <c r="H40" s="167">
        <f t="shared" si="21"/>
        <v>-23044.53251012777</v>
      </c>
      <c r="I40" s="167">
        <f t="shared" si="21"/>
        <v>-20348.923259155956</v>
      </c>
      <c r="J40" s="167">
        <f t="shared" si="21"/>
        <v>-17618.433422345242</v>
      </c>
      <c r="K40" s="167">
        <f t="shared" si="21"/>
        <v>-15306.209819419402</v>
      </c>
      <c r="L40" s="167">
        <f t="shared" si="21"/>
        <v>-13025.119819419402</v>
      </c>
      <c r="M40" s="167">
        <f t="shared" si="21"/>
        <v>-10489.049819419402</v>
      </c>
      <c r="N40" s="167">
        <f t="shared" si="21"/>
        <v>-7926.8846367708575</v>
      </c>
      <c r="O40" s="167">
        <f t="shared" si="21"/>
        <v>-5406.7790359126102</v>
      </c>
      <c r="P40" s="167">
        <f t="shared" si="21"/>
        <v>-2743.8730433420424</v>
      </c>
      <c r="Q40" s="167"/>
      <c r="R40" s="167"/>
      <c r="S40" s="167"/>
      <c r="T40" s="167"/>
      <c r="U40" s="167"/>
      <c r="V40" s="167"/>
      <c r="W40" s="167"/>
      <c r="X40" s="167"/>
      <c r="Y40" s="167"/>
      <c r="Z40" s="167"/>
      <c r="AA40" s="167"/>
      <c r="AB40" s="167"/>
      <c r="AC40" s="167"/>
      <c r="AD40" s="532">
        <f>+E40</f>
        <v>-30477</v>
      </c>
      <c r="AE40" s="166"/>
      <c r="AF40" s="548"/>
      <c r="AG40" s="166"/>
    </row>
    <row r="41" spans="1:34" x14ac:dyDescent="0.2">
      <c r="A41" s="556" t="s">
        <v>431</v>
      </c>
      <c r="B41" s="538">
        <f>D41/12</f>
        <v>201.66666666666666</v>
      </c>
      <c r="C41" s="538">
        <f>B41*$C$1</f>
        <v>2420</v>
      </c>
      <c r="D41" s="546">
        <v>2420</v>
      </c>
      <c r="E41" s="534"/>
      <c r="F41" s="534"/>
      <c r="G41" s="534"/>
      <c r="H41" s="167"/>
      <c r="I41" s="534"/>
      <c r="J41" s="534"/>
      <c r="K41" s="534"/>
      <c r="L41" s="534"/>
      <c r="M41" s="534"/>
      <c r="N41" s="534"/>
      <c r="O41" s="534"/>
      <c r="P41" s="557"/>
      <c r="Q41" s="557"/>
      <c r="R41" s="557">
        <f>Q43</f>
        <v>-524.62149506268997</v>
      </c>
      <c r="S41" s="167">
        <f t="shared" ref="S41:AC41" si="22">R41</f>
        <v>-524.62149506268997</v>
      </c>
      <c r="T41" s="167">
        <f t="shared" si="22"/>
        <v>-524.62149506268997</v>
      </c>
      <c r="U41" s="167">
        <f t="shared" si="22"/>
        <v>-524.62149506268997</v>
      </c>
      <c r="V41" s="167">
        <f t="shared" si="22"/>
        <v>-524.62149506268997</v>
      </c>
      <c r="W41" s="167">
        <f t="shared" si="22"/>
        <v>-524.62149506268997</v>
      </c>
      <c r="X41" s="167">
        <f t="shared" si="22"/>
        <v>-524.62149506268997</v>
      </c>
      <c r="Y41" s="167">
        <f t="shared" si="22"/>
        <v>-524.62149506268997</v>
      </c>
      <c r="Z41" s="167">
        <f t="shared" si="22"/>
        <v>-524.62149506268997</v>
      </c>
      <c r="AA41" s="167">
        <f t="shared" si="22"/>
        <v>-524.62149506268997</v>
      </c>
      <c r="AB41" s="167">
        <f t="shared" si="22"/>
        <v>-524.62149506268997</v>
      </c>
      <c r="AC41" s="167">
        <f t="shared" si="22"/>
        <v>-524.62149506268997</v>
      </c>
      <c r="AD41" s="528"/>
      <c r="AE41" s="166"/>
      <c r="AF41" s="548"/>
      <c r="AG41" s="166"/>
    </row>
    <row r="42" spans="1:34" x14ac:dyDescent="0.2">
      <c r="A42" s="556" t="s">
        <v>425</v>
      </c>
      <c r="B42" s="541"/>
      <c r="C42" s="541"/>
      <c r="D42" s="558">
        <v>0</v>
      </c>
      <c r="E42" s="559">
        <f>[28]JE!$B$15</f>
        <v>2416.6643522670142</v>
      </c>
      <c r="F42" s="559">
        <v>2391.92</v>
      </c>
      <c r="G42" s="559">
        <v>2623.8831376052199</v>
      </c>
      <c r="H42" s="559">
        <v>2695.6092509718128</v>
      </c>
      <c r="I42" s="559">
        <v>2730.4898368107142</v>
      </c>
      <c r="J42" s="559">
        <v>2312.2236029258397</v>
      </c>
      <c r="K42" s="559">
        <v>2281.09</v>
      </c>
      <c r="L42" s="559">
        <v>2536.0700000000002</v>
      </c>
      <c r="M42" s="559">
        <v>2562.1651826485445</v>
      </c>
      <c r="N42" s="559">
        <v>2520.1056008582473</v>
      </c>
      <c r="O42" s="559">
        <v>2662.9059925705678</v>
      </c>
      <c r="P42" s="562">
        <v>2219.2515482793524</v>
      </c>
      <c r="Q42" s="562"/>
      <c r="R42" s="562"/>
      <c r="S42" s="170"/>
      <c r="T42" s="170"/>
      <c r="U42" s="170"/>
      <c r="V42" s="170"/>
      <c r="W42" s="170"/>
      <c r="X42" s="170"/>
      <c r="Y42" s="170"/>
      <c r="Z42" s="170"/>
      <c r="AA42" s="170"/>
      <c r="AB42" s="170"/>
      <c r="AC42" s="170"/>
      <c r="AD42" s="555">
        <f>SUM(E42:P42)</f>
        <v>29952.378504937311</v>
      </c>
      <c r="AE42" s="544">
        <f>AD42</f>
        <v>29952.378504937311</v>
      </c>
      <c r="AF42" s="545">
        <f>C43+AE42</f>
        <v>-524.62149506268906</v>
      </c>
      <c r="AG42" s="545">
        <f>AF42/1</f>
        <v>-524.62149506268906</v>
      </c>
    </row>
    <row r="43" spans="1:34" x14ac:dyDescent="0.2">
      <c r="A43" s="556" t="s">
        <v>425</v>
      </c>
      <c r="B43" s="538">
        <f>D43/12</f>
        <v>-2539.75</v>
      </c>
      <c r="C43" s="538">
        <f>SUM(C40:C41)</f>
        <v>-30477</v>
      </c>
      <c r="D43" s="560">
        <f>+D40+D41+D42</f>
        <v>-30477</v>
      </c>
      <c r="E43" s="534">
        <f t="shared" ref="E43:P43" si="23">+D43+E42</f>
        <v>-28060.335647732987</v>
      </c>
      <c r="F43" s="534">
        <f t="shared" si="23"/>
        <v>-25668.415647732989</v>
      </c>
      <c r="G43" s="534">
        <f t="shared" si="23"/>
        <v>-23044.53251012777</v>
      </c>
      <c r="H43" s="534">
        <f t="shared" si="23"/>
        <v>-20348.923259155956</v>
      </c>
      <c r="I43" s="534">
        <f t="shared" si="23"/>
        <v>-17618.433422345242</v>
      </c>
      <c r="J43" s="534">
        <f t="shared" si="23"/>
        <v>-15306.209819419402</v>
      </c>
      <c r="K43" s="534">
        <f t="shared" si="23"/>
        <v>-13025.119819419402</v>
      </c>
      <c r="L43" s="534">
        <f t="shared" si="23"/>
        <v>-10489.049819419402</v>
      </c>
      <c r="M43" s="534">
        <f t="shared" si="23"/>
        <v>-7926.8846367708575</v>
      </c>
      <c r="N43" s="534">
        <f t="shared" si="23"/>
        <v>-5406.7790359126102</v>
      </c>
      <c r="O43" s="534">
        <f t="shared" si="23"/>
        <v>-2743.8730433420424</v>
      </c>
      <c r="P43" s="534">
        <f t="shared" si="23"/>
        <v>-524.62149506268997</v>
      </c>
      <c r="Q43" s="534">
        <f>P43</f>
        <v>-524.62149506268997</v>
      </c>
      <c r="R43" s="534">
        <f t="shared" ref="R43:AC43" si="24">R41</f>
        <v>-524.62149506268997</v>
      </c>
      <c r="S43" s="534">
        <f t="shared" si="24"/>
        <v>-524.62149506268997</v>
      </c>
      <c r="T43" s="534">
        <f t="shared" si="24"/>
        <v>-524.62149506268997</v>
      </c>
      <c r="U43" s="534">
        <f t="shared" si="24"/>
        <v>-524.62149506268997</v>
      </c>
      <c r="V43" s="534">
        <f t="shared" si="24"/>
        <v>-524.62149506268997</v>
      </c>
      <c r="W43" s="534">
        <f t="shared" si="24"/>
        <v>-524.62149506268997</v>
      </c>
      <c r="X43" s="534">
        <f t="shared" si="24"/>
        <v>-524.62149506268997</v>
      </c>
      <c r="Y43" s="534">
        <f t="shared" si="24"/>
        <v>-524.62149506268997</v>
      </c>
      <c r="Z43" s="534">
        <f t="shared" si="24"/>
        <v>-524.62149506268997</v>
      </c>
      <c r="AA43" s="534">
        <f t="shared" si="24"/>
        <v>-524.62149506268997</v>
      </c>
      <c r="AB43" s="534">
        <f t="shared" si="24"/>
        <v>-524.62149506268997</v>
      </c>
      <c r="AC43" s="534">
        <f t="shared" si="24"/>
        <v>-524.62149506268997</v>
      </c>
      <c r="AD43" s="547">
        <f>SUM(AD40:AD42)</f>
        <v>-524.62149506268906</v>
      </c>
      <c r="AE43" s="547">
        <f>SUM(AE40:AE42)</f>
        <v>29952.378504937311</v>
      </c>
      <c r="AF43" s="547">
        <f>SUM(AF40:AF42)</f>
        <v>-524.62149506268906</v>
      </c>
      <c r="AG43" s="548">
        <f>AG42</f>
        <v>-524.62149506268906</v>
      </c>
    </row>
    <row r="44" spans="1:34" ht="12" thickBot="1" x14ac:dyDescent="0.25">
      <c r="A44" s="556"/>
      <c r="B44" s="563"/>
      <c r="C44" s="563"/>
      <c r="D44" s="546"/>
      <c r="E44" s="534"/>
      <c r="F44" s="534"/>
      <c r="G44" s="534"/>
      <c r="H44" s="534"/>
      <c r="I44" s="534"/>
      <c r="J44" s="534"/>
      <c r="K44" s="534"/>
      <c r="L44" s="534"/>
      <c r="M44" s="534"/>
      <c r="N44" s="534"/>
      <c r="O44" s="534"/>
      <c r="P44" s="534"/>
      <c r="Q44" s="534"/>
      <c r="R44" s="534"/>
      <c r="S44" s="534"/>
      <c r="T44" s="534"/>
      <c r="U44" s="534"/>
      <c r="V44" s="534"/>
      <c r="W44" s="534"/>
      <c r="X44" s="534"/>
      <c r="Y44" s="534"/>
      <c r="Z44" s="534"/>
      <c r="AA44" s="534"/>
      <c r="AB44" s="534"/>
      <c r="AC44" s="534"/>
      <c r="AD44" s="547"/>
      <c r="AE44" s="493"/>
      <c r="AF44" s="548"/>
      <c r="AG44" s="166"/>
    </row>
    <row r="45" spans="1:34" x14ac:dyDescent="0.2">
      <c r="A45" s="564" t="s">
        <v>432</v>
      </c>
      <c r="B45" s="565">
        <f t="shared" ref="B45:AG45" si="25">B11+B16+B23+B30+B37+B43</f>
        <v>-589558.07167649502</v>
      </c>
      <c r="C45" s="565">
        <f t="shared" si="25"/>
        <v>-7074696.8601179393</v>
      </c>
      <c r="D45" s="565">
        <f t="shared" si="25"/>
        <v>-7074696.8601179393</v>
      </c>
      <c r="E45" s="565">
        <f t="shared" si="25"/>
        <v>-6512031.396726449</v>
      </c>
      <c r="F45" s="565">
        <f t="shared" si="25"/>
        <v>-5960395.8167264489</v>
      </c>
      <c r="G45" s="565">
        <f t="shared" si="25"/>
        <v>-5358327.2755497806</v>
      </c>
      <c r="H45" s="565">
        <f t="shared" si="25"/>
        <v>-4747631.5288246786</v>
      </c>
      <c r="I45" s="565">
        <f t="shared" si="25"/>
        <v>-4072477.1624295055</v>
      </c>
      <c r="J45" s="565">
        <f t="shared" si="25"/>
        <v>-3540086.5889697443</v>
      </c>
      <c r="K45" s="565">
        <f t="shared" si="25"/>
        <v>-3012841.9489697446</v>
      </c>
      <c r="L45" s="565">
        <f t="shared" si="25"/>
        <v>-2426078.0389697445</v>
      </c>
      <c r="M45" s="565">
        <f t="shared" si="25"/>
        <v>-1845023.4202939703</v>
      </c>
      <c r="N45" s="565">
        <f t="shared" si="25"/>
        <v>-1268813.6754131597</v>
      </c>
      <c r="O45" s="565">
        <f t="shared" si="25"/>
        <v>-658880.68005731422</v>
      </c>
      <c r="P45" s="565">
        <f t="shared" si="25"/>
        <v>-147786.59737418004</v>
      </c>
      <c r="Q45" s="565">
        <f t="shared" si="25"/>
        <v>-147786.59737418004</v>
      </c>
      <c r="R45" s="565">
        <f t="shared" si="25"/>
        <v>-147786.59737418004</v>
      </c>
      <c r="S45" s="565">
        <f t="shared" si="25"/>
        <v>-147786.59737418004</v>
      </c>
      <c r="T45" s="565">
        <f t="shared" si="25"/>
        <v>-147786.59737418004</v>
      </c>
      <c r="U45" s="565">
        <f t="shared" si="25"/>
        <v>-147786.59737418004</v>
      </c>
      <c r="V45" s="565">
        <f t="shared" si="25"/>
        <v>-147786.59737418004</v>
      </c>
      <c r="W45" s="565">
        <f t="shared" si="25"/>
        <v>-147786.59737418004</v>
      </c>
      <c r="X45" s="565">
        <f t="shared" si="25"/>
        <v>-147786.59737418004</v>
      </c>
      <c r="Y45" s="565">
        <f t="shared" si="25"/>
        <v>-147786.59737418004</v>
      </c>
      <c r="Z45" s="565">
        <f t="shared" si="25"/>
        <v>-147786.59737418004</v>
      </c>
      <c r="AA45" s="565">
        <f t="shared" si="25"/>
        <v>-147786.59737418004</v>
      </c>
      <c r="AB45" s="565">
        <f t="shared" si="25"/>
        <v>-147786.59737418004</v>
      </c>
      <c r="AC45" s="565">
        <f t="shared" si="25"/>
        <v>-147786.59737418004</v>
      </c>
      <c r="AD45" s="565">
        <f t="shared" si="25"/>
        <v>-147786.59737418059</v>
      </c>
      <c r="AE45" s="565">
        <f t="shared" si="25"/>
        <v>6873340.9195745336</v>
      </c>
      <c r="AF45" s="565">
        <f t="shared" si="25"/>
        <v>-147786.59737418045</v>
      </c>
      <c r="AG45" s="565">
        <f t="shared" si="25"/>
        <v>-147786.59737418045</v>
      </c>
      <c r="AH45" s="566"/>
    </row>
    <row r="46" spans="1:34" ht="12" thickBot="1" x14ac:dyDescent="0.25">
      <c r="A46" s="567" t="s">
        <v>433</v>
      </c>
      <c r="B46" s="568">
        <v>0</v>
      </c>
      <c r="C46" s="568">
        <v>0</v>
      </c>
      <c r="D46" s="568">
        <f t="shared" ref="D46:O46" si="26">$D$9+$D$14+$D$20+$D$27+$D$34+$D$41</f>
        <v>1109533.6568307749</v>
      </c>
      <c r="E46" s="568">
        <f t="shared" si="26"/>
        <v>1109533.6568307749</v>
      </c>
      <c r="F46" s="568">
        <f t="shared" si="26"/>
        <v>1109533.6568307749</v>
      </c>
      <c r="G46" s="568">
        <f t="shared" si="26"/>
        <v>1109533.6568307749</v>
      </c>
      <c r="H46" s="568">
        <f t="shared" si="26"/>
        <v>1109533.6568307749</v>
      </c>
      <c r="I46" s="568">
        <f t="shared" si="26"/>
        <v>1109533.6568307749</v>
      </c>
      <c r="J46" s="568">
        <f t="shared" si="26"/>
        <v>1109533.6568307749</v>
      </c>
      <c r="K46" s="568">
        <f t="shared" si="26"/>
        <v>1109533.6568307749</v>
      </c>
      <c r="L46" s="568">
        <f t="shared" si="26"/>
        <v>1109533.6568307749</v>
      </c>
      <c r="M46" s="568">
        <f t="shared" si="26"/>
        <v>1109533.6568307749</v>
      </c>
      <c r="N46" s="568">
        <f t="shared" si="26"/>
        <v>1109533.6568307749</v>
      </c>
      <c r="O46" s="568">
        <f t="shared" si="26"/>
        <v>1109533.6568307749</v>
      </c>
      <c r="P46" s="568">
        <v>0</v>
      </c>
      <c r="Q46" s="568">
        <f>AH51</f>
        <v>0</v>
      </c>
      <c r="R46" s="568"/>
      <c r="S46" s="568"/>
      <c r="T46" s="568"/>
      <c r="U46" s="568"/>
      <c r="V46" s="568"/>
      <c r="W46" s="568"/>
      <c r="X46" s="568"/>
      <c r="Y46" s="568"/>
      <c r="Z46" s="568"/>
      <c r="AA46" s="568"/>
      <c r="AB46" s="568"/>
      <c r="AC46" s="568"/>
      <c r="AD46" s="569">
        <v>0</v>
      </c>
      <c r="AE46" s="568">
        <v>0</v>
      </c>
      <c r="AF46" s="568">
        <v>0</v>
      </c>
      <c r="AG46" s="166"/>
    </row>
    <row r="47" spans="1:34" ht="12" thickBot="1" x14ac:dyDescent="0.25">
      <c r="A47" s="567" t="s">
        <v>108</v>
      </c>
      <c r="B47" s="568">
        <f>B45+B46</f>
        <v>-589558.07167649502</v>
      </c>
      <c r="C47" s="568">
        <f>C45+C46</f>
        <v>-7074696.8601179393</v>
      </c>
      <c r="D47" s="568">
        <f t="shared" ref="D47:AD47" si="27">D45-D46</f>
        <v>-8184230.5169487139</v>
      </c>
      <c r="E47" s="568">
        <f t="shared" si="27"/>
        <v>-7621565.0535572236</v>
      </c>
      <c r="F47" s="568">
        <f t="shared" si="27"/>
        <v>-7069929.4735572236</v>
      </c>
      <c r="G47" s="568">
        <f t="shared" si="27"/>
        <v>-6467860.9323805552</v>
      </c>
      <c r="H47" s="568">
        <f t="shared" si="27"/>
        <v>-5857165.1856554532</v>
      </c>
      <c r="I47" s="568">
        <f t="shared" si="27"/>
        <v>-5182010.8192602806</v>
      </c>
      <c r="J47" s="568">
        <f t="shared" si="27"/>
        <v>-4649620.2458005194</v>
      </c>
      <c r="K47" s="568">
        <f t="shared" si="27"/>
        <v>-4122375.6058005197</v>
      </c>
      <c r="L47" s="568">
        <f t="shared" si="27"/>
        <v>-3535611.6958005195</v>
      </c>
      <c r="M47" s="568">
        <f t="shared" si="27"/>
        <v>-2954557.0771247451</v>
      </c>
      <c r="N47" s="568">
        <f t="shared" si="27"/>
        <v>-2378347.3322439343</v>
      </c>
      <c r="O47" s="568">
        <f t="shared" si="27"/>
        <v>-1768414.3368880891</v>
      </c>
      <c r="P47" s="568">
        <f t="shared" si="27"/>
        <v>-147786.59737418004</v>
      </c>
      <c r="Q47" s="568">
        <f t="shared" si="27"/>
        <v>-147786.59737418004</v>
      </c>
      <c r="R47" s="568">
        <f t="shared" si="27"/>
        <v>-147786.59737418004</v>
      </c>
      <c r="S47" s="568">
        <f t="shared" si="27"/>
        <v>-147786.59737418004</v>
      </c>
      <c r="T47" s="568">
        <f t="shared" si="27"/>
        <v>-147786.59737418004</v>
      </c>
      <c r="U47" s="568">
        <f t="shared" si="27"/>
        <v>-147786.59737418004</v>
      </c>
      <c r="V47" s="568">
        <f t="shared" si="27"/>
        <v>-147786.59737418004</v>
      </c>
      <c r="W47" s="568">
        <f t="shared" si="27"/>
        <v>-147786.59737418004</v>
      </c>
      <c r="X47" s="568">
        <f t="shared" si="27"/>
        <v>-147786.59737418004</v>
      </c>
      <c r="Y47" s="568">
        <f t="shared" si="27"/>
        <v>-147786.59737418004</v>
      </c>
      <c r="Z47" s="568">
        <f t="shared" si="27"/>
        <v>-147786.59737418004</v>
      </c>
      <c r="AA47" s="568">
        <f t="shared" si="27"/>
        <v>-147786.59737418004</v>
      </c>
      <c r="AB47" s="568">
        <f t="shared" si="27"/>
        <v>-147786.59737418004</v>
      </c>
      <c r="AC47" s="568">
        <f t="shared" si="27"/>
        <v>-147786.59737418004</v>
      </c>
      <c r="AD47" s="568">
        <f t="shared" si="27"/>
        <v>-147786.59737418059</v>
      </c>
      <c r="AE47" s="568">
        <f>AE45+AE46</f>
        <v>6873340.9195745336</v>
      </c>
      <c r="AF47" s="568">
        <f>AF45+AF46</f>
        <v>-147786.59737418045</v>
      </c>
      <c r="AG47" s="493"/>
    </row>
    <row r="48" spans="1:34" ht="15.75" x14ac:dyDescent="0.25">
      <c r="A48" s="174"/>
      <c r="B48" s="174"/>
      <c r="C48" s="570"/>
      <c r="D48" s="534"/>
      <c r="E48" s="534"/>
      <c r="F48" s="534"/>
      <c r="G48" s="534"/>
      <c r="H48" s="534"/>
      <c r="I48" s="534"/>
      <c r="J48" s="534"/>
      <c r="K48" s="534"/>
      <c r="L48" s="534"/>
      <c r="M48" s="534"/>
      <c r="N48" s="534"/>
      <c r="O48" s="534"/>
      <c r="P48" s="557"/>
      <c r="Q48" s="557"/>
      <c r="R48" s="557"/>
      <c r="S48" s="557"/>
      <c r="T48" s="557"/>
      <c r="U48" s="557"/>
      <c r="V48" s="557"/>
      <c r="W48" s="557"/>
      <c r="X48" s="557"/>
      <c r="Y48" s="557"/>
      <c r="Z48" s="557"/>
      <c r="AA48" s="557"/>
      <c r="AB48" s="557"/>
      <c r="AC48" s="557"/>
      <c r="AD48" s="528"/>
      <c r="AF48" s="566"/>
    </row>
    <row r="49" spans="1:34" ht="15.75" x14ac:dyDescent="0.25">
      <c r="A49" s="169" t="s">
        <v>109</v>
      </c>
      <c r="B49" s="169"/>
      <c r="C49" s="570"/>
      <c r="D49" s="531"/>
      <c r="F49" s="531"/>
      <c r="G49" s="531"/>
      <c r="H49" s="534"/>
      <c r="I49" s="534"/>
      <c r="J49" s="534"/>
      <c r="K49" s="571"/>
      <c r="L49" s="571"/>
      <c r="M49" s="571"/>
      <c r="N49" s="572"/>
      <c r="O49" s="572"/>
      <c r="P49" s="571"/>
      <c r="Q49" s="571"/>
      <c r="R49" s="571"/>
      <c r="S49" s="571"/>
      <c r="T49" s="571"/>
      <c r="U49" s="571"/>
      <c r="V49" s="571"/>
      <c r="W49" s="571"/>
      <c r="X49" s="571"/>
      <c r="Y49" s="571"/>
      <c r="Z49" s="571"/>
      <c r="AA49" s="571"/>
      <c r="AB49" s="571"/>
      <c r="AC49" s="571"/>
      <c r="AD49" s="550"/>
      <c r="AF49" s="573"/>
      <c r="AG49" s="573"/>
      <c r="AH49" s="573"/>
    </row>
    <row r="50" spans="1:34" ht="15.75" x14ac:dyDescent="0.25">
      <c r="A50" s="171" t="s">
        <v>110</v>
      </c>
      <c r="B50" s="171"/>
      <c r="C50" s="570"/>
      <c r="D50" s="531">
        <f>'[29]1590 to April 30, 2008'!F272</f>
        <v>1565293.32</v>
      </c>
      <c r="E50" s="531"/>
      <c r="F50" s="531"/>
      <c r="G50" s="531"/>
      <c r="H50" s="534"/>
      <c r="I50" s="534">
        <f>-D50-E51</f>
        <v>-27872.320000000065</v>
      </c>
      <c r="J50" s="534"/>
      <c r="K50" s="571"/>
      <c r="L50" s="571"/>
      <c r="M50" s="571"/>
      <c r="N50" s="574"/>
      <c r="O50" s="572"/>
      <c r="P50" s="571"/>
      <c r="Q50" s="571"/>
      <c r="R50" s="571"/>
      <c r="S50" s="571"/>
      <c r="T50" s="571"/>
      <c r="U50" s="571"/>
      <c r="V50" s="571"/>
      <c r="W50" s="571"/>
      <c r="X50" s="571"/>
      <c r="Y50" s="571"/>
      <c r="Z50" s="571"/>
      <c r="AA50" s="571"/>
      <c r="AB50" s="571"/>
      <c r="AC50" s="571"/>
      <c r="AD50" s="550">
        <f>+D50+I50</f>
        <v>1537421</v>
      </c>
      <c r="AF50" s="575"/>
      <c r="AG50" s="576"/>
      <c r="AH50" s="577"/>
    </row>
    <row r="51" spans="1:34" x14ac:dyDescent="0.2">
      <c r="A51" s="171" t="s">
        <v>434</v>
      </c>
      <c r="B51" s="171"/>
      <c r="C51" s="171"/>
      <c r="D51" s="531"/>
      <c r="E51" s="531">
        <f>-D16</f>
        <v>-1537421</v>
      </c>
      <c r="F51" s="531"/>
      <c r="G51" s="531"/>
      <c r="H51" s="534"/>
      <c r="I51" s="534"/>
      <c r="J51" s="534"/>
      <c r="K51" s="571"/>
      <c r="L51" s="571"/>
      <c r="M51" s="571"/>
      <c r="N51" s="574"/>
      <c r="O51" s="578"/>
      <c r="P51" s="557">
        <v>0</v>
      </c>
      <c r="Q51" s="557"/>
      <c r="R51" s="557"/>
      <c r="S51" s="557"/>
      <c r="T51" s="557"/>
      <c r="U51" s="557"/>
      <c r="V51" s="557"/>
      <c r="W51" s="557"/>
      <c r="X51" s="557"/>
      <c r="Y51" s="557"/>
      <c r="Z51" s="557"/>
      <c r="AA51" s="557"/>
      <c r="AB51" s="557"/>
      <c r="AC51" s="557"/>
      <c r="AD51" s="550">
        <f>SUM(E51:P51)</f>
        <v>-1537421</v>
      </c>
      <c r="AF51" s="579"/>
      <c r="AG51" s="576"/>
      <c r="AH51" s="577"/>
    </row>
    <row r="52" spans="1:34" x14ac:dyDescent="0.2">
      <c r="A52" s="175" t="s">
        <v>435</v>
      </c>
      <c r="B52" s="175"/>
      <c r="C52" s="175"/>
      <c r="D52" s="531"/>
      <c r="E52" s="534">
        <f>'[29]1590 to April 30, 2008'!G264</f>
        <v>-227.82539952109005</v>
      </c>
      <c r="F52" s="534">
        <v>-18368.492315645293</v>
      </c>
      <c r="G52" s="534">
        <v>-13541.990196375426</v>
      </c>
      <c r="H52" s="534">
        <v>-11861.215518923893</v>
      </c>
      <c r="I52" s="534">
        <f>H47*0.0335/12</f>
        <v>-16351.252809954807</v>
      </c>
      <c r="J52" s="534">
        <f>I47*0.0335/12</f>
        <v>-14466.446870434951</v>
      </c>
      <c r="K52" s="534">
        <f>J47*0.0335/12</f>
        <v>-12980.189852859783</v>
      </c>
      <c r="L52" s="534">
        <f>K47*0.0335/12+1</f>
        <v>-11507.298566193118</v>
      </c>
      <c r="M52" s="534">
        <f>L47*0.0245/12</f>
        <v>-7218.5405455927275</v>
      </c>
      <c r="N52" s="534">
        <f>M47*0.0245/12</f>
        <v>-6032.220699129688</v>
      </c>
      <c r="O52" s="534">
        <f>N47*0.0245/12</f>
        <v>-4855.7924699980331</v>
      </c>
      <c r="P52" s="534">
        <f>O47*0.01/12</f>
        <v>-1473.6786140734075</v>
      </c>
      <c r="Q52" s="534">
        <f>R85</f>
        <v>-597.30416438731095</v>
      </c>
      <c r="R52" s="534">
        <f>R84</f>
        <v>-67.73552379649918</v>
      </c>
      <c r="S52" s="534">
        <f>R52</f>
        <v>-67.73552379649918</v>
      </c>
      <c r="T52" s="534">
        <f>S52</f>
        <v>-67.73552379649918</v>
      </c>
      <c r="U52" s="534">
        <f>AF71-1.19</f>
        <v>-68.925523796499178</v>
      </c>
      <c r="V52" s="534">
        <f>U52</f>
        <v>-68.925523796499178</v>
      </c>
      <c r="W52" s="534">
        <f>AF73</f>
        <v>-67.73552379649918</v>
      </c>
      <c r="X52" s="580">
        <f>AF74</f>
        <v>-109.60839305251686</v>
      </c>
      <c r="Y52" s="580">
        <f>AF75</f>
        <v>-109.60839305251686</v>
      </c>
      <c r="Z52" s="580">
        <f>AF76</f>
        <v>-109.60839305251686</v>
      </c>
      <c r="AA52" s="580">
        <f>AF77</f>
        <v>-147.78659737418005</v>
      </c>
      <c r="AB52" s="580">
        <f>AA52</f>
        <v>-147.78659737418005</v>
      </c>
      <c r="AC52" s="580">
        <f>AB52</f>
        <v>-147.78659737418005</v>
      </c>
      <c r="AD52" s="550">
        <f>SUM(E52:AC52)</f>
        <v>-120663.22613714861</v>
      </c>
      <c r="AF52" s="579"/>
      <c r="AG52" s="576"/>
      <c r="AH52" s="577"/>
    </row>
    <row r="53" spans="1:34" x14ac:dyDescent="0.2">
      <c r="A53" s="175" t="s">
        <v>111</v>
      </c>
      <c r="B53" s="175"/>
      <c r="C53" s="175"/>
      <c r="D53" s="531"/>
      <c r="E53" s="534"/>
      <c r="F53" s="534"/>
      <c r="G53" s="534"/>
      <c r="H53" s="534"/>
      <c r="I53" s="534">
        <v>-19935</v>
      </c>
      <c r="J53" s="534"/>
      <c r="K53" s="534"/>
      <c r="L53" s="534"/>
      <c r="M53" s="534"/>
      <c r="N53" s="534"/>
      <c r="O53" s="534"/>
      <c r="P53" s="534"/>
      <c r="Q53" s="534"/>
      <c r="R53" s="534"/>
      <c r="S53" s="534"/>
      <c r="T53" s="534"/>
      <c r="U53" s="534"/>
      <c r="V53" s="534"/>
      <c r="W53" s="534"/>
      <c r="X53" s="534"/>
      <c r="Y53" s="534"/>
      <c r="Z53" s="534"/>
      <c r="AA53" s="534"/>
      <c r="AB53" s="534"/>
      <c r="AC53" s="534"/>
      <c r="AD53" s="550">
        <f>SUM(E53:P53)</f>
        <v>-19935</v>
      </c>
      <c r="AF53" s="581"/>
      <c r="AG53" s="581"/>
      <c r="AH53" s="581"/>
    </row>
    <row r="54" spans="1:34" x14ac:dyDescent="0.2">
      <c r="A54" s="175" t="s">
        <v>436</v>
      </c>
      <c r="B54" s="582"/>
      <c r="C54" s="582"/>
      <c r="D54" s="583"/>
      <c r="E54" s="559">
        <f>7870+72.07</f>
        <v>7942.07</v>
      </c>
      <c r="F54" s="559"/>
      <c r="G54" s="559"/>
      <c r="H54" s="559"/>
      <c r="I54" s="559"/>
      <c r="J54" s="559"/>
      <c r="K54" s="559"/>
      <c r="L54" s="559"/>
      <c r="M54" s="559"/>
      <c r="N54" s="559"/>
      <c r="O54" s="559"/>
      <c r="P54" s="559"/>
      <c r="Q54" s="559"/>
      <c r="R54" s="559"/>
      <c r="S54" s="559"/>
      <c r="T54" s="559"/>
      <c r="U54" s="559"/>
      <c r="V54" s="559"/>
      <c r="W54" s="559"/>
      <c r="X54" s="559"/>
      <c r="Y54" s="559"/>
      <c r="Z54" s="559"/>
      <c r="AA54" s="559"/>
      <c r="AB54" s="559"/>
      <c r="AC54" s="559"/>
      <c r="AD54" s="584">
        <f>SUM(E54:P54)</f>
        <v>7942.07</v>
      </c>
      <c r="AF54" s="566"/>
    </row>
    <row r="55" spans="1:34" x14ac:dyDescent="0.2">
      <c r="A55" s="176" t="s">
        <v>112</v>
      </c>
      <c r="B55" s="176"/>
      <c r="C55" s="176"/>
      <c r="D55" s="534">
        <f>D50</f>
        <v>1565293.32</v>
      </c>
      <c r="E55" s="534">
        <f>+E52+E51+D50+E54</f>
        <v>35586.564600479025</v>
      </c>
      <c r="F55" s="534">
        <f>+F52+E55</f>
        <v>17218.072284833732</v>
      </c>
      <c r="G55" s="534">
        <f>+G52+F55</f>
        <v>3676.0820884583063</v>
      </c>
      <c r="H55" s="534">
        <f>+H52+G55</f>
        <v>-8185.1334304655866</v>
      </c>
      <c r="I55" s="534">
        <f>H55+I50+I52+I53</f>
        <v>-72343.706240420463</v>
      </c>
      <c r="J55" s="534">
        <f t="shared" ref="J55:AC55" si="28">+J52+I55</f>
        <v>-86810.153110855419</v>
      </c>
      <c r="K55" s="534">
        <f t="shared" si="28"/>
        <v>-99790.3429637152</v>
      </c>
      <c r="L55" s="534">
        <f t="shared" si="28"/>
        <v>-111297.64152990832</v>
      </c>
      <c r="M55" s="534">
        <f t="shared" si="28"/>
        <v>-118516.18207550104</v>
      </c>
      <c r="N55" s="534">
        <f t="shared" si="28"/>
        <v>-124548.40277463073</v>
      </c>
      <c r="O55" s="534">
        <f t="shared" si="28"/>
        <v>-129404.19524462876</v>
      </c>
      <c r="P55" s="534">
        <f t="shared" si="28"/>
        <v>-130877.87385870217</v>
      </c>
      <c r="Q55" s="534">
        <f t="shared" si="28"/>
        <v>-131475.17802308948</v>
      </c>
      <c r="R55" s="534">
        <f t="shared" si="28"/>
        <v>-131542.91354688597</v>
      </c>
      <c r="S55" s="534">
        <f t="shared" si="28"/>
        <v>-131610.64907068247</v>
      </c>
      <c r="T55" s="534">
        <f t="shared" si="28"/>
        <v>-131678.38459447896</v>
      </c>
      <c r="U55" s="534">
        <f t="shared" si="28"/>
        <v>-131747.31011827546</v>
      </c>
      <c r="V55" s="534">
        <f t="shared" si="28"/>
        <v>-131816.23564207196</v>
      </c>
      <c r="W55" s="534">
        <f t="shared" si="28"/>
        <v>-131883.97116586845</v>
      </c>
      <c r="X55" s="534">
        <f t="shared" si="28"/>
        <v>-131993.57955892096</v>
      </c>
      <c r="Y55" s="534">
        <f t="shared" si="28"/>
        <v>-132103.18795197346</v>
      </c>
      <c r="Z55" s="534">
        <f t="shared" si="28"/>
        <v>-132212.79634502597</v>
      </c>
      <c r="AA55" s="534">
        <f t="shared" si="28"/>
        <v>-132360.58294240016</v>
      </c>
      <c r="AB55" s="534">
        <f t="shared" si="28"/>
        <v>-132508.36953977434</v>
      </c>
      <c r="AC55" s="534">
        <f t="shared" si="28"/>
        <v>-132656.15613714853</v>
      </c>
      <c r="AD55" s="550">
        <f>ROUNDUP(SUM(AD50:AD54),0)</f>
        <v>-132657</v>
      </c>
    </row>
    <row r="56" spans="1:34" ht="12" thickBot="1" x14ac:dyDescent="0.25">
      <c r="A56" s="177" t="s">
        <v>113</v>
      </c>
      <c r="B56" s="177"/>
      <c r="C56" s="177"/>
      <c r="D56" s="585">
        <f>D50</f>
        <v>1565293.32</v>
      </c>
      <c r="E56" s="586">
        <f t="shared" ref="E56:Z56" si="29">E55+E45</f>
        <v>-6476444.8321259702</v>
      </c>
      <c r="F56" s="586">
        <f t="shared" si="29"/>
        <v>-5943177.7444416154</v>
      </c>
      <c r="G56" s="586">
        <f t="shared" si="29"/>
        <v>-5354651.1934613222</v>
      </c>
      <c r="H56" s="586">
        <f t="shared" si="29"/>
        <v>-4755816.6622551437</v>
      </c>
      <c r="I56" s="586">
        <f t="shared" si="29"/>
        <v>-4144820.8686699262</v>
      </c>
      <c r="J56" s="586">
        <f t="shared" si="29"/>
        <v>-3626896.7420805995</v>
      </c>
      <c r="K56" s="586">
        <f t="shared" si="29"/>
        <v>-3112632.2919334597</v>
      </c>
      <c r="L56" s="586">
        <f t="shared" si="29"/>
        <v>-2537375.6804996529</v>
      </c>
      <c r="M56" s="586">
        <f t="shared" si="29"/>
        <v>-1963539.6023694712</v>
      </c>
      <c r="N56" s="586">
        <f t="shared" si="29"/>
        <v>-1393362.0781877905</v>
      </c>
      <c r="O56" s="586">
        <f t="shared" si="29"/>
        <v>-788284.87530194293</v>
      </c>
      <c r="P56" s="586">
        <f t="shared" si="29"/>
        <v>-278664.47123288224</v>
      </c>
      <c r="Q56" s="586">
        <f t="shared" si="29"/>
        <v>-279261.77539726952</v>
      </c>
      <c r="R56" s="586">
        <f t="shared" si="29"/>
        <v>-279329.51092106604</v>
      </c>
      <c r="S56" s="586">
        <f t="shared" si="29"/>
        <v>-279397.24644486251</v>
      </c>
      <c r="T56" s="586">
        <f t="shared" si="29"/>
        <v>-279464.98196865898</v>
      </c>
      <c r="U56" s="586">
        <f t="shared" si="29"/>
        <v>-279533.9074924555</v>
      </c>
      <c r="V56" s="586">
        <f t="shared" si="29"/>
        <v>-279602.83301625203</v>
      </c>
      <c r="W56" s="586">
        <f t="shared" si="29"/>
        <v>-279670.56854004849</v>
      </c>
      <c r="X56" s="586">
        <f t="shared" si="29"/>
        <v>-279780.17693310103</v>
      </c>
      <c r="Y56" s="586">
        <f t="shared" si="29"/>
        <v>-279889.78532615351</v>
      </c>
      <c r="Z56" s="586">
        <f t="shared" si="29"/>
        <v>-279999.39371920598</v>
      </c>
      <c r="AA56" s="586">
        <f>ROUNDUP((AA55+AA45),0)</f>
        <v>-280148</v>
      </c>
      <c r="AB56" s="586">
        <f>'[31]2.Reg Asset_Liability Details'!$AC$49+'[31]2.Reg Asset_Liability Details'!$AC$50</f>
        <v>-280296.68999999989</v>
      </c>
      <c r="AC56" s="586">
        <f>'[31]2.Reg Asset_Liability Details'!$AC$49+'[31]2.Reg Asset_Liability Details'!$AC$50</f>
        <v>-280296.68999999989</v>
      </c>
      <c r="AD56" s="586">
        <f>ROUNDUP((AD55+AD45),0)</f>
        <v>-280444</v>
      </c>
    </row>
    <row r="57" spans="1:34" ht="12" thickBot="1" x14ac:dyDescent="0.25">
      <c r="A57" s="178" t="s">
        <v>114</v>
      </c>
      <c r="B57" s="178"/>
      <c r="C57" s="178"/>
      <c r="D57" s="587">
        <f>'[29]1590 to April 30, 2008'!F272</f>
        <v>1565293.32</v>
      </c>
      <c r="E57" s="588">
        <v>-6476444.7599999998</v>
      </c>
      <c r="F57" s="589">
        <v>-5943177.5800000001</v>
      </c>
      <c r="G57" s="590">
        <v>-5354650.6500000004</v>
      </c>
      <c r="H57" s="590">
        <v>-4755815.9000000004</v>
      </c>
      <c r="I57" s="590">
        <v>-4144820.96</v>
      </c>
      <c r="J57" s="590">
        <f>-3540087.39-72343</f>
        <v>-3612430.39</v>
      </c>
      <c r="K57" s="590">
        <v>-3112631.75</v>
      </c>
      <c r="L57" s="590">
        <f>-2426078.84-111297</f>
        <v>-2537375.84</v>
      </c>
      <c r="M57" s="590">
        <v>-1963540.22</v>
      </c>
      <c r="N57" s="590">
        <v>-1393362.48</v>
      </c>
      <c r="O57" s="590">
        <v>-788285.47</v>
      </c>
      <c r="P57" s="591">
        <f>-147787.39-130878</f>
        <v>-278665.39</v>
      </c>
      <c r="Q57" s="591">
        <f>Q56</f>
        <v>-279261.77539726952</v>
      </c>
      <c r="R57" s="591">
        <f>R56</f>
        <v>-279329.51092106604</v>
      </c>
      <c r="S57" s="591">
        <f>S56</f>
        <v>-279397.24644486251</v>
      </c>
      <c r="T57" s="591">
        <f>-147787-131679</f>
        <v>-279466</v>
      </c>
      <c r="U57" s="591">
        <f>-1310888.39+1163101-131747.3</f>
        <v>-279534.68999999989</v>
      </c>
      <c r="V57" s="591">
        <f>'[32]2.Reg Asset_Liability Details'!$P$45+'[32]2.Reg Asset_Liability Details'!$P$46</f>
        <v>-279602.69</v>
      </c>
      <c r="W57" s="591">
        <f>'[33]2.Reg Asset_Liability Details'!$R$49+'[33]2.Reg Asset_Liability Details'!$R$50</f>
        <v>-279670.69000000012</v>
      </c>
      <c r="X57" s="592">
        <f>'[34]2.Reg Asset_Liability Details'!$U$49+'[34]2.Reg Asset_Liability Details'!$U$50</f>
        <v>-279780.69000000012</v>
      </c>
      <c r="Y57" s="592">
        <f>'[35]2.Reg Asset_Liability Details'!$W$49+'[35]2.Reg Asset_Liability Details'!$W$50</f>
        <v>-279890.69</v>
      </c>
      <c r="Z57" s="592">
        <f>'[35]2.Reg Asset_Liability Details'!$Y$49+'[35]2.Reg Asset_Liability Details'!$Y$50</f>
        <v>-280000.68999999989</v>
      </c>
      <c r="AA57" s="592">
        <f>'[36]2.Reg Asset_Liability Details'!$AA$49+'[36]2.Reg Asset_Liability Details'!$AA$50</f>
        <v>-280148.68999999989</v>
      </c>
      <c r="AB57" s="592">
        <f>'[31]2.Reg Asset_Liability Details'!$AC$49+'[31]2.Reg Asset_Liability Details'!$AC$50</f>
        <v>-280296.68999999989</v>
      </c>
      <c r="AC57" s="592">
        <f>'[31]2.Reg Asset_Liability Details'!$AC$49+'[31]2.Reg Asset_Liability Details'!$AC$50</f>
        <v>-280296.68999999989</v>
      </c>
      <c r="AD57" s="591">
        <f>'[37]2.Reg Asset_Liability Details'!$O$51+'[37]2.Reg Asset_Liability Details'!$O$52</f>
        <v>-280444.68999999989</v>
      </c>
    </row>
    <row r="58" spans="1:34" ht="12" thickBot="1" x14ac:dyDescent="0.25">
      <c r="A58" s="179" t="s">
        <v>115</v>
      </c>
      <c r="B58" s="179"/>
      <c r="C58" s="179"/>
      <c r="D58" s="593">
        <f t="shared" ref="D58:AD58" si="30">+D56-D57</f>
        <v>0</v>
      </c>
      <c r="E58" s="593">
        <f t="shared" si="30"/>
        <v>-7.2125970385968685E-2</v>
      </c>
      <c r="F58" s="593">
        <f t="shared" si="30"/>
        <v>-0.16444161534309387</v>
      </c>
      <c r="G58" s="593">
        <f t="shared" si="30"/>
        <v>-0.54346132185310125</v>
      </c>
      <c r="H58" s="593">
        <f t="shared" si="30"/>
        <v>-0.76225514337420464</v>
      </c>
      <c r="I58" s="593">
        <f t="shared" si="30"/>
        <v>9.1330073773860931E-2</v>
      </c>
      <c r="J58" s="593">
        <f t="shared" si="30"/>
        <v>-14466.352080599405</v>
      </c>
      <c r="K58" s="593">
        <f t="shared" si="30"/>
        <v>-0.54193345969542861</v>
      </c>
      <c r="L58" s="593">
        <f t="shared" si="30"/>
        <v>0.15950034698471427</v>
      </c>
      <c r="M58" s="593">
        <f t="shared" si="30"/>
        <v>0.61763052875176072</v>
      </c>
      <c r="N58" s="593">
        <f t="shared" si="30"/>
        <v>0.40181220951490104</v>
      </c>
      <c r="O58" s="593">
        <f t="shared" si="30"/>
        <v>0.59469805704429746</v>
      </c>
      <c r="P58" s="593">
        <f t="shared" si="30"/>
        <v>0.91876711777877063</v>
      </c>
      <c r="Q58" s="593">
        <f t="shared" si="30"/>
        <v>0</v>
      </c>
      <c r="R58" s="593">
        <f t="shared" si="30"/>
        <v>0</v>
      </c>
      <c r="S58" s="593">
        <f t="shared" si="30"/>
        <v>0</v>
      </c>
      <c r="T58" s="593">
        <f t="shared" si="30"/>
        <v>1.0180313410237432</v>
      </c>
      <c r="U58" s="593">
        <f t="shared" si="30"/>
        <v>0.78250754438340664</v>
      </c>
      <c r="V58" s="593">
        <f t="shared" si="30"/>
        <v>-0.14301625202642754</v>
      </c>
      <c r="W58" s="593">
        <f t="shared" si="30"/>
        <v>0.12145995162427425</v>
      </c>
      <c r="X58" s="593">
        <f t="shared" si="30"/>
        <v>0.51306689908960834</v>
      </c>
      <c r="Y58" s="593">
        <f t="shared" si="30"/>
        <v>0.90467384649673477</v>
      </c>
      <c r="Z58" s="593">
        <f t="shared" si="30"/>
        <v>1.2962807939038612</v>
      </c>
      <c r="AA58" s="593">
        <f t="shared" si="30"/>
        <v>0.68999999988591298</v>
      </c>
      <c r="AB58" s="593">
        <f t="shared" si="30"/>
        <v>0</v>
      </c>
      <c r="AC58" s="593">
        <f t="shared" si="30"/>
        <v>0</v>
      </c>
      <c r="AD58" s="593">
        <f t="shared" si="30"/>
        <v>0.68999999988591298</v>
      </c>
    </row>
    <row r="59" spans="1:34" ht="12" thickBot="1" x14ac:dyDescent="0.25">
      <c r="AD59" s="566">
        <f>AD45+AD55-AD56</f>
        <v>0.40262581943534315</v>
      </c>
    </row>
    <row r="60" spans="1:34" ht="12" hidden="1" thickBot="1" x14ac:dyDescent="0.25">
      <c r="D60" s="162" t="s">
        <v>116</v>
      </c>
      <c r="E60" s="594">
        <v>-227.82539952109005</v>
      </c>
      <c r="F60" s="594">
        <v>-18368.492315645293</v>
      </c>
      <c r="G60" s="594">
        <v>-13541.990196375426</v>
      </c>
      <c r="H60" s="595">
        <v>-11861.215518923893</v>
      </c>
      <c r="I60" s="596">
        <v>-43999.523430465699</v>
      </c>
    </row>
    <row r="61" spans="1:34" ht="12" hidden="1" thickBot="1" x14ac:dyDescent="0.25">
      <c r="D61" s="162" t="s">
        <v>117</v>
      </c>
      <c r="E61" s="566">
        <v>-227.82539952109005</v>
      </c>
      <c r="F61" s="566">
        <v>-25913.321182094562</v>
      </c>
      <c r="G61" s="566">
        <v>-19736.886447013916</v>
      </c>
      <c r="H61" s="566">
        <v>-18056.111769562383</v>
      </c>
      <c r="I61" s="596">
        <v>-63934.144798191948</v>
      </c>
    </row>
    <row r="62" spans="1:34" ht="12" hidden="1" thickBot="1" x14ac:dyDescent="0.25">
      <c r="E62" s="597">
        <v>0</v>
      </c>
      <c r="F62" s="597">
        <v>-7544.8288664492684</v>
      </c>
      <c r="G62" s="597">
        <v>-6194.8962506384905</v>
      </c>
      <c r="H62" s="597">
        <v>-6194.8962506384905</v>
      </c>
      <c r="I62" s="597">
        <v>-19934.621367726249</v>
      </c>
      <c r="J62" s="598">
        <v>-16351.252809954807</v>
      </c>
      <c r="K62" s="599">
        <v>-36285.874177681057</v>
      </c>
      <c r="L62" s="162" t="s">
        <v>437</v>
      </c>
    </row>
    <row r="63" spans="1:34" ht="12" hidden="1" thickBot="1" x14ac:dyDescent="0.25">
      <c r="I63" s="596"/>
    </row>
    <row r="64" spans="1:34" ht="12" hidden="1" thickBot="1" x14ac:dyDescent="0.25"/>
    <row r="65" spans="1:32" ht="12" hidden="1" thickBot="1" x14ac:dyDescent="0.25"/>
    <row r="66" spans="1:32" ht="12" thickBot="1" x14ac:dyDescent="0.25">
      <c r="A66" s="181" t="s">
        <v>118</v>
      </c>
      <c r="B66" s="181"/>
      <c r="C66" s="181"/>
      <c r="D66" s="182"/>
      <c r="F66" s="600" t="s">
        <v>119</v>
      </c>
      <c r="G66" s="601"/>
      <c r="H66" s="601"/>
      <c r="I66" s="602"/>
      <c r="J66" s="603"/>
      <c r="K66" s="604"/>
      <c r="L66" s="604"/>
    </row>
    <row r="67" spans="1:32" ht="12" thickBot="1" x14ac:dyDescent="0.25">
      <c r="A67" s="182"/>
      <c r="B67" s="182"/>
      <c r="C67" s="182"/>
      <c r="D67" s="182"/>
      <c r="F67" s="605"/>
      <c r="G67" s="606" t="str">
        <f>'[29]1590 to April 30, 2008'!D323</f>
        <v>June 30,08</v>
      </c>
      <c r="H67" s="607" t="s">
        <v>438</v>
      </c>
      <c r="I67" s="606" t="s">
        <v>438</v>
      </c>
      <c r="J67" s="606" t="s">
        <v>439</v>
      </c>
      <c r="K67" s="608" t="s">
        <v>440</v>
      </c>
      <c r="L67" s="608" t="s">
        <v>441</v>
      </c>
      <c r="P67" s="609" t="s">
        <v>120</v>
      </c>
      <c r="Q67" s="610">
        <v>11049</v>
      </c>
      <c r="R67" s="611">
        <f>P45</f>
        <v>-147786.59737418004</v>
      </c>
      <c r="S67" s="604"/>
      <c r="T67" s="604"/>
      <c r="U67" s="612"/>
      <c r="V67" s="612"/>
      <c r="W67" s="612"/>
      <c r="X67" s="612"/>
      <c r="Y67" s="612"/>
      <c r="Z67" s="612"/>
      <c r="AA67" s="612"/>
      <c r="AB67" s="612"/>
      <c r="AC67" s="612"/>
      <c r="AD67" s="609">
        <v>2010</v>
      </c>
      <c r="AE67" s="613"/>
      <c r="AF67" s="614"/>
    </row>
    <row r="68" spans="1:32" ht="12" thickBot="1" x14ac:dyDescent="0.25">
      <c r="A68" s="182" t="s">
        <v>121</v>
      </c>
      <c r="B68" s="182"/>
      <c r="C68" s="182"/>
      <c r="D68" s="615">
        <f>'[29]1590 to April 30, 2008'!F229</f>
        <v>-124737.3804473792</v>
      </c>
      <c r="F68" s="616"/>
      <c r="G68" s="617" t="str">
        <f>'[29]1590 to April 30, 2008'!D324</f>
        <v>Q2</v>
      </c>
      <c r="H68" s="618" t="s">
        <v>122</v>
      </c>
      <c r="I68" s="619" t="s">
        <v>122</v>
      </c>
      <c r="J68" s="619" t="s">
        <v>123</v>
      </c>
      <c r="K68" s="620" t="s">
        <v>124</v>
      </c>
      <c r="L68" s="620" t="s">
        <v>125</v>
      </c>
      <c r="P68" s="621" t="s">
        <v>442</v>
      </c>
      <c r="Q68" s="581"/>
      <c r="R68" s="622"/>
      <c r="S68" s="608">
        <v>40178</v>
      </c>
      <c r="T68" s="608">
        <v>40268</v>
      </c>
      <c r="U68" s="608">
        <v>40359</v>
      </c>
      <c r="V68" s="608">
        <v>40451</v>
      </c>
      <c r="W68" s="608">
        <v>40543</v>
      </c>
      <c r="X68" s="623"/>
      <c r="Y68" s="623"/>
      <c r="Z68" s="623"/>
      <c r="AA68" s="623"/>
      <c r="AB68" s="623"/>
      <c r="AC68" s="623"/>
      <c r="AD68" s="621" t="s">
        <v>443</v>
      </c>
      <c r="AE68" s="624">
        <v>5.4999999999999997E-3</v>
      </c>
      <c r="AF68" s="625">
        <f t="shared" ref="AF68:AF79" si="31">($R$67*AE68)/12</f>
        <v>-67.73552379649918</v>
      </c>
    </row>
    <row r="69" spans="1:32" ht="12" thickBot="1" x14ac:dyDescent="0.25">
      <c r="A69" s="182"/>
      <c r="B69" s="182"/>
      <c r="C69" s="182"/>
      <c r="D69" s="615"/>
      <c r="F69" s="183"/>
      <c r="G69" s="626"/>
      <c r="H69" s="627"/>
      <c r="I69" s="628"/>
      <c r="J69" s="628"/>
      <c r="K69" s="629"/>
      <c r="L69" s="629"/>
      <c r="P69" s="621">
        <v>2009</v>
      </c>
      <c r="Q69" s="581"/>
      <c r="R69" s="622"/>
      <c r="S69" s="620" t="s">
        <v>124</v>
      </c>
      <c r="T69" s="620" t="s">
        <v>125</v>
      </c>
      <c r="U69" s="620" t="s">
        <v>122</v>
      </c>
      <c r="V69" s="620" t="s">
        <v>123</v>
      </c>
      <c r="W69" s="620" t="s">
        <v>123</v>
      </c>
      <c r="X69" s="627"/>
      <c r="Y69" s="627"/>
      <c r="Z69" s="627"/>
      <c r="AA69" s="627"/>
      <c r="AB69" s="627"/>
      <c r="AC69" s="627"/>
      <c r="AD69" s="621" t="s">
        <v>444</v>
      </c>
      <c r="AE69" s="624">
        <f>AE68</f>
        <v>5.4999999999999997E-3</v>
      </c>
      <c r="AF69" s="625">
        <f t="shared" si="31"/>
        <v>-67.73552379649918</v>
      </c>
    </row>
    <row r="70" spans="1:32" ht="12" thickBot="1" x14ac:dyDescent="0.25">
      <c r="A70" s="182" t="s">
        <v>126</v>
      </c>
      <c r="B70" s="182"/>
      <c r="C70" s="182"/>
      <c r="D70" s="615">
        <f>'[29]1590 to April 30, 2008'!F242</f>
        <v>-63546.950000000186</v>
      </c>
      <c r="F70" s="183" t="s">
        <v>127</v>
      </c>
      <c r="G70" s="630">
        <f>'[29]1590 to April 30, 2008'!D325</f>
        <v>-386476.29999999993</v>
      </c>
      <c r="H70" s="631">
        <f>SUM(E10:F10)+SUM(E15:F15)+SUM(E22:F22)+SUM(E29:F29)+SUM(E36:F36)+SUM(E42:F42)+D45-D16</f>
        <v>-7497816.8167264489</v>
      </c>
      <c r="I70" s="630">
        <f>G70+H70</f>
        <v>-7884293.1167264488</v>
      </c>
      <c r="J70" s="630">
        <f>SUM(E10:I10)+SUM(E15:I15)+SUM(E22:I22)+SUM(E29:I29)+SUM(E36:I36)+SUM(E42:I42)+AD8+AD14+AD19+AD21+AD26+AD28+AD33+AD35+AD40+D50+I50+E51</f>
        <v>-4072477.162429505</v>
      </c>
      <c r="K70" s="632">
        <f>SUM(J10:L10)+SUM(J15:L15)+SUM(J22:L22)+SUM(J29:L29)+SUM(J36:L36)+SUM(J42:L42)</f>
        <v>1646399.1234597622</v>
      </c>
      <c r="L70" s="632">
        <f>SUM(M10:O10)+SUM(M15:O15)+SUM(M22:O22)+SUM(M29:O29)+SUM(M36:O36)+SUM(M42:O42)</f>
        <v>1767197.3589124293</v>
      </c>
      <c r="P70" s="621" t="s">
        <v>445</v>
      </c>
      <c r="Q70" s="624">
        <v>0.01</v>
      </c>
      <c r="R70" s="625">
        <f>($R$67*Q70)/12</f>
        <v>-123.1554978118167</v>
      </c>
      <c r="S70" s="629"/>
      <c r="T70" s="629"/>
      <c r="U70" s="629"/>
      <c r="V70" s="629"/>
      <c r="W70" s="629"/>
      <c r="X70" s="627"/>
      <c r="Y70" s="627"/>
      <c r="Z70" s="627"/>
      <c r="AA70" s="627"/>
      <c r="AB70" s="627"/>
      <c r="AC70" s="627"/>
      <c r="AD70" s="621" t="s">
        <v>446</v>
      </c>
      <c r="AE70" s="624">
        <f>AE69</f>
        <v>5.4999999999999997E-3</v>
      </c>
      <c r="AF70" s="625">
        <f t="shared" si="31"/>
        <v>-67.73552379649918</v>
      </c>
    </row>
    <row r="71" spans="1:32" x14ac:dyDescent="0.2">
      <c r="A71" s="182" t="s">
        <v>128</v>
      </c>
      <c r="B71" s="182"/>
      <c r="C71" s="182"/>
      <c r="D71" s="615">
        <f>'[29]1590 to April 30, 2008'!F249</f>
        <v>1490.8800000000047</v>
      </c>
      <c r="F71" s="183" t="s">
        <v>129</v>
      </c>
      <c r="G71" s="630">
        <f>'[29]1590 to April 30, 2008'!D326</f>
        <v>-0.48953582352260128</v>
      </c>
      <c r="H71" s="633">
        <f>F11+F16+F23+F30+F37+F43</f>
        <v>-5960395.8167264489</v>
      </c>
      <c r="I71" s="630">
        <f>G71+H71</f>
        <v>-5960396.3062622724</v>
      </c>
      <c r="J71" s="634">
        <f>I11+I16+I23+I30+I37+I43</f>
        <v>-4072477.1624295055</v>
      </c>
      <c r="K71" s="635">
        <f>L11+L16+L23+L30+L37+L43</f>
        <v>-2426078.0389697445</v>
      </c>
      <c r="L71" s="635">
        <f>O11+O16+O23+O30+O37+O43</f>
        <v>-658880.68005731422</v>
      </c>
      <c r="P71" s="621" t="s">
        <v>130</v>
      </c>
      <c r="Q71" s="624">
        <v>5.4999999999999997E-3</v>
      </c>
      <c r="R71" s="625">
        <f>($R$67*Q71)/12</f>
        <v>-67.73552379649918</v>
      </c>
      <c r="S71" s="632">
        <f>SUM(Q10)+SUM(Q15)+SUM(Q22)+SUM(Q29)+SUM(Q36)+SUM(Q42)</f>
        <v>0</v>
      </c>
      <c r="T71" s="632">
        <f>SUM(R10)+SUM(R15)+SUM(R22)+SUM(R29)+SUM(R36)+SUM(R42)</f>
        <v>0</v>
      </c>
      <c r="U71" s="632">
        <f>SUM(S10)+SUM(S15)+SUM(S22)+SUM(S29)+SUM(S36)+SUM(S42)</f>
        <v>0</v>
      </c>
      <c r="V71" s="632">
        <f>SUM(T10)+SUM(T15)+SUM(T22)+SUM(T29)+SUM(T36)+SUM(T42)</f>
        <v>0</v>
      </c>
      <c r="W71" s="632">
        <f>SUM(U10)+SUM(U15)+SUM(U22)+SUM(U29)+SUM(U36)+SUM(U42)</f>
        <v>0</v>
      </c>
      <c r="X71" s="631"/>
      <c r="Y71" s="631"/>
      <c r="Z71" s="631"/>
      <c r="AA71" s="631"/>
      <c r="AB71" s="631"/>
      <c r="AC71" s="631"/>
      <c r="AD71" s="621" t="s">
        <v>408</v>
      </c>
      <c r="AE71" s="624">
        <f>AE70</f>
        <v>5.4999999999999997E-3</v>
      </c>
      <c r="AF71" s="625">
        <f t="shared" si="31"/>
        <v>-67.73552379649918</v>
      </c>
    </row>
    <row r="72" spans="1:32" x14ac:dyDescent="0.2">
      <c r="A72" s="182" t="s">
        <v>131</v>
      </c>
      <c r="B72" s="182"/>
      <c r="C72" s="182"/>
      <c r="D72" s="615">
        <f>'[29]1590 to April 30, 2008'!F254</f>
        <v>3241.5999999998603</v>
      </c>
      <c r="F72" s="183" t="s">
        <v>132</v>
      </c>
      <c r="G72" s="630">
        <f>'[29]1590 to April 30, 2008'!D327</f>
        <v>1158.8436209578201</v>
      </c>
      <c r="H72" s="631">
        <f>F52+E54</f>
        <v>-10426.422315645294</v>
      </c>
      <c r="I72" s="630">
        <f>G72+H72</f>
        <v>-9267.5786946874741</v>
      </c>
      <c r="J72" s="630">
        <f>SUM(E52:I54)</f>
        <v>-72343.706240420492</v>
      </c>
      <c r="K72" s="636">
        <f>SUM(J52:L52)</f>
        <v>-38953.935289487854</v>
      </c>
      <c r="L72" s="636">
        <f>SUM(M52:O52)</f>
        <v>-18106.553714720449</v>
      </c>
      <c r="P72" s="621" t="s">
        <v>447</v>
      </c>
      <c r="Q72" s="624">
        <v>5.4999999999999997E-3</v>
      </c>
      <c r="R72" s="625">
        <f>($R$67*Q72)/12</f>
        <v>-67.73552379649918</v>
      </c>
      <c r="S72" s="635">
        <f>P11+P16+P23+P30+P37+P43</f>
        <v>-147786.59737418004</v>
      </c>
      <c r="T72" s="635">
        <f>Q11+Q16+Q23+Q30+Q37+Q43</f>
        <v>-147786.59737418004</v>
      </c>
      <c r="U72" s="635">
        <f>R11+R16+R23+R30+R37+R43</f>
        <v>-147786.59737418004</v>
      </c>
      <c r="V72" s="635">
        <f>Z11+Z16+Z23+Z30+Z37+Z43</f>
        <v>-147786.59737418004</v>
      </c>
      <c r="W72" s="635">
        <f>AA11+AA16+AA23+AA30+AA37+AA43</f>
        <v>-147786.59737418004</v>
      </c>
      <c r="X72" s="633"/>
      <c r="Y72" s="633"/>
      <c r="Z72" s="633"/>
      <c r="AA72" s="633"/>
      <c r="AB72" s="633"/>
      <c r="AC72" s="633"/>
      <c r="AD72" s="621" t="s">
        <v>141</v>
      </c>
      <c r="AE72" s="624">
        <f>AE71</f>
        <v>5.4999999999999997E-3</v>
      </c>
      <c r="AF72" s="625">
        <f t="shared" si="31"/>
        <v>-67.73552379649918</v>
      </c>
    </row>
    <row r="73" spans="1:32" x14ac:dyDescent="0.2">
      <c r="A73" s="182"/>
      <c r="B73" s="182"/>
      <c r="C73" s="182"/>
      <c r="D73" s="615"/>
      <c r="F73" s="183"/>
      <c r="G73" s="630"/>
      <c r="H73" s="631"/>
      <c r="I73" s="630"/>
      <c r="J73" s="630"/>
      <c r="K73" s="636"/>
      <c r="L73" s="636"/>
      <c r="P73" s="621"/>
      <c r="Q73" s="624"/>
      <c r="R73" s="625"/>
      <c r="S73" s="635"/>
      <c r="T73" s="635"/>
      <c r="U73" s="635"/>
      <c r="V73" s="635"/>
      <c r="W73" s="635"/>
      <c r="X73" s="633"/>
      <c r="Y73" s="633"/>
      <c r="Z73" s="633"/>
      <c r="AA73" s="633"/>
      <c r="AB73" s="633"/>
      <c r="AC73" s="633"/>
      <c r="AD73" s="621" t="s">
        <v>130</v>
      </c>
      <c r="AE73" s="624">
        <f>AE72</f>
        <v>5.4999999999999997E-3</v>
      </c>
      <c r="AF73" s="625">
        <f t="shared" si="31"/>
        <v>-67.73552379649918</v>
      </c>
    </row>
    <row r="74" spans="1:32" x14ac:dyDescent="0.2">
      <c r="A74" s="182"/>
      <c r="B74" s="182"/>
      <c r="C74" s="182"/>
      <c r="D74" s="615"/>
      <c r="F74" s="183"/>
      <c r="G74" s="630"/>
      <c r="H74" s="631"/>
      <c r="I74" s="630"/>
      <c r="J74" s="630"/>
      <c r="K74" s="636"/>
      <c r="L74" s="636"/>
      <c r="P74" s="621"/>
      <c r="Q74" s="624"/>
      <c r="R74" s="625"/>
      <c r="S74" s="635"/>
      <c r="T74" s="635"/>
      <c r="U74" s="635"/>
      <c r="V74" s="635"/>
      <c r="W74" s="635"/>
      <c r="X74" s="633"/>
      <c r="Y74" s="633"/>
      <c r="Z74" s="633"/>
      <c r="AA74" s="633"/>
      <c r="AB74" s="633"/>
      <c r="AC74" s="633"/>
      <c r="AD74" s="621" t="s">
        <v>447</v>
      </c>
      <c r="AE74" s="624">
        <v>8.8999999999999999E-3</v>
      </c>
      <c r="AF74" s="625">
        <f t="shared" si="31"/>
        <v>-109.60839305251686</v>
      </c>
    </row>
    <row r="75" spans="1:32" x14ac:dyDescent="0.2">
      <c r="A75" s="182"/>
      <c r="B75" s="182"/>
      <c r="C75" s="182"/>
      <c r="D75" s="615"/>
      <c r="F75" s="183"/>
      <c r="G75" s="630"/>
      <c r="H75" s="631"/>
      <c r="I75" s="630"/>
      <c r="J75" s="630"/>
      <c r="K75" s="636"/>
      <c r="L75" s="636"/>
      <c r="P75" s="621"/>
      <c r="Q75" s="624"/>
      <c r="R75" s="625"/>
      <c r="S75" s="635"/>
      <c r="T75" s="635"/>
      <c r="U75" s="635"/>
      <c r="V75" s="635"/>
      <c r="W75" s="635"/>
      <c r="X75" s="633"/>
      <c r="Y75" s="633"/>
      <c r="Z75" s="633"/>
      <c r="AA75" s="633"/>
      <c r="AB75" s="633"/>
      <c r="AC75" s="633"/>
      <c r="AD75" s="621" t="s">
        <v>448</v>
      </c>
      <c r="AE75" s="624">
        <v>8.8999999999999999E-3</v>
      </c>
      <c r="AF75" s="625">
        <f t="shared" si="31"/>
        <v>-109.60839305251686</v>
      </c>
    </row>
    <row r="76" spans="1:32" x14ac:dyDescent="0.2">
      <c r="A76" s="182"/>
      <c r="B76" s="182"/>
      <c r="C76" s="182"/>
      <c r="D76" s="615"/>
      <c r="F76" s="183"/>
      <c r="G76" s="630"/>
      <c r="H76" s="631"/>
      <c r="I76" s="630"/>
      <c r="J76" s="630"/>
      <c r="K76" s="636"/>
      <c r="L76" s="636"/>
      <c r="P76" s="621"/>
      <c r="Q76" s="624"/>
      <c r="R76" s="625"/>
      <c r="S76" s="635"/>
      <c r="T76" s="635"/>
      <c r="U76" s="635"/>
      <c r="V76" s="635"/>
      <c r="W76" s="635"/>
      <c r="X76" s="633"/>
      <c r="Y76" s="633"/>
      <c r="Z76" s="633"/>
      <c r="AA76" s="633"/>
      <c r="AB76" s="633"/>
      <c r="AC76" s="633"/>
      <c r="AD76" s="621" t="s">
        <v>449</v>
      </c>
      <c r="AE76" s="624">
        <f>AE75</f>
        <v>8.8999999999999999E-3</v>
      </c>
      <c r="AF76" s="625">
        <f t="shared" si="31"/>
        <v>-109.60839305251686</v>
      </c>
    </row>
    <row r="77" spans="1:32" x14ac:dyDescent="0.2">
      <c r="A77" s="182"/>
      <c r="B77" s="182"/>
      <c r="C77" s="182"/>
      <c r="D77" s="615"/>
      <c r="F77" s="183"/>
      <c r="G77" s="630"/>
      <c r="H77" s="631"/>
      <c r="I77" s="630"/>
      <c r="J77" s="630"/>
      <c r="K77" s="636"/>
      <c r="L77" s="636"/>
      <c r="P77" s="621"/>
      <c r="Q77" s="624"/>
      <c r="R77" s="625"/>
      <c r="S77" s="635"/>
      <c r="T77" s="635"/>
      <c r="U77" s="635"/>
      <c r="V77" s="635"/>
      <c r="W77" s="635"/>
      <c r="X77" s="633"/>
      <c r="Y77" s="633"/>
      <c r="Z77" s="633"/>
      <c r="AA77" s="633"/>
      <c r="AB77" s="633"/>
      <c r="AC77" s="633"/>
      <c r="AD77" s="621" t="s">
        <v>450</v>
      </c>
      <c r="AE77" s="624">
        <v>1.2E-2</v>
      </c>
      <c r="AF77" s="625">
        <f t="shared" si="31"/>
        <v>-147.78659737418005</v>
      </c>
    </row>
    <row r="78" spans="1:32" x14ac:dyDescent="0.2">
      <c r="A78" s="182"/>
      <c r="B78" s="182"/>
      <c r="C78" s="182"/>
      <c r="D78" s="615"/>
      <c r="F78" s="183"/>
      <c r="G78" s="630"/>
      <c r="H78" s="631"/>
      <c r="I78" s="630"/>
      <c r="J78" s="630"/>
      <c r="K78" s="636"/>
      <c r="L78" s="636"/>
      <c r="P78" s="621"/>
      <c r="Q78" s="624"/>
      <c r="R78" s="625"/>
      <c r="S78" s="635"/>
      <c r="T78" s="635"/>
      <c r="U78" s="635"/>
      <c r="V78" s="635"/>
      <c r="W78" s="635"/>
      <c r="X78" s="633"/>
      <c r="Y78" s="633"/>
      <c r="Z78" s="633"/>
      <c r="AA78" s="633"/>
      <c r="AB78" s="633"/>
      <c r="AC78" s="633"/>
      <c r="AD78" s="621" t="s">
        <v>451</v>
      </c>
      <c r="AE78" s="624">
        <v>1.2E-2</v>
      </c>
      <c r="AF78" s="625">
        <f t="shared" si="31"/>
        <v>-147.78659737418005</v>
      </c>
    </row>
    <row r="79" spans="1:32" x14ac:dyDescent="0.2">
      <c r="A79" s="182"/>
      <c r="B79" s="182"/>
      <c r="C79" s="182"/>
      <c r="D79" s="615"/>
      <c r="F79" s="183"/>
      <c r="G79" s="630"/>
      <c r="H79" s="631"/>
      <c r="I79" s="630"/>
      <c r="J79" s="630"/>
      <c r="K79" s="636"/>
      <c r="L79" s="636"/>
      <c r="P79" s="621"/>
      <c r="Q79" s="624"/>
      <c r="R79" s="625"/>
      <c r="S79" s="635"/>
      <c r="T79" s="635"/>
      <c r="U79" s="635"/>
      <c r="V79" s="635"/>
      <c r="W79" s="635"/>
      <c r="X79" s="633"/>
      <c r="Y79" s="633"/>
      <c r="Z79" s="633"/>
      <c r="AA79" s="633"/>
      <c r="AB79" s="633"/>
      <c r="AC79" s="633"/>
      <c r="AD79" s="621" t="s">
        <v>452</v>
      </c>
      <c r="AE79" s="624">
        <v>1.2E-2</v>
      </c>
      <c r="AF79" s="625">
        <f t="shared" si="31"/>
        <v>-147.78659737418005</v>
      </c>
    </row>
    <row r="80" spans="1:32" ht="12" thickBot="1" x14ac:dyDescent="0.25">
      <c r="A80" s="182" t="s">
        <v>133</v>
      </c>
      <c r="B80" s="182"/>
      <c r="C80" s="182"/>
      <c r="D80" s="615">
        <f>'[29]1590 to April 30, 2008'!F267</f>
        <v>1748845.1325205632</v>
      </c>
      <c r="F80" s="616" t="s">
        <v>134</v>
      </c>
      <c r="G80" s="630">
        <f>'[29]1590 to April 30, 2008'!D328</f>
        <v>0</v>
      </c>
      <c r="H80" s="637">
        <f>F55</f>
        <v>17218.072284833732</v>
      </c>
      <c r="I80" s="630">
        <f>G80+H80</f>
        <v>17218.072284833732</v>
      </c>
      <c r="J80" s="638">
        <f>I55</f>
        <v>-72343.706240420463</v>
      </c>
      <c r="K80" s="639">
        <f>L55</f>
        <v>-111297.64152990832</v>
      </c>
      <c r="L80" s="639">
        <f>O55</f>
        <v>-129404.19524462876</v>
      </c>
      <c r="P80" s="621" t="s">
        <v>448</v>
      </c>
      <c r="Q80" s="624">
        <v>5.4999999999999997E-3</v>
      </c>
      <c r="R80" s="625">
        <f>($R$67*Q80)/12</f>
        <v>-67.73552379649918</v>
      </c>
      <c r="S80" s="636">
        <f>SUM(Q52)</f>
        <v>-597.30416438731095</v>
      </c>
      <c r="T80" s="636">
        <f>SUM(R52:T52)</f>
        <v>-203.20657138949753</v>
      </c>
      <c r="U80" s="636">
        <f>SUM(U52:W52)</f>
        <v>-205.58657138949752</v>
      </c>
      <c r="V80" s="636">
        <f>SUM(X52:Z52)</f>
        <v>-328.82517915755056</v>
      </c>
      <c r="W80" s="636">
        <f>SUM(AA52:AC52)</f>
        <v>-443.35979212254017</v>
      </c>
      <c r="X80" s="631"/>
      <c r="Y80" s="631"/>
      <c r="Z80" s="631"/>
      <c r="AA80" s="631"/>
      <c r="AB80" s="631"/>
      <c r="AC80" s="631"/>
      <c r="AD80" s="640"/>
      <c r="AE80" s="641"/>
      <c r="AF80" s="642">
        <f>SUM(AF68:AF79)</f>
        <v>-1178.5981140590857</v>
      </c>
    </row>
    <row r="81" spans="1:32" ht="12" thickBot="1" x14ac:dyDescent="0.25">
      <c r="A81" s="182" t="s">
        <v>135</v>
      </c>
      <c r="B81" s="182"/>
      <c r="C81" s="182"/>
      <c r="D81" s="615">
        <f>SUM(D68:D80)</f>
        <v>1565293.2820731837</v>
      </c>
      <c r="F81" s="643" t="s">
        <v>136</v>
      </c>
      <c r="G81" s="644">
        <f>G71+G80</f>
        <v>-0.48953582352260128</v>
      </c>
      <c r="H81" s="644">
        <f>H71+H80</f>
        <v>-5943177.7444416154</v>
      </c>
      <c r="I81" s="645">
        <f>G81+H81</f>
        <v>-5943178.2339774389</v>
      </c>
      <c r="J81" s="645">
        <f>J71+J80</f>
        <v>-4144820.8686699262</v>
      </c>
      <c r="K81" s="646">
        <f>K71+K80</f>
        <v>-2537375.6804996529</v>
      </c>
      <c r="L81" s="646">
        <f>L71+L80</f>
        <v>-788284.87530194293</v>
      </c>
      <c r="P81" s="621" t="s">
        <v>449</v>
      </c>
      <c r="Q81" s="624">
        <v>5.4999999999999997E-3</v>
      </c>
      <c r="R81" s="625">
        <f>($R$67*Q81)/12</f>
        <v>-67.73552379649918</v>
      </c>
      <c r="S81" s="639">
        <f>Q55</f>
        <v>-131475.17802308948</v>
      </c>
      <c r="T81" s="639">
        <f>T55</f>
        <v>-131678.38459447896</v>
      </c>
      <c r="U81" s="639">
        <f>W55</f>
        <v>-131883.97116586845</v>
      </c>
      <c r="V81" s="639">
        <f>Z55</f>
        <v>-132212.79634502597</v>
      </c>
      <c r="W81" s="639">
        <f>AD55</f>
        <v>-132657</v>
      </c>
      <c r="X81" s="631"/>
      <c r="Y81" s="631"/>
      <c r="Z81" s="631"/>
      <c r="AA81" s="631"/>
      <c r="AB81" s="631"/>
      <c r="AC81" s="631"/>
    </row>
    <row r="82" spans="1:32" ht="12" thickBot="1" x14ac:dyDescent="0.25">
      <c r="A82" s="182" t="s">
        <v>137</v>
      </c>
      <c r="B82" s="182"/>
      <c r="C82" s="182"/>
      <c r="D82" s="647">
        <v>-1537421</v>
      </c>
      <c r="F82" s="643" t="s">
        <v>138</v>
      </c>
      <c r="G82" s="648"/>
      <c r="H82" s="649">
        <f>H81-F56</f>
        <v>0</v>
      </c>
      <c r="I82" s="638">
        <f>I81-F57</f>
        <v>-0.65397743880748749</v>
      </c>
      <c r="J82" s="645">
        <f>J81-I57</f>
        <v>9.1330073773860931E-2</v>
      </c>
      <c r="K82" s="646">
        <f>K81-L57</f>
        <v>0.15950034698471427</v>
      </c>
      <c r="L82" s="646">
        <f>L81-O57</f>
        <v>0.59469805704429746</v>
      </c>
      <c r="P82" s="621" t="s">
        <v>453</v>
      </c>
      <c r="Q82" s="624">
        <v>5.4999999999999997E-3</v>
      </c>
      <c r="R82" s="625">
        <f>($R$67*Q82)/12</f>
        <v>-67.73552379649918</v>
      </c>
      <c r="S82" s="646">
        <f>S72+S81</f>
        <v>-279261.77539726952</v>
      </c>
      <c r="T82" s="646">
        <f>T72+T81</f>
        <v>-279464.98196865898</v>
      </c>
      <c r="U82" s="646">
        <f>U72+U81</f>
        <v>-279670.56854004849</v>
      </c>
      <c r="V82" s="646">
        <f>V72+V81</f>
        <v>-279999.39371920598</v>
      </c>
      <c r="W82" s="646">
        <f>W72+W81</f>
        <v>-280443.59737418004</v>
      </c>
      <c r="X82" s="631"/>
      <c r="Y82" s="631"/>
      <c r="Z82" s="631"/>
      <c r="AA82" s="631"/>
      <c r="AB82" s="631"/>
      <c r="AC82" s="631"/>
    </row>
    <row r="83" spans="1:32" ht="12" thickBot="1" x14ac:dyDescent="0.25">
      <c r="A83" s="182" t="s">
        <v>139</v>
      </c>
      <c r="B83" s="182"/>
      <c r="C83" s="182"/>
      <c r="D83" s="647">
        <f>D81+D82</f>
        <v>27872.282073183684</v>
      </c>
      <c r="F83" s="650"/>
      <c r="G83" s="651" t="s">
        <v>438</v>
      </c>
      <c r="H83" s="652" t="str">
        <f>J67</f>
        <v>Sep 30,08</v>
      </c>
      <c r="I83" s="652" t="str">
        <f>K67</f>
        <v>Dec 31,08</v>
      </c>
      <c r="P83" s="621" t="s">
        <v>454</v>
      </c>
      <c r="Q83" s="624">
        <v>5.4999999999999997E-3</v>
      </c>
      <c r="R83" s="625">
        <f>($R$67*Q83)/12</f>
        <v>-67.73552379649918</v>
      </c>
      <c r="S83" s="646">
        <f>Q56-S82</f>
        <v>0</v>
      </c>
      <c r="T83" s="646">
        <f>T56-T82</f>
        <v>0</v>
      </c>
      <c r="U83" s="646">
        <f>W56-U82</f>
        <v>0</v>
      </c>
      <c r="V83" s="646">
        <f>Z56-V82</f>
        <v>0</v>
      </c>
      <c r="W83" s="646">
        <f>AD56-W82</f>
        <v>-0.40262581995921209</v>
      </c>
      <c r="X83" s="631"/>
      <c r="Y83" s="631"/>
      <c r="Z83" s="631"/>
      <c r="AA83" s="631"/>
      <c r="AB83" s="631"/>
      <c r="AC83" s="631"/>
    </row>
    <row r="84" spans="1:32" x14ac:dyDescent="0.2">
      <c r="F84" s="621" t="s">
        <v>455</v>
      </c>
      <c r="G84" s="653">
        <f>'[29]1590 to April 30, 2008'!C329</f>
        <v>1950382.4235168812</v>
      </c>
      <c r="H84" s="654">
        <v>0</v>
      </c>
      <c r="I84" s="654">
        <f>H96</f>
        <v>998217.26453856647</v>
      </c>
      <c r="P84" s="621" t="s">
        <v>452</v>
      </c>
      <c r="Q84" s="624">
        <v>5.4999999999999997E-3</v>
      </c>
      <c r="R84" s="625">
        <f>($R$67*Q84)/12</f>
        <v>-67.73552379649918</v>
      </c>
      <c r="S84" s="655"/>
      <c r="T84" s="655"/>
      <c r="U84" s="655"/>
      <c r="V84" s="655"/>
      <c r="W84" s="655"/>
      <c r="X84" s="655"/>
      <c r="Y84" s="655"/>
      <c r="Z84" s="655"/>
      <c r="AA84" s="655"/>
      <c r="AB84" s="655"/>
      <c r="AC84" s="655"/>
    </row>
    <row r="85" spans="1:32" ht="12" thickBot="1" x14ac:dyDescent="0.25">
      <c r="F85" s="621"/>
      <c r="G85" s="653"/>
      <c r="H85" s="654"/>
      <c r="I85" s="654"/>
      <c r="P85" s="640"/>
      <c r="Q85" s="656"/>
      <c r="R85" s="642">
        <f>SUM(R70:R84)</f>
        <v>-597.30416438731095</v>
      </c>
      <c r="S85" s="655"/>
      <c r="T85" s="655"/>
      <c r="U85" s="655"/>
      <c r="V85" s="655"/>
      <c r="W85" s="655"/>
      <c r="X85" s="655"/>
      <c r="Y85" s="655"/>
      <c r="Z85" s="655"/>
      <c r="AA85" s="655"/>
      <c r="AB85" s="655"/>
      <c r="AC85" s="655"/>
    </row>
    <row r="86" spans="1:32" ht="12" thickBot="1" x14ac:dyDescent="0.25">
      <c r="F86" s="621"/>
      <c r="G86" s="653"/>
      <c r="H86" s="654"/>
      <c r="I86" s="654"/>
      <c r="S86" s="655"/>
      <c r="T86" s="655"/>
      <c r="U86" s="655"/>
      <c r="V86" s="655"/>
      <c r="W86" s="655"/>
      <c r="X86" s="655"/>
      <c r="Y86" s="655"/>
      <c r="Z86" s="655"/>
      <c r="AA86" s="655"/>
      <c r="AB86" s="655"/>
      <c r="AC86" s="655"/>
    </row>
    <row r="87" spans="1:32" ht="12" thickBot="1" x14ac:dyDescent="0.25">
      <c r="A87" s="161" t="s">
        <v>99</v>
      </c>
      <c r="B87" s="520" t="s">
        <v>410</v>
      </c>
      <c r="C87" s="521">
        <v>12</v>
      </c>
    </row>
    <row r="88" spans="1:32" ht="12" thickBot="1" x14ac:dyDescent="0.25">
      <c r="A88" s="522" t="s">
        <v>456</v>
      </c>
      <c r="B88" s="523" t="s">
        <v>100</v>
      </c>
      <c r="C88" s="523" t="s">
        <v>16</v>
      </c>
      <c r="D88" s="164" t="s">
        <v>101</v>
      </c>
      <c r="E88" s="164">
        <v>39576</v>
      </c>
      <c r="F88" s="164">
        <v>39607</v>
      </c>
      <c r="G88" s="164">
        <v>39637</v>
      </c>
      <c r="H88" s="164">
        <v>39668</v>
      </c>
      <c r="I88" s="164">
        <v>39699</v>
      </c>
      <c r="J88" s="164">
        <v>39729</v>
      </c>
      <c r="K88" s="164">
        <v>39760</v>
      </c>
      <c r="L88" s="164">
        <v>39790</v>
      </c>
      <c r="M88" s="164">
        <v>39822</v>
      </c>
      <c r="N88" s="164">
        <v>39853</v>
      </c>
      <c r="O88" s="164">
        <v>39881</v>
      </c>
      <c r="P88" s="164"/>
      <c r="Q88" s="164">
        <v>40513</v>
      </c>
      <c r="R88" s="164">
        <v>40552</v>
      </c>
      <c r="S88" s="164">
        <v>40583</v>
      </c>
      <c r="T88" s="164">
        <v>40611</v>
      </c>
      <c r="U88" s="164">
        <v>40642</v>
      </c>
      <c r="V88" s="164">
        <v>40672</v>
      </c>
      <c r="W88" s="164">
        <v>40703</v>
      </c>
      <c r="X88" s="164">
        <v>40733</v>
      </c>
      <c r="Y88" s="164">
        <v>40764</v>
      </c>
      <c r="Z88" s="164">
        <v>40795</v>
      </c>
      <c r="AA88" s="164">
        <v>40825</v>
      </c>
      <c r="AB88" s="164">
        <v>40856</v>
      </c>
      <c r="AC88" s="164">
        <v>40886</v>
      </c>
      <c r="AD88" s="524" t="s">
        <v>62</v>
      </c>
      <c r="AE88" s="657"/>
      <c r="AF88" s="658"/>
    </row>
    <row r="89" spans="1:32" x14ac:dyDescent="0.2">
      <c r="A89" s="526"/>
      <c r="B89" s="527" t="s">
        <v>102</v>
      </c>
      <c r="C89" s="527"/>
      <c r="D89" s="165"/>
      <c r="E89" s="165"/>
      <c r="F89" s="165"/>
      <c r="G89" s="165"/>
      <c r="H89" s="165"/>
      <c r="I89" s="165"/>
      <c r="J89" s="165"/>
      <c r="K89" s="165"/>
      <c r="L89" s="165"/>
      <c r="M89" s="165"/>
      <c r="N89" s="165"/>
      <c r="O89" s="165"/>
      <c r="P89" s="165"/>
      <c r="Q89" s="659"/>
      <c r="R89" s="165"/>
      <c r="S89" s="165"/>
      <c r="T89" s="165"/>
      <c r="U89" s="165"/>
      <c r="V89" s="165"/>
      <c r="W89" s="165"/>
      <c r="X89" s="165"/>
      <c r="Y89" s="165"/>
      <c r="Z89" s="165"/>
      <c r="AA89" s="165"/>
      <c r="AB89" s="165"/>
      <c r="AC89" s="165"/>
      <c r="AD89" s="528"/>
      <c r="AE89" s="206"/>
      <c r="AF89" s="206"/>
    </row>
    <row r="90" spans="1:32" ht="22.5" x14ac:dyDescent="0.2">
      <c r="A90" s="529" t="s">
        <v>103</v>
      </c>
      <c r="B90" s="530" t="s">
        <v>415</v>
      </c>
      <c r="C90" s="530" t="s">
        <v>415</v>
      </c>
      <c r="D90" s="167">
        <v>0</v>
      </c>
      <c r="E90" s="531">
        <v>0</v>
      </c>
      <c r="F90" s="531" t="e">
        <f t="shared" ref="F90:O90" si="32">E142</f>
        <v>#REF!</v>
      </c>
      <c r="G90" s="531" t="e">
        <f t="shared" si="32"/>
        <v>#REF!</v>
      </c>
      <c r="H90" s="531" t="e">
        <f t="shared" si="32"/>
        <v>#REF!</v>
      </c>
      <c r="I90" s="531" t="e">
        <f t="shared" si="32"/>
        <v>#REF!</v>
      </c>
      <c r="J90" s="531" t="e">
        <f t="shared" si="32"/>
        <v>#REF!</v>
      </c>
      <c r="K90" s="531" t="e">
        <f t="shared" si="32"/>
        <v>#REF!</v>
      </c>
      <c r="L90" s="531" t="e">
        <f t="shared" si="32"/>
        <v>#REF!</v>
      </c>
      <c r="M90" s="531" t="e">
        <f t="shared" si="32"/>
        <v>#REF!</v>
      </c>
      <c r="N90" s="531" t="e">
        <f t="shared" si="32"/>
        <v>#REF!</v>
      </c>
      <c r="O90" s="531" t="e">
        <f t="shared" si="32"/>
        <v>#REF!</v>
      </c>
      <c r="P90" s="531"/>
      <c r="Q90" s="660"/>
      <c r="R90" s="531"/>
      <c r="S90" s="531"/>
      <c r="T90" s="531"/>
      <c r="U90" s="531"/>
      <c r="V90" s="531"/>
      <c r="W90" s="531"/>
      <c r="X90" s="531"/>
      <c r="Y90" s="531"/>
      <c r="Z90" s="531"/>
      <c r="AA90" s="531"/>
      <c r="AB90" s="531"/>
      <c r="AC90" s="531"/>
      <c r="AD90" s="532">
        <f>D90</f>
        <v>0</v>
      </c>
      <c r="AE90" s="206"/>
      <c r="AF90" s="206"/>
    </row>
    <row r="91" spans="1:32" x14ac:dyDescent="0.2">
      <c r="A91" s="529"/>
      <c r="B91" s="533"/>
      <c r="C91" s="533"/>
      <c r="D91" s="167"/>
      <c r="E91" s="531"/>
      <c r="F91" s="531"/>
      <c r="G91" s="531"/>
      <c r="H91" s="534"/>
      <c r="I91" s="534"/>
      <c r="J91" s="534"/>
      <c r="K91" s="534"/>
      <c r="L91" s="534"/>
      <c r="M91" s="534"/>
      <c r="N91" s="534"/>
      <c r="O91" s="534"/>
      <c r="P91" s="534"/>
      <c r="Q91" s="661"/>
      <c r="R91" s="534"/>
      <c r="S91" s="534"/>
      <c r="T91" s="534"/>
      <c r="U91" s="534"/>
      <c r="V91" s="534"/>
      <c r="W91" s="534"/>
      <c r="X91" s="534"/>
      <c r="Y91" s="534"/>
      <c r="Z91" s="534"/>
      <c r="AA91" s="534"/>
      <c r="AB91" s="534"/>
      <c r="AC91" s="534"/>
      <c r="AD91" s="532"/>
      <c r="AE91" s="206"/>
      <c r="AF91" s="206"/>
    </row>
    <row r="92" spans="1:32" x14ac:dyDescent="0.2">
      <c r="A92" s="169" t="s">
        <v>416</v>
      </c>
      <c r="B92" s="535"/>
      <c r="C92" s="535"/>
      <c r="D92" s="167"/>
      <c r="E92" s="167" t="s">
        <v>31</v>
      </c>
      <c r="F92" s="167"/>
      <c r="G92" s="167"/>
      <c r="H92" s="167"/>
      <c r="I92" s="167"/>
      <c r="J92" s="167"/>
      <c r="K92" s="165"/>
      <c r="L92" s="165"/>
      <c r="M92" s="536"/>
      <c r="N92" s="165"/>
      <c r="O92" s="165"/>
      <c r="P92" s="165"/>
      <c r="Q92" s="659"/>
      <c r="R92" s="165"/>
      <c r="S92" s="165"/>
      <c r="T92" s="165"/>
      <c r="U92" s="165"/>
      <c r="V92" s="165"/>
      <c r="W92" s="165"/>
      <c r="X92" s="165"/>
      <c r="Y92" s="165"/>
      <c r="Z92" s="165"/>
      <c r="AA92" s="165"/>
      <c r="AB92" s="165"/>
      <c r="AC92" s="165"/>
      <c r="AD92" s="532"/>
      <c r="AE92" s="206"/>
      <c r="AF92" s="206"/>
    </row>
    <row r="93" spans="1:32" x14ac:dyDescent="0.2">
      <c r="A93" s="169" t="s">
        <v>104</v>
      </c>
      <c r="B93" s="535"/>
      <c r="C93" s="535"/>
      <c r="D93" s="167"/>
      <c r="E93" s="167"/>
      <c r="F93" s="167"/>
      <c r="G93" s="167"/>
      <c r="H93" s="167"/>
      <c r="I93" s="167"/>
      <c r="J93" s="167"/>
      <c r="K93" s="165"/>
      <c r="L93" s="165"/>
      <c r="M93" s="536"/>
      <c r="N93" s="165"/>
      <c r="O93" s="165"/>
      <c r="P93" s="165"/>
      <c r="Q93" s="659"/>
      <c r="R93" s="165"/>
      <c r="S93" s="165"/>
      <c r="T93" s="165"/>
      <c r="U93" s="165"/>
      <c r="V93" s="165"/>
      <c r="W93" s="165"/>
      <c r="X93" s="165"/>
      <c r="Y93" s="165"/>
      <c r="Z93" s="165"/>
      <c r="AA93" s="165"/>
      <c r="AB93" s="165"/>
      <c r="AC93" s="165"/>
      <c r="AD93" s="532"/>
      <c r="AE93" s="206"/>
      <c r="AF93" s="206"/>
    </row>
    <row r="94" spans="1:32" x14ac:dyDescent="0.2">
      <c r="A94" s="537" t="s">
        <v>105</v>
      </c>
      <c r="B94" s="538">
        <f>D94/12</f>
        <v>-873923.33333333337</v>
      </c>
      <c r="C94" s="538">
        <f>B94*$C$1</f>
        <v>-10487080</v>
      </c>
      <c r="D94" s="539">
        <f>-10487080</f>
        <v>-10487080</v>
      </c>
      <c r="E94" s="167">
        <f t="shared" ref="E94:O94" si="33">D97</f>
        <v>-11286008</v>
      </c>
      <c r="F94" s="167">
        <f t="shared" si="33"/>
        <v>-10391087.462775197</v>
      </c>
      <c r="G94" s="167">
        <f t="shared" si="33"/>
        <v>-9505330.252775196</v>
      </c>
      <c r="H94" s="167">
        <f t="shared" si="33"/>
        <v>-8533674.0503249019</v>
      </c>
      <c r="I94" s="167">
        <f t="shared" si="33"/>
        <v>-7535456.7857863354</v>
      </c>
      <c r="J94" s="167">
        <f t="shared" si="33"/>
        <v>-6524322.8112427648</v>
      </c>
      <c r="K94" s="167">
        <f t="shared" si="33"/>
        <v>-5668077.9682329595</v>
      </c>
      <c r="L94" s="167">
        <f t="shared" si="33"/>
        <v>-4823362.5482329596</v>
      </c>
      <c r="M94" s="167">
        <f t="shared" si="33"/>
        <v>-3884223.1182329594</v>
      </c>
      <c r="N94" s="167">
        <f t="shared" si="33"/>
        <v>-2935421.8337005931</v>
      </c>
      <c r="O94" s="167">
        <f t="shared" si="33"/>
        <v>-2002195.7296834332</v>
      </c>
      <c r="P94" s="167"/>
      <c r="Q94" s="167">
        <v>-194272.73649865354</v>
      </c>
      <c r="R94" s="167">
        <v>-194272.73649865354</v>
      </c>
      <c r="S94" s="167">
        <f t="shared" ref="S94:AD94" si="34">R94</f>
        <v>-194272.73649865354</v>
      </c>
      <c r="T94" s="167">
        <f t="shared" si="34"/>
        <v>-194272.73649865354</v>
      </c>
      <c r="U94" s="167">
        <f t="shared" si="34"/>
        <v>-194272.73649865354</v>
      </c>
      <c r="V94" s="167">
        <f t="shared" si="34"/>
        <v>-194272.73649865354</v>
      </c>
      <c r="W94" s="167">
        <f t="shared" si="34"/>
        <v>-194272.73649865354</v>
      </c>
      <c r="X94" s="167">
        <f t="shared" si="34"/>
        <v>-194272.73649865354</v>
      </c>
      <c r="Y94" s="167">
        <f t="shared" si="34"/>
        <v>-194272.73649865354</v>
      </c>
      <c r="Z94" s="167">
        <f t="shared" si="34"/>
        <v>-194272.73649865354</v>
      </c>
      <c r="AA94" s="167">
        <f t="shared" si="34"/>
        <v>-194272.73649865354</v>
      </c>
      <c r="AB94" s="167">
        <f t="shared" si="34"/>
        <v>-194272.73649865354</v>
      </c>
      <c r="AC94" s="167">
        <f t="shared" si="34"/>
        <v>-194272.73649865354</v>
      </c>
      <c r="AD94" s="532">
        <f t="shared" si="34"/>
        <v>-194272.73649865354</v>
      </c>
      <c r="AE94" s="206"/>
      <c r="AF94" s="206"/>
    </row>
    <row r="95" spans="1:32" x14ac:dyDescent="0.2">
      <c r="A95" s="537" t="s">
        <v>106</v>
      </c>
      <c r="B95" s="538">
        <f>D95/12</f>
        <v>-66577.333333333328</v>
      </c>
      <c r="C95" s="538">
        <f>B95*$C$1</f>
        <v>-798928</v>
      </c>
      <c r="D95" s="540">
        <v>-798928</v>
      </c>
      <c r="E95" s="167"/>
      <c r="F95" s="167"/>
      <c r="G95" s="167"/>
      <c r="H95" s="167"/>
      <c r="I95" s="167"/>
      <c r="J95" s="167"/>
      <c r="K95" s="167"/>
      <c r="L95" s="167"/>
      <c r="M95" s="167"/>
      <c r="N95" s="167"/>
      <c r="O95" s="167"/>
      <c r="P95" s="167"/>
      <c r="Q95" s="167"/>
      <c r="R95" s="167"/>
      <c r="S95" s="167"/>
      <c r="T95" s="167"/>
      <c r="U95" s="167"/>
      <c r="V95" s="167"/>
      <c r="W95" s="167"/>
      <c r="X95" s="167"/>
      <c r="Y95" s="167"/>
      <c r="Z95" s="167"/>
      <c r="AA95" s="167"/>
      <c r="AB95" s="167"/>
      <c r="AC95" s="167"/>
      <c r="AD95" s="532"/>
      <c r="AE95" s="206"/>
      <c r="AF95" s="206"/>
    </row>
    <row r="96" spans="1:32" x14ac:dyDescent="0.2">
      <c r="A96" s="537" t="s">
        <v>107</v>
      </c>
      <c r="B96" s="541"/>
      <c r="C96" s="541"/>
      <c r="D96" s="542">
        <v>0</v>
      </c>
      <c r="E96" s="170">
        <f>[28]JE!$B$13</f>
        <v>894920.5372248037</v>
      </c>
      <c r="F96" s="170">
        <v>885757.21</v>
      </c>
      <c r="G96" s="170">
        <v>971656.20245029405</v>
      </c>
      <c r="H96" s="170">
        <v>998217.26453856647</v>
      </c>
      <c r="I96" s="170">
        <v>1011133.9745435709</v>
      </c>
      <c r="J96" s="170">
        <v>856244.84300980577</v>
      </c>
      <c r="K96" s="170">
        <v>844715.42</v>
      </c>
      <c r="L96" s="170">
        <v>939139.43</v>
      </c>
      <c r="M96" s="170">
        <v>948801.28453236644</v>
      </c>
      <c r="N96" s="170">
        <v>933226.1040171599</v>
      </c>
      <c r="O96" s="170">
        <v>986106.84566720389</v>
      </c>
      <c r="P96" s="170"/>
      <c r="Q96" s="170"/>
      <c r="R96" s="170"/>
      <c r="S96" s="170"/>
      <c r="T96" s="170"/>
      <c r="U96" s="170"/>
      <c r="V96" s="170"/>
      <c r="W96" s="170"/>
      <c r="X96" s="170"/>
      <c r="Y96" s="170"/>
      <c r="Z96" s="170"/>
      <c r="AA96" s="170"/>
      <c r="AB96" s="170"/>
      <c r="AC96" s="170"/>
      <c r="AD96" s="543"/>
      <c r="AE96" s="662"/>
      <c r="AF96" s="663"/>
    </row>
    <row r="97" spans="1:32" x14ac:dyDescent="0.2">
      <c r="A97" s="537"/>
      <c r="B97" s="538">
        <f>D97/12</f>
        <v>-940500.66666666663</v>
      </c>
      <c r="C97" s="538">
        <f>SUM(C94:C95)</f>
        <v>-11286008</v>
      </c>
      <c r="D97" s="546">
        <f>+D94+D95+D96</f>
        <v>-11286008</v>
      </c>
      <c r="E97" s="534">
        <f t="shared" ref="E97:O97" si="35">+D97+E96</f>
        <v>-10391087.462775197</v>
      </c>
      <c r="F97" s="534">
        <f t="shared" si="35"/>
        <v>-9505330.252775196</v>
      </c>
      <c r="G97" s="534">
        <f t="shared" si="35"/>
        <v>-8533674.0503249019</v>
      </c>
      <c r="H97" s="534">
        <f t="shared" si="35"/>
        <v>-7535456.7857863354</v>
      </c>
      <c r="I97" s="534">
        <f t="shared" si="35"/>
        <v>-6524322.8112427648</v>
      </c>
      <c r="J97" s="534">
        <f t="shared" si="35"/>
        <v>-5668077.9682329595</v>
      </c>
      <c r="K97" s="534">
        <f t="shared" si="35"/>
        <v>-4823362.5482329596</v>
      </c>
      <c r="L97" s="534">
        <f t="shared" si="35"/>
        <v>-3884223.1182329594</v>
      </c>
      <c r="M97" s="534">
        <f t="shared" si="35"/>
        <v>-2935421.8337005931</v>
      </c>
      <c r="N97" s="534">
        <f t="shared" si="35"/>
        <v>-2002195.7296834332</v>
      </c>
      <c r="O97" s="534">
        <f t="shared" si="35"/>
        <v>-1016088.8840162293</v>
      </c>
      <c r="P97" s="534"/>
      <c r="Q97" s="534">
        <v>-194272.73649865354</v>
      </c>
      <c r="R97" s="534">
        <v>-194272.73649865354</v>
      </c>
      <c r="S97" s="534">
        <f t="shared" ref="S97:AD97" si="36">SUM(S94:S96)</f>
        <v>-194272.73649865354</v>
      </c>
      <c r="T97" s="534">
        <f t="shared" si="36"/>
        <v>-194272.73649865354</v>
      </c>
      <c r="U97" s="534">
        <f t="shared" si="36"/>
        <v>-194272.73649865354</v>
      </c>
      <c r="V97" s="534">
        <f t="shared" si="36"/>
        <v>-194272.73649865354</v>
      </c>
      <c r="W97" s="534">
        <f t="shared" si="36"/>
        <v>-194272.73649865354</v>
      </c>
      <c r="X97" s="534">
        <f t="shared" si="36"/>
        <v>-194272.73649865354</v>
      </c>
      <c r="Y97" s="534">
        <f t="shared" si="36"/>
        <v>-194272.73649865354</v>
      </c>
      <c r="Z97" s="534">
        <f t="shared" si="36"/>
        <v>-194272.73649865354</v>
      </c>
      <c r="AA97" s="534">
        <f t="shared" si="36"/>
        <v>-194272.73649865354</v>
      </c>
      <c r="AB97" s="534">
        <f t="shared" si="36"/>
        <v>-194272.73649865354</v>
      </c>
      <c r="AC97" s="534">
        <f t="shared" si="36"/>
        <v>-194272.73649865354</v>
      </c>
      <c r="AD97" s="547">
        <f t="shared" si="36"/>
        <v>-194272.73649865354</v>
      </c>
      <c r="AE97" s="664"/>
      <c r="AF97" s="664"/>
    </row>
    <row r="98" spans="1:32" x14ac:dyDescent="0.2">
      <c r="A98" s="171"/>
      <c r="B98" s="549"/>
      <c r="C98" s="549"/>
      <c r="D98" s="531"/>
      <c r="E98" s="531"/>
      <c r="F98" s="531"/>
      <c r="G98" s="531"/>
      <c r="H98" s="534"/>
      <c r="I98" s="534"/>
      <c r="J98" s="534"/>
      <c r="K98" s="534"/>
      <c r="L98" s="534"/>
      <c r="M98" s="534"/>
      <c r="N98" s="534"/>
      <c r="O98" s="534"/>
      <c r="P98" s="534"/>
      <c r="Q98" s="534"/>
      <c r="R98" s="534"/>
      <c r="S98" s="534"/>
      <c r="T98" s="534"/>
      <c r="U98" s="534"/>
      <c r="V98" s="534"/>
      <c r="W98" s="534"/>
      <c r="X98" s="534"/>
      <c r="Y98" s="534"/>
      <c r="Z98" s="534"/>
      <c r="AA98" s="534"/>
      <c r="AB98" s="534"/>
      <c r="AC98" s="534"/>
      <c r="AD98" s="550"/>
      <c r="AE98" s="206"/>
      <c r="AF98" s="663"/>
    </row>
    <row r="99" spans="1:32" x14ac:dyDescent="0.2">
      <c r="A99" s="169" t="s">
        <v>417</v>
      </c>
      <c r="B99" s="535"/>
      <c r="C99" s="535"/>
      <c r="D99" s="531"/>
      <c r="E99" s="531"/>
      <c r="F99" s="531"/>
      <c r="G99" s="531"/>
      <c r="H99" s="534"/>
      <c r="I99" s="534"/>
      <c r="J99" s="534"/>
      <c r="K99" s="534"/>
      <c r="L99" s="534"/>
      <c r="M99" s="534"/>
      <c r="N99" s="534"/>
      <c r="O99" s="534"/>
      <c r="P99" s="534"/>
      <c r="Q99" s="534"/>
      <c r="R99" s="534"/>
      <c r="S99" s="534"/>
      <c r="T99" s="534"/>
      <c r="U99" s="534"/>
      <c r="V99" s="534"/>
      <c r="W99" s="534"/>
      <c r="X99" s="534"/>
      <c r="Y99" s="534"/>
      <c r="Z99" s="534"/>
      <c r="AA99" s="534"/>
      <c r="AB99" s="534"/>
      <c r="AC99" s="534"/>
      <c r="AD99" s="550"/>
      <c r="AE99" s="206"/>
      <c r="AF99" s="663"/>
    </row>
    <row r="100" spans="1:32" x14ac:dyDescent="0.2">
      <c r="A100" s="172" t="s">
        <v>417</v>
      </c>
      <c r="B100" s="538">
        <f>D100/12</f>
        <v>128118.41666666667</v>
      </c>
      <c r="C100" s="538">
        <f>B100*$C$1</f>
        <v>1537421</v>
      </c>
      <c r="D100" s="551">
        <v>1537421</v>
      </c>
      <c r="E100" s="167">
        <f t="shared" ref="E100:O100" si="37">D102</f>
        <v>1537421</v>
      </c>
      <c r="F100" s="167">
        <f t="shared" si="37"/>
        <v>1421438.7910891243</v>
      </c>
      <c r="G100" s="167">
        <f t="shared" si="37"/>
        <v>1301375.5510891243</v>
      </c>
      <c r="H100" s="167">
        <f t="shared" si="37"/>
        <v>1166605.2416166377</v>
      </c>
      <c r="I100" s="167">
        <f t="shared" si="37"/>
        <v>1020320.0108664602</v>
      </c>
      <c r="J100" s="167">
        <f t="shared" si="37"/>
        <v>875128.89066207875</v>
      </c>
      <c r="K100" s="167">
        <f t="shared" si="37"/>
        <v>758200.84256970149</v>
      </c>
      <c r="L100" s="167">
        <f t="shared" si="37"/>
        <v>644870.00256970152</v>
      </c>
      <c r="M100" s="167">
        <f t="shared" si="37"/>
        <v>519453.6025697015</v>
      </c>
      <c r="N100" s="167">
        <f t="shared" si="37"/>
        <v>381001.0064237453</v>
      </c>
      <c r="O100" s="167">
        <f t="shared" si="37"/>
        <v>249514.7080479702</v>
      </c>
      <c r="P100" s="167"/>
      <c r="Q100" s="167">
        <v>-465.67210770936799</v>
      </c>
      <c r="R100" s="167">
        <v>-465.67210770936799</v>
      </c>
      <c r="S100" s="167">
        <f t="shared" ref="S100:AD100" si="38">R100</f>
        <v>-465.67210770936799</v>
      </c>
      <c r="T100" s="167">
        <f t="shared" si="38"/>
        <v>-465.67210770936799</v>
      </c>
      <c r="U100" s="167">
        <f t="shared" si="38"/>
        <v>-465.67210770936799</v>
      </c>
      <c r="V100" s="167">
        <f t="shared" si="38"/>
        <v>-465.67210770936799</v>
      </c>
      <c r="W100" s="167">
        <f t="shared" si="38"/>
        <v>-465.67210770936799</v>
      </c>
      <c r="X100" s="167">
        <f t="shared" si="38"/>
        <v>-465.67210770936799</v>
      </c>
      <c r="Y100" s="167">
        <f t="shared" si="38"/>
        <v>-465.67210770936799</v>
      </c>
      <c r="Z100" s="167">
        <f t="shared" si="38"/>
        <v>-465.67210770936799</v>
      </c>
      <c r="AA100" s="167">
        <f t="shared" si="38"/>
        <v>-465.67210770936799</v>
      </c>
      <c r="AB100" s="167">
        <f t="shared" si="38"/>
        <v>-465.67210770936799</v>
      </c>
      <c r="AC100" s="167">
        <f t="shared" si="38"/>
        <v>-465.67210770936799</v>
      </c>
      <c r="AD100" s="532">
        <f t="shared" si="38"/>
        <v>-465.67210770936799</v>
      </c>
      <c r="AE100" s="206"/>
      <c r="AF100" s="663"/>
    </row>
    <row r="101" spans="1:32" x14ac:dyDescent="0.2">
      <c r="A101" s="537" t="s">
        <v>107</v>
      </c>
      <c r="B101" s="541"/>
      <c r="C101" s="541"/>
      <c r="D101" s="552">
        <v>0</v>
      </c>
      <c r="E101" s="553">
        <f>[28]JE!$B$12</f>
        <v>-115982.20891087576</v>
      </c>
      <c r="F101" s="553">
        <v>-120063.24</v>
      </c>
      <c r="G101" s="553">
        <v>-134770.30947248661</v>
      </c>
      <c r="H101" s="170">
        <v>-146285.23075017758</v>
      </c>
      <c r="I101" s="553">
        <v>-145191.12020438141</v>
      </c>
      <c r="J101" s="553">
        <v>-116928.04809237724</v>
      </c>
      <c r="K101" s="553">
        <v>-113330.84</v>
      </c>
      <c r="L101" s="554">
        <v>-125416.4</v>
      </c>
      <c r="M101" s="554">
        <v>-138452.59614595619</v>
      </c>
      <c r="N101" s="554">
        <v>-131486.29837577511</v>
      </c>
      <c r="O101" s="554">
        <v>-137864.25324542201</v>
      </c>
      <c r="P101" s="554"/>
      <c r="Q101" s="170"/>
      <c r="R101" s="170"/>
      <c r="S101" s="170"/>
      <c r="T101" s="170"/>
      <c r="U101" s="170"/>
      <c r="V101" s="170"/>
      <c r="W101" s="170"/>
      <c r="X101" s="170"/>
      <c r="Y101" s="170"/>
      <c r="Z101" s="170"/>
      <c r="AA101" s="170"/>
      <c r="AB101" s="170"/>
      <c r="AC101" s="170"/>
      <c r="AD101" s="555"/>
      <c r="AE101" s="662"/>
      <c r="AF101" s="663"/>
    </row>
    <row r="102" spans="1:32" x14ac:dyDescent="0.2">
      <c r="A102" s="537"/>
      <c r="B102" s="538">
        <f>D102/12</f>
        <v>128118.41666666667</v>
      </c>
      <c r="C102" s="538">
        <f>SUM(C99:C100)</f>
        <v>1537421</v>
      </c>
      <c r="D102" s="546">
        <f>+D100+D101</f>
        <v>1537421</v>
      </c>
      <c r="E102" s="534">
        <f t="shared" ref="E102:O102" si="39">+D102+E101</f>
        <v>1421438.7910891243</v>
      </c>
      <c r="F102" s="534">
        <f t="shared" si="39"/>
        <v>1301375.5510891243</v>
      </c>
      <c r="G102" s="534">
        <f t="shared" si="39"/>
        <v>1166605.2416166377</v>
      </c>
      <c r="H102" s="534">
        <f t="shared" si="39"/>
        <v>1020320.0108664602</v>
      </c>
      <c r="I102" s="534">
        <f t="shared" si="39"/>
        <v>875128.89066207875</v>
      </c>
      <c r="J102" s="534">
        <f t="shared" si="39"/>
        <v>758200.84256970149</v>
      </c>
      <c r="K102" s="534">
        <f t="shared" si="39"/>
        <v>644870.00256970152</v>
      </c>
      <c r="L102" s="534">
        <f t="shared" si="39"/>
        <v>519453.6025697015</v>
      </c>
      <c r="M102" s="534">
        <f t="shared" si="39"/>
        <v>381001.0064237453</v>
      </c>
      <c r="N102" s="534">
        <f t="shared" si="39"/>
        <v>249514.7080479702</v>
      </c>
      <c r="O102" s="534">
        <f t="shared" si="39"/>
        <v>111650.45480254819</v>
      </c>
      <c r="P102" s="534"/>
      <c r="Q102" s="534">
        <v>-465.67210770936799</v>
      </c>
      <c r="R102" s="534">
        <v>-465.67210770936799</v>
      </c>
      <c r="S102" s="534">
        <f t="shared" ref="S102:AC102" si="40">S100</f>
        <v>-465.67210770936799</v>
      </c>
      <c r="T102" s="534">
        <f t="shared" si="40"/>
        <v>-465.67210770936799</v>
      </c>
      <c r="U102" s="534">
        <f t="shared" si="40"/>
        <v>-465.67210770936799</v>
      </c>
      <c r="V102" s="534">
        <f t="shared" si="40"/>
        <v>-465.67210770936799</v>
      </c>
      <c r="W102" s="534">
        <f t="shared" si="40"/>
        <v>-465.67210770936799</v>
      </c>
      <c r="X102" s="534">
        <f t="shared" si="40"/>
        <v>-465.67210770936799</v>
      </c>
      <c r="Y102" s="534">
        <f t="shared" si="40"/>
        <v>-465.67210770936799</v>
      </c>
      <c r="Z102" s="534">
        <f t="shared" si="40"/>
        <v>-465.67210770936799</v>
      </c>
      <c r="AA102" s="534">
        <f t="shared" si="40"/>
        <v>-465.67210770936799</v>
      </c>
      <c r="AB102" s="534">
        <f t="shared" si="40"/>
        <v>-465.67210770936799</v>
      </c>
      <c r="AC102" s="534">
        <f t="shared" si="40"/>
        <v>-465.67210770936799</v>
      </c>
      <c r="AD102" s="547">
        <f>SUM(AD100:AD101)</f>
        <v>-465.67210770936799</v>
      </c>
      <c r="AE102" s="664"/>
      <c r="AF102" s="664"/>
    </row>
    <row r="103" spans="1:32" x14ac:dyDescent="0.2">
      <c r="A103" s="171"/>
      <c r="B103" s="549"/>
      <c r="C103" s="549"/>
      <c r="D103" s="531"/>
      <c r="E103" s="531"/>
      <c r="F103" s="531"/>
      <c r="G103" s="531"/>
      <c r="H103" s="534"/>
      <c r="I103" s="534"/>
      <c r="J103" s="534"/>
      <c r="K103" s="534"/>
      <c r="L103" s="534"/>
      <c r="M103" s="534"/>
      <c r="N103" s="534"/>
      <c r="O103" s="534"/>
      <c r="P103" s="534"/>
      <c r="Q103" s="534"/>
      <c r="R103" s="534"/>
      <c r="S103" s="534"/>
      <c r="T103" s="534"/>
      <c r="U103" s="534"/>
      <c r="V103" s="534"/>
      <c r="W103" s="534"/>
      <c r="X103" s="534"/>
      <c r="Y103" s="534"/>
      <c r="Z103" s="534"/>
      <c r="AA103" s="534"/>
      <c r="AB103" s="534"/>
      <c r="AC103" s="534"/>
      <c r="AD103" s="550" t="s">
        <v>31</v>
      </c>
      <c r="AE103" s="206"/>
      <c r="AF103" s="663"/>
    </row>
    <row r="104" spans="1:32" x14ac:dyDescent="0.2">
      <c r="A104" s="169" t="s">
        <v>418</v>
      </c>
      <c r="B104" s="535"/>
      <c r="C104" s="535"/>
      <c r="D104" s="534"/>
      <c r="E104" s="534"/>
      <c r="F104" s="534"/>
      <c r="G104" s="534"/>
      <c r="H104" s="534"/>
      <c r="I104" s="534"/>
      <c r="J104" s="534"/>
      <c r="K104" s="534"/>
      <c r="L104" s="534"/>
      <c r="M104" s="534"/>
      <c r="N104" s="534"/>
      <c r="O104" s="534"/>
      <c r="P104" s="534"/>
      <c r="Q104" s="534"/>
      <c r="R104" s="534"/>
      <c r="S104" s="534"/>
      <c r="T104" s="534"/>
      <c r="U104" s="534"/>
      <c r="V104" s="534"/>
      <c r="W104" s="534"/>
      <c r="X104" s="534"/>
      <c r="Y104" s="534"/>
      <c r="Z104" s="534"/>
      <c r="AA104" s="534"/>
      <c r="AB104" s="534"/>
      <c r="AC104" s="534"/>
      <c r="AD104" s="547"/>
      <c r="AE104" s="206"/>
      <c r="AF104" s="663"/>
    </row>
    <row r="105" spans="1:32" x14ac:dyDescent="0.2">
      <c r="A105" s="556" t="s">
        <v>419</v>
      </c>
      <c r="B105" s="538" t="e">
        <f>D105/12</f>
        <v>#REF!</v>
      </c>
      <c r="C105" s="538" t="e">
        <f>B105*$C$1</f>
        <v>#REF!</v>
      </c>
      <c r="D105" s="546" t="e">
        <f>'[29]1508'!F354</f>
        <v>#REF!</v>
      </c>
      <c r="E105" s="167" t="e">
        <f t="shared" ref="E105:O105" si="41">D109</f>
        <v>#REF!</v>
      </c>
      <c r="F105" s="167" t="e">
        <f t="shared" si="41"/>
        <v>#REF!</v>
      </c>
      <c r="G105" s="167" t="e">
        <f t="shared" si="41"/>
        <v>#REF!</v>
      </c>
      <c r="H105" s="167" t="e">
        <f t="shared" si="41"/>
        <v>#REF!</v>
      </c>
      <c r="I105" s="167" t="e">
        <f t="shared" si="41"/>
        <v>#REF!</v>
      </c>
      <c r="J105" s="167" t="e">
        <f t="shared" si="41"/>
        <v>#REF!</v>
      </c>
      <c r="K105" s="167" t="e">
        <f t="shared" si="41"/>
        <v>#REF!</v>
      </c>
      <c r="L105" s="167" t="e">
        <f t="shared" si="41"/>
        <v>#REF!</v>
      </c>
      <c r="M105" s="167" t="e">
        <f t="shared" si="41"/>
        <v>#REF!</v>
      </c>
      <c r="N105" s="167" t="e">
        <f t="shared" si="41"/>
        <v>#REF!</v>
      </c>
      <c r="O105" s="167" t="e">
        <f t="shared" si="41"/>
        <v>#REF!</v>
      </c>
      <c r="P105" s="167"/>
      <c r="Q105" s="167"/>
      <c r="R105" s="167"/>
      <c r="S105" s="167"/>
      <c r="T105" s="167"/>
      <c r="U105" s="167"/>
      <c r="V105" s="167"/>
      <c r="W105" s="167"/>
      <c r="X105" s="167"/>
      <c r="Y105" s="167"/>
      <c r="Z105" s="167"/>
      <c r="AA105" s="167"/>
      <c r="AB105" s="167"/>
      <c r="AC105" s="167"/>
      <c r="AD105" s="532"/>
      <c r="AE105" s="206"/>
      <c r="AF105" s="663"/>
    </row>
    <row r="106" spans="1:32" x14ac:dyDescent="0.2">
      <c r="A106" s="556" t="s">
        <v>420</v>
      </c>
      <c r="B106" s="538" t="e">
        <f>D106/12</f>
        <v>#REF!</v>
      </c>
      <c r="C106" s="538" t="e">
        <f>B106*$C$1</f>
        <v>#REF!</v>
      </c>
      <c r="D106" s="546" t="e">
        <f>'[29]1508'!F364</f>
        <v>#REF!</v>
      </c>
      <c r="E106" s="534"/>
      <c r="F106" s="534"/>
      <c r="G106" s="534"/>
      <c r="H106" s="534"/>
      <c r="I106" s="534"/>
      <c r="J106" s="534"/>
      <c r="K106" s="534"/>
      <c r="L106" s="534"/>
      <c r="M106" s="534"/>
      <c r="N106" s="534"/>
      <c r="O106" s="534"/>
      <c r="P106" s="557"/>
      <c r="Q106" s="557"/>
      <c r="R106" s="557"/>
      <c r="S106" s="557"/>
      <c r="T106" s="557"/>
      <c r="U106" s="557"/>
      <c r="V106" s="557"/>
      <c r="W106" s="557"/>
      <c r="X106" s="557"/>
      <c r="Y106" s="557"/>
      <c r="Z106" s="557"/>
      <c r="AA106" s="557"/>
      <c r="AB106" s="557"/>
      <c r="AC106" s="557"/>
      <c r="AD106" s="528"/>
      <c r="AE106" s="206"/>
      <c r="AF106" s="663"/>
    </row>
    <row r="107" spans="1:32" x14ac:dyDescent="0.2">
      <c r="A107" s="556" t="s">
        <v>421</v>
      </c>
      <c r="B107" s="538"/>
      <c r="C107" s="538"/>
      <c r="D107" s="546"/>
      <c r="E107" s="534"/>
      <c r="F107" s="534"/>
      <c r="G107" s="534"/>
      <c r="H107" s="534"/>
      <c r="I107" s="532" t="e">
        <f>179009-D106</f>
        <v>#REF!</v>
      </c>
      <c r="J107" s="534"/>
      <c r="K107" s="534"/>
      <c r="L107" s="534"/>
      <c r="M107" s="534"/>
      <c r="N107" s="534"/>
      <c r="O107" s="534"/>
      <c r="P107" s="557"/>
      <c r="Q107" s="167">
        <v>19308.313534053101</v>
      </c>
      <c r="R107" s="167">
        <v>19308.313534053101</v>
      </c>
      <c r="S107" s="167">
        <f t="shared" ref="S107:AD107" si="42">R107</f>
        <v>19308.313534053101</v>
      </c>
      <c r="T107" s="167">
        <f t="shared" si="42"/>
        <v>19308.313534053101</v>
      </c>
      <c r="U107" s="167">
        <f t="shared" si="42"/>
        <v>19308.313534053101</v>
      </c>
      <c r="V107" s="167">
        <f t="shared" si="42"/>
        <v>19308.313534053101</v>
      </c>
      <c r="W107" s="167">
        <f t="shared" si="42"/>
        <v>19308.313534053101</v>
      </c>
      <c r="X107" s="167">
        <f t="shared" si="42"/>
        <v>19308.313534053101</v>
      </c>
      <c r="Y107" s="167">
        <f t="shared" si="42"/>
        <v>19308.313534053101</v>
      </c>
      <c r="Z107" s="167">
        <f t="shared" si="42"/>
        <v>19308.313534053101</v>
      </c>
      <c r="AA107" s="167">
        <f t="shared" si="42"/>
        <v>19308.313534053101</v>
      </c>
      <c r="AB107" s="167">
        <f t="shared" si="42"/>
        <v>19308.313534053101</v>
      </c>
      <c r="AC107" s="167">
        <f t="shared" si="42"/>
        <v>19308.313534053101</v>
      </c>
      <c r="AD107" s="532">
        <f t="shared" si="42"/>
        <v>19308.313534053101</v>
      </c>
      <c r="AE107" s="206"/>
      <c r="AF107" s="663"/>
    </row>
    <row r="108" spans="1:32" x14ac:dyDescent="0.2">
      <c r="A108" s="537" t="s">
        <v>107</v>
      </c>
      <c r="B108" s="541"/>
      <c r="C108" s="541"/>
      <c r="D108" s="558"/>
      <c r="E108" s="559">
        <f>[28]JE!$B$17</f>
        <v>-88944.619022372703</v>
      </c>
      <c r="F108" s="559">
        <v>-88033.89</v>
      </c>
      <c r="G108" s="559">
        <v>-96571.24532606102</v>
      </c>
      <c r="H108" s="170">
        <v>-99211.103782765</v>
      </c>
      <c r="I108" s="559">
        <v>-100494.87346133369</v>
      </c>
      <c r="J108" s="559">
        <v>-85100.708033307252</v>
      </c>
      <c r="K108" s="559">
        <v>-83954.82</v>
      </c>
      <c r="L108" s="559">
        <v>-93339.46</v>
      </c>
      <c r="M108" s="559">
        <v>-94299.734189104056</v>
      </c>
      <c r="N108" s="559">
        <v>-92751.743681001812</v>
      </c>
      <c r="O108" s="559">
        <v>-98007.469998635963</v>
      </c>
      <c r="P108" s="559"/>
      <c r="Q108" s="170"/>
      <c r="R108" s="170"/>
      <c r="S108" s="170"/>
      <c r="T108" s="170"/>
      <c r="U108" s="170"/>
      <c r="V108" s="170"/>
      <c r="W108" s="170"/>
      <c r="X108" s="170"/>
      <c r="Y108" s="170"/>
      <c r="Z108" s="170"/>
      <c r="AA108" s="170"/>
      <c r="AB108" s="170"/>
      <c r="AC108" s="170"/>
      <c r="AD108" s="555"/>
      <c r="AE108" s="662"/>
      <c r="AF108" s="663"/>
    </row>
    <row r="109" spans="1:32" x14ac:dyDescent="0.2">
      <c r="A109" s="537"/>
      <c r="B109" s="538" t="e">
        <f>D109/12</f>
        <v>#REF!</v>
      </c>
      <c r="C109" s="538" t="e">
        <f>SUM(C105:C106)</f>
        <v>#REF!</v>
      </c>
      <c r="D109" s="560" t="e">
        <f>+D105+D106+D108</f>
        <v>#REF!</v>
      </c>
      <c r="E109" s="534" t="e">
        <f>+D109+E108</f>
        <v>#REF!</v>
      </c>
      <c r="F109" s="534" t="e">
        <f>+E109+F108</f>
        <v>#REF!</v>
      </c>
      <c r="G109" s="534" t="e">
        <f>+F109+G108</f>
        <v>#REF!</v>
      </c>
      <c r="H109" s="534" t="e">
        <f>+G109+H108</f>
        <v>#REF!</v>
      </c>
      <c r="I109" s="534" t="e">
        <f>+H109+I108+I107</f>
        <v>#REF!</v>
      </c>
      <c r="J109" s="534" t="e">
        <f t="shared" ref="J109:O109" si="43">+I109+J108</f>
        <v>#REF!</v>
      </c>
      <c r="K109" s="534" t="e">
        <f t="shared" si="43"/>
        <v>#REF!</v>
      </c>
      <c r="L109" s="534" t="e">
        <f t="shared" si="43"/>
        <v>#REF!</v>
      </c>
      <c r="M109" s="534" t="e">
        <f t="shared" si="43"/>
        <v>#REF!</v>
      </c>
      <c r="N109" s="534" t="e">
        <f t="shared" si="43"/>
        <v>#REF!</v>
      </c>
      <c r="O109" s="534" t="e">
        <f t="shared" si="43"/>
        <v>#REF!</v>
      </c>
      <c r="P109" s="534"/>
      <c r="Q109" s="534">
        <v>19308.313534053101</v>
      </c>
      <c r="R109" s="534">
        <v>19308.313534053101</v>
      </c>
      <c r="S109" s="534">
        <f t="shared" ref="S109:AC109" si="44">S107</f>
        <v>19308.313534053101</v>
      </c>
      <c r="T109" s="534">
        <f t="shared" si="44"/>
        <v>19308.313534053101</v>
      </c>
      <c r="U109" s="534">
        <f t="shared" si="44"/>
        <v>19308.313534053101</v>
      </c>
      <c r="V109" s="534">
        <f t="shared" si="44"/>
        <v>19308.313534053101</v>
      </c>
      <c r="W109" s="534">
        <f t="shared" si="44"/>
        <v>19308.313534053101</v>
      </c>
      <c r="X109" s="534">
        <f t="shared" si="44"/>
        <v>19308.313534053101</v>
      </c>
      <c r="Y109" s="534">
        <f t="shared" si="44"/>
        <v>19308.313534053101</v>
      </c>
      <c r="Z109" s="534">
        <f t="shared" si="44"/>
        <v>19308.313534053101</v>
      </c>
      <c r="AA109" s="534">
        <f t="shared" si="44"/>
        <v>19308.313534053101</v>
      </c>
      <c r="AB109" s="534">
        <f t="shared" si="44"/>
        <v>19308.313534053101</v>
      </c>
      <c r="AC109" s="534">
        <f t="shared" si="44"/>
        <v>19308.313534053101</v>
      </c>
      <c r="AD109" s="547">
        <f>SUM(AD105:AD108)</f>
        <v>19308.313534053101</v>
      </c>
      <c r="AE109" s="664"/>
      <c r="AF109" s="664"/>
    </row>
    <row r="110" spans="1:32" x14ac:dyDescent="0.2">
      <c r="A110" s="537"/>
      <c r="B110" s="561"/>
      <c r="C110" s="561"/>
      <c r="D110" s="546"/>
      <c r="E110" s="534"/>
      <c r="F110" s="534"/>
      <c r="G110" s="534"/>
      <c r="H110" s="534"/>
      <c r="I110" s="534"/>
      <c r="J110" s="534"/>
      <c r="K110" s="534"/>
      <c r="L110" s="534"/>
      <c r="M110" s="534"/>
      <c r="N110" s="534"/>
      <c r="O110" s="534"/>
      <c r="P110" s="534"/>
      <c r="Q110" s="534"/>
      <c r="R110" s="534"/>
      <c r="S110" s="534"/>
      <c r="T110" s="534"/>
      <c r="U110" s="534"/>
      <c r="V110" s="534"/>
      <c r="W110" s="534"/>
      <c r="X110" s="534"/>
      <c r="Y110" s="534"/>
      <c r="Z110" s="534"/>
      <c r="AA110" s="534"/>
      <c r="AB110" s="534"/>
      <c r="AC110" s="534"/>
      <c r="AD110" s="547"/>
      <c r="AE110" s="206"/>
      <c r="AF110" s="663"/>
    </row>
    <row r="111" spans="1:32" x14ac:dyDescent="0.2">
      <c r="A111" s="169" t="s">
        <v>422</v>
      </c>
      <c r="B111" s="535"/>
      <c r="C111" s="535"/>
      <c r="D111" s="534"/>
      <c r="E111" s="534"/>
      <c r="F111" s="534"/>
      <c r="G111" s="534"/>
      <c r="H111" s="534"/>
      <c r="I111" s="534"/>
      <c r="J111" s="534"/>
      <c r="K111" s="534"/>
      <c r="L111" s="534"/>
      <c r="M111" s="534"/>
      <c r="N111" s="534"/>
      <c r="O111" s="534"/>
      <c r="P111" s="534"/>
      <c r="Q111" s="534"/>
      <c r="R111" s="534"/>
      <c r="S111" s="534"/>
      <c r="T111" s="534"/>
      <c r="U111" s="534"/>
      <c r="V111" s="534"/>
      <c r="W111" s="534"/>
      <c r="X111" s="534"/>
      <c r="Y111" s="534"/>
      <c r="Z111" s="534"/>
      <c r="AA111" s="534"/>
      <c r="AB111" s="534"/>
      <c r="AC111" s="534"/>
      <c r="AD111" s="547"/>
      <c r="AE111" s="206"/>
      <c r="AF111" s="663"/>
    </row>
    <row r="112" spans="1:32" x14ac:dyDescent="0.2">
      <c r="A112" s="556" t="s">
        <v>423</v>
      </c>
      <c r="B112" s="538" t="e">
        <f>D112/12</f>
        <v>#REF!</v>
      </c>
      <c r="C112" s="538" t="e">
        <f>B112*$C$1</f>
        <v>#REF!</v>
      </c>
      <c r="D112" s="546" t="e">
        <f>'[29]1508'!F371</f>
        <v>#REF!</v>
      </c>
      <c r="E112" s="167" t="e">
        <f t="shared" ref="E112:O112" si="45">D116</f>
        <v>#REF!</v>
      </c>
      <c r="F112" s="167" t="e">
        <f t="shared" si="45"/>
        <v>#REF!</v>
      </c>
      <c r="G112" s="167" t="e">
        <f t="shared" si="45"/>
        <v>#REF!</v>
      </c>
      <c r="H112" s="167" t="e">
        <f t="shared" si="45"/>
        <v>#REF!</v>
      </c>
      <c r="I112" s="167" t="e">
        <f t="shared" si="45"/>
        <v>#REF!</v>
      </c>
      <c r="J112" s="167" t="e">
        <f t="shared" si="45"/>
        <v>#REF!</v>
      </c>
      <c r="K112" s="167" t="e">
        <f t="shared" si="45"/>
        <v>#REF!</v>
      </c>
      <c r="L112" s="167" t="e">
        <f t="shared" si="45"/>
        <v>#REF!</v>
      </c>
      <c r="M112" s="167" t="e">
        <f t="shared" si="45"/>
        <v>#REF!</v>
      </c>
      <c r="N112" s="167" t="e">
        <f t="shared" si="45"/>
        <v>#REF!</v>
      </c>
      <c r="O112" s="167" t="e">
        <f t="shared" si="45"/>
        <v>#REF!</v>
      </c>
      <c r="P112" s="167"/>
      <c r="Q112" s="167"/>
      <c r="R112" s="167"/>
      <c r="S112" s="167"/>
      <c r="T112" s="167"/>
      <c r="U112" s="167"/>
      <c r="V112" s="167"/>
      <c r="W112" s="167"/>
      <c r="X112" s="167"/>
      <c r="Y112" s="167"/>
      <c r="Z112" s="167"/>
      <c r="AA112" s="167"/>
      <c r="AB112" s="167"/>
      <c r="AC112" s="167"/>
      <c r="AD112" s="532"/>
      <c r="AE112" s="206"/>
      <c r="AF112" s="663"/>
    </row>
    <row r="113" spans="1:32" x14ac:dyDescent="0.2">
      <c r="A113" s="556" t="s">
        <v>424</v>
      </c>
      <c r="B113" s="538" t="e">
        <f>D113/12</f>
        <v>#REF!</v>
      </c>
      <c r="C113" s="538" t="e">
        <f>B113*$C$1</f>
        <v>#REF!</v>
      </c>
      <c r="D113" s="546" t="e">
        <f>'[29]1508'!F381</f>
        <v>#REF!</v>
      </c>
      <c r="E113" s="534"/>
      <c r="F113" s="534"/>
      <c r="G113" s="534"/>
      <c r="H113" s="167"/>
      <c r="I113" s="534"/>
      <c r="J113" s="534"/>
      <c r="K113" s="534"/>
      <c r="L113" s="534"/>
      <c r="M113" s="534"/>
      <c r="N113" s="534"/>
      <c r="O113" s="534"/>
      <c r="P113" s="557"/>
      <c r="Q113" s="557"/>
      <c r="R113" s="557"/>
      <c r="S113" s="557"/>
      <c r="T113" s="557"/>
      <c r="U113" s="557"/>
      <c r="V113" s="557"/>
      <c r="W113" s="557"/>
      <c r="X113" s="557"/>
      <c r="Y113" s="557"/>
      <c r="Z113" s="557"/>
      <c r="AA113" s="557"/>
      <c r="AB113" s="557"/>
      <c r="AC113" s="557"/>
      <c r="AD113" s="532"/>
      <c r="AE113" s="206"/>
      <c r="AF113" s="663"/>
    </row>
    <row r="114" spans="1:32" x14ac:dyDescent="0.2">
      <c r="A114" s="556" t="s">
        <v>421</v>
      </c>
      <c r="B114" s="538"/>
      <c r="C114" s="538"/>
      <c r="D114" s="546"/>
      <c r="E114" s="534"/>
      <c r="F114" s="534"/>
      <c r="G114" s="534"/>
      <c r="H114" s="167"/>
      <c r="I114" s="534" t="e">
        <f>241129-D113</f>
        <v>#REF!</v>
      </c>
      <c r="J114" s="534"/>
      <c r="K114" s="534"/>
      <c r="L114" s="534"/>
      <c r="M114" s="534"/>
      <c r="N114" s="534"/>
      <c r="O114" s="534"/>
      <c r="P114" s="557"/>
      <c r="Q114" s="167">
        <v>27770.114339820517</v>
      </c>
      <c r="R114" s="167">
        <v>27770.114339820517</v>
      </c>
      <c r="S114" s="167">
        <f t="shared" ref="S114:AD114" si="46">R114</f>
        <v>27770.114339820517</v>
      </c>
      <c r="T114" s="167">
        <f t="shared" si="46"/>
        <v>27770.114339820517</v>
      </c>
      <c r="U114" s="167">
        <f t="shared" si="46"/>
        <v>27770.114339820517</v>
      </c>
      <c r="V114" s="167">
        <f t="shared" si="46"/>
        <v>27770.114339820517</v>
      </c>
      <c r="W114" s="167">
        <f t="shared" si="46"/>
        <v>27770.114339820517</v>
      </c>
      <c r="X114" s="167">
        <f t="shared" si="46"/>
        <v>27770.114339820517</v>
      </c>
      <c r="Y114" s="167">
        <f t="shared" si="46"/>
        <v>27770.114339820517</v>
      </c>
      <c r="Z114" s="167">
        <f t="shared" si="46"/>
        <v>27770.114339820517</v>
      </c>
      <c r="AA114" s="167">
        <f t="shared" si="46"/>
        <v>27770.114339820517</v>
      </c>
      <c r="AB114" s="167">
        <f t="shared" si="46"/>
        <v>27770.114339820517</v>
      </c>
      <c r="AC114" s="167">
        <f t="shared" si="46"/>
        <v>27770.114339820517</v>
      </c>
      <c r="AD114" s="532">
        <f t="shared" si="46"/>
        <v>27770.114339820517</v>
      </c>
      <c r="AE114" s="206"/>
      <c r="AF114" s="663"/>
    </row>
    <row r="115" spans="1:32" x14ac:dyDescent="0.2">
      <c r="A115" s="556" t="s">
        <v>425</v>
      </c>
      <c r="B115" s="541"/>
      <c r="C115" s="541"/>
      <c r="D115" s="558">
        <v>0</v>
      </c>
      <c r="E115" s="559">
        <f>[28]JE!$B$16</f>
        <v>-127909.47599824122</v>
      </c>
      <c r="F115" s="559">
        <v>-126599.78</v>
      </c>
      <c r="G115" s="559">
        <v>-138877.17460509902</v>
      </c>
      <c r="H115" s="170">
        <v>-142673.50220330482</v>
      </c>
      <c r="I115" s="559">
        <v>-144519.6656777568</v>
      </c>
      <c r="J115" s="559">
        <v>-122381.62455765469</v>
      </c>
      <c r="K115" s="559">
        <v>-120733.74</v>
      </c>
      <c r="L115" s="559">
        <v>-134229.60999999999</v>
      </c>
      <c r="M115" s="559">
        <v>-135610.5599133294</v>
      </c>
      <c r="N115" s="559">
        <v>-133384.42575346751</v>
      </c>
      <c r="O115" s="559">
        <v>-140942.58055437403</v>
      </c>
      <c r="P115" s="559"/>
      <c r="Q115" s="170"/>
      <c r="R115" s="170"/>
      <c r="S115" s="170"/>
      <c r="T115" s="170"/>
      <c r="U115" s="170"/>
      <c r="V115" s="170"/>
      <c r="W115" s="170"/>
      <c r="X115" s="170"/>
      <c r="Y115" s="170"/>
      <c r="Z115" s="170"/>
      <c r="AA115" s="170"/>
      <c r="AB115" s="170"/>
      <c r="AC115" s="170"/>
      <c r="AD115" s="555"/>
      <c r="AE115" s="662"/>
      <c r="AF115" s="663"/>
    </row>
    <row r="116" spans="1:32" x14ac:dyDescent="0.2">
      <c r="A116" s="556"/>
      <c r="B116" s="538" t="e">
        <f>D116/12</f>
        <v>#REF!</v>
      </c>
      <c r="C116" s="538" t="e">
        <f>SUM(C112:C113)</f>
        <v>#REF!</v>
      </c>
      <c r="D116" s="560" t="e">
        <f>+D112+D113+D115</f>
        <v>#REF!</v>
      </c>
      <c r="E116" s="534" t="e">
        <f>+D116+E115</f>
        <v>#REF!</v>
      </c>
      <c r="F116" s="534" t="e">
        <f>+E116+F115</f>
        <v>#REF!</v>
      </c>
      <c r="G116" s="534" t="e">
        <f>+F116+G115</f>
        <v>#REF!</v>
      </c>
      <c r="H116" s="534" t="e">
        <f>+G116+H115</f>
        <v>#REF!</v>
      </c>
      <c r="I116" s="534" t="e">
        <f>+H116+I115+I114</f>
        <v>#REF!</v>
      </c>
      <c r="J116" s="534" t="e">
        <f t="shared" ref="J116:O116" si="47">+I116+J115</f>
        <v>#REF!</v>
      </c>
      <c r="K116" s="534" t="e">
        <f t="shared" si="47"/>
        <v>#REF!</v>
      </c>
      <c r="L116" s="534" t="e">
        <f t="shared" si="47"/>
        <v>#REF!</v>
      </c>
      <c r="M116" s="534" t="e">
        <f t="shared" si="47"/>
        <v>#REF!</v>
      </c>
      <c r="N116" s="534" t="e">
        <f t="shared" si="47"/>
        <v>#REF!</v>
      </c>
      <c r="O116" s="534" t="e">
        <f t="shared" si="47"/>
        <v>#REF!</v>
      </c>
      <c r="P116" s="534"/>
      <c r="Q116" s="534">
        <v>27770.114339820517</v>
      </c>
      <c r="R116" s="534">
        <v>27770.114339820517</v>
      </c>
      <c r="S116" s="534">
        <f t="shared" ref="S116:AC116" si="48">S114</f>
        <v>27770.114339820517</v>
      </c>
      <c r="T116" s="534">
        <f t="shared" si="48"/>
        <v>27770.114339820517</v>
      </c>
      <c r="U116" s="534">
        <f t="shared" si="48"/>
        <v>27770.114339820517</v>
      </c>
      <c r="V116" s="534">
        <f t="shared" si="48"/>
        <v>27770.114339820517</v>
      </c>
      <c r="W116" s="534">
        <f t="shared" si="48"/>
        <v>27770.114339820517</v>
      </c>
      <c r="X116" s="534">
        <f t="shared" si="48"/>
        <v>27770.114339820517</v>
      </c>
      <c r="Y116" s="534">
        <f t="shared" si="48"/>
        <v>27770.114339820517</v>
      </c>
      <c r="Z116" s="534">
        <f t="shared" si="48"/>
        <v>27770.114339820517</v>
      </c>
      <c r="AA116" s="534">
        <f t="shared" si="48"/>
        <v>27770.114339820517</v>
      </c>
      <c r="AB116" s="534">
        <f t="shared" si="48"/>
        <v>27770.114339820517</v>
      </c>
      <c r="AC116" s="534">
        <f t="shared" si="48"/>
        <v>27770.114339820517</v>
      </c>
      <c r="AD116" s="547">
        <f>SUM(AD112:AD115)</f>
        <v>27770.114339820517</v>
      </c>
      <c r="AE116" s="664"/>
      <c r="AF116" s="664"/>
    </row>
    <row r="117" spans="1:32" x14ac:dyDescent="0.2">
      <c r="A117" s="537"/>
      <c r="B117" s="561"/>
      <c r="C117" s="561"/>
      <c r="D117" s="534"/>
      <c r="E117" s="534"/>
      <c r="F117" s="534"/>
      <c r="G117" s="534"/>
      <c r="H117" s="534"/>
      <c r="I117" s="534"/>
      <c r="J117" s="534"/>
      <c r="K117" s="534"/>
      <c r="L117" s="534"/>
      <c r="M117" s="534"/>
      <c r="N117" s="534"/>
      <c r="O117" s="534"/>
      <c r="P117" s="557"/>
      <c r="Q117" s="557"/>
      <c r="R117" s="557"/>
      <c r="S117" s="557"/>
      <c r="T117" s="557"/>
      <c r="U117" s="557"/>
      <c r="V117" s="557"/>
      <c r="W117" s="557"/>
      <c r="X117" s="557"/>
      <c r="Y117" s="557"/>
      <c r="Z117" s="557"/>
      <c r="AA117" s="557"/>
      <c r="AB117" s="557"/>
      <c r="AC117" s="557"/>
      <c r="AD117" s="528"/>
      <c r="AE117" s="206"/>
      <c r="AF117" s="663"/>
    </row>
    <row r="118" spans="1:32" x14ac:dyDescent="0.2">
      <c r="A118" s="169" t="s">
        <v>426</v>
      </c>
      <c r="B118" s="535"/>
      <c r="C118" s="535"/>
      <c r="D118" s="534"/>
      <c r="E118" s="534"/>
      <c r="F118" s="534"/>
      <c r="G118" s="534"/>
      <c r="H118" s="534"/>
      <c r="I118" s="534"/>
      <c r="J118" s="534"/>
      <c r="K118" s="534"/>
      <c r="L118" s="534"/>
      <c r="M118" s="534"/>
      <c r="N118" s="534"/>
      <c r="O118" s="534"/>
      <c r="P118" s="534"/>
      <c r="Q118" s="534"/>
      <c r="R118" s="534"/>
      <c r="S118" s="534"/>
      <c r="T118" s="534"/>
      <c r="U118" s="534"/>
      <c r="V118" s="534"/>
      <c r="W118" s="534"/>
      <c r="X118" s="534"/>
      <c r="Y118" s="534"/>
      <c r="Z118" s="534"/>
      <c r="AA118" s="534"/>
      <c r="AB118" s="534"/>
      <c r="AC118" s="534"/>
      <c r="AD118" s="547"/>
      <c r="AE118" s="206"/>
      <c r="AF118" s="663"/>
    </row>
    <row r="119" spans="1:32" x14ac:dyDescent="0.2">
      <c r="A119" s="556" t="s">
        <v>427</v>
      </c>
      <c r="B119" s="538">
        <f>D119/12</f>
        <v>1757.88</v>
      </c>
      <c r="C119" s="538">
        <f>B119*$C$1</f>
        <v>21094.560000000001</v>
      </c>
      <c r="D119" s="546">
        <f>-[30]JE!$B$33</f>
        <v>21094.560000000001</v>
      </c>
      <c r="E119" s="167">
        <f t="shared" ref="E119:O119" si="49">D123</f>
        <v>23195.863980000002</v>
      </c>
      <c r="F119" s="167">
        <f t="shared" si="49"/>
        <v>21360.429725909227</v>
      </c>
      <c r="G119" s="167">
        <f t="shared" si="49"/>
        <v>19543.789725909228</v>
      </c>
      <c r="H119" s="167">
        <f t="shared" si="49"/>
        <v>17550.974718324884</v>
      </c>
      <c r="I119" s="167">
        <f t="shared" si="49"/>
        <v>15503.684390134953</v>
      </c>
      <c r="J119" s="167">
        <f t="shared" si="49"/>
        <v>13380.59859917398</v>
      </c>
      <c r="K119" s="167">
        <f t="shared" si="49"/>
        <v>11624.486129543622</v>
      </c>
      <c r="L119" s="167">
        <f t="shared" si="49"/>
        <v>9892.0161295436228</v>
      </c>
      <c r="M119" s="167">
        <f t="shared" si="49"/>
        <v>7965.8961295436229</v>
      </c>
      <c r="N119" s="167">
        <f t="shared" si="49"/>
        <v>6019.9553386926254</v>
      </c>
      <c r="O119" s="167">
        <f t="shared" si="49"/>
        <v>4105.9584117291506</v>
      </c>
      <c r="P119" s="167"/>
      <c r="Q119" s="167"/>
      <c r="R119" s="167"/>
      <c r="S119" s="167"/>
      <c r="T119" s="167"/>
      <c r="U119" s="167"/>
      <c r="V119" s="167"/>
      <c r="W119" s="167"/>
      <c r="X119" s="167"/>
      <c r="Y119" s="167"/>
      <c r="Z119" s="167"/>
      <c r="AA119" s="167"/>
      <c r="AB119" s="167"/>
      <c r="AC119" s="167"/>
      <c r="AD119" s="532"/>
      <c r="AE119" s="206"/>
      <c r="AF119" s="663"/>
    </row>
    <row r="120" spans="1:32" x14ac:dyDescent="0.2">
      <c r="A120" s="556" t="s">
        <v>428</v>
      </c>
      <c r="B120" s="538">
        <f>D120/12</f>
        <v>175.10866499999997</v>
      </c>
      <c r="C120" s="538">
        <f>B120*$C$1</f>
        <v>2101.3039799999997</v>
      </c>
      <c r="D120" s="546">
        <f>-[30]JE!$B$34</f>
        <v>2101.3039799999997</v>
      </c>
      <c r="E120" s="534"/>
      <c r="F120" s="534"/>
      <c r="G120" s="534"/>
      <c r="H120" s="167"/>
      <c r="I120" s="534"/>
      <c r="J120" s="534"/>
      <c r="K120" s="534"/>
      <c r="L120" s="534"/>
      <c r="M120" s="534"/>
      <c r="N120" s="534"/>
      <c r="O120" s="534"/>
      <c r="P120" s="557"/>
      <c r="Q120" s="557"/>
      <c r="R120" s="557"/>
      <c r="S120" s="557"/>
      <c r="T120" s="557"/>
      <c r="U120" s="557"/>
      <c r="V120" s="557"/>
      <c r="W120" s="557"/>
      <c r="X120" s="557"/>
      <c r="Y120" s="557"/>
      <c r="Z120" s="557"/>
      <c r="AA120" s="557"/>
      <c r="AB120" s="557"/>
      <c r="AC120" s="557"/>
      <c r="AD120" s="528"/>
      <c r="AE120" s="206"/>
      <c r="AF120" s="663"/>
    </row>
    <row r="121" spans="1:32" x14ac:dyDescent="0.2">
      <c r="A121" s="556" t="s">
        <v>421</v>
      </c>
      <c r="B121" s="538"/>
      <c r="C121" s="538"/>
      <c r="D121" s="546"/>
      <c r="E121" s="534"/>
      <c r="F121" s="534"/>
      <c r="G121" s="534"/>
      <c r="H121" s="167"/>
      <c r="I121" s="534">
        <f>2052-D120</f>
        <v>-49.303979999999683</v>
      </c>
      <c r="J121" s="534"/>
      <c r="K121" s="534"/>
      <c r="L121" s="534"/>
      <c r="M121" s="534"/>
      <c r="N121" s="534"/>
      <c r="O121" s="534"/>
      <c r="P121" s="557"/>
      <c r="Q121" s="167">
        <v>398.00485337192731</v>
      </c>
      <c r="R121" s="167">
        <v>398.00485337192731</v>
      </c>
      <c r="S121" s="167">
        <f t="shared" ref="S121:AD121" si="50">R121</f>
        <v>398.00485337192731</v>
      </c>
      <c r="T121" s="167">
        <f t="shared" si="50"/>
        <v>398.00485337192731</v>
      </c>
      <c r="U121" s="167">
        <f t="shared" si="50"/>
        <v>398.00485337192731</v>
      </c>
      <c r="V121" s="167">
        <f t="shared" si="50"/>
        <v>398.00485337192731</v>
      </c>
      <c r="W121" s="167">
        <f t="shared" si="50"/>
        <v>398.00485337192731</v>
      </c>
      <c r="X121" s="167">
        <f t="shared" si="50"/>
        <v>398.00485337192731</v>
      </c>
      <c r="Y121" s="167">
        <f t="shared" si="50"/>
        <v>398.00485337192731</v>
      </c>
      <c r="Z121" s="167">
        <f t="shared" si="50"/>
        <v>398.00485337192731</v>
      </c>
      <c r="AA121" s="167">
        <f t="shared" si="50"/>
        <v>398.00485337192731</v>
      </c>
      <c r="AB121" s="167">
        <f t="shared" si="50"/>
        <v>398.00485337192731</v>
      </c>
      <c r="AC121" s="167">
        <f t="shared" si="50"/>
        <v>398.00485337192731</v>
      </c>
      <c r="AD121" s="532">
        <f t="shared" si="50"/>
        <v>398.00485337192731</v>
      </c>
      <c r="AE121" s="206"/>
      <c r="AF121" s="663"/>
    </row>
    <row r="122" spans="1:32" x14ac:dyDescent="0.2">
      <c r="A122" s="556" t="s">
        <v>425</v>
      </c>
      <c r="B122" s="541"/>
      <c r="C122" s="541"/>
      <c r="D122" s="558">
        <v>0</v>
      </c>
      <c r="E122" s="559">
        <f>[28]JE!$B$14</f>
        <v>-1835.434254090776</v>
      </c>
      <c r="F122" s="559">
        <v>-1816.64</v>
      </c>
      <c r="G122" s="559">
        <v>-1992.8150075843428</v>
      </c>
      <c r="H122" s="559">
        <v>-2047.2903281899314</v>
      </c>
      <c r="I122" s="559">
        <v>-2073.7818109609734</v>
      </c>
      <c r="J122" s="559">
        <v>-1756.1124696303577</v>
      </c>
      <c r="K122" s="559">
        <v>-1732.47</v>
      </c>
      <c r="L122" s="559">
        <v>-1926.12</v>
      </c>
      <c r="M122" s="559">
        <v>-1945.9407908509972</v>
      </c>
      <c r="N122" s="559">
        <v>-1913.9969269634753</v>
      </c>
      <c r="O122" s="559">
        <v>-2022.4525054969627</v>
      </c>
      <c r="P122" s="559"/>
      <c r="Q122" s="170"/>
      <c r="R122" s="170"/>
      <c r="S122" s="170"/>
      <c r="T122" s="170"/>
      <c r="U122" s="170"/>
      <c r="V122" s="170"/>
      <c r="W122" s="170"/>
      <c r="X122" s="170"/>
      <c r="Y122" s="170"/>
      <c r="Z122" s="170"/>
      <c r="AA122" s="170"/>
      <c r="AB122" s="170"/>
      <c r="AC122" s="170"/>
      <c r="AD122" s="555"/>
      <c r="AE122" s="662"/>
      <c r="AF122" s="663"/>
    </row>
    <row r="123" spans="1:32" x14ac:dyDescent="0.2">
      <c r="A123" s="556"/>
      <c r="B123" s="538">
        <f>D123/12</f>
        <v>1932.9886650000001</v>
      </c>
      <c r="C123" s="538">
        <f>SUM(C119:C120)</f>
        <v>23195.863980000002</v>
      </c>
      <c r="D123" s="560">
        <f>+D119+D120+D122</f>
        <v>23195.863980000002</v>
      </c>
      <c r="E123" s="534">
        <f>+D123+E122</f>
        <v>21360.429725909227</v>
      </c>
      <c r="F123" s="534">
        <f>+E123+F122</f>
        <v>19543.789725909228</v>
      </c>
      <c r="G123" s="534">
        <f>+F123+G122</f>
        <v>17550.974718324884</v>
      </c>
      <c r="H123" s="534">
        <f>+G123+H122</f>
        <v>15503.684390134953</v>
      </c>
      <c r="I123" s="534">
        <f>+H123+I122+I121</f>
        <v>13380.59859917398</v>
      </c>
      <c r="J123" s="534">
        <f t="shared" ref="J123:O123" si="51">+I123+J122</f>
        <v>11624.486129543622</v>
      </c>
      <c r="K123" s="534">
        <f t="shared" si="51"/>
        <v>9892.0161295436228</v>
      </c>
      <c r="L123" s="534">
        <f t="shared" si="51"/>
        <v>7965.8961295436229</v>
      </c>
      <c r="M123" s="534">
        <f t="shared" si="51"/>
        <v>6019.9553386926254</v>
      </c>
      <c r="N123" s="534">
        <f t="shared" si="51"/>
        <v>4105.9584117291506</v>
      </c>
      <c r="O123" s="534">
        <f t="shared" si="51"/>
        <v>2083.505906232188</v>
      </c>
      <c r="P123" s="534"/>
      <c r="Q123" s="534">
        <v>398.00485337192731</v>
      </c>
      <c r="R123" s="534">
        <v>398.00485337192731</v>
      </c>
      <c r="S123" s="534">
        <f t="shared" ref="S123:AC123" si="52">S121</f>
        <v>398.00485337192731</v>
      </c>
      <c r="T123" s="534">
        <f t="shared" si="52"/>
        <v>398.00485337192731</v>
      </c>
      <c r="U123" s="534">
        <f t="shared" si="52"/>
        <v>398.00485337192731</v>
      </c>
      <c r="V123" s="534">
        <f t="shared" si="52"/>
        <v>398.00485337192731</v>
      </c>
      <c r="W123" s="534">
        <f t="shared" si="52"/>
        <v>398.00485337192731</v>
      </c>
      <c r="X123" s="534">
        <f t="shared" si="52"/>
        <v>398.00485337192731</v>
      </c>
      <c r="Y123" s="534">
        <f t="shared" si="52"/>
        <v>398.00485337192731</v>
      </c>
      <c r="Z123" s="534">
        <f t="shared" si="52"/>
        <v>398.00485337192731</v>
      </c>
      <c r="AA123" s="534">
        <f t="shared" si="52"/>
        <v>398.00485337192731</v>
      </c>
      <c r="AB123" s="534">
        <f t="shared" si="52"/>
        <v>398.00485337192731</v>
      </c>
      <c r="AC123" s="534">
        <f t="shared" si="52"/>
        <v>398.00485337192731</v>
      </c>
      <c r="AD123" s="547">
        <f>SUM(AD119:AD122)</f>
        <v>398.00485337192731</v>
      </c>
      <c r="AE123" s="664"/>
      <c r="AF123" s="665"/>
    </row>
    <row r="124" spans="1:32" x14ac:dyDescent="0.2">
      <c r="A124" s="172"/>
      <c r="B124" s="533"/>
      <c r="C124" s="533"/>
      <c r="D124" s="166"/>
      <c r="E124" s="166"/>
      <c r="F124" s="166"/>
      <c r="G124" s="166"/>
      <c r="H124" s="173"/>
      <c r="I124" s="166"/>
      <c r="J124" s="166"/>
      <c r="K124" s="166"/>
      <c r="L124" s="166"/>
      <c r="M124" s="166"/>
      <c r="N124" s="166"/>
      <c r="O124" s="166"/>
      <c r="P124" s="166"/>
      <c r="Q124" s="166"/>
      <c r="R124" s="166"/>
      <c r="S124" s="166"/>
      <c r="T124" s="166"/>
      <c r="U124" s="166"/>
      <c r="V124" s="166"/>
      <c r="W124" s="166"/>
      <c r="X124" s="166"/>
      <c r="Y124" s="166"/>
      <c r="Z124" s="166"/>
      <c r="AA124" s="166"/>
      <c r="AB124" s="166"/>
      <c r="AC124" s="166"/>
      <c r="AD124" s="166"/>
      <c r="AE124" s="206"/>
      <c r="AF124" s="663"/>
    </row>
    <row r="125" spans="1:32" x14ac:dyDescent="0.2">
      <c r="A125" s="169" t="s">
        <v>429</v>
      </c>
      <c r="B125" s="535"/>
      <c r="C125" s="535"/>
      <c r="D125" s="534"/>
      <c r="E125" s="534"/>
      <c r="F125" s="534"/>
      <c r="G125" s="534"/>
      <c r="H125" s="534"/>
      <c r="I125" s="534"/>
      <c r="J125" s="534"/>
      <c r="K125" s="534"/>
      <c r="L125" s="534"/>
      <c r="M125" s="534"/>
      <c r="N125" s="534"/>
      <c r="O125" s="534"/>
      <c r="P125" s="534"/>
      <c r="Q125" s="534"/>
      <c r="R125" s="534"/>
      <c r="S125" s="534"/>
      <c r="T125" s="534"/>
      <c r="U125" s="534"/>
      <c r="V125" s="534"/>
      <c r="W125" s="534"/>
      <c r="X125" s="534"/>
      <c r="Y125" s="534"/>
      <c r="Z125" s="534"/>
      <c r="AA125" s="534"/>
      <c r="AB125" s="534"/>
      <c r="AC125" s="534"/>
      <c r="AD125" s="547"/>
      <c r="AE125" s="206"/>
      <c r="AF125" s="663"/>
    </row>
    <row r="126" spans="1:32" x14ac:dyDescent="0.2">
      <c r="A126" s="556" t="s">
        <v>430</v>
      </c>
      <c r="B126" s="538">
        <f>D126/12</f>
        <v>-2741.4166666666665</v>
      </c>
      <c r="C126" s="538">
        <f>B126*$C$1</f>
        <v>-32897</v>
      </c>
      <c r="D126" s="546">
        <v>-32897</v>
      </c>
      <c r="E126" s="167">
        <f t="shared" ref="E126:O126" si="53">D129</f>
        <v>-30477</v>
      </c>
      <c r="F126" s="167">
        <f t="shared" si="53"/>
        <v>-28060.335647732987</v>
      </c>
      <c r="G126" s="167">
        <f t="shared" si="53"/>
        <v>-25668.415647732989</v>
      </c>
      <c r="H126" s="167">
        <f t="shared" si="53"/>
        <v>-23044.53251012777</v>
      </c>
      <c r="I126" s="167">
        <f t="shared" si="53"/>
        <v>-20348.923259155956</v>
      </c>
      <c r="J126" s="167">
        <f t="shared" si="53"/>
        <v>-17618.433422345242</v>
      </c>
      <c r="K126" s="167">
        <f t="shared" si="53"/>
        <v>-15306.209819419402</v>
      </c>
      <c r="L126" s="167">
        <f t="shared" si="53"/>
        <v>-13025.119819419402</v>
      </c>
      <c r="M126" s="167">
        <f t="shared" si="53"/>
        <v>-10489.049819419402</v>
      </c>
      <c r="N126" s="167">
        <f t="shared" si="53"/>
        <v>-7926.8846367708575</v>
      </c>
      <c r="O126" s="167">
        <f t="shared" si="53"/>
        <v>-5406.7790359126102</v>
      </c>
      <c r="P126" s="167"/>
      <c r="Q126" s="167"/>
      <c r="R126" s="167"/>
      <c r="S126" s="167"/>
      <c r="T126" s="167"/>
      <c r="U126" s="167"/>
      <c r="V126" s="167"/>
      <c r="W126" s="167"/>
      <c r="X126" s="167"/>
      <c r="Y126" s="167"/>
      <c r="Z126" s="167"/>
      <c r="AA126" s="167"/>
      <c r="AB126" s="167"/>
      <c r="AC126" s="167"/>
      <c r="AD126" s="532"/>
      <c r="AE126" s="206"/>
      <c r="AF126" s="663"/>
    </row>
    <row r="127" spans="1:32" x14ac:dyDescent="0.2">
      <c r="A127" s="556" t="s">
        <v>431</v>
      </c>
      <c r="B127" s="538">
        <f>D127/12</f>
        <v>201.66666666666666</v>
      </c>
      <c r="C127" s="538">
        <f>B127*$C$1</f>
        <v>2420</v>
      </c>
      <c r="D127" s="546">
        <v>2420</v>
      </c>
      <c r="E127" s="534"/>
      <c r="F127" s="534"/>
      <c r="G127" s="534"/>
      <c r="H127" s="167"/>
      <c r="I127" s="534"/>
      <c r="J127" s="534"/>
      <c r="K127" s="534"/>
      <c r="L127" s="534"/>
      <c r="M127" s="534"/>
      <c r="N127" s="534"/>
      <c r="O127" s="534"/>
      <c r="P127" s="557"/>
      <c r="Q127" s="167">
        <v>-524.62149506268997</v>
      </c>
      <c r="R127" s="167">
        <v>-524.62149506268997</v>
      </c>
      <c r="S127" s="167">
        <f t="shared" ref="S127:AD127" si="54">R127</f>
        <v>-524.62149506268997</v>
      </c>
      <c r="T127" s="167">
        <f t="shared" si="54"/>
        <v>-524.62149506268997</v>
      </c>
      <c r="U127" s="167">
        <f t="shared" si="54"/>
        <v>-524.62149506268997</v>
      </c>
      <c r="V127" s="167">
        <f t="shared" si="54"/>
        <v>-524.62149506268997</v>
      </c>
      <c r="W127" s="167">
        <f t="shared" si="54"/>
        <v>-524.62149506268997</v>
      </c>
      <c r="X127" s="167">
        <f t="shared" si="54"/>
        <v>-524.62149506268997</v>
      </c>
      <c r="Y127" s="167">
        <f t="shared" si="54"/>
        <v>-524.62149506268997</v>
      </c>
      <c r="Z127" s="167">
        <f t="shared" si="54"/>
        <v>-524.62149506268997</v>
      </c>
      <c r="AA127" s="167">
        <f t="shared" si="54"/>
        <v>-524.62149506268997</v>
      </c>
      <c r="AB127" s="167">
        <f t="shared" si="54"/>
        <v>-524.62149506268997</v>
      </c>
      <c r="AC127" s="167">
        <f t="shared" si="54"/>
        <v>-524.62149506268997</v>
      </c>
      <c r="AD127" s="528">
        <f t="shared" si="54"/>
        <v>-524.62149506268997</v>
      </c>
      <c r="AE127" s="206"/>
      <c r="AF127" s="663"/>
    </row>
    <row r="128" spans="1:32" x14ac:dyDescent="0.2">
      <c r="A128" s="556" t="s">
        <v>425</v>
      </c>
      <c r="B128" s="541"/>
      <c r="C128" s="541"/>
      <c r="D128" s="558">
        <v>0</v>
      </c>
      <c r="E128" s="559">
        <f>[28]JE!$B$15</f>
        <v>2416.6643522670142</v>
      </c>
      <c r="F128" s="559">
        <v>2391.92</v>
      </c>
      <c r="G128" s="559">
        <v>2623.8831376052199</v>
      </c>
      <c r="H128" s="559">
        <v>2695.6092509718128</v>
      </c>
      <c r="I128" s="559">
        <v>2730.4898368107142</v>
      </c>
      <c r="J128" s="559">
        <v>2312.2236029258397</v>
      </c>
      <c r="K128" s="559">
        <v>2281.09</v>
      </c>
      <c r="L128" s="559">
        <v>2536.0700000000002</v>
      </c>
      <c r="M128" s="559">
        <v>2562.1651826485445</v>
      </c>
      <c r="N128" s="559">
        <v>2520.1056008582473</v>
      </c>
      <c r="O128" s="559">
        <v>2662.9059925705678</v>
      </c>
      <c r="P128" s="562"/>
      <c r="Q128" s="170"/>
      <c r="R128" s="170"/>
      <c r="S128" s="170"/>
      <c r="T128" s="170"/>
      <c r="U128" s="170"/>
      <c r="V128" s="170"/>
      <c r="W128" s="170"/>
      <c r="X128" s="170"/>
      <c r="Y128" s="170"/>
      <c r="Z128" s="170"/>
      <c r="AA128" s="170"/>
      <c r="AB128" s="170"/>
      <c r="AC128" s="170"/>
      <c r="AD128" s="555"/>
      <c r="AE128" s="662"/>
      <c r="AF128" s="663"/>
    </row>
    <row r="129" spans="1:32" x14ac:dyDescent="0.2">
      <c r="A129" s="556" t="s">
        <v>425</v>
      </c>
      <c r="B129" s="538">
        <f>D129/12</f>
        <v>-2539.75</v>
      </c>
      <c r="C129" s="538">
        <f>SUM(C126:C127)</f>
        <v>-30477</v>
      </c>
      <c r="D129" s="560">
        <f>+D126+D127+D128</f>
        <v>-30477</v>
      </c>
      <c r="E129" s="534">
        <f t="shared" ref="E129:O129" si="55">+D129+E128</f>
        <v>-28060.335647732987</v>
      </c>
      <c r="F129" s="534">
        <f t="shared" si="55"/>
        <v>-25668.415647732989</v>
      </c>
      <c r="G129" s="534">
        <f t="shared" si="55"/>
        <v>-23044.53251012777</v>
      </c>
      <c r="H129" s="534">
        <f t="shared" si="55"/>
        <v>-20348.923259155956</v>
      </c>
      <c r="I129" s="534">
        <f t="shared" si="55"/>
        <v>-17618.433422345242</v>
      </c>
      <c r="J129" s="534">
        <f t="shared" si="55"/>
        <v>-15306.209819419402</v>
      </c>
      <c r="K129" s="534">
        <f t="shared" si="55"/>
        <v>-13025.119819419402</v>
      </c>
      <c r="L129" s="534">
        <f t="shared" si="55"/>
        <v>-10489.049819419402</v>
      </c>
      <c r="M129" s="534">
        <f t="shared" si="55"/>
        <v>-7926.8846367708575</v>
      </c>
      <c r="N129" s="534">
        <f t="shared" si="55"/>
        <v>-5406.7790359126102</v>
      </c>
      <c r="O129" s="534">
        <f t="shared" si="55"/>
        <v>-2743.8730433420424</v>
      </c>
      <c r="P129" s="534"/>
      <c r="Q129" s="534">
        <v>-524.62149506268997</v>
      </c>
      <c r="R129" s="534">
        <v>-524.62149506268997</v>
      </c>
      <c r="S129" s="534">
        <f t="shared" ref="S129:AC129" si="56">S127</f>
        <v>-524.62149506268997</v>
      </c>
      <c r="T129" s="534">
        <f t="shared" si="56"/>
        <v>-524.62149506268997</v>
      </c>
      <c r="U129" s="534">
        <f t="shared" si="56"/>
        <v>-524.62149506268997</v>
      </c>
      <c r="V129" s="534">
        <f t="shared" si="56"/>
        <v>-524.62149506268997</v>
      </c>
      <c r="W129" s="534">
        <f t="shared" si="56"/>
        <v>-524.62149506268997</v>
      </c>
      <c r="X129" s="534">
        <f t="shared" si="56"/>
        <v>-524.62149506268997</v>
      </c>
      <c r="Y129" s="534">
        <f t="shared" si="56"/>
        <v>-524.62149506268997</v>
      </c>
      <c r="Z129" s="534">
        <f t="shared" si="56"/>
        <v>-524.62149506268997</v>
      </c>
      <c r="AA129" s="534">
        <f t="shared" si="56"/>
        <v>-524.62149506268997</v>
      </c>
      <c r="AB129" s="534">
        <f t="shared" si="56"/>
        <v>-524.62149506268997</v>
      </c>
      <c r="AC129" s="534">
        <f t="shared" si="56"/>
        <v>-524.62149506268997</v>
      </c>
      <c r="AD129" s="547">
        <f>SUM(AD126:AD128)</f>
        <v>-524.62149506268997</v>
      </c>
      <c r="AE129" s="664"/>
      <c r="AF129" s="664"/>
    </row>
    <row r="130" spans="1:32" ht="12" thickBot="1" x14ac:dyDescent="0.25">
      <c r="A130" s="556"/>
      <c r="B130" s="563"/>
      <c r="C130" s="563"/>
      <c r="D130" s="546"/>
      <c r="E130" s="534"/>
      <c r="F130" s="534"/>
      <c r="G130" s="534"/>
      <c r="H130" s="534"/>
      <c r="I130" s="534"/>
      <c r="J130" s="534"/>
      <c r="K130" s="534"/>
      <c r="L130" s="534"/>
      <c r="M130" s="534"/>
      <c r="N130" s="534"/>
      <c r="O130" s="534"/>
      <c r="P130" s="534"/>
      <c r="Q130" s="534"/>
      <c r="R130" s="534"/>
      <c r="S130" s="534"/>
      <c r="T130" s="534"/>
      <c r="U130" s="534"/>
      <c r="V130" s="534"/>
      <c r="W130" s="534"/>
      <c r="X130" s="534"/>
      <c r="Y130" s="534"/>
      <c r="Z130" s="534"/>
      <c r="AA130" s="534"/>
      <c r="AB130" s="534"/>
      <c r="AC130" s="534"/>
      <c r="AD130" s="547"/>
      <c r="AE130" s="206"/>
      <c r="AF130" s="663"/>
    </row>
    <row r="131" spans="1:32" x14ac:dyDescent="0.2">
      <c r="A131" s="564" t="s">
        <v>432</v>
      </c>
      <c r="B131" s="565" t="e">
        <f t="shared" ref="B131:O131" si="57">B97+B102+B109+B116+B123+B129</f>
        <v>#REF!</v>
      </c>
      <c r="C131" s="565" t="e">
        <f t="shared" si="57"/>
        <v>#REF!</v>
      </c>
      <c r="D131" s="565" t="e">
        <f t="shared" si="57"/>
        <v>#REF!</v>
      </c>
      <c r="E131" s="565" t="e">
        <f t="shared" si="57"/>
        <v>#REF!</v>
      </c>
      <c r="F131" s="565" t="e">
        <f t="shared" si="57"/>
        <v>#REF!</v>
      </c>
      <c r="G131" s="565" t="e">
        <f t="shared" si="57"/>
        <v>#REF!</v>
      </c>
      <c r="H131" s="565" t="e">
        <f t="shared" si="57"/>
        <v>#REF!</v>
      </c>
      <c r="I131" s="565" t="e">
        <f t="shared" si="57"/>
        <v>#REF!</v>
      </c>
      <c r="J131" s="565" t="e">
        <f t="shared" si="57"/>
        <v>#REF!</v>
      </c>
      <c r="K131" s="565" t="e">
        <f t="shared" si="57"/>
        <v>#REF!</v>
      </c>
      <c r="L131" s="565" t="e">
        <f t="shared" si="57"/>
        <v>#REF!</v>
      </c>
      <c r="M131" s="565" t="e">
        <f t="shared" si="57"/>
        <v>#REF!</v>
      </c>
      <c r="N131" s="565" t="e">
        <f t="shared" si="57"/>
        <v>#REF!</v>
      </c>
      <c r="O131" s="565" t="e">
        <f t="shared" si="57"/>
        <v>#REF!</v>
      </c>
      <c r="P131" s="565"/>
      <c r="Q131" s="565">
        <v>-147786.59737418004</v>
      </c>
      <c r="R131" s="565">
        <v>-147786.59737418004</v>
      </c>
      <c r="S131" s="565">
        <f t="shared" ref="S131:AD131" si="58">S97+S102+S109+S116+S123+S129</f>
        <v>-147786.59737418004</v>
      </c>
      <c r="T131" s="565">
        <f t="shared" si="58"/>
        <v>-147786.59737418004</v>
      </c>
      <c r="U131" s="565">
        <f t="shared" si="58"/>
        <v>-147786.59737418004</v>
      </c>
      <c r="V131" s="565">
        <f t="shared" si="58"/>
        <v>-147786.59737418004</v>
      </c>
      <c r="W131" s="565">
        <f t="shared" si="58"/>
        <v>-147786.59737418004</v>
      </c>
      <c r="X131" s="565">
        <f t="shared" si="58"/>
        <v>-147786.59737418004</v>
      </c>
      <c r="Y131" s="565">
        <f t="shared" si="58"/>
        <v>-147786.59737418004</v>
      </c>
      <c r="Z131" s="565">
        <f t="shared" si="58"/>
        <v>-147786.59737418004</v>
      </c>
      <c r="AA131" s="565">
        <f t="shared" si="58"/>
        <v>-147786.59737418004</v>
      </c>
      <c r="AB131" s="565">
        <f t="shared" si="58"/>
        <v>-147786.59737418004</v>
      </c>
      <c r="AC131" s="565">
        <f t="shared" si="58"/>
        <v>-147786.59737418004</v>
      </c>
      <c r="AD131" s="565">
        <f t="shared" si="58"/>
        <v>-147786.59737418004</v>
      </c>
      <c r="AE131" s="665"/>
      <c r="AF131" s="665"/>
    </row>
    <row r="132" spans="1:32" ht="12" thickBot="1" x14ac:dyDescent="0.25">
      <c r="A132" s="567"/>
      <c r="B132" s="568">
        <v>0</v>
      </c>
      <c r="C132" s="568">
        <v>0</v>
      </c>
      <c r="D132" s="568">
        <f t="shared" ref="D132:O132" si="59">$D$9+$D$14+$D$20+$D$27+$D$34+$D$41</f>
        <v>1109533.6568307749</v>
      </c>
      <c r="E132" s="568">
        <f t="shared" si="59"/>
        <v>1109533.6568307749</v>
      </c>
      <c r="F132" s="568">
        <f t="shared" si="59"/>
        <v>1109533.6568307749</v>
      </c>
      <c r="G132" s="568">
        <f t="shared" si="59"/>
        <v>1109533.6568307749</v>
      </c>
      <c r="H132" s="568">
        <f t="shared" si="59"/>
        <v>1109533.6568307749</v>
      </c>
      <c r="I132" s="568">
        <f t="shared" si="59"/>
        <v>1109533.6568307749</v>
      </c>
      <c r="J132" s="568">
        <f t="shared" si="59"/>
        <v>1109533.6568307749</v>
      </c>
      <c r="K132" s="568">
        <f t="shared" si="59"/>
        <v>1109533.6568307749</v>
      </c>
      <c r="L132" s="568">
        <f t="shared" si="59"/>
        <v>1109533.6568307749</v>
      </c>
      <c r="M132" s="568">
        <f t="shared" si="59"/>
        <v>1109533.6568307749</v>
      </c>
      <c r="N132" s="568">
        <f t="shared" si="59"/>
        <v>1109533.6568307749</v>
      </c>
      <c r="O132" s="568">
        <f t="shared" si="59"/>
        <v>1109533.6568307749</v>
      </c>
      <c r="P132" s="568"/>
      <c r="Q132" s="568"/>
      <c r="R132" s="568"/>
      <c r="S132" s="568"/>
      <c r="T132" s="568"/>
      <c r="U132" s="568"/>
      <c r="V132" s="568"/>
      <c r="W132" s="568"/>
      <c r="X132" s="568"/>
      <c r="Y132" s="568"/>
      <c r="Z132" s="568"/>
      <c r="AA132" s="568"/>
      <c r="AB132" s="568"/>
      <c r="AC132" s="568"/>
      <c r="AD132" s="569">
        <v>0</v>
      </c>
      <c r="AE132" s="665"/>
      <c r="AF132" s="665"/>
    </row>
    <row r="133" spans="1:32" ht="12" thickBot="1" x14ac:dyDescent="0.25">
      <c r="A133" s="567" t="s">
        <v>108</v>
      </c>
      <c r="B133" s="568" t="e">
        <f>B131+B132</f>
        <v>#REF!</v>
      </c>
      <c r="C133" s="568" t="e">
        <f>C131+C132</f>
        <v>#REF!</v>
      </c>
      <c r="D133" s="568" t="e">
        <f t="shared" ref="D133:O133" si="60">D131-D132</f>
        <v>#REF!</v>
      </c>
      <c r="E133" s="568" t="e">
        <f t="shared" si="60"/>
        <v>#REF!</v>
      </c>
      <c r="F133" s="568" t="e">
        <f t="shared" si="60"/>
        <v>#REF!</v>
      </c>
      <c r="G133" s="568" t="e">
        <f t="shared" si="60"/>
        <v>#REF!</v>
      </c>
      <c r="H133" s="568" t="e">
        <f t="shared" si="60"/>
        <v>#REF!</v>
      </c>
      <c r="I133" s="568" t="e">
        <f t="shared" si="60"/>
        <v>#REF!</v>
      </c>
      <c r="J133" s="568" t="e">
        <f t="shared" si="60"/>
        <v>#REF!</v>
      </c>
      <c r="K133" s="568" t="e">
        <f t="shared" si="60"/>
        <v>#REF!</v>
      </c>
      <c r="L133" s="568" t="e">
        <f t="shared" si="60"/>
        <v>#REF!</v>
      </c>
      <c r="M133" s="568" t="e">
        <f t="shared" si="60"/>
        <v>#REF!</v>
      </c>
      <c r="N133" s="568" t="e">
        <f t="shared" si="60"/>
        <v>#REF!</v>
      </c>
      <c r="O133" s="568" t="e">
        <f t="shared" si="60"/>
        <v>#REF!</v>
      </c>
      <c r="P133" s="568"/>
      <c r="Q133" s="568">
        <v>-147786.59737418004</v>
      </c>
      <c r="R133" s="568">
        <v>-147786.59737418004</v>
      </c>
      <c r="S133" s="568">
        <f t="shared" ref="S133:AD133" si="61">S131-S132</f>
        <v>-147786.59737418004</v>
      </c>
      <c r="T133" s="568">
        <f t="shared" si="61"/>
        <v>-147786.59737418004</v>
      </c>
      <c r="U133" s="568">
        <f t="shared" si="61"/>
        <v>-147786.59737418004</v>
      </c>
      <c r="V133" s="568">
        <f t="shared" si="61"/>
        <v>-147786.59737418004</v>
      </c>
      <c r="W133" s="568">
        <f t="shared" si="61"/>
        <v>-147786.59737418004</v>
      </c>
      <c r="X133" s="568">
        <f t="shared" si="61"/>
        <v>-147786.59737418004</v>
      </c>
      <c r="Y133" s="568">
        <f t="shared" si="61"/>
        <v>-147786.59737418004</v>
      </c>
      <c r="Z133" s="568">
        <f t="shared" si="61"/>
        <v>-147786.59737418004</v>
      </c>
      <c r="AA133" s="568">
        <f t="shared" si="61"/>
        <v>-147786.59737418004</v>
      </c>
      <c r="AB133" s="568">
        <f t="shared" si="61"/>
        <v>-147786.59737418004</v>
      </c>
      <c r="AC133" s="568">
        <f t="shared" si="61"/>
        <v>-147786.59737418004</v>
      </c>
      <c r="AD133" s="568">
        <f t="shared" si="61"/>
        <v>-147786.59737418004</v>
      </c>
      <c r="AE133" s="665"/>
      <c r="AF133" s="665"/>
    </row>
    <row r="134" spans="1:32" ht="15.75" x14ac:dyDescent="0.25">
      <c r="A134" s="174"/>
      <c r="B134" s="174"/>
      <c r="C134" s="570"/>
      <c r="D134" s="534"/>
      <c r="E134" s="534"/>
      <c r="F134" s="534"/>
      <c r="G134" s="534"/>
      <c r="H134" s="534"/>
      <c r="I134" s="534"/>
      <c r="J134" s="534"/>
      <c r="K134" s="534"/>
      <c r="L134" s="534"/>
      <c r="M134" s="534"/>
      <c r="N134" s="534"/>
      <c r="O134" s="534"/>
      <c r="P134" s="557"/>
      <c r="Q134" s="557"/>
      <c r="R134" s="557"/>
      <c r="S134" s="557"/>
      <c r="T134" s="557"/>
      <c r="U134" s="557"/>
      <c r="V134" s="557"/>
      <c r="W134" s="557"/>
      <c r="X134" s="557"/>
      <c r="Y134" s="557"/>
      <c r="Z134" s="557"/>
      <c r="AA134" s="557"/>
      <c r="AB134" s="557"/>
      <c r="AC134" s="557"/>
      <c r="AD134" s="528"/>
      <c r="AF134" s="566"/>
    </row>
    <row r="135" spans="1:32" ht="15.75" x14ac:dyDescent="0.25">
      <c r="A135" s="169" t="s">
        <v>109</v>
      </c>
      <c r="B135" s="169"/>
      <c r="C135" s="570"/>
      <c r="D135" s="531"/>
      <c r="F135" s="531"/>
      <c r="G135" s="531"/>
      <c r="H135" s="534"/>
      <c r="I135" s="534"/>
      <c r="J135" s="534"/>
      <c r="K135" s="571"/>
      <c r="L135" s="571"/>
      <c r="M135" s="571"/>
      <c r="N135" s="572"/>
      <c r="O135" s="572"/>
      <c r="P135" s="571"/>
      <c r="Q135" s="571"/>
      <c r="R135" s="571"/>
      <c r="S135" s="571"/>
      <c r="T135" s="571"/>
      <c r="U135" s="571"/>
      <c r="V135" s="571"/>
      <c r="W135" s="571"/>
      <c r="X135" s="571"/>
      <c r="Y135" s="571"/>
      <c r="Z135" s="571"/>
      <c r="AA135" s="571"/>
      <c r="AB135" s="571"/>
      <c r="AC135" s="571"/>
      <c r="AD135" s="550"/>
      <c r="AF135" s="573"/>
    </row>
    <row r="136" spans="1:32" ht="15.75" x14ac:dyDescent="0.25">
      <c r="A136" s="171" t="s">
        <v>110</v>
      </c>
      <c r="B136" s="171"/>
      <c r="C136" s="570"/>
      <c r="D136" s="531" t="e">
        <f>'[29]1590 to April 30, 2008'!F358</f>
        <v>#REF!</v>
      </c>
      <c r="E136" s="531"/>
      <c r="F136" s="531"/>
      <c r="G136" s="531"/>
      <c r="H136" s="534"/>
      <c r="I136" s="534" t="e">
        <f>-D136-E137</f>
        <v>#REF!</v>
      </c>
      <c r="J136" s="534"/>
      <c r="K136" s="571"/>
      <c r="L136" s="571"/>
      <c r="M136" s="571"/>
      <c r="N136" s="574"/>
      <c r="O136" s="572"/>
      <c r="P136" s="571"/>
      <c r="Q136" s="571"/>
      <c r="R136" s="571"/>
      <c r="S136" s="571"/>
      <c r="T136" s="571"/>
      <c r="U136" s="571"/>
      <c r="V136" s="571"/>
      <c r="W136" s="571"/>
      <c r="X136" s="571"/>
      <c r="Y136" s="571"/>
      <c r="Z136" s="571"/>
      <c r="AA136" s="571"/>
      <c r="AB136" s="571"/>
      <c r="AC136" s="571"/>
      <c r="AD136" s="550"/>
      <c r="AF136" s="575"/>
    </row>
    <row r="137" spans="1:32" x14ac:dyDescent="0.2">
      <c r="A137" s="171" t="s">
        <v>434</v>
      </c>
      <c r="B137" s="171"/>
      <c r="C137" s="171"/>
      <c r="D137" s="531"/>
      <c r="E137" s="531">
        <f>-D102</f>
        <v>-1537421</v>
      </c>
      <c r="F137" s="531"/>
      <c r="G137" s="531"/>
      <c r="H137" s="534"/>
      <c r="I137" s="534"/>
      <c r="J137" s="534"/>
      <c r="K137" s="571"/>
      <c r="L137" s="571"/>
      <c r="M137" s="571"/>
      <c r="N137" s="574"/>
      <c r="O137" s="578"/>
      <c r="P137" s="557"/>
      <c r="Q137" s="557"/>
      <c r="R137" s="557"/>
      <c r="S137" s="557"/>
      <c r="T137" s="557"/>
      <c r="U137" s="557"/>
      <c r="V137" s="557"/>
      <c r="W137" s="557"/>
      <c r="X137" s="557"/>
      <c r="Y137" s="557"/>
      <c r="Z137" s="557"/>
      <c r="AA137" s="557"/>
      <c r="AB137" s="557"/>
      <c r="AC137" s="557"/>
      <c r="AD137" s="550"/>
      <c r="AF137" s="579"/>
    </row>
    <row r="138" spans="1:32" ht="18" x14ac:dyDescent="0.4">
      <c r="A138" s="175" t="s">
        <v>435</v>
      </c>
      <c r="B138" s="175"/>
      <c r="C138" s="175"/>
      <c r="D138" s="531"/>
      <c r="E138" s="534" t="e">
        <f>'[29]1590 to April 30, 2008'!G350</f>
        <v>#REF!</v>
      </c>
      <c r="F138" s="534">
        <v>-18368.492315645293</v>
      </c>
      <c r="G138" s="534">
        <v>-13541.990196375426</v>
      </c>
      <c r="H138" s="534">
        <v>-11861.215518923893</v>
      </c>
      <c r="I138" s="534" t="e">
        <f>H133*0.0335/12</f>
        <v>#REF!</v>
      </c>
      <c r="J138" s="534" t="e">
        <f>I133*0.0335/12</f>
        <v>#REF!</v>
      </c>
      <c r="K138" s="534" t="e">
        <f>J133*0.0335/12</f>
        <v>#REF!</v>
      </c>
      <c r="L138" s="534" t="e">
        <f>K133*0.0335/12+1</f>
        <v>#REF!</v>
      </c>
      <c r="M138" s="534" t="e">
        <f>L133*0.0245/12</f>
        <v>#REF!</v>
      </c>
      <c r="N138" s="534" t="e">
        <f>M133*0.0245/12</f>
        <v>#REF!</v>
      </c>
      <c r="O138" s="534" t="e">
        <f>N133*0.0245/12</f>
        <v>#REF!</v>
      </c>
      <c r="P138" s="534"/>
      <c r="R138" s="666">
        <f t="shared" ref="R138:W138" si="62">+Q133*0.0147/12</f>
        <v>-181.03858178337055</v>
      </c>
      <c r="S138" s="666">
        <f t="shared" si="62"/>
        <v>-181.03858178337055</v>
      </c>
      <c r="T138" s="666">
        <f t="shared" si="62"/>
        <v>-181.03858178337055</v>
      </c>
      <c r="U138" s="666">
        <f t="shared" si="62"/>
        <v>-181.03858178337055</v>
      </c>
      <c r="V138" s="666">
        <f t="shared" si="62"/>
        <v>-181.03858178337055</v>
      </c>
      <c r="W138" s="666">
        <f t="shared" si="62"/>
        <v>-181.03858178337055</v>
      </c>
      <c r="X138" s="580"/>
      <c r="Y138" s="580"/>
      <c r="Z138" s="580"/>
      <c r="AA138" s="580"/>
      <c r="AB138" s="580"/>
      <c r="AC138" s="580"/>
      <c r="AD138" s="550">
        <f>SUM(R138:AC138)</f>
        <v>-1086.2314907002233</v>
      </c>
      <c r="AF138" s="579"/>
    </row>
    <row r="139" spans="1:32" x14ac:dyDescent="0.2">
      <c r="A139" s="175" t="s">
        <v>111</v>
      </c>
      <c r="B139" s="175"/>
      <c r="C139" s="175"/>
      <c r="D139" s="531"/>
      <c r="E139" s="534"/>
      <c r="F139" s="534"/>
      <c r="G139" s="534"/>
      <c r="H139" s="534"/>
      <c r="I139" s="534">
        <v>-19935</v>
      </c>
      <c r="J139" s="534"/>
      <c r="K139" s="534"/>
      <c r="L139" s="534"/>
      <c r="M139" s="534"/>
      <c r="N139" s="534"/>
      <c r="O139" s="534"/>
      <c r="P139" s="534"/>
      <c r="Q139" s="534"/>
      <c r="R139" s="534"/>
      <c r="S139" s="534"/>
      <c r="T139" s="534"/>
      <c r="U139" s="534"/>
      <c r="V139" s="534"/>
      <c r="W139" s="534"/>
      <c r="X139" s="534"/>
      <c r="Y139" s="534"/>
      <c r="Z139" s="534"/>
      <c r="AA139" s="534"/>
      <c r="AB139" s="534"/>
      <c r="AC139" s="534"/>
      <c r="AD139" s="550"/>
      <c r="AF139" s="581"/>
    </row>
    <row r="140" spans="1:32" x14ac:dyDescent="0.2">
      <c r="A140" s="175" t="s">
        <v>436</v>
      </c>
      <c r="B140" s="582"/>
      <c r="C140" s="582"/>
      <c r="D140" s="583"/>
      <c r="E140" s="559">
        <f>7870+72.07</f>
        <v>7942.07</v>
      </c>
      <c r="F140" s="559"/>
      <c r="G140" s="559"/>
      <c r="H140" s="559"/>
      <c r="I140" s="559"/>
      <c r="J140" s="559"/>
      <c r="K140" s="559"/>
      <c r="L140" s="559"/>
      <c r="M140" s="559"/>
      <c r="N140" s="559"/>
      <c r="O140" s="559"/>
      <c r="P140" s="559"/>
      <c r="Q140" s="559"/>
      <c r="R140" s="559"/>
      <c r="S140" s="559"/>
      <c r="T140" s="559"/>
      <c r="U140" s="559"/>
      <c r="V140" s="559"/>
      <c r="W140" s="559"/>
      <c r="X140" s="559"/>
      <c r="Y140" s="559"/>
      <c r="Z140" s="559"/>
      <c r="AA140" s="559"/>
      <c r="AB140" s="559"/>
      <c r="AC140" s="559"/>
      <c r="AD140" s="584"/>
      <c r="AF140" s="566"/>
    </row>
    <row r="141" spans="1:32" x14ac:dyDescent="0.2">
      <c r="A141" s="176" t="s">
        <v>112</v>
      </c>
      <c r="B141" s="176"/>
      <c r="C141" s="176"/>
      <c r="D141" s="534" t="e">
        <f>D136</f>
        <v>#REF!</v>
      </c>
      <c r="E141" s="534" t="e">
        <f>+E138+E137+D136+E140</f>
        <v>#REF!</v>
      </c>
      <c r="F141" s="534" t="e">
        <f>+F138+E141</f>
        <v>#REF!</v>
      </c>
      <c r="G141" s="534" t="e">
        <f>+G138+F141</f>
        <v>#REF!</v>
      </c>
      <c r="H141" s="534" t="e">
        <f>+H138+G141</f>
        <v>#REF!</v>
      </c>
      <c r="I141" s="534" t="e">
        <f>H141+I136+I138+I139</f>
        <v>#REF!</v>
      </c>
      <c r="J141" s="534" t="e">
        <f t="shared" ref="J141:O141" si="63">+J138+I141</f>
        <v>#REF!</v>
      </c>
      <c r="K141" s="534" t="e">
        <f t="shared" si="63"/>
        <v>#REF!</v>
      </c>
      <c r="L141" s="534" t="e">
        <f t="shared" si="63"/>
        <v>#REF!</v>
      </c>
      <c r="M141" s="534" t="e">
        <f t="shared" si="63"/>
        <v>#REF!</v>
      </c>
      <c r="N141" s="534" t="e">
        <f t="shared" si="63"/>
        <v>#REF!</v>
      </c>
      <c r="O141" s="534" t="e">
        <f t="shared" si="63"/>
        <v>#REF!</v>
      </c>
      <c r="P141" s="534"/>
      <c r="Q141" s="534">
        <v>-132656.15613714853</v>
      </c>
      <c r="R141" s="534">
        <f>Q141+R138</f>
        <v>-132837.19471893189</v>
      </c>
      <c r="S141" s="534">
        <f t="shared" ref="S141:AC141" si="64">+S138+R141</f>
        <v>-133018.23330071525</v>
      </c>
      <c r="T141" s="534">
        <f t="shared" si="64"/>
        <v>-133199.27188249861</v>
      </c>
      <c r="U141" s="534">
        <f t="shared" si="64"/>
        <v>-133380.31046428197</v>
      </c>
      <c r="V141" s="534">
        <f t="shared" si="64"/>
        <v>-133561.34904606533</v>
      </c>
      <c r="W141" s="534">
        <f t="shared" si="64"/>
        <v>-133742.38762784869</v>
      </c>
      <c r="X141" s="534">
        <f t="shared" si="64"/>
        <v>-133742.38762784869</v>
      </c>
      <c r="Y141" s="534">
        <f t="shared" si="64"/>
        <v>-133742.38762784869</v>
      </c>
      <c r="Z141" s="534">
        <f t="shared" si="64"/>
        <v>-133742.38762784869</v>
      </c>
      <c r="AA141" s="534">
        <f t="shared" si="64"/>
        <v>-133742.38762784869</v>
      </c>
      <c r="AB141" s="534">
        <f t="shared" si="64"/>
        <v>-133742.38762784869</v>
      </c>
      <c r="AC141" s="534">
        <f t="shared" si="64"/>
        <v>-133742.38762784869</v>
      </c>
      <c r="AD141" s="550">
        <f>AC141</f>
        <v>-133742.38762784869</v>
      </c>
    </row>
    <row r="142" spans="1:32" ht="12" thickBot="1" x14ac:dyDescent="0.25">
      <c r="A142" s="177" t="s">
        <v>113</v>
      </c>
      <c r="B142" s="177"/>
      <c r="C142" s="177"/>
      <c r="D142" s="585" t="e">
        <f>D136</f>
        <v>#REF!</v>
      </c>
      <c r="E142" s="586" t="e">
        <f t="shared" ref="E142:O142" si="65">E141+E131</f>
        <v>#REF!</v>
      </c>
      <c r="F142" s="586" t="e">
        <f t="shared" si="65"/>
        <v>#REF!</v>
      </c>
      <c r="G142" s="586" t="e">
        <f t="shared" si="65"/>
        <v>#REF!</v>
      </c>
      <c r="H142" s="586" t="e">
        <f t="shared" si="65"/>
        <v>#REF!</v>
      </c>
      <c r="I142" s="586" t="e">
        <f t="shared" si="65"/>
        <v>#REF!</v>
      </c>
      <c r="J142" s="586" t="e">
        <f t="shared" si="65"/>
        <v>#REF!</v>
      </c>
      <c r="K142" s="586" t="e">
        <f t="shared" si="65"/>
        <v>#REF!</v>
      </c>
      <c r="L142" s="586" t="e">
        <f t="shared" si="65"/>
        <v>#REF!</v>
      </c>
      <c r="M142" s="586" t="e">
        <f t="shared" si="65"/>
        <v>#REF!</v>
      </c>
      <c r="N142" s="586" t="e">
        <f t="shared" si="65"/>
        <v>#REF!</v>
      </c>
      <c r="O142" s="586" t="e">
        <f t="shared" si="65"/>
        <v>#REF!</v>
      </c>
      <c r="P142" s="586"/>
      <c r="Q142" s="586">
        <f>Q141+Q133</f>
        <v>-280442.7535113286</v>
      </c>
      <c r="R142" s="586">
        <f>R141+R133</f>
        <v>-280623.7920931119</v>
      </c>
      <c r="S142" s="586">
        <f t="shared" ref="S142:Z142" si="66">S141+S131</f>
        <v>-280804.83067489532</v>
      </c>
      <c r="T142" s="586">
        <f t="shared" si="66"/>
        <v>-280985.86925667862</v>
      </c>
      <c r="U142" s="586">
        <f t="shared" si="66"/>
        <v>-281166.90783846204</v>
      </c>
      <c r="V142" s="586">
        <f t="shared" si="66"/>
        <v>-281347.94642024534</v>
      </c>
      <c r="W142" s="586">
        <f t="shared" si="66"/>
        <v>-281528.98500202876</v>
      </c>
      <c r="X142" s="586">
        <f t="shared" si="66"/>
        <v>-281528.98500202876</v>
      </c>
      <c r="Y142" s="586">
        <f t="shared" si="66"/>
        <v>-281528.98500202876</v>
      </c>
      <c r="Z142" s="586">
        <f t="shared" si="66"/>
        <v>-281528.98500202876</v>
      </c>
      <c r="AA142" s="586">
        <f>ROUNDUP((AA141+AA131),0)</f>
        <v>-281529</v>
      </c>
      <c r="AB142" s="586">
        <f>'[31]2.Reg Asset_Liability Details'!$AC$49+'[31]2.Reg Asset_Liability Details'!$AC$50</f>
        <v>-280296.68999999989</v>
      </c>
      <c r="AC142" s="586">
        <f>'[31]2.Reg Asset_Liability Details'!$AC$49+'[31]2.Reg Asset_Liability Details'!$AC$50</f>
        <v>-280296.68999999989</v>
      </c>
      <c r="AD142" s="586">
        <f>ROUNDUP((AD141+AD131),0)</f>
        <v>-281529</v>
      </c>
    </row>
    <row r="143" spans="1:32" ht="12" thickBot="1" x14ac:dyDescent="0.25">
      <c r="A143" s="178" t="s">
        <v>114</v>
      </c>
      <c r="B143" s="178"/>
      <c r="C143" s="178"/>
      <c r="D143" s="587" t="e">
        <f>'[29]1590 to April 30, 2008'!F358</f>
        <v>#REF!</v>
      </c>
      <c r="E143" s="588">
        <v>-6476444.7599999998</v>
      </c>
      <c r="F143" s="589">
        <v>-5943177.5800000001</v>
      </c>
      <c r="G143" s="590">
        <v>-5354650.6500000004</v>
      </c>
      <c r="H143" s="590">
        <v>-4755815.9000000004</v>
      </c>
      <c r="I143" s="590">
        <v>-4144820.96</v>
      </c>
      <c r="J143" s="590">
        <f>-3540087.39-72343</f>
        <v>-3612430.39</v>
      </c>
      <c r="K143" s="590">
        <v>-3112631.75</v>
      </c>
      <c r="L143" s="590">
        <f>-2426078.84-111297</f>
        <v>-2537375.84</v>
      </c>
      <c r="M143" s="590">
        <v>-1963540.22</v>
      </c>
      <c r="N143" s="590">
        <v>-1393362.48</v>
      </c>
      <c r="O143" s="590">
        <v>-788285.47</v>
      </c>
      <c r="P143" s="591"/>
      <c r="Q143" s="592">
        <f>AD57</f>
        <v>-280444.68999999989</v>
      </c>
      <c r="R143" s="591">
        <f>1163101-1310888.39-133019.3+181</f>
        <v>-280625.68999999989</v>
      </c>
      <c r="S143" s="591">
        <f>1163101-1310888.39-133019.3</f>
        <v>-280806.68999999989</v>
      </c>
      <c r="T143" s="591">
        <f>SUM('[20]2.Reg Asset_Liability Details'!$L$57:$L$58)</f>
        <v>-280985.69000000012</v>
      </c>
      <c r="U143" s="591"/>
      <c r="V143" s="591"/>
      <c r="W143" s="591"/>
      <c r="X143" s="592"/>
      <c r="Y143" s="592"/>
      <c r="Z143" s="592"/>
      <c r="AA143" s="592"/>
      <c r="AB143" s="592"/>
      <c r="AC143" s="592"/>
      <c r="AD143" s="591"/>
    </row>
    <row r="144" spans="1:32" ht="12" thickBot="1" x14ac:dyDescent="0.25">
      <c r="A144" s="179" t="s">
        <v>115</v>
      </c>
      <c r="B144" s="179"/>
      <c r="C144" s="179"/>
      <c r="D144" s="593" t="e">
        <f t="shared" ref="D144:O144" si="67">+D142-D143</f>
        <v>#REF!</v>
      </c>
      <c r="E144" s="593" t="e">
        <f t="shared" si="67"/>
        <v>#REF!</v>
      </c>
      <c r="F144" s="593" t="e">
        <f t="shared" si="67"/>
        <v>#REF!</v>
      </c>
      <c r="G144" s="593" t="e">
        <f t="shared" si="67"/>
        <v>#REF!</v>
      </c>
      <c r="H144" s="593" t="e">
        <f t="shared" si="67"/>
        <v>#REF!</v>
      </c>
      <c r="I144" s="593" t="e">
        <f t="shared" si="67"/>
        <v>#REF!</v>
      </c>
      <c r="J144" s="593" t="e">
        <f t="shared" si="67"/>
        <v>#REF!</v>
      </c>
      <c r="K144" s="593" t="e">
        <f t="shared" si="67"/>
        <v>#REF!</v>
      </c>
      <c r="L144" s="593" t="e">
        <f t="shared" si="67"/>
        <v>#REF!</v>
      </c>
      <c r="M144" s="593" t="e">
        <f t="shared" si="67"/>
        <v>#REF!</v>
      </c>
      <c r="N144" s="593" t="e">
        <f t="shared" si="67"/>
        <v>#REF!</v>
      </c>
      <c r="O144" s="593" t="e">
        <f t="shared" si="67"/>
        <v>#REF!</v>
      </c>
      <c r="P144" s="593"/>
      <c r="Q144" s="593">
        <v>0</v>
      </c>
      <c r="R144" s="593">
        <f t="shared" ref="R144:AD144" si="68">+R142-R143</f>
        <v>1.8979068879853003</v>
      </c>
      <c r="S144" s="593">
        <f t="shared" si="68"/>
        <v>1.859325104567688</v>
      </c>
      <c r="T144" s="593">
        <f t="shared" si="68"/>
        <v>-0.17925667850067839</v>
      </c>
      <c r="U144" s="593">
        <f t="shared" si="68"/>
        <v>-281166.90783846204</v>
      </c>
      <c r="V144" s="593">
        <f t="shared" si="68"/>
        <v>-281347.94642024534</v>
      </c>
      <c r="W144" s="593">
        <f t="shared" si="68"/>
        <v>-281528.98500202876</v>
      </c>
      <c r="X144" s="593">
        <f t="shared" si="68"/>
        <v>-281528.98500202876</v>
      </c>
      <c r="Y144" s="593">
        <f t="shared" si="68"/>
        <v>-281528.98500202876</v>
      </c>
      <c r="Z144" s="593">
        <f t="shared" si="68"/>
        <v>-281528.98500202876</v>
      </c>
      <c r="AA144" s="593">
        <f t="shared" si="68"/>
        <v>-281529</v>
      </c>
      <c r="AB144" s="593">
        <f t="shared" si="68"/>
        <v>-280296.68999999989</v>
      </c>
      <c r="AC144" s="593">
        <f t="shared" si="68"/>
        <v>-280296.68999999989</v>
      </c>
      <c r="AD144" s="593">
        <f t="shared" si="68"/>
        <v>-281529</v>
      </c>
    </row>
    <row r="145" spans="1:32" x14ac:dyDescent="0.2">
      <c r="AD145" s="566">
        <f>AD131+AD141-AD142</f>
        <v>1.4997971244156361E-2</v>
      </c>
    </row>
    <row r="146" spans="1:32" x14ac:dyDescent="0.2">
      <c r="D146" s="162" t="s">
        <v>116</v>
      </c>
      <c r="E146" s="594">
        <v>-227.82539952109005</v>
      </c>
      <c r="F146" s="594">
        <v>-18368.492315645293</v>
      </c>
      <c r="G146" s="594">
        <v>-13541.990196375426</v>
      </c>
      <c r="H146" s="595">
        <v>-11861.215518923893</v>
      </c>
      <c r="I146" s="596">
        <v>-43999.523430465699</v>
      </c>
    </row>
    <row r="147" spans="1:32" x14ac:dyDescent="0.2">
      <c r="D147" s="162" t="s">
        <v>117</v>
      </c>
      <c r="E147" s="566">
        <v>-227.82539952109005</v>
      </c>
      <c r="F147" s="566">
        <v>-25913.321182094562</v>
      </c>
      <c r="G147" s="566">
        <v>-19736.886447013916</v>
      </c>
      <c r="H147" s="566">
        <v>-18056.111769562383</v>
      </c>
      <c r="I147" s="596">
        <v>-63934.144798191948</v>
      </c>
    </row>
    <row r="148" spans="1:32" ht="12" thickBot="1" x14ac:dyDescent="0.25">
      <c r="E148" s="597">
        <v>0</v>
      </c>
      <c r="F148" s="597">
        <v>-7544.8288664492684</v>
      </c>
      <c r="G148" s="597">
        <v>-6194.8962506384905</v>
      </c>
      <c r="H148" s="597">
        <v>-6194.8962506384905</v>
      </c>
      <c r="I148" s="597">
        <v>-19934.621367726249</v>
      </c>
      <c r="J148" s="598">
        <v>-16351.252809954807</v>
      </c>
      <c r="K148" s="599">
        <v>-36285.874177681057</v>
      </c>
      <c r="L148" s="162" t="s">
        <v>437</v>
      </c>
    </row>
    <row r="149" spans="1:32" ht="12" thickTop="1" x14ac:dyDescent="0.2">
      <c r="I149" s="596"/>
    </row>
    <row r="151" spans="1:32" ht="12" thickBot="1" x14ac:dyDescent="0.25"/>
    <row r="152" spans="1:32" ht="12" thickBot="1" x14ac:dyDescent="0.25">
      <c r="A152" s="181" t="s">
        <v>118</v>
      </c>
      <c r="B152" s="181"/>
      <c r="C152" s="181"/>
      <c r="D152" s="182"/>
      <c r="F152" s="600" t="s">
        <v>119</v>
      </c>
      <c r="G152" s="601"/>
      <c r="H152" s="601"/>
      <c r="I152" s="602"/>
      <c r="J152" s="603"/>
      <c r="K152" s="604"/>
      <c r="L152" s="604"/>
      <c r="X152" s="581"/>
      <c r="Y152" s="581"/>
      <c r="Z152" s="581"/>
      <c r="AA152" s="581"/>
      <c r="AB152" s="581"/>
      <c r="AC152" s="581"/>
      <c r="AD152" s="581"/>
      <c r="AE152" s="581"/>
      <c r="AF152" s="581"/>
    </row>
    <row r="153" spans="1:32" ht="12" thickBot="1" x14ac:dyDescent="0.25">
      <c r="A153" s="182"/>
      <c r="B153" s="182"/>
      <c r="C153" s="182"/>
      <c r="D153" s="182"/>
      <c r="F153" s="605"/>
      <c r="G153" s="606" t="e">
        <f>'[29]1590 to April 30, 2008'!D409</f>
        <v>#REF!</v>
      </c>
      <c r="H153" s="607" t="s">
        <v>438</v>
      </c>
      <c r="I153" s="606" t="s">
        <v>438</v>
      </c>
      <c r="J153" s="606" t="s">
        <v>439</v>
      </c>
      <c r="K153" s="608" t="s">
        <v>440</v>
      </c>
      <c r="L153" s="608" t="s">
        <v>441</v>
      </c>
      <c r="P153" s="581"/>
      <c r="Q153" s="667"/>
      <c r="R153" s="576"/>
      <c r="S153" s="668"/>
      <c r="T153" s="669"/>
      <c r="U153" s="612"/>
      <c r="V153" s="612"/>
      <c r="W153" s="604"/>
      <c r="X153" s="670"/>
      <c r="Y153" s="670"/>
      <c r="Z153" s="670"/>
      <c r="AA153" s="670"/>
      <c r="AB153" s="670"/>
      <c r="AC153" s="670"/>
      <c r="AD153" s="581"/>
      <c r="AE153" s="624"/>
      <c r="AF153" s="655"/>
    </row>
    <row r="154" spans="1:32" ht="12" thickBot="1" x14ac:dyDescent="0.25">
      <c r="A154" s="182" t="s">
        <v>121</v>
      </c>
      <c r="B154" s="182"/>
      <c r="C154" s="182"/>
      <c r="D154" s="615" t="e">
        <f>'[29]1590 to April 30, 2008'!F315</f>
        <v>#REF!</v>
      </c>
      <c r="F154" s="616"/>
      <c r="G154" s="617" t="e">
        <f>'[29]1590 to April 30, 2008'!D410</f>
        <v>#REF!</v>
      </c>
      <c r="H154" s="618" t="s">
        <v>122</v>
      </c>
      <c r="I154" s="619" t="s">
        <v>122</v>
      </c>
      <c r="J154" s="619" t="s">
        <v>123</v>
      </c>
      <c r="K154" s="620" t="s">
        <v>124</v>
      </c>
      <c r="L154" s="620" t="s">
        <v>125</v>
      </c>
      <c r="P154" s="581"/>
      <c r="Q154" s="581"/>
      <c r="R154" s="581"/>
      <c r="S154" s="671"/>
      <c r="T154" s="606">
        <v>40633</v>
      </c>
      <c r="U154" s="608">
        <v>40724</v>
      </c>
      <c r="V154" s="608">
        <v>40816</v>
      </c>
      <c r="W154" s="608">
        <v>40908</v>
      </c>
      <c r="X154" s="623"/>
      <c r="Y154" s="623"/>
      <c r="Z154" s="623"/>
      <c r="AA154" s="623"/>
      <c r="AB154" s="623"/>
      <c r="AC154" s="623"/>
      <c r="AD154" s="581"/>
      <c r="AE154" s="624"/>
      <c r="AF154" s="655"/>
    </row>
    <row r="155" spans="1:32" ht="12" thickBot="1" x14ac:dyDescent="0.25">
      <c r="A155" s="182"/>
      <c r="B155" s="182"/>
      <c r="C155" s="182"/>
      <c r="D155" s="615"/>
      <c r="F155" s="183"/>
      <c r="G155" s="626"/>
      <c r="H155" s="627"/>
      <c r="I155" s="628"/>
      <c r="J155" s="628"/>
      <c r="K155" s="629"/>
      <c r="L155" s="629"/>
      <c r="P155" s="581"/>
      <c r="Q155" s="581"/>
      <c r="R155" s="581"/>
      <c r="S155" s="672"/>
      <c r="T155" s="619" t="s">
        <v>125</v>
      </c>
      <c r="U155" s="620" t="s">
        <v>122</v>
      </c>
      <c r="V155" s="620" t="s">
        <v>123</v>
      </c>
      <c r="W155" s="620" t="s">
        <v>124</v>
      </c>
      <c r="X155" s="627"/>
      <c r="Y155" s="627"/>
      <c r="Z155" s="627"/>
      <c r="AA155" s="627"/>
      <c r="AB155" s="627"/>
      <c r="AC155" s="627"/>
      <c r="AD155" s="581"/>
      <c r="AE155" s="624"/>
      <c r="AF155" s="655"/>
    </row>
    <row r="156" spans="1:32" ht="12" thickBot="1" x14ac:dyDescent="0.25">
      <c r="A156" s="182" t="s">
        <v>126</v>
      </c>
      <c r="B156" s="182"/>
      <c r="C156" s="182"/>
      <c r="D156" s="615" t="e">
        <f>'[29]1590 to April 30, 2008'!F328</f>
        <v>#REF!</v>
      </c>
      <c r="F156" s="183" t="s">
        <v>127</v>
      </c>
      <c r="G156" s="630" t="e">
        <f>'[29]1590 to April 30, 2008'!D411</f>
        <v>#REF!</v>
      </c>
      <c r="H156" s="631" t="e">
        <f>SUM(E96:F96)+SUM(E101:F101)+SUM(E108:F108)+SUM(E115:F115)+SUM(E122:F122)+SUM(E128:F128)+D131-D102</f>
        <v>#REF!</v>
      </c>
      <c r="I156" s="630" t="e">
        <f>G156+H156</f>
        <v>#REF!</v>
      </c>
      <c r="J156" s="630" t="e">
        <f>SUM(E96:I96)+SUM(E101:I101)+SUM(E108:I108)+SUM(E115:I115)+SUM(E122:I122)+SUM(E128:I128)+AD94+AD100+AD105+AD107+AD112+AD114+AD119+AD121+AD126+D136+I136+E137</f>
        <v>#REF!</v>
      </c>
      <c r="K156" s="632">
        <f>SUM(J96:L96)+SUM(J101:L101)+SUM(J108:L108)+SUM(J115:L115)+SUM(J122:L122)+SUM(J128:L128)</f>
        <v>1646399.1234597622</v>
      </c>
      <c r="L156" s="632">
        <f>SUM(M96:O96)+SUM(M101:O101)+SUM(M108:O108)+SUM(M115:O115)+SUM(M122:O122)+SUM(M128:O128)</f>
        <v>1767197.3589124293</v>
      </c>
      <c r="P156" s="581"/>
      <c r="Q156" s="624"/>
      <c r="R156" s="655"/>
      <c r="S156" s="673"/>
      <c r="T156" s="628"/>
      <c r="U156" s="629"/>
      <c r="V156" s="629"/>
      <c r="W156" s="629"/>
      <c r="X156" s="627"/>
      <c r="Y156" s="627"/>
      <c r="Z156" s="627"/>
      <c r="AA156" s="627"/>
      <c r="AB156" s="627"/>
      <c r="AC156" s="627"/>
      <c r="AD156" s="581"/>
      <c r="AE156" s="624"/>
      <c r="AF156" s="655"/>
    </row>
    <row r="157" spans="1:32" ht="12.75" x14ac:dyDescent="0.2">
      <c r="A157" s="182" t="s">
        <v>128</v>
      </c>
      <c r="B157" s="182"/>
      <c r="C157" s="182"/>
      <c r="D157" s="615" t="e">
        <f>'[29]1590 to April 30, 2008'!F335</f>
        <v>#REF!</v>
      </c>
      <c r="F157" s="183" t="s">
        <v>129</v>
      </c>
      <c r="G157" s="630" t="e">
        <f>'[29]1590 to April 30, 2008'!D412</f>
        <v>#REF!</v>
      </c>
      <c r="H157" s="633" t="e">
        <f>F97+F102+F109+F116+F123+F129</f>
        <v>#REF!</v>
      </c>
      <c r="I157" s="630" t="e">
        <f>G157+H157</f>
        <v>#REF!</v>
      </c>
      <c r="J157" s="634" t="e">
        <f>I97+I102+I109+I116+I123+I129</f>
        <v>#REF!</v>
      </c>
      <c r="K157" s="635" t="e">
        <f>L97+L102+L109+L116+L123+L129</f>
        <v>#REF!</v>
      </c>
      <c r="L157" s="635" t="e">
        <f>O97+O102+O109+O116+O123+O129</f>
        <v>#REF!</v>
      </c>
      <c r="P157" s="581"/>
      <c r="Q157" s="624"/>
      <c r="R157" s="655"/>
      <c r="S157" s="144" t="s">
        <v>127</v>
      </c>
      <c r="T157" s="674">
        <f>SUM(R96)+SUM(R101)+SUM(R108)+SUM(R115)+SUM(R122)+SUM(R128)</f>
        <v>0</v>
      </c>
      <c r="U157" s="632">
        <f>SUM(S96)+SUM(S101)+SUM(S108)+SUM(S115)+SUM(S122)+SUM(S128)</f>
        <v>0</v>
      </c>
      <c r="V157" s="632">
        <f>SUM(T96)+SUM(T101)+SUM(T108)+SUM(T115)+SUM(T122)+SUM(T128)</f>
        <v>0</v>
      </c>
      <c r="W157" s="632">
        <f>SUM(U96)+SUM(U101)+SUM(U108)+SUM(U115)+SUM(U122)+SUM(U128)</f>
        <v>0</v>
      </c>
      <c r="X157" s="631"/>
      <c r="Y157" s="631"/>
      <c r="Z157" s="631"/>
      <c r="AA157" s="631"/>
      <c r="AB157" s="631"/>
      <c r="AC157" s="631"/>
      <c r="AD157" s="581"/>
      <c r="AE157" s="624"/>
      <c r="AF157" s="655"/>
    </row>
    <row r="158" spans="1:32" ht="12.75" x14ac:dyDescent="0.2">
      <c r="A158" s="182" t="s">
        <v>131</v>
      </c>
      <c r="B158" s="182"/>
      <c r="C158" s="182"/>
      <c r="D158" s="615" t="e">
        <f>'[29]1590 to April 30, 2008'!F340</f>
        <v>#REF!</v>
      </c>
      <c r="F158" s="183" t="s">
        <v>132</v>
      </c>
      <c r="G158" s="630" t="e">
        <f>'[29]1590 to April 30, 2008'!D413</f>
        <v>#REF!</v>
      </c>
      <c r="H158" s="631">
        <f>F138+E140</f>
        <v>-10426.422315645294</v>
      </c>
      <c r="I158" s="630" t="e">
        <f>G158+H158</f>
        <v>#REF!</v>
      </c>
      <c r="J158" s="630" t="e">
        <f>SUM(E138:I140)</f>
        <v>#REF!</v>
      </c>
      <c r="K158" s="636" t="e">
        <f>SUM(J138:L138)</f>
        <v>#REF!</v>
      </c>
      <c r="L158" s="636" t="e">
        <f>SUM(M138:O138)</f>
        <v>#REF!</v>
      </c>
      <c r="P158" s="581"/>
      <c r="Q158" s="624"/>
      <c r="R158" s="655"/>
      <c r="S158" s="144" t="s">
        <v>129</v>
      </c>
      <c r="T158" s="634">
        <f>Q97+Q102+Q109+Q116+Q123+Q129</f>
        <v>-147786.59737418004</v>
      </c>
      <c r="U158" s="635">
        <f>R97+R102+R109+R116+R123+R129</f>
        <v>-147786.59737418004</v>
      </c>
      <c r="V158" s="635">
        <f>Z97+Z102+Z109+Z116+Z123+Z129</f>
        <v>-147786.59737418004</v>
      </c>
      <c r="W158" s="635">
        <f>AA97+AA102+AA109+AA116+AA123+AA129</f>
        <v>-147786.59737418004</v>
      </c>
      <c r="X158" s="633"/>
      <c r="Y158" s="633"/>
      <c r="Z158" s="633"/>
      <c r="AA158" s="633"/>
      <c r="AB158" s="633"/>
      <c r="AC158" s="633"/>
      <c r="AD158" s="581"/>
      <c r="AE158" s="624"/>
      <c r="AF158" s="655"/>
    </row>
    <row r="159" spans="1:32" ht="12.75" x14ac:dyDescent="0.2">
      <c r="A159" s="182"/>
      <c r="B159" s="182"/>
      <c r="C159" s="182"/>
      <c r="D159" s="615"/>
      <c r="F159" s="183"/>
      <c r="G159" s="630"/>
      <c r="H159" s="631"/>
      <c r="I159" s="630"/>
      <c r="J159" s="630"/>
      <c r="K159" s="636"/>
      <c r="L159" s="636"/>
      <c r="P159" s="581"/>
      <c r="Q159" s="624"/>
      <c r="R159" s="655"/>
      <c r="S159" s="144" t="s">
        <v>132</v>
      </c>
      <c r="T159" s="630">
        <f>SUM(R138:T138)</f>
        <v>-543.11574535011164</v>
      </c>
      <c r="U159" s="636">
        <f>SUM(U138:W138)</f>
        <v>-543.11574535011164</v>
      </c>
      <c r="V159" s="636">
        <f>SUM(X138:Z138)</f>
        <v>0</v>
      </c>
      <c r="W159" s="636">
        <f>SUM(Y138:AA138)</f>
        <v>0</v>
      </c>
      <c r="X159" s="633"/>
      <c r="Y159" s="633"/>
      <c r="Z159" s="633"/>
      <c r="AA159" s="633"/>
      <c r="AB159" s="633"/>
      <c r="AC159" s="633"/>
      <c r="AD159" s="581"/>
      <c r="AE159" s="624"/>
      <c r="AF159" s="655"/>
    </row>
    <row r="160" spans="1:32" ht="13.5" thickBot="1" x14ac:dyDescent="0.25">
      <c r="A160" s="182"/>
      <c r="B160" s="182"/>
      <c r="C160" s="182"/>
      <c r="D160" s="615"/>
      <c r="F160" s="183"/>
      <c r="G160" s="630"/>
      <c r="H160" s="631"/>
      <c r="I160" s="630"/>
      <c r="J160" s="630"/>
      <c r="K160" s="636"/>
      <c r="L160" s="636"/>
      <c r="P160" s="581"/>
      <c r="Q160" s="624"/>
      <c r="R160" s="655"/>
      <c r="S160" s="152" t="s">
        <v>134</v>
      </c>
      <c r="T160" s="638">
        <f>T141</f>
        <v>-133199.27188249861</v>
      </c>
      <c r="U160" s="639">
        <f>W141</f>
        <v>-133742.38762784869</v>
      </c>
      <c r="V160" s="639">
        <f>Z141</f>
        <v>-133742.38762784869</v>
      </c>
      <c r="W160" s="639">
        <f>AA141</f>
        <v>-133742.38762784869</v>
      </c>
      <c r="X160" s="633"/>
      <c r="Y160" s="633"/>
      <c r="Z160" s="633"/>
      <c r="AA160" s="633"/>
      <c r="AB160" s="633"/>
      <c r="AC160" s="633"/>
      <c r="AD160" s="581"/>
      <c r="AE160" s="624"/>
      <c r="AF160" s="655"/>
    </row>
    <row r="161" spans="1:32" ht="13.5" thickBot="1" x14ac:dyDescent="0.25">
      <c r="A161" s="182"/>
      <c r="B161" s="182"/>
      <c r="C161" s="182"/>
      <c r="D161" s="615"/>
      <c r="F161" s="183"/>
      <c r="G161" s="630"/>
      <c r="H161" s="631"/>
      <c r="I161" s="630"/>
      <c r="J161" s="630"/>
      <c r="K161" s="636"/>
      <c r="L161" s="636"/>
      <c r="P161" s="581"/>
      <c r="Q161" s="624"/>
      <c r="R161" s="655"/>
      <c r="S161" s="675" t="s">
        <v>136</v>
      </c>
      <c r="T161" s="645">
        <f>T158+T160</f>
        <v>-280985.86925667862</v>
      </c>
      <c r="U161" s="646">
        <f>U158+U160</f>
        <v>-281528.98500202876</v>
      </c>
      <c r="V161" s="646">
        <f>V158+V160</f>
        <v>-281528.98500202876</v>
      </c>
      <c r="W161" s="646">
        <f>W158+W160</f>
        <v>-281528.98500202876</v>
      </c>
      <c r="X161" s="633"/>
      <c r="Y161" s="633"/>
      <c r="Z161" s="633"/>
      <c r="AA161" s="633"/>
      <c r="AB161" s="633"/>
      <c r="AC161" s="633"/>
      <c r="AD161" s="581"/>
      <c r="AE161" s="624"/>
      <c r="AF161" s="655"/>
    </row>
    <row r="162" spans="1:32" ht="13.5" thickBot="1" x14ac:dyDescent="0.25">
      <c r="A162" s="182"/>
      <c r="B162" s="182"/>
      <c r="C162" s="182"/>
      <c r="D162" s="615"/>
      <c r="F162" s="183"/>
      <c r="G162" s="630"/>
      <c r="H162" s="631"/>
      <c r="I162" s="630"/>
      <c r="J162" s="630"/>
      <c r="K162" s="636"/>
      <c r="L162" s="636"/>
      <c r="P162" s="581"/>
      <c r="Q162" s="624"/>
      <c r="R162" s="655"/>
      <c r="S162" s="675" t="s">
        <v>138</v>
      </c>
      <c r="T162" s="645">
        <f>T142-T161</f>
        <v>0</v>
      </c>
      <c r="U162" s="646">
        <f>W142-U161</f>
        <v>0</v>
      </c>
      <c r="V162" s="646">
        <f>Z142-V161</f>
        <v>0</v>
      </c>
      <c r="W162" s="646">
        <f>AA142-W161</f>
        <v>-1.4997971244156361E-2</v>
      </c>
      <c r="X162" s="633"/>
      <c r="Y162" s="633"/>
      <c r="Z162" s="633"/>
      <c r="AA162" s="633"/>
      <c r="AB162" s="633"/>
      <c r="AC162" s="633"/>
      <c r="AD162" s="581"/>
      <c r="AE162" s="624"/>
      <c r="AF162" s="655"/>
    </row>
    <row r="163" spans="1:32" x14ac:dyDescent="0.2">
      <c r="A163" s="182"/>
      <c r="B163" s="182"/>
      <c r="C163" s="182"/>
      <c r="D163" s="615"/>
      <c r="F163" s="183"/>
      <c r="G163" s="630"/>
      <c r="H163" s="631"/>
      <c r="I163" s="630"/>
      <c r="J163" s="630"/>
      <c r="K163" s="636"/>
      <c r="L163" s="636"/>
      <c r="P163" s="581"/>
      <c r="Q163" s="624"/>
      <c r="R163" s="655"/>
      <c r="T163" s="633"/>
      <c r="U163" s="633"/>
      <c r="V163" s="633"/>
      <c r="W163" s="633"/>
      <c r="X163" s="633"/>
      <c r="Y163" s="633"/>
      <c r="Z163" s="633"/>
      <c r="AA163" s="633"/>
      <c r="AB163" s="633"/>
      <c r="AC163" s="633"/>
      <c r="AD163" s="581"/>
      <c r="AE163" s="624"/>
      <c r="AF163" s="655"/>
    </row>
    <row r="164" spans="1:32" x14ac:dyDescent="0.2">
      <c r="A164" s="182"/>
      <c r="B164" s="182"/>
      <c r="C164" s="182"/>
      <c r="D164" s="615"/>
      <c r="F164" s="183"/>
      <c r="G164" s="630"/>
      <c r="H164" s="631"/>
      <c r="I164" s="630"/>
      <c r="J164" s="630"/>
      <c r="K164" s="636"/>
      <c r="L164" s="636"/>
      <c r="P164" s="581"/>
      <c r="Q164" s="624"/>
      <c r="R164" s="655"/>
      <c r="S164" s="633"/>
      <c r="T164" s="633"/>
      <c r="U164" s="633"/>
      <c r="V164" s="633"/>
      <c r="W164" s="633"/>
      <c r="X164" s="633"/>
      <c r="Y164" s="633"/>
      <c r="Z164" s="633"/>
      <c r="AA164" s="633"/>
      <c r="AB164" s="633"/>
      <c r="AC164" s="633"/>
      <c r="AD164" s="581"/>
      <c r="AE164" s="624"/>
      <c r="AF164" s="655"/>
    </row>
    <row r="165" spans="1:32" x14ac:dyDescent="0.2">
      <c r="A165" s="182"/>
      <c r="B165" s="182"/>
      <c r="C165" s="182"/>
      <c r="D165" s="615"/>
      <c r="F165" s="183"/>
      <c r="G165" s="630"/>
      <c r="H165" s="631"/>
      <c r="I165" s="630"/>
      <c r="J165" s="630"/>
      <c r="K165" s="636"/>
      <c r="L165" s="636"/>
      <c r="P165" s="581"/>
      <c r="Q165" s="624"/>
      <c r="R165" s="655"/>
      <c r="S165" s="633"/>
      <c r="T165" s="633"/>
      <c r="U165" s="633"/>
      <c r="V165" s="633"/>
      <c r="W165" s="633"/>
      <c r="X165" s="633"/>
      <c r="Y165" s="633"/>
      <c r="Z165" s="633"/>
      <c r="AA165" s="633"/>
      <c r="AB165" s="633"/>
      <c r="AC165" s="633"/>
      <c r="AD165" s="581"/>
      <c r="AE165" s="624"/>
      <c r="AF165" s="655"/>
    </row>
    <row r="166" spans="1:32" ht="12" thickBot="1" x14ac:dyDescent="0.25">
      <c r="A166" s="182" t="s">
        <v>133</v>
      </c>
      <c r="B166" s="182"/>
      <c r="C166" s="182"/>
      <c r="D166" s="615" t="e">
        <f>'[29]1590 to April 30, 2008'!F353</f>
        <v>#REF!</v>
      </c>
      <c r="F166" s="616" t="s">
        <v>134</v>
      </c>
      <c r="G166" s="630" t="e">
        <f>'[29]1590 to April 30, 2008'!D414</f>
        <v>#REF!</v>
      </c>
      <c r="H166" s="637" t="e">
        <f>F141</f>
        <v>#REF!</v>
      </c>
      <c r="I166" s="630" t="e">
        <f>G166+H166</f>
        <v>#REF!</v>
      </c>
      <c r="J166" s="638" t="e">
        <f>I141</f>
        <v>#REF!</v>
      </c>
      <c r="K166" s="639" t="e">
        <f>L141</f>
        <v>#REF!</v>
      </c>
      <c r="L166" s="639" t="e">
        <f>O141</f>
        <v>#REF!</v>
      </c>
      <c r="P166" s="581"/>
      <c r="Q166" s="624"/>
      <c r="R166" s="655"/>
      <c r="S166" s="581"/>
      <c r="T166" s="581"/>
      <c r="U166" s="581"/>
      <c r="V166" s="581"/>
      <c r="W166" s="581"/>
      <c r="X166" s="631"/>
      <c r="Y166" s="631"/>
      <c r="Z166" s="631"/>
      <c r="AA166" s="631"/>
      <c r="AB166" s="631"/>
      <c r="AC166" s="631"/>
      <c r="AD166" s="581"/>
      <c r="AE166" s="581"/>
      <c r="AF166" s="655"/>
    </row>
    <row r="167" spans="1:32" ht="12" thickBot="1" x14ac:dyDescent="0.25">
      <c r="A167" s="182" t="s">
        <v>135</v>
      </c>
      <c r="B167" s="182"/>
      <c r="C167" s="182"/>
      <c r="D167" s="615" t="e">
        <f>SUM(D154:D166)</f>
        <v>#REF!</v>
      </c>
      <c r="F167" s="643" t="s">
        <v>136</v>
      </c>
      <c r="G167" s="644" t="e">
        <f>G157+G166</f>
        <v>#REF!</v>
      </c>
      <c r="H167" s="644" t="e">
        <f>H157+H166</f>
        <v>#REF!</v>
      </c>
      <c r="I167" s="645" t="e">
        <f>G167+H167</f>
        <v>#REF!</v>
      </c>
      <c r="J167" s="645" t="e">
        <f>J157+J166</f>
        <v>#REF!</v>
      </c>
      <c r="K167" s="646" t="e">
        <f>K157+K166</f>
        <v>#REF!</v>
      </c>
      <c r="L167" s="646" t="e">
        <f>L157+L166</f>
        <v>#REF!</v>
      </c>
      <c r="P167" s="581"/>
      <c r="Q167" s="624"/>
      <c r="R167" s="655"/>
      <c r="S167" s="581"/>
      <c r="T167" s="581"/>
      <c r="U167" s="581"/>
      <c r="V167" s="581"/>
      <c r="W167" s="581"/>
      <c r="X167" s="631"/>
      <c r="Y167" s="631"/>
      <c r="Z167" s="631"/>
      <c r="AA167" s="631"/>
      <c r="AB167" s="631"/>
      <c r="AC167" s="631"/>
    </row>
    <row r="168" spans="1:32" ht="12" thickBot="1" x14ac:dyDescent="0.25">
      <c r="A168" s="182" t="s">
        <v>137</v>
      </c>
      <c r="B168" s="182"/>
      <c r="C168" s="182"/>
      <c r="D168" s="647">
        <v>-1537421</v>
      </c>
      <c r="F168" s="643" t="s">
        <v>138</v>
      </c>
      <c r="G168" s="648"/>
      <c r="H168" s="649" t="e">
        <f>H167-F142</f>
        <v>#REF!</v>
      </c>
      <c r="I168" s="638" t="e">
        <f>I167-F143</f>
        <v>#REF!</v>
      </c>
      <c r="J168" s="645" t="e">
        <f>J167-I143</f>
        <v>#REF!</v>
      </c>
      <c r="K168" s="646" t="e">
        <f>K167-L143</f>
        <v>#REF!</v>
      </c>
      <c r="L168" s="646" t="e">
        <f>L167-O143</f>
        <v>#REF!</v>
      </c>
      <c r="P168" s="581"/>
      <c r="Q168" s="624"/>
      <c r="R168" s="655"/>
      <c r="S168" s="581"/>
      <c r="T168" s="581"/>
      <c r="U168" s="581"/>
      <c r="V168" s="581"/>
      <c r="W168" s="581"/>
      <c r="X168" s="631"/>
      <c r="Y168" s="631"/>
      <c r="Z168" s="631"/>
      <c r="AA168" s="631"/>
      <c r="AB168" s="631"/>
      <c r="AC168" s="631"/>
    </row>
    <row r="169" spans="1:32" x14ac:dyDescent="0.2">
      <c r="A169" s="182" t="s">
        <v>139</v>
      </c>
      <c r="B169" s="182"/>
      <c r="C169" s="182"/>
      <c r="D169" s="647" t="e">
        <f>D167+D168</f>
        <v>#REF!</v>
      </c>
      <c r="F169" s="650"/>
      <c r="G169" s="651" t="s">
        <v>438</v>
      </c>
      <c r="H169" s="652" t="str">
        <f>J153</f>
        <v>Sep 30,08</v>
      </c>
      <c r="I169" s="652" t="str">
        <f>K153</f>
        <v>Dec 31,08</v>
      </c>
      <c r="P169" s="581"/>
      <c r="Q169" s="624"/>
      <c r="R169" s="655"/>
      <c r="S169" s="581"/>
      <c r="T169" s="581"/>
      <c r="U169" s="581"/>
      <c r="V169" s="581"/>
      <c r="W169" s="581"/>
      <c r="X169" s="631"/>
      <c r="Y169" s="631"/>
      <c r="Z169" s="631"/>
      <c r="AA169" s="631"/>
      <c r="AB169" s="631"/>
      <c r="AC169" s="631"/>
    </row>
    <row r="170" spans="1:32" x14ac:dyDescent="0.2">
      <c r="P170" s="581"/>
      <c r="Q170" s="581"/>
      <c r="R170" s="581"/>
    </row>
  </sheetData>
  <phoneticPr fontId="18" type="noConversion"/>
  <pageMargins left="0" right="0" top="0" bottom="0" header="0.5" footer="0.5"/>
  <pageSetup scale="57"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Q152"/>
  <sheetViews>
    <sheetView topLeftCell="A99" zoomScaleNormal="100" workbookViewId="0">
      <selection activeCell="F100" sqref="F100"/>
    </sheetView>
  </sheetViews>
  <sheetFormatPr defaultRowHeight="11.25" x14ac:dyDescent="0.2"/>
  <cols>
    <col min="1" max="1" width="56.140625" style="162" customWidth="1"/>
    <col min="2" max="3" width="14" style="163" customWidth="1"/>
    <col min="4" max="4" width="16.5703125" style="163" customWidth="1"/>
    <col min="5" max="5" width="16.28515625" style="163" customWidth="1"/>
    <col min="6" max="6" width="17.7109375" style="163" customWidth="1"/>
    <col min="7" max="7" width="12.42578125" style="163" customWidth="1"/>
    <col min="8" max="8" width="12" style="163" customWidth="1"/>
    <col min="9" max="9" width="12.140625" style="163" customWidth="1"/>
    <col min="10" max="10" width="16.42578125" style="163" customWidth="1"/>
    <col min="11" max="13" width="12.140625" style="163" customWidth="1"/>
    <col min="14" max="16" width="12.140625" style="162" customWidth="1"/>
    <col min="17" max="17" width="13.5703125" style="162" customWidth="1"/>
    <col min="18" max="16384" width="9.140625" style="162"/>
  </cols>
  <sheetData>
    <row r="1" spans="1:17" ht="12" thickBot="1" x14ac:dyDescent="0.25">
      <c r="A1" s="161" t="s">
        <v>99</v>
      </c>
      <c r="B1" s="193"/>
      <c r="C1" s="194"/>
    </row>
    <row r="2" spans="1:17" ht="12" thickBot="1" x14ac:dyDescent="0.25">
      <c r="A2" s="277" t="s">
        <v>399</v>
      </c>
      <c r="B2" s="195" t="s">
        <v>100</v>
      </c>
      <c r="C2" s="195" t="s">
        <v>16</v>
      </c>
      <c r="D2" s="254" t="s">
        <v>101</v>
      </c>
      <c r="E2" s="164">
        <v>40186</v>
      </c>
      <c r="F2" s="164">
        <v>40217</v>
      </c>
      <c r="G2" s="164">
        <v>40245</v>
      </c>
      <c r="H2" s="164">
        <v>40276</v>
      </c>
      <c r="I2" s="325">
        <v>40306</v>
      </c>
      <c r="J2" s="164">
        <v>40337</v>
      </c>
      <c r="K2" s="335">
        <v>40367</v>
      </c>
      <c r="L2" s="164">
        <v>40398</v>
      </c>
      <c r="M2" s="164">
        <v>40429</v>
      </c>
      <c r="N2" s="164">
        <v>40459</v>
      </c>
      <c r="O2" s="164">
        <v>40490</v>
      </c>
      <c r="P2" s="164">
        <v>40520</v>
      </c>
      <c r="Q2" s="490" t="s">
        <v>136</v>
      </c>
    </row>
    <row r="3" spans="1:17" x14ac:dyDescent="0.2">
      <c r="A3" s="278"/>
      <c r="B3" s="196" t="s">
        <v>102</v>
      </c>
      <c r="C3" s="196"/>
      <c r="D3" s="255"/>
      <c r="E3" s="165"/>
      <c r="F3" s="165"/>
      <c r="G3" s="165"/>
      <c r="H3" s="165"/>
      <c r="I3" s="326"/>
      <c r="J3" s="165"/>
      <c r="K3" s="336"/>
      <c r="L3" s="165"/>
      <c r="M3" s="165"/>
      <c r="N3" s="165"/>
      <c r="O3" s="165"/>
      <c r="P3" s="165"/>
      <c r="Q3" s="166"/>
    </row>
    <row r="4" spans="1:17" ht="22.5" x14ac:dyDescent="0.2">
      <c r="A4" s="279" t="s">
        <v>103</v>
      </c>
      <c r="B4" s="197" t="s">
        <v>165</v>
      </c>
      <c r="C4" s="197" t="s">
        <v>165</v>
      </c>
      <c r="D4" s="190"/>
      <c r="E4" s="168"/>
      <c r="F4" s="168"/>
      <c r="G4" s="168"/>
      <c r="H4" s="168"/>
      <c r="I4" s="245"/>
      <c r="J4" s="168"/>
      <c r="K4" s="252"/>
      <c r="L4" s="168"/>
      <c r="M4" s="168"/>
      <c r="N4" s="168"/>
      <c r="O4" s="168"/>
      <c r="P4" s="168"/>
      <c r="Q4" s="166"/>
    </row>
    <row r="5" spans="1:17" x14ac:dyDescent="0.2">
      <c r="A5" s="279"/>
      <c r="B5" s="172"/>
      <c r="C5" s="172"/>
      <c r="D5" s="190"/>
      <c r="E5" s="168"/>
      <c r="F5" s="168"/>
      <c r="G5" s="168"/>
      <c r="H5" s="168"/>
      <c r="I5" s="245"/>
      <c r="J5" s="168"/>
      <c r="K5" s="252"/>
      <c r="L5" s="168"/>
      <c r="M5" s="168"/>
      <c r="N5" s="168"/>
      <c r="O5" s="168"/>
      <c r="P5" s="168"/>
      <c r="Q5" s="166"/>
    </row>
    <row r="6" spans="1:17" x14ac:dyDescent="0.2">
      <c r="A6" s="280" t="s">
        <v>150</v>
      </c>
      <c r="B6" s="198"/>
      <c r="C6" s="198"/>
      <c r="D6" s="190"/>
      <c r="E6" s="167" t="s">
        <v>31</v>
      </c>
      <c r="F6" s="167"/>
      <c r="G6" s="167"/>
      <c r="H6" s="167"/>
      <c r="I6" s="327"/>
      <c r="J6" s="167"/>
      <c r="K6" s="337"/>
      <c r="L6" s="167"/>
      <c r="M6" s="167"/>
      <c r="N6" s="167"/>
      <c r="O6" s="167"/>
      <c r="P6" s="167"/>
      <c r="Q6" s="166"/>
    </row>
    <row r="7" spans="1:17" x14ac:dyDescent="0.2">
      <c r="A7" s="280" t="s">
        <v>104</v>
      </c>
      <c r="B7" s="198"/>
      <c r="C7" s="198"/>
      <c r="D7" s="190"/>
      <c r="E7" s="167"/>
      <c r="F7" s="167"/>
      <c r="G7" s="167"/>
      <c r="H7" s="167"/>
      <c r="I7" s="327"/>
      <c r="J7" s="167"/>
      <c r="K7" s="337"/>
      <c r="L7" s="167"/>
      <c r="M7" s="167"/>
      <c r="N7" s="167"/>
      <c r="O7" s="167"/>
      <c r="P7" s="167"/>
      <c r="Q7" s="166"/>
    </row>
    <row r="8" spans="1:17" x14ac:dyDescent="0.2">
      <c r="A8" s="188" t="s">
        <v>105</v>
      </c>
      <c r="B8" s="199">
        <v>-1128956.0901545591</v>
      </c>
      <c r="C8" s="199">
        <v>-27094946.163709417</v>
      </c>
      <c r="D8" s="190">
        <v>-27094946.163709417</v>
      </c>
      <c r="E8" s="283">
        <v>0</v>
      </c>
      <c r="F8" s="167">
        <v>-27094946.163709417</v>
      </c>
      <c r="G8" s="167">
        <v>-26126710.773940802</v>
      </c>
      <c r="H8" s="167">
        <v>-25247159.586293578</v>
      </c>
      <c r="I8" s="327">
        <v>-24258196.166553374</v>
      </c>
      <c r="J8" s="167">
        <v>-23178701.197283875</v>
      </c>
      <c r="K8" s="337">
        <v>-22271474.808832426</v>
      </c>
      <c r="L8" s="167">
        <v>-21111581.83965224</v>
      </c>
      <c r="M8" s="167">
        <v>-20009411.384718738</v>
      </c>
      <c r="N8" s="167">
        <v>-18933435.33480667</v>
      </c>
      <c r="O8" s="167">
        <v>-18011535.862027742</v>
      </c>
      <c r="P8" s="167">
        <v>-17029859.974478733</v>
      </c>
      <c r="Q8" s="491">
        <v>-27094946.163709417</v>
      </c>
    </row>
    <row r="9" spans="1:17" x14ac:dyDescent="0.2">
      <c r="A9" s="281" t="s">
        <v>143</v>
      </c>
      <c r="B9" s="200"/>
      <c r="C9" s="200"/>
      <c r="D9" s="256"/>
      <c r="E9" s="284">
        <v>0</v>
      </c>
      <c r="F9" s="170">
        <v>968235.38976861537</v>
      </c>
      <c r="G9" s="170">
        <v>879551.18764722394</v>
      </c>
      <c r="H9" s="170">
        <v>988963.41974020225</v>
      </c>
      <c r="I9" s="328">
        <v>1079494.9692694976</v>
      </c>
      <c r="J9" s="170">
        <v>907226.38845144841</v>
      </c>
      <c r="K9" s="338">
        <v>1159892.9691801842</v>
      </c>
      <c r="L9" s="170">
        <v>1102170.4549334999</v>
      </c>
      <c r="M9" s="170">
        <v>1075976.0499120695</v>
      </c>
      <c r="N9" s="170">
        <v>921899.47277892835</v>
      </c>
      <c r="O9" s="170">
        <v>981675.88754900848</v>
      </c>
      <c r="P9" s="170">
        <v>969786.09060334228</v>
      </c>
      <c r="Q9" s="491">
        <v>11034872.279834021</v>
      </c>
    </row>
    <row r="10" spans="1:17" x14ac:dyDescent="0.2">
      <c r="A10" s="282" t="s">
        <v>136</v>
      </c>
      <c r="B10" s="238"/>
      <c r="C10" s="238"/>
      <c r="D10" s="257">
        <v>-27094946.163709417</v>
      </c>
      <c r="E10" s="285">
        <v>0</v>
      </c>
      <c r="F10" s="239">
        <v>-26126710.773940802</v>
      </c>
      <c r="G10" s="239">
        <v>-25247159.586293578</v>
      </c>
      <c r="H10" s="239">
        <v>-24258196.166553374</v>
      </c>
      <c r="I10" s="329">
        <v>-23178701.197283875</v>
      </c>
      <c r="J10" s="239">
        <v>-22271474.808832426</v>
      </c>
      <c r="K10" s="339">
        <v>-21111581.83965224</v>
      </c>
      <c r="L10" s="239">
        <v>-20009411.384718738</v>
      </c>
      <c r="M10" s="239">
        <v>-18933435.33480667</v>
      </c>
      <c r="N10" s="239">
        <v>-18011535.862027742</v>
      </c>
      <c r="O10" s="239">
        <v>-17029859.974478733</v>
      </c>
      <c r="P10" s="239">
        <v>-16060073.883875391</v>
      </c>
      <c r="Q10" s="492">
        <v>-16060073.883875396</v>
      </c>
    </row>
    <row r="11" spans="1:17" x14ac:dyDescent="0.2">
      <c r="A11" s="188"/>
      <c r="B11" s="199"/>
      <c r="C11" s="199"/>
      <c r="D11" s="190"/>
      <c r="E11" s="283"/>
      <c r="F11" s="167"/>
      <c r="G11" s="167"/>
      <c r="H11" s="167"/>
      <c r="I11" s="327"/>
      <c r="J11" s="167"/>
      <c r="K11" s="337"/>
      <c r="L11" s="167"/>
      <c r="M11" s="167"/>
      <c r="N11" s="167"/>
      <c r="O11" s="167"/>
      <c r="P11" s="167"/>
      <c r="Q11" s="491"/>
    </row>
    <row r="12" spans="1:17" x14ac:dyDescent="0.2">
      <c r="A12" s="188" t="s">
        <v>106</v>
      </c>
      <c r="B12" s="199">
        <v>-79713.289801939682</v>
      </c>
      <c r="C12" s="199">
        <v>-1913118.9552465524</v>
      </c>
      <c r="D12" s="190">
        <v>-1913118.9552465524</v>
      </c>
      <c r="E12" s="283">
        <v>0</v>
      </c>
      <c r="F12" s="167">
        <v>-1913118.9552465524</v>
      </c>
      <c r="G12" s="167">
        <v>-1844753.8267050576</v>
      </c>
      <c r="H12" s="167">
        <v>-1782650.5090224675</v>
      </c>
      <c r="I12" s="327">
        <v>-1712821.8165084166</v>
      </c>
      <c r="J12" s="167">
        <v>-1636600.8756981015</v>
      </c>
      <c r="K12" s="337">
        <v>-1572543.4684620975</v>
      </c>
      <c r="L12" s="167">
        <v>-1490645.7886516857</v>
      </c>
      <c r="M12" s="167">
        <v>-1412823.7779894094</v>
      </c>
      <c r="N12" s="167">
        <v>-1336851.3009067578</v>
      </c>
      <c r="O12" s="167">
        <v>-1271757.8570759874</v>
      </c>
      <c r="P12" s="167">
        <v>-1202443.7223649931</v>
      </c>
      <c r="Q12" s="491">
        <v>-1913118.9552465524</v>
      </c>
    </row>
    <row r="13" spans="1:17" x14ac:dyDescent="0.2">
      <c r="A13" s="188" t="s">
        <v>144</v>
      </c>
      <c r="B13" s="200"/>
      <c r="C13" s="200"/>
      <c r="D13" s="256"/>
      <c r="E13" s="284">
        <v>0</v>
      </c>
      <c r="F13" s="170">
        <v>68365.128541494632</v>
      </c>
      <c r="G13" s="170">
        <v>62103.317682590096</v>
      </c>
      <c r="H13" s="170">
        <v>69828.692514051087</v>
      </c>
      <c r="I13" s="328">
        <v>76220.940810315122</v>
      </c>
      <c r="J13" s="170">
        <v>64057.407236003979</v>
      </c>
      <c r="K13" s="338">
        <v>81897.679810411661</v>
      </c>
      <c r="L13" s="170">
        <v>77822.010662276225</v>
      </c>
      <c r="M13" s="170">
        <v>75972.477082651531</v>
      </c>
      <c r="N13" s="170">
        <v>65093.443830770542</v>
      </c>
      <c r="O13" s="170">
        <v>69314.134710994244</v>
      </c>
      <c r="P13" s="170">
        <v>68474.620368601754</v>
      </c>
      <c r="Q13" s="491">
        <v>779149.85325016081</v>
      </c>
    </row>
    <row r="14" spans="1:17" x14ac:dyDescent="0.2">
      <c r="A14" s="282" t="s">
        <v>136</v>
      </c>
      <c r="B14" s="200"/>
      <c r="C14" s="200"/>
      <c r="D14" s="256">
        <v>-1913118.9552465524</v>
      </c>
      <c r="E14" s="284">
        <v>0</v>
      </c>
      <c r="F14" s="170">
        <v>-1844753.8267050576</v>
      </c>
      <c r="G14" s="170">
        <v>-1782650.5090224675</v>
      </c>
      <c r="H14" s="170">
        <v>-1712821.8165084166</v>
      </c>
      <c r="I14" s="328">
        <v>-1636600.8756981015</v>
      </c>
      <c r="J14" s="170">
        <v>-1572543.4684620975</v>
      </c>
      <c r="K14" s="338">
        <v>-1490645.7886516857</v>
      </c>
      <c r="L14" s="170">
        <v>-1412823.7779894094</v>
      </c>
      <c r="M14" s="170">
        <v>-1336851.3009067578</v>
      </c>
      <c r="N14" s="170">
        <v>-1271757.8570759874</v>
      </c>
      <c r="O14" s="170">
        <v>-1202443.7223649931</v>
      </c>
      <c r="P14" s="170">
        <v>-1133969.1019963913</v>
      </c>
      <c r="Q14" s="492">
        <v>-1133969.1019963915</v>
      </c>
    </row>
    <row r="15" spans="1:17" x14ac:dyDescent="0.2">
      <c r="A15" s="188"/>
      <c r="B15" s="199">
        <v>-1208669.3799564987</v>
      </c>
      <c r="C15" s="199">
        <v>-29008065.11895597</v>
      </c>
      <c r="D15" s="258">
        <v>-29008065.11895597</v>
      </c>
      <c r="E15" s="286">
        <v>0</v>
      </c>
      <c r="F15" s="168">
        <v>-27971464.600645859</v>
      </c>
      <c r="G15" s="168">
        <v>-27029810.095316045</v>
      </c>
      <c r="H15" s="168">
        <v>-25971017.98306179</v>
      </c>
      <c r="I15" s="245">
        <v>-24815302.072981976</v>
      </c>
      <c r="J15" s="168">
        <v>-23844018.277294524</v>
      </c>
      <c r="K15" s="252">
        <v>-22602227.628303926</v>
      </c>
      <c r="L15" s="168">
        <v>-21422235.162708148</v>
      </c>
      <c r="M15" s="168">
        <v>-20270286.635713428</v>
      </c>
      <c r="N15" s="168">
        <v>-19283293.719103731</v>
      </c>
      <c r="O15" s="168">
        <v>-18232303.696843725</v>
      </c>
      <c r="P15" s="168">
        <v>-17194042.985871781</v>
      </c>
      <c r="Q15" s="491"/>
    </row>
    <row r="16" spans="1:17" x14ac:dyDescent="0.2">
      <c r="A16" s="183"/>
      <c r="B16" s="187"/>
      <c r="C16" s="187"/>
      <c r="D16" s="258"/>
      <c r="E16" s="286"/>
      <c r="F16" s="168"/>
      <c r="G16" s="168"/>
      <c r="H16" s="168"/>
      <c r="I16" s="245"/>
      <c r="J16" s="168"/>
      <c r="K16" s="252"/>
      <c r="L16" s="168"/>
      <c r="M16" s="168"/>
      <c r="N16" s="168"/>
      <c r="O16" s="168"/>
      <c r="P16" s="168"/>
      <c r="Q16" s="491"/>
    </row>
    <row r="17" spans="1:17" x14ac:dyDescent="0.2">
      <c r="A17" s="280" t="s">
        <v>142</v>
      </c>
      <c r="B17" s="201"/>
      <c r="C17" s="201"/>
      <c r="D17" s="258"/>
      <c r="E17" s="286"/>
      <c r="F17" s="168"/>
      <c r="G17" s="168"/>
      <c r="H17" s="168"/>
      <c r="I17" s="245"/>
      <c r="J17" s="168"/>
      <c r="K17" s="252"/>
      <c r="L17" s="168"/>
      <c r="M17" s="168"/>
      <c r="N17" s="168"/>
      <c r="O17" s="168"/>
      <c r="P17" s="168"/>
      <c r="Q17" s="491"/>
    </row>
    <row r="18" spans="1:17" x14ac:dyDescent="0.2">
      <c r="A18" s="243" t="s">
        <v>146</v>
      </c>
      <c r="B18" s="199">
        <v>1728576.5333518386</v>
      </c>
      <c r="C18" s="199">
        <v>41485836.800444126</v>
      </c>
      <c r="D18" s="191">
        <v>41485836.800444126</v>
      </c>
      <c r="E18" s="283">
        <v>0</v>
      </c>
      <c r="F18" s="167">
        <v>41485836.800444126</v>
      </c>
      <c r="G18" s="167">
        <v>39727373.100029796</v>
      </c>
      <c r="H18" s="167">
        <v>38100051.785142213</v>
      </c>
      <c r="I18" s="327">
        <v>36768363.916884311</v>
      </c>
      <c r="J18" s="167">
        <v>34772497.49904684</v>
      </c>
      <c r="K18" s="337">
        <v>33008352.598060235</v>
      </c>
      <c r="L18" s="167">
        <v>30983440.592998363</v>
      </c>
      <c r="M18" s="167">
        <v>29407206.43639284</v>
      </c>
      <c r="N18" s="167">
        <v>27641983.666756988</v>
      </c>
      <c r="O18" s="167">
        <v>25856680.995727345</v>
      </c>
      <c r="P18" s="167">
        <v>24126067.0217163</v>
      </c>
      <c r="Q18" s="491">
        <v>41485836.800444126</v>
      </c>
    </row>
    <row r="19" spans="1:17" x14ac:dyDescent="0.2">
      <c r="A19" s="188" t="s">
        <v>145</v>
      </c>
      <c r="B19" s="199"/>
      <c r="C19" s="199"/>
      <c r="D19" s="191"/>
      <c r="E19" s="283">
        <v>0</v>
      </c>
      <c r="F19" s="167">
        <v>-1758463.7004143267</v>
      </c>
      <c r="G19" s="167">
        <v>-1627321.3148875837</v>
      </c>
      <c r="H19" s="167">
        <v>-1331687.8682578991</v>
      </c>
      <c r="I19" s="327">
        <v>-1995866.4178374677</v>
      </c>
      <c r="J19" s="167">
        <v>-1764144.9009866053</v>
      </c>
      <c r="K19" s="337">
        <v>-2024912.0050618709</v>
      </c>
      <c r="L19" s="167">
        <v>-1576234.1566055233</v>
      </c>
      <c r="M19" s="167">
        <v>-1765222.769635852</v>
      </c>
      <c r="N19" s="167">
        <v>-1785302.6710296427</v>
      </c>
      <c r="O19" s="167">
        <v>-1730613.9740110449</v>
      </c>
      <c r="P19" s="167">
        <v>-1744598.2204819194</v>
      </c>
      <c r="Q19" s="491">
        <v>-19104367.999209736</v>
      </c>
    </row>
    <row r="20" spans="1:17" x14ac:dyDescent="0.2">
      <c r="A20" s="282" t="s">
        <v>136</v>
      </c>
      <c r="B20" s="238"/>
      <c r="C20" s="238"/>
      <c r="D20" s="259">
        <v>41485836.800444126</v>
      </c>
      <c r="E20" s="287">
        <v>0</v>
      </c>
      <c r="F20" s="240">
        <v>39727373.100029796</v>
      </c>
      <c r="G20" s="240">
        <v>38100051.785142213</v>
      </c>
      <c r="H20" s="240">
        <v>36768363.916884311</v>
      </c>
      <c r="I20" s="330">
        <v>34772497.49904684</v>
      </c>
      <c r="J20" s="240">
        <v>33008352.598060235</v>
      </c>
      <c r="K20" s="340">
        <v>30983440.592998363</v>
      </c>
      <c r="L20" s="240">
        <v>29407206.43639284</v>
      </c>
      <c r="M20" s="240">
        <v>27641983.666756988</v>
      </c>
      <c r="N20" s="240">
        <v>25856680.995727345</v>
      </c>
      <c r="O20" s="240">
        <v>24126067.0217163</v>
      </c>
      <c r="P20" s="240">
        <v>22381468.801234379</v>
      </c>
      <c r="Q20" s="492">
        <v>22381468.801234391</v>
      </c>
    </row>
    <row r="21" spans="1:17" x14ac:dyDescent="0.2">
      <c r="A21" s="188"/>
      <c r="B21" s="199"/>
      <c r="C21" s="199"/>
      <c r="D21" s="191"/>
      <c r="E21" s="283"/>
      <c r="F21" s="167"/>
      <c r="G21" s="167"/>
      <c r="H21" s="167"/>
      <c r="I21" s="327"/>
      <c r="J21" s="167"/>
      <c r="K21" s="337"/>
      <c r="L21" s="167"/>
      <c r="M21" s="167"/>
      <c r="N21" s="167"/>
      <c r="O21" s="167"/>
      <c r="P21" s="167"/>
      <c r="Q21" s="491"/>
    </row>
    <row r="22" spans="1:17" x14ac:dyDescent="0.2">
      <c r="A22" s="188" t="s">
        <v>107</v>
      </c>
      <c r="B22" s="199">
        <v>12575.16387972695</v>
      </c>
      <c r="C22" s="199">
        <v>301803.93311344681</v>
      </c>
      <c r="D22" s="189">
        <v>301803.93311344681</v>
      </c>
      <c r="E22" s="283">
        <v>0</v>
      </c>
      <c r="F22" s="167">
        <v>301803.93311344681</v>
      </c>
      <c r="G22" s="167">
        <v>289011.34407697379</v>
      </c>
      <c r="H22" s="167">
        <v>277172.79841535754</v>
      </c>
      <c r="I22" s="327">
        <v>267484.94667325664</v>
      </c>
      <c r="J22" s="167">
        <v>252965.28451072445</v>
      </c>
      <c r="K22" s="337">
        <v>240131.36549733023</v>
      </c>
      <c r="L22" s="167">
        <v>225400.40055920064</v>
      </c>
      <c r="M22" s="167">
        <v>213933.50716472507</v>
      </c>
      <c r="N22" s="167">
        <v>201091.74680057573</v>
      </c>
      <c r="O22" s="167">
        <v>188103.90783021849</v>
      </c>
      <c r="P22" s="167">
        <v>175513.92184126444</v>
      </c>
      <c r="Q22" s="491">
        <v>301803.93311344681</v>
      </c>
    </row>
    <row r="23" spans="1:17" x14ac:dyDescent="0.2">
      <c r="A23" s="188" t="s">
        <v>147</v>
      </c>
      <c r="B23" s="199"/>
      <c r="C23" s="199"/>
      <c r="D23" s="189">
        <v>0</v>
      </c>
      <c r="E23" s="286">
        <v>0</v>
      </c>
      <c r="F23" s="186">
        <v>-12792.589036473</v>
      </c>
      <c r="G23" s="186">
        <v>-11838.545661616276</v>
      </c>
      <c r="H23" s="186">
        <v>-9687.8517421008837</v>
      </c>
      <c r="I23" s="331">
        <v>-14519.662162532186</v>
      </c>
      <c r="J23" s="186">
        <v>-12833.919013394225</v>
      </c>
      <c r="K23" s="341">
        <v>-14730.964938129586</v>
      </c>
      <c r="L23" s="186">
        <v>-11466.893394475557</v>
      </c>
      <c r="M23" s="186">
        <v>-12841.760364149355</v>
      </c>
      <c r="N23" s="186">
        <v>-12987.838970357228</v>
      </c>
      <c r="O23" s="186">
        <v>-12589.985988954049</v>
      </c>
      <c r="P23" s="186">
        <v>-12691.719518082058</v>
      </c>
      <c r="Q23" s="491">
        <v>-138981.73079026441</v>
      </c>
    </row>
    <row r="24" spans="1:17" x14ac:dyDescent="0.2">
      <c r="A24" s="282" t="s">
        <v>136</v>
      </c>
      <c r="B24" s="238"/>
      <c r="C24" s="238"/>
      <c r="D24" s="260">
        <v>301803.93311344681</v>
      </c>
      <c r="E24" s="287">
        <v>0</v>
      </c>
      <c r="F24" s="241">
        <v>289011.34407697379</v>
      </c>
      <c r="G24" s="241">
        <v>277172.79841535754</v>
      </c>
      <c r="H24" s="241">
        <v>267484.94667325664</v>
      </c>
      <c r="I24" s="332">
        <v>252965.28451072445</v>
      </c>
      <c r="J24" s="241">
        <v>240131.36549733023</v>
      </c>
      <c r="K24" s="342">
        <v>225400.40055920064</v>
      </c>
      <c r="L24" s="241">
        <v>213933.50716472507</v>
      </c>
      <c r="M24" s="241">
        <v>201091.74680057573</v>
      </c>
      <c r="N24" s="241">
        <v>188103.90783021849</v>
      </c>
      <c r="O24" s="241">
        <v>175513.92184126444</v>
      </c>
      <c r="P24" s="241">
        <v>162822.20232318237</v>
      </c>
      <c r="Q24" s="494">
        <v>162822.2023231824</v>
      </c>
    </row>
    <row r="25" spans="1:17" x14ac:dyDescent="0.2">
      <c r="A25" s="192"/>
      <c r="B25" s="199"/>
      <c r="C25" s="199"/>
      <c r="D25" s="189">
        <v>41787640.733557574</v>
      </c>
      <c r="E25" s="286">
        <v>0</v>
      </c>
      <c r="F25" s="186">
        <v>40016384.444106773</v>
      </c>
      <c r="G25" s="186">
        <v>38377224.583557568</v>
      </c>
      <c r="H25" s="186">
        <v>37035848.86355757</v>
      </c>
      <c r="I25" s="331">
        <v>35025462.783557564</v>
      </c>
      <c r="J25" s="186">
        <v>33248483.963557567</v>
      </c>
      <c r="K25" s="341">
        <v>31208840.993557565</v>
      </c>
      <c r="L25" s="186">
        <v>29621139.943557564</v>
      </c>
      <c r="M25" s="186">
        <v>27843075.413557563</v>
      </c>
      <c r="N25" s="186">
        <v>26044784.903557565</v>
      </c>
      <c r="O25" s="186">
        <v>24301580.943557564</v>
      </c>
      <c r="P25" s="186">
        <v>22544291.003557563</v>
      </c>
      <c r="Q25" s="166"/>
    </row>
    <row r="26" spans="1:17" x14ac:dyDescent="0.2">
      <c r="A26" s="192"/>
      <c r="B26" s="199"/>
      <c r="C26" s="199"/>
      <c r="D26" s="189"/>
      <c r="E26" s="286"/>
      <c r="F26" s="186"/>
      <c r="G26" s="186"/>
      <c r="H26" s="186"/>
      <c r="I26" s="331"/>
      <c r="J26" s="186"/>
      <c r="K26" s="341"/>
      <c r="L26" s="186"/>
      <c r="M26" s="186"/>
      <c r="N26" s="186"/>
      <c r="O26" s="186"/>
      <c r="P26" s="186"/>
      <c r="Q26" s="166"/>
    </row>
    <row r="27" spans="1:17" x14ac:dyDescent="0.2">
      <c r="A27" s="192" t="s">
        <v>148</v>
      </c>
      <c r="B27" s="199"/>
      <c r="C27" s="199"/>
      <c r="D27" s="189">
        <v>14390890.636734709</v>
      </c>
      <c r="E27" s="286">
        <v>0</v>
      </c>
      <c r="F27" s="186">
        <v>13600662.326088995</v>
      </c>
      <c r="G27" s="186">
        <v>12852892.198848635</v>
      </c>
      <c r="H27" s="186">
        <v>12510167.750330936</v>
      </c>
      <c r="I27" s="331">
        <v>11593796.301762965</v>
      </c>
      <c r="J27" s="186">
        <v>10736877.78922781</v>
      </c>
      <c r="K27" s="341">
        <v>9871858.7533461228</v>
      </c>
      <c r="L27" s="186">
        <v>9397795.0516741015</v>
      </c>
      <c r="M27" s="186">
        <v>8708548.3319503181</v>
      </c>
      <c r="N27" s="186">
        <v>7845145.1336996034</v>
      </c>
      <c r="O27" s="186">
        <v>7096207.0472375676</v>
      </c>
      <c r="P27" s="186">
        <v>6321394.9173589889</v>
      </c>
      <c r="Q27" s="186">
        <v>6321394.9173589945</v>
      </c>
    </row>
    <row r="28" spans="1:17" x14ac:dyDescent="0.2">
      <c r="A28" s="192" t="s">
        <v>149</v>
      </c>
      <c r="B28" s="199"/>
      <c r="C28" s="199"/>
      <c r="D28" s="189">
        <v>-1611315.0221331054</v>
      </c>
      <c r="E28" s="286">
        <v>0</v>
      </c>
      <c r="F28" s="186">
        <v>-1555742.4826280838</v>
      </c>
      <c r="G28" s="186">
        <v>-1505477.7106071101</v>
      </c>
      <c r="H28" s="186">
        <v>-1445336.86983516</v>
      </c>
      <c r="I28" s="331">
        <v>-1383635.591187377</v>
      </c>
      <c r="J28" s="186">
        <v>-1332412.1029647673</v>
      </c>
      <c r="K28" s="341">
        <v>-1265245.388092485</v>
      </c>
      <c r="L28" s="186">
        <v>-1198890.2708246843</v>
      </c>
      <c r="M28" s="186">
        <v>-1135759.5541061822</v>
      </c>
      <c r="N28" s="186">
        <v>-1083653.9492457688</v>
      </c>
      <c r="O28" s="186">
        <v>-1026929.8005237286</v>
      </c>
      <c r="P28" s="186">
        <v>-971146.89967320894</v>
      </c>
      <c r="Q28" s="186">
        <v>-971146.89967320918</v>
      </c>
    </row>
    <row r="29" spans="1:17" ht="12" thickBot="1" x14ac:dyDescent="0.25">
      <c r="A29" s="300" t="s">
        <v>157</v>
      </c>
      <c r="B29" s="238">
        <v>1741151.6972315656</v>
      </c>
      <c r="C29" s="238">
        <v>41787640.733557574</v>
      </c>
      <c r="D29" s="261">
        <v>12779575.614601605</v>
      </c>
      <c r="E29" s="287">
        <v>0</v>
      </c>
      <c r="F29" s="242">
        <v>12044919.843460914</v>
      </c>
      <c r="G29" s="242">
        <v>11347414.488241524</v>
      </c>
      <c r="H29" s="242">
        <v>11064830.880495779</v>
      </c>
      <c r="I29" s="333">
        <v>10210160.710575588</v>
      </c>
      <c r="J29" s="242">
        <v>9404465.6862630434</v>
      </c>
      <c r="K29" s="343">
        <v>8606613.3652536385</v>
      </c>
      <c r="L29" s="242">
        <v>8198904.7808494158</v>
      </c>
      <c r="M29" s="242">
        <v>7572788.7778441347</v>
      </c>
      <c r="N29" s="242">
        <v>6761491.1844538338</v>
      </c>
      <c r="O29" s="242">
        <v>6069277.2467138395</v>
      </c>
      <c r="P29" s="242">
        <v>5350248.0176857822</v>
      </c>
      <c r="Q29" s="242">
        <v>5350248.017685785</v>
      </c>
    </row>
    <row r="30" spans="1:17" x14ac:dyDescent="0.2">
      <c r="A30" s="301" t="s">
        <v>108</v>
      </c>
      <c r="B30" s="252">
        <v>599620.44319727947</v>
      </c>
      <c r="C30" s="168">
        <v>14390890.636734709</v>
      </c>
      <c r="D30" s="258">
        <v>14390890.636734709</v>
      </c>
      <c r="E30" s="286">
        <v>0</v>
      </c>
      <c r="F30" s="168">
        <v>13600662.326088995</v>
      </c>
      <c r="G30" s="168">
        <v>12852892.198848635</v>
      </c>
      <c r="H30" s="168">
        <v>12510167.750330936</v>
      </c>
      <c r="I30" s="245">
        <v>11593796.301762965</v>
      </c>
      <c r="J30" s="168">
        <v>10736877.78922781</v>
      </c>
      <c r="K30" s="252">
        <v>9871858.7533461228</v>
      </c>
      <c r="L30" s="168">
        <v>9397795.0516741015</v>
      </c>
      <c r="M30" s="168">
        <v>8708548.3319503181</v>
      </c>
      <c r="N30" s="168">
        <v>7845145.1336996034</v>
      </c>
      <c r="O30" s="168">
        <v>7096207.0472375676</v>
      </c>
      <c r="P30" s="168">
        <v>6321394.9173589889</v>
      </c>
      <c r="Q30" s="166"/>
    </row>
    <row r="31" spans="1:17" ht="12" thickBot="1" x14ac:dyDescent="0.25">
      <c r="A31" s="302" t="s">
        <v>156</v>
      </c>
      <c r="B31" s="253">
        <v>-67138.125922212726</v>
      </c>
      <c r="C31" s="204">
        <v>-1611315.0221331054</v>
      </c>
      <c r="D31" s="262">
        <v>-1611315.0221331054</v>
      </c>
      <c r="E31" s="288">
        <v>0</v>
      </c>
      <c r="F31" s="204">
        <v>-1555742.4826280838</v>
      </c>
      <c r="G31" s="204">
        <v>-1505477.7106071101</v>
      </c>
      <c r="H31" s="204">
        <v>-1445336.86983516</v>
      </c>
      <c r="I31" s="246">
        <v>-1383635.591187377</v>
      </c>
      <c r="J31" s="204">
        <v>-1332412.1029647673</v>
      </c>
      <c r="K31" s="253">
        <v>-1265245.388092485</v>
      </c>
      <c r="L31" s="204">
        <v>-1198890.2708246843</v>
      </c>
      <c r="M31" s="204">
        <v>-1135759.5541061822</v>
      </c>
      <c r="N31" s="204">
        <v>-1083653.9492457688</v>
      </c>
      <c r="O31" s="204">
        <v>-1026929.8005237286</v>
      </c>
      <c r="P31" s="204">
        <v>-971146.89967320894</v>
      </c>
      <c r="Q31" s="493"/>
    </row>
    <row r="32" spans="1:17" ht="12" thickBot="1" x14ac:dyDescent="0.25">
      <c r="A32" s="302" t="s">
        <v>157</v>
      </c>
      <c r="B32" s="262">
        <v>532482.31727506674</v>
      </c>
      <c r="C32" s="204">
        <v>12779575.614601605</v>
      </c>
      <c r="D32" s="262">
        <v>12779575.614601605</v>
      </c>
      <c r="E32" s="288">
        <v>0</v>
      </c>
      <c r="F32" s="204">
        <v>12044919.84346091</v>
      </c>
      <c r="G32" s="204">
        <v>11347414.488241525</v>
      </c>
      <c r="H32" s="204">
        <v>11064830.880495775</v>
      </c>
      <c r="I32" s="246">
        <v>10210160.710575588</v>
      </c>
      <c r="J32" s="204">
        <v>9404465.6862630434</v>
      </c>
      <c r="K32" s="262">
        <v>8606613.3652536385</v>
      </c>
      <c r="L32" s="298">
        <v>8198904.7808494177</v>
      </c>
      <c r="M32" s="253">
        <v>7572788.7778441356</v>
      </c>
      <c r="N32" s="204">
        <v>6761491.1844538348</v>
      </c>
      <c r="O32" s="204">
        <v>6069277.2467138395</v>
      </c>
      <c r="P32" s="204">
        <v>5350248.0176857803</v>
      </c>
      <c r="Q32" s="495">
        <v>5350248.017685785</v>
      </c>
    </row>
    <row r="33" spans="1:16" ht="15.75" x14ac:dyDescent="0.25">
      <c r="A33" s="174"/>
      <c r="B33" s="247"/>
      <c r="C33" s="205"/>
      <c r="D33" s="258"/>
      <c r="E33" s="245"/>
      <c r="F33" s="202"/>
      <c r="G33" s="297"/>
      <c r="H33" s="297"/>
      <c r="J33" s="297"/>
      <c r="L33" s="297"/>
      <c r="M33" s="297"/>
      <c r="N33" s="299"/>
      <c r="P33" s="299"/>
    </row>
    <row r="34" spans="1:16" ht="15.75" x14ac:dyDescent="0.25">
      <c r="A34" s="169" t="s">
        <v>109</v>
      </c>
      <c r="B34" s="244"/>
      <c r="C34" s="205"/>
      <c r="D34" s="258"/>
      <c r="E34" s="217"/>
      <c r="F34" s="168"/>
      <c r="G34" s="309"/>
      <c r="H34" s="173"/>
      <c r="J34" s="173"/>
      <c r="L34" s="173"/>
      <c r="M34" s="173"/>
      <c r="N34" s="166"/>
      <c r="P34" s="166"/>
    </row>
    <row r="35" spans="1:16" ht="15.75" x14ac:dyDescent="0.25">
      <c r="A35" s="171" t="s">
        <v>110</v>
      </c>
      <c r="B35" s="216"/>
      <c r="C35" s="205"/>
      <c r="D35" s="258"/>
      <c r="E35" s="245"/>
      <c r="F35" s="168"/>
      <c r="G35" s="310"/>
      <c r="H35" s="173"/>
      <c r="J35" s="173"/>
      <c r="L35" s="173"/>
      <c r="M35" s="173"/>
      <c r="N35" s="166"/>
      <c r="P35" s="166"/>
    </row>
    <row r="36" spans="1:16" x14ac:dyDescent="0.2">
      <c r="A36" s="175" t="s">
        <v>155</v>
      </c>
      <c r="B36" s="248"/>
      <c r="C36" s="176"/>
      <c r="D36" s="258"/>
      <c r="E36" s="245"/>
      <c r="F36" s="168">
        <v>13600662.326088995</v>
      </c>
      <c r="G36" s="168">
        <v>12852892.198848635</v>
      </c>
      <c r="H36" s="168">
        <v>12510167.750330936</v>
      </c>
      <c r="I36" s="258">
        <v>11593796.301762965</v>
      </c>
      <c r="J36" s="168">
        <v>10736877.78922781</v>
      </c>
      <c r="K36" s="258">
        <v>9871858.7533461228</v>
      </c>
      <c r="L36" s="168">
        <v>9397795.0516741015</v>
      </c>
      <c r="M36" s="168">
        <v>8708548.3319503181</v>
      </c>
      <c r="N36" s="168">
        <v>7845145.1336996034</v>
      </c>
      <c r="O36" s="258">
        <v>7096207.0472375676</v>
      </c>
      <c r="P36" s="168">
        <v>6321394.9173589889</v>
      </c>
    </row>
    <row r="37" spans="1:16" x14ac:dyDescent="0.2">
      <c r="A37" s="175"/>
      <c r="B37" s="248"/>
      <c r="C37" s="176"/>
      <c r="D37" s="258"/>
      <c r="E37" s="245"/>
      <c r="F37" s="168"/>
      <c r="G37" s="168"/>
      <c r="H37" s="168"/>
      <c r="I37" s="258"/>
      <c r="J37" s="168"/>
      <c r="K37" s="258"/>
      <c r="L37" s="168"/>
      <c r="M37" s="168"/>
      <c r="N37" s="168"/>
      <c r="O37" s="258"/>
      <c r="P37" s="168"/>
    </row>
    <row r="38" spans="1:16" x14ac:dyDescent="0.2">
      <c r="A38" s="175" t="s">
        <v>158</v>
      </c>
      <c r="B38" s="248"/>
      <c r="C38" s="176"/>
      <c r="D38" s="289"/>
      <c r="E38" s="293"/>
      <c r="F38" s="168">
        <v>788.5710716267713</v>
      </c>
      <c r="G38" s="168">
        <v>788.5710716267713</v>
      </c>
      <c r="H38" s="168">
        <v>788.5710716267713</v>
      </c>
      <c r="I38" s="258">
        <v>788.5710716267713</v>
      </c>
      <c r="J38" s="168">
        <v>788.5710716267713</v>
      </c>
      <c r="K38" s="168">
        <v>788.5710716267713</v>
      </c>
      <c r="L38" s="168">
        <v>788.5710716267713</v>
      </c>
      <c r="M38" s="168">
        <v>788.5710716267713</v>
      </c>
      <c r="N38" s="168">
        <v>788.5710716267713</v>
      </c>
      <c r="O38" s="168">
        <v>788.5710716267713</v>
      </c>
      <c r="P38" s="168">
        <v>788.5710716267713</v>
      </c>
    </row>
    <row r="39" spans="1:16" x14ac:dyDescent="0.2">
      <c r="A39" s="175"/>
      <c r="B39" s="248"/>
      <c r="C39" s="176"/>
      <c r="D39" s="289"/>
      <c r="E39" s="293"/>
      <c r="F39" s="168"/>
      <c r="G39" s="168"/>
      <c r="H39" s="168"/>
      <c r="I39" s="258"/>
      <c r="J39" s="168"/>
      <c r="K39" s="258"/>
      <c r="L39" s="168"/>
      <c r="M39" s="168"/>
      <c r="N39" s="168"/>
      <c r="O39" s="258"/>
      <c r="P39" s="168"/>
    </row>
    <row r="40" spans="1:16" x14ac:dyDescent="0.2">
      <c r="A40" s="175" t="s">
        <v>111</v>
      </c>
      <c r="B40" s="248"/>
      <c r="C40" s="176"/>
      <c r="D40" s="289">
        <v>0</v>
      </c>
      <c r="E40" s="293">
        <v>0</v>
      </c>
      <c r="F40" s="168">
        <v>0</v>
      </c>
      <c r="G40" s="168">
        <v>6233.636899457455</v>
      </c>
      <c r="H40" s="313">
        <v>5890.90892447229</v>
      </c>
      <c r="I40" s="334">
        <v>5733.8268855683455</v>
      </c>
      <c r="J40" s="313">
        <v>5313.8233049746914</v>
      </c>
      <c r="K40" s="313">
        <v>7963.1843603439593</v>
      </c>
      <c r="L40" s="313">
        <v>7321.6285753983748</v>
      </c>
      <c r="M40" s="313">
        <v>6970.0313299916261</v>
      </c>
      <c r="N40" s="313">
        <v>8708.5483319503182</v>
      </c>
      <c r="O40" s="313">
        <v>7845.1451336996033</v>
      </c>
      <c r="P40" s="313">
        <v>7096.2070472375672</v>
      </c>
    </row>
    <row r="41" spans="1:16" x14ac:dyDescent="0.2">
      <c r="A41" s="176" t="s">
        <v>112</v>
      </c>
      <c r="B41" s="248"/>
      <c r="C41" s="176"/>
      <c r="D41" s="289">
        <v>0</v>
      </c>
      <c r="E41" s="293">
        <v>0</v>
      </c>
      <c r="F41" s="168">
        <v>0</v>
      </c>
      <c r="G41" s="168">
        <v>6233.636899457455</v>
      </c>
      <c r="H41" s="168">
        <v>12124.545823929744</v>
      </c>
      <c r="I41" s="258">
        <v>17858.37270949809</v>
      </c>
      <c r="J41" s="168">
        <v>23172.196014472782</v>
      </c>
      <c r="K41" s="258">
        <v>31135.380374816741</v>
      </c>
      <c r="L41" s="168">
        <v>38457.008950215117</v>
      </c>
      <c r="M41" s="168">
        <v>45427.04028020674</v>
      </c>
      <c r="N41" s="168">
        <v>54135.588612157058</v>
      </c>
      <c r="O41" s="258">
        <v>61980.733745856662</v>
      </c>
      <c r="P41" s="168">
        <v>69076.940793094225</v>
      </c>
    </row>
    <row r="42" spans="1:16" ht="12" thickBot="1" x14ac:dyDescent="0.25">
      <c r="A42" s="177" t="s">
        <v>113</v>
      </c>
      <c r="B42" s="249"/>
      <c r="C42" s="207"/>
      <c r="D42" s="290">
        <v>0</v>
      </c>
      <c r="E42" s="290">
        <v>0</v>
      </c>
      <c r="F42" s="208">
        <v>12045708.414532537</v>
      </c>
      <c r="G42" s="208">
        <v>11354436.69621261</v>
      </c>
      <c r="H42" s="208">
        <v>11077743.997391332</v>
      </c>
      <c r="I42" s="263">
        <v>10228807.654356712</v>
      </c>
      <c r="J42" s="208">
        <v>9428426.4533491433</v>
      </c>
      <c r="K42" s="263">
        <v>8638537.3167000823</v>
      </c>
      <c r="L42" s="208">
        <v>8238150.3608712591</v>
      </c>
      <c r="M42" s="208">
        <v>7619004.3891959693</v>
      </c>
      <c r="N42" s="208">
        <v>6816415.3441376183</v>
      </c>
      <c r="O42" s="263">
        <v>6132046.5515313223</v>
      </c>
      <c r="P42" s="208">
        <v>5420113.5295505011</v>
      </c>
    </row>
    <row r="43" spans="1:16" x14ac:dyDescent="0.2">
      <c r="A43" s="178" t="s">
        <v>114</v>
      </c>
      <c r="B43" s="250"/>
      <c r="C43" s="209"/>
      <c r="D43" s="291">
        <v>0</v>
      </c>
      <c r="E43" s="294">
        <v>0</v>
      </c>
      <c r="F43" s="210">
        <v>12045708</v>
      </c>
      <c r="G43" s="210">
        <v>11354437</v>
      </c>
      <c r="H43" s="210">
        <v>11077743.890000001</v>
      </c>
      <c r="I43" s="296">
        <v>10228807.630000001</v>
      </c>
      <c r="J43" s="210">
        <v>9428426.4299999997</v>
      </c>
      <c r="K43" s="296">
        <v>8635495.1799999997</v>
      </c>
      <c r="L43" s="210">
        <v>8238150.3399999989</v>
      </c>
      <c r="M43" s="210">
        <v>7619004.3599999985</v>
      </c>
      <c r="N43" s="210">
        <v>6816415.3099999996</v>
      </c>
      <c r="O43" s="296">
        <v>6132046.5199999996</v>
      </c>
      <c r="P43" s="210">
        <v>5420113.6600000001</v>
      </c>
    </row>
    <row r="44" spans="1:16" ht="12" thickBot="1" x14ac:dyDescent="0.25">
      <c r="A44" s="179" t="s">
        <v>115</v>
      </c>
      <c r="B44" s="251"/>
      <c r="C44" s="211"/>
      <c r="D44" s="292">
        <v>0</v>
      </c>
      <c r="E44" s="295">
        <v>0</v>
      </c>
      <c r="F44" s="212">
        <v>0.41453253664076328</v>
      </c>
      <c r="G44" s="212">
        <v>-0.30378738977015018</v>
      </c>
      <c r="H44" s="212">
        <v>0.10739133134484291</v>
      </c>
      <c r="I44" s="499">
        <v>2.4356711655855179E-2</v>
      </c>
      <c r="J44" s="212">
        <v>2.334914356470108E-2</v>
      </c>
      <c r="K44" s="264">
        <v>3042.1367000825703</v>
      </c>
      <c r="L44" s="212">
        <v>2.0871260203421116E-2</v>
      </c>
      <c r="M44" s="212">
        <v>2.9195970855653286E-2</v>
      </c>
      <c r="N44" s="212">
        <v>3.4137618727982044E-2</v>
      </c>
      <c r="O44" s="264">
        <v>3.1531322747468948E-2</v>
      </c>
      <c r="P44" s="212">
        <v>-0.13044949900358915</v>
      </c>
    </row>
    <row r="45" spans="1:16" x14ac:dyDescent="0.2">
      <c r="I45" s="215"/>
      <c r="J45" s="215"/>
      <c r="K45" s="215"/>
      <c r="L45" s="215"/>
      <c r="P45" s="352"/>
    </row>
    <row r="46" spans="1:16" x14ac:dyDescent="0.2">
      <c r="D46" s="163" t="s">
        <v>116</v>
      </c>
      <c r="E46" s="180">
        <v>-227.82539952109005</v>
      </c>
      <c r="F46" s="180">
        <v>-18368.492315645293</v>
      </c>
      <c r="I46" s="215"/>
      <c r="J46" s="215"/>
      <c r="K46" s="215"/>
      <c r="L46" s="215"/>
    </row>
    <row r="47" spans="1:16" x14ac:dyDescent="0.2">
      <c r="D47" s="163" t="s">
        <v>117</v>
      </c>
      <c r="E47" s="203">
        <v>-227.82539952109005</v>
      </c>
      <c r="F47" s="203">
        <v>-25913.321182094562</v>
      </c>
      <c r="I47" s="215"/>
      <c r="J47" s="215"/>
      <c r="K47" s="215"/>
      <c r="L47" s="215"/>
    </row>
    <row r="48" spans="1:16" ht="12" thickBot="1" x14ac:dyDescent="0.25">
      <c r="E48" s="213">
        <v>0</v>
      </c>
      <c r="F48" s="213">
        <v>-7544.8288664492684</v>
      </c>
      <c r="I48" s="215"/>
      <c r="J48" s="215"/>
      <c r="K48" s="215"/>
      <c r="L48" s="215"/>
    </row>
    <row r="49" spans="1:12" ht="12" thickTop="1" x14ac:dyDescent="0.2">
      <c r="I49" s="215"/>
      <c r="J49" s="215"/>
      <c r="K49" s="215"/>
      <c r="L49" s="215"/>
    </row>
    <row r="50" spans="1:12" x14ac:dyDescent="0.2">
      <c r="I50" s="215"/>
      <c r="J50" s="215"/>
      <c r="K50" s="215"/>
      <c r="L50" s="215"/>
    </row>
    <row r="51" spans="1:12" x14ac:dyDescent="0.2">
      <c r="I51" s="215"/>
      <c r="J51" s="215"/>
      <c r="K51" s="215"/>
      <c r="L51" s="215"/>
    </row>
    <row r="52" spans="1:12" x14ac:dyDescent="0.2">
      <c r="A52" s="181" t="s">
        <v>118</v>
      </c>
      <c r="B52" s="214"/>
      <c r="C52" s="214"/>
      <c r="D52" s="215"/>
      <c r="F52" s="189"/>
      <c r="G52" s="206"/>
      <c r="I52" s="215"/>
      <c r="J52" s="215" t="s">
        <v>173</v>
      </c>
      <c r="K52" s="496">
        <v>7963.1843603439593</v>
      </c>
      <c r="L52" s="215"/>
    </row>
    <row r="53" spans="1:12" ht="12" thickBot="1" x14ac:dyDescent="0.25">
      <c r="A53" s="182"/>
      <c r="B53" s="215"/>
      <c r="C53" s="215"/>
      <c r="D53" s="215"/>
      <c r="F53" s="276"/>
      <c r="G53" s="206"/>
      <c r="I53" s="215"/>
      <c r="J53" s="215" t="s">
        <v>174</v>
      </c>
      <c r="K53" s="497">
        <v>4921.0689867294122</v>
      </c>
      <c r="L53" s="215"/>
    </row>
    <row r="54" spans="1:12" ht="16.5" thickBot="1" x14ac:dyDescent="0.3">
      <c r="A54" s="182" t="s">
        <v>121</v>
      </c>
      <c r="B54" s="265" t="s">
        <v>119</v>
      </c>
      <c r="C54" s="266"/>
      <c r="D54" s="266"/>
      <c r="E54" s="500"/>
      <c r="F54" s="267"/>
      <c r="I54" s="215"/>
      <c r="J54" s="215" t="s">
        <v>175</v>
      </c>
      <c r="K54" s="215"/>
      <c r="L54" s="215"/>
    </row>
    <row r="55" spans="1:12" ht="12.75" x14ac:dyDescent="0.2">
      <c r="A55" s="182"/>
      <c r="B55" s="185"/>
      <c r="C55" s="268" t="s">
        <v>151</v>
      </c>
      <c r="D55" s="323" t="s">
        <v>152</v>
      </c>
      <c r="E55" s="501" t="s">
        <v>153</v>
      </c>
      <c r="F55" s="268" t="s">
        <v>154</v>
      </c>
      <c r="I55" s="215"/>
      <c r="J55" s="215" t="s">
        <v>176</v>
      </c>
      <c r="K55" s="498">
        <v>3042.115373614547</v>
      </c>
      <c r="L55" s="215"/>
    </row>
    <row r="56" spans="1:12" ht="13.5" thickBot="1" x14ac:dyDescent="0.25">
      <c r="A56" s="182" t="s">
        <v>126</v>
      </c>
      <c r="B56" s="152"/>
      <c r="C56" s="269" t="s">
        <v>125</v>
      </c>
      <c r="D56" s="324" t="s">
        <v>122</v>
      </c>
      <c r="E56" s="502" t="s">
        <v>123</v>
      </c>
      <c r="F56" s="269" t="s">
        <v>124</v>
      </c>
      <c r="I56" s="215"/>
      <c r="J56" s="215"/>
      <c r="K56" s="215"/>
      <c r="L56" s="215"/>
    </row>
    <row r="57" spans="1:12" ht="12.75" x14ac:dyDescent="0.2">
      <c r="A57" s="182" t="s">
        <v>128</v>
      </c>
      <c r="B57" s="144" t="s">
        <v>127</v>
      </c>
      <c r="C57" s="270">
        <v>12852892.198848639</v>
      </c>
      <c r="D57" s="270">
        <v>-2116014.4096208243</v>
      </c>
      <c r="E57" s="270">
        <v>-2028329.4572774922</v>
      </c>
      <c r="F57" s="270">
        <v>-2387153.4145913282</v>
      </c>
      <c r="I57" s="215"/>
      <c r="J57" s="215"/>
      <c r="K57" s="215"/>
      <c r="L57" s="215"/>
    </row>
    <row r="58" spans="1:12" ht="12.75" x14ac:dyDescent="0.2">
      <c r="A58" s="182" t="s">
        <v>131</v>
      </c>
      <c r="B58" s="144" t="s">
        <v>129</v>
      </c>
      <c r="C58" s="271">
        <v>12852892.1988486</v>
      </c>
      <c r="D58" s="271">
        <v>10736877.78922781</v>
      </c>
      <c r="E58" s="271">
        <v>8708548.3319503181</v>
      </c>
      <c r="F58" s="271">
        <v>6321394.9173589889</v>
      </c>
    </row>
    <row r="59" spans="1:12" ht="12.75" x14ac:dyDescent="0.2">
      <c r="A59" s="182" t="s">
        <v>133</v>
      </c>
      <c r="B59" s="144" t="s">
        <v>132</v>
      </c>
      <c r="C59" s="270">
        <v>-1498455.5026360257</v>
      </c>
      <c r="D59" s="270">
        <v>190004.16675735824</v>
      </c>
      <c r="E59" s="270">
        <v>218907.39312431886</v>
      </c>
      <c r="F59" s="270">
        <v>188262.5549458607</v>
      </c>
    </row>
    <row r="60" spans="1:12" ht="13.5" thickBot="1" x14ac:dyDescent="0.25">
      <c r="A60" s="182" t="s">
        <v>135</v>
      </c>
      <c r="B60" s="152" t="s">
        <v>134</v>
      </c>
      <c r="C60" s="272">
        <v>-1498455.5026360257</v>
      </c>
      <c r="D60" s="272">
        <v>-1308451.3358786677</v>
      </c>
      <c r="E60" s="272">
        <v>-1089543.9427543485</v>
      </c>
      <c r="F60" s="272">
        <v>-901281.38780848798</v>
      </c>
    </row>
    <row r="61" spans="1:12" ht="13.5" thickBot="1" x14ac:dyDescent="0.25">
      <c r="A61" s="182" t="s">
        <v>137</v>
      </c>
      <c r="B61" s="273" t="s">
        <v>136</v>
      </c>
      <c r="C61" s="274">
        <v>11354436.696212612</v>
      </c>
      <c r="D61" s="274">
        <v>9428426.4533491414</v>
      </c>
      <c r="E61" s="274">
        <v>7619004.3891959693</v>
      </c>
      <c r="F61" s="274">
        <v>5420113.5295505011</v>
      </c>
    </row>
    <row r="62" spans="1:12" ht="13.5" thickBot="1" x14ac:dyDescent="0.25">
      <c r="A62" s="182" t="s">
        <v>139</v>
      </c>
      <c r="B62" s="273" t="s">
        <v>138</v>
      </c>
      <c r="C62" s="275">
        <v>11354436.696212612</v>
      </c>
      <c r="D62" s="275">
        <v>9428426.453349147</v>
      </c>
      <c r="E62" s="275">
        <v>7619004.389195974</v>
      </c>
      <c r="F62" s="275">
        <v>5420113.5295505058</v>
      </c>
    </row>
    <row r="63" spans="1:12" ht="12" thickBot="1" x14ac:dyDescent="0.25">
      <c r="B63" s="219" t="s">
        <v>163</v>
      </c>
      <c r="C63" s="308">
        <v>0</v>
      </c>
      <c r="D63" s="308">
        <v>-2.3349141702055931E-2</v>
      </c>
      <c r="E63" s="308">
        <v>-2.9195970855653286E-2</v>
      </c>
      <c r="F63" s="308">
        <v>0.13044949900358915</v>
      </c>
      <c r="G63" s="206"/>
    </row>
    <row r="64" spans="1:12" ht="12" thickBot="1" x14ac:dyDescent="0.25">
      <c r="B64" s="219" t="s">
        <v>164</v>
      </c>
      <c r="C64" s="308">
        <v>-0.30378738790750504</v>
      </c>
      <c r="D64" s="308">
        <v>2.3349147289991379E-2</v>
      </c>
      <c r="E64" s="308">
        <v>2.9195975512266159E-2</v>
      </c>
      <c r="F64" s="308">
        <v>-0.13044949434697628</v>
      </c>
      <c r="G64" s="206"/>
    </row>
    <row r="65" spans="1:17" ht="12" thickBot="1" x14ac:dyDescent="0.25">
      <c r="A65" s="161" t="s">
        <v>99</v>
      </c>
      <c r="B65" s="193"/>
      <c r="C65" s="194"/>
    </row>
    <row r="66" spans="1:17" ht="12" thickBot="1" x14ac:dyDescent="0.25">
      <c r="A66" s="277" t="s">
        <v>400</v>
      </c>
      <c r="B66" s="195" t="s">
        <v>100</v>
      </c>
      <c r="C66" s="195" t="s">
        <v>16</v>
      </c>
      <c r="D66" s="254" t="s">
        <v>101</v>
      </c>
      <c r="E66" s="164">
        <v>40551</v>
      </c>
      <c r="F66" s="164">
        <v>40582</v>
      </c>
      <c r="G66" s="164">
        <v>40610</v>
      </c>
      <c r="H66" s="164">
        <v>40641</v>
      </c>
      <c r="I66" s="164">
        <v>40671</v>
      </c>
      <c r="J66" s="164">
        <v>40702</v>
      </c>
      <c r="K66" s="164">
        <v>40732</v>
      </c>
      <c r="L66" s="164">
        <v>40763</v>
      </c>
      <c r="M66" s="164">
        <v>40794</v>
      </c>
      <c r="N66" s="164">
        <v>40824</v>
      </c>
      <c r="O66" s="164">
        <v>40855</v>
      </c>
      <c r="P66" s="164">
        <v>40885</v>
      </c>
      <c r="Q66" s="490" t="s">
        <v>136</v>
      </c>
    </row>
    <row r="67" spans="1:17" x14ac:dyDescent="0.2">
      <c r="A67" s="278"/>
      <c r="B67" s="196" t="s">
        <v>102</v>
      </c>
      <c r="C67" s="196"/>
      <c r="D67" s="255"/>
      <c r="E67" s="165"/>
      <c r="F67" s="165"/>
      <c r="G67" s="165"/>
      <c r="H67" s="165"/>
      <c r="I67" s="326"/>
      <c r="J67" s="165"/>
      <c r="K67" s="336"/>
      <c r="L67" s="165"/>
      <c r="M67" s="165"/>
      <c r="N67" s="165"/>
      <c r="O67" s="165"/>
      <c r="P67" s="165"/>
      <c r="Q67" s="166"/>
    </row>
    <row r="68" spans="1:17" ht="22.5" x14ac:dyDescent="0.2">
      <c r="A68" s="279" t="s">
        <v>103</v>
      </c>
      <c r="B68" s="197" t="s">
        <v>165</v>
      </c>
      <c r="C68" s="197" t="s">
        <v>165</v>
      </c>
      <c r="D68" s="190"/>
      <c r="E68" s="168"/>
      <c r="F68" s="168"/>
      <c r="G68" s="168"/>
      <c r="H68" s="168"/>
      <c r="I68" s="245"/>
      <c r="J68" s="168"/>
      <c r="K68" s="252"/>
      <c r="L68" s="168"/>
      <c r="M68" s="168"/>
      <c r="N68" s="168"/>
      <c r="O68" s="168"/>
      <c r="P68" s="168"/>
      <c r="Q68" s="166"/>
    </row>
    <row r="69" spans="1:17" x14ac:dyDescent="0.2">
      <c r="A69" s="279"/>
      <c r="B69" s="172"/>
      <c r="C69" s="172"/>
      <c r="D69" s="190"/>
      <c r="E69" s="168"/>
      <c r="F69" s="168"/>
      <c r="G69" s="168"/>
      <c r="H69" s="168"/>
      <c r="I69" s="245"/>
      <c r="J69" s="168"/>
      <c r="K69" s="252"/>
      <c r="L69" s="168"/>
      <c r="M69" s="168"/>
      <c r="N69" s="168"/>
      <c r="O69" s="168"/>
      <c r="P69" s="168"/>
      <c r="Q69" s="166"/>
    </row>
    <row r="70" spans="1:17" x14ac:dyDescent="0.2">
      <c r="A70" s="280" t="s">
        <v>150</v>
      </c>
      <c r="B70" s="198"/>
      <c r="C70" s="198"/>
      <c r="D70" s="190"/>
      <c r="E70" s="167" t="s">
        <v>31</v>
      </c>
      <c r="F70" s="167"/>
      <c r="G70" s="167"/>
      <c r="H70" s="167"/>
      <c r="I70" s="327"/>
      <c r="J70" s="167"/>
      <c r="K70" s="337"/>
      <c r="L70" s="167"/>
      <c r="M70" s="167"/>
      <c r="N70" s="167"/>
      <c r="O70" s="167"/>
      <c r="P70" s="167"/>
      <c r="Q70" s="166"/>
    </row>
    <row r="71" spans="1:17" x14ac:dyDescent="0.2">
      <c r="A71" s="280" t="s">
        <v>104</v>
      </c>
      <c r="B71" s="198"/>
      <c r="C71" s="198"/>
      <c r="D71" s="190"/>
      <c r="E71" s="167"/>
      <c r="F71" s="167"/>
      <c r="G71" s="167"/>
      <c r="H71" s="167"/>
      <c r="I71" s="327"/>
      <c r="J71" s="167"/>
      <c r="K71" s="337"/>
      <c r="L71" s="167"/>
      <c r="M71" s="167"/>
      <c r="N71" s="167"/>
      <c r="O71" s="167"/>
      <c r="P71" s="167"/>
      <c r="Q71" s="166"/>
    </row>
    <row r="72" spans="1:17" x14ac:dyDescent="0.2">
      <c r="A72" s="188" t="s">
        <v>105</v>
      </c>
      <c r="B72" s="199" t="e">
        <f>C72/24</f>
        <v>#REF!</v>
      </c>
      <c r="C72" s="199" t="e">
        <f>#REF!</f>
        <v>#REF!</v>
      </c>
      <c r="D72" s="190">
        <f>P10</f>
        <v>-16060073.883875391</v>
      </c>
      <c r="E72" s="503">
        <f>P10</f>
        <v>-16060073.883875391</v>
      </c>
      <c r="F72" s="167" t="e">
        <f>E74</f>
        <v>#REF!</v>
      </c>
      <c r="G72" s="167" t="e">
        <f t="shared" ref="G72:P72" si="0">F74</f>
        <v>#REF!</v>
      </c>
      <c r="H72" s="167" t="e">
        <f t="shared" si="0"/>
        <v>#REF!</v>
      </c>
      <c r="I72" s="327" t="e">
        <f t="shared" si="0"/>
        <v>#REF!</v>
      </c>
      <c r="J72" s="167" t="e">
        <f t="shared" si="0"/>
        <v>#REF!</v>
      </c>
      <c r="K72" s="337" t="e">
        <f t="shared" si="0"/>
        <v>#REF!</v>
      </c>
      <c r="L72" s="167" t="e">
        <f t="shared" si="0"/>
        <v>#REF!</v>
      </c>
      <c r="M72" s="167" t="e">
        <f t="shared" si="0"/>
        <v>#REF!</v>
      </c>
      <c r="N72" s="167" t="e">
        <f t="shared" si="0"/>
        <v>#REF!</v>
      </c>
      <c r="O72" s="167" t="e">
        <f t="shared" si="0"/>
        <v>#REF!</v>
      </c>
      <c r="P72" s="167" t="e">
        <f t="shared" si="0"/>
        <v>#REF!</v>
      </c>
      <c r="Q72" s="491">
        <f>D72</f>
        <v>-16060073.883875391</v>
      </c>
    </row>
    <row r="73" spans="1:17" x14ac:dyDescent="0.2">
      <c r="A73" s="281" t="s">
        <v>143</v>
      </c>
      <c r="B73" s="200"/>
      <c r="C73" s="200"/>
      <c r="D73" s="256"/>
      <c r="E73" s="503" t="e">
        <f>'2011-2 Amortization'!L23</f>
        <v>#REF!</v>
      </c>
      <c r="F73" s="170" t="e">
        <f>'2011-2 Amortization'!L45</f>
        <v>#REF!</v>
      </c>
      <c r="G73" s="170">
        <f>'2011-2 Amortization'!L59</f>
        <v>1047690.9944817276</v>
      </c>
      <c r="H73" s="170"/>
      <c r="I73" s="328"/>
      <c r="J73" s="170"/>
      <c r="K73" s="338"/>
      <c r="L73" s="170"/>
      <c r="M73" s="170"/>
      <c r="N73" s="170"/>
      <c r="O73" s="170"/>
      <c r="P73" s="170"/>
      <c r="Q73" s="491" t="e">
        <f>SUM(E73:P73)</f>
        <v>#REF!</v>
      </c>
    </row>
    <row r="74" spans="1:17" x14ac:dyDescent="0.2">
      <c r="A74" s="282" t="s">
        <v>136</v>
      </c>
      <c r="B74" s="238"/>
      <c r="C74" s="238"/>
      <c r="D74" s="257">
        <f>D72+D73</f>
        <v>-16060073.883875391</v>
      </c>
      <c r="E74" s="504" t="e">
        <f>E72+E73</f>
        <v>#REF!</v>
      </c>
      <c r="F74" s="239" t="e">
        <f>F72+F73</f>
        <v>#REF!</v>
      </c>
      <c r="G74" s="239" t="e">
        <f t="shared" ref="G74:P74" si="1">G72+G73</f>
        <v>#REF!</v>
      </c>
      <c r="H74" s="239" t="e">
        <f t="shared" si="1"/>
        <v>#REF!</v>
      </c>
      <c r="I74" s="329" t="e">
        <f t="shared" si="1"/>
        <v>#REF!</v>
      </c>
      <c r="J74" s="239" t="e">
        <f t="shared" si="1"/>
        <v>#REF!</v>
      </c>
      <c r="K74" s="339" t="e">
        <f t="shared" si="1"/>
        <v>#REF!</v>
      </c>
      <c r="L74" s="239" t="e">
        <f t="shared" si="1"/>
        <v>#REF!</v>
      </c>
      <c r="M74" s="239" t="e">
        <f t="shared" si="1"/>
        <v>#REF!</v>
      </c>
      <c r="N74" s="239" t="e">
        <f t="shared" si="1"/>
        <v>#REF!</v>
      </c>
      <c r="O74" s="239" t="e">
        <f t="shared" si="1"/>
        <v>#REF!</v>
      </c>
      <c r="P74" s="239" t="e">
        <f t="shared" si="1"/>
        <v>#REF!</v>
      </c>
      <c r="Q74" s="492" t="e">
        <f>Q72+Q73</f>
        <v>#REF!</v>
      </c>
    </row>
    <row r="75" spans="1:17" x14ac:dyDescent="0.2">
      <c r="A75" s="188"/>
      <c r="B75" s="199"/>
      <c r="C75" s="199"/>
      <c r="D75" s="190"/>
      <c r="E75" s="283"/>
      <c r="F75" s="167"/>
      <c r="G75" s="167"/>
      <c r="H75" s="167"/>
      <c r="I75" s="327"/>
      <c r="J75" s="167"/>
      <c r="K75" s="337"/>
      <c r="L75" s="167"/>
      <c r="M75" s="167"/>
      <c r="N75" s="167"/>
      <c r="O75" s="167"/>
      <c r="P75" s="167"/>
      <c r="Q75" s="491"/>
    </row>
    <row r="76" spans="1:17" x14ac:dyDescent="0.2">
      <c r="A76" s="188" t="s">
        <v>106</v>
      </c>
      <c r="B76" s="199" t="e">
        <f>C76/24</f>
        <v>#REF!</v>
      </c>
      <c r="C76" s="199" t="e">
        <f>#REF!</f>
        <v>#REF!</v>
      </c>
      <c r="D76" s="190">
        <f>P14</f>
        <v>-1133969.1019963913</v>
      </c>
      <c r="E76" s="503">
        <f>P14</f>
        <v>-1133969.1019963913</v>
      </c>
      <c r="F76" s="167" t="e">
        <f>E78</f>
        <v>#REF!</v>
      </c>
      <c r="G76" s="167" t="e">
        <f t="shared" ref="G76:P76" si="2">F78</f>
        <v>#REF!</v>
      </c>
      <c r="H76" s="167" t="e">
        <f t="shared" si="2"/>
        <v>#REF!</v>
      </c>
      <c r="I76" s="327" t="e">
        <f t="shared" si="2"/>
        <v>#REF!</v>
      </c>
      <c r="J76" s="167" t="e">
        <f t="shared" si="2"/>
        <v>#REF!</v>
      </c>
      <c r="K76" s="337" t="e">
        <f t="shared" si="2"/>
        <v>#REF!</v>
      </c>
      <c r="L76" s="167" t="e">
        <f t="shared" si="2"/>
        <v>#REF!</v>
      </c>
      <c r="M76" s="167" t="e">
        <f t="shared" si="2"/>
        <v>#REF!</v>
      </c>
      <c r="N76" s="167" t="e">
        <f t="shared" si="2"/>
        <v>#REF!</v>
      </c>
      <c r="O76" s="167" t="e">
        <f t="shared" si="2"/>
        <v>#REF!</v>
      </c>
      <c r="P76" s="167" t="e">
        <f t="shared" si="2"/>
        <v>#REF!</v>
      </c>
      <c r="Q76" s="491">
        <f>D76</f>
        <v>-1133969.1019963913</v>
      </c>
    </row>
    <row r="77" spans="1:17" x14ac:dyDescent="0.2">
      <c r="A77" s="188" t="s">
        <v>144</v>
      </c>
      <c r="B77" s="200"/>
      <c r="C77" s="200"/>
      <c r="D77" s="256"/>
      <c r="E77" s="503" t="e">
        <f>'2011-2 Amortization'!M23</f>
        <v>#REF!</v>
      </c>
      <c r="F77" s="170" t="e">
        <f>'2011-2 Amortization'!M45</f>
        <v>#REF!</v>
      </c>
      <c r="G77" s="170">
        <f>'2011-2 Amortization'!M59</f>
        <v>73975.326936383135</v>
      </c>
      <c r="H77" s="170"/>
      <c r="I77" s="328"/>
      <c r="J77" s="170"/>
      <c r="K77" s="338"/>
      <c r="L77" s="170"/>
      <c r="M77" s="170"/>
      <c r="N77" s="170"/>
      <c r="O77" s="170"/>
      <c r="P77" s="170"/>
      <c r="Q77" s="491" t="e">
        <f>SUM(E77:P77)</f>
        <v>#REF!</v>
      </c>
    </row>
    <row r="78" spans="1:17" x14ac:dyDescent="0.2">
      <c r="A78" s="282" t="s">
        <v>136</v>
      </c>
      <c r="B78" s="200"/>
      <c r="C78" s="200"/>
      <c r="D78" s="256">
        <f>D76+D77</f>
        <v>-1133969.1019963913</v>
      </c>
      <c r="E78" s="504" t="e">
        <f>E76+E77</f>
        <v>#REF!</v>
      </c>
      <c r="F78" s="170" t="e">
        <f>F76+F77</f>
        <v>#REF!</v>
      </c>
      <c r="G78" s="170" t="e">
        <f t="shared" ref="G78:P78" si="3">G76+G77</f>
        <v>#REF!</v>
      </c>
      <c r="H78" s="170" t="e">
        <f t="shared" si="3"/>
        <v>#REF!</v>
      </c>
      <c r="I78" s="328" t="e">
        <f t="shared" si="3"/>
        <v>#REF!</v>
      </c>
      <c r="J78" s="170" t="e">
        <f t="shared" si="3"/>
        <v>#REF!</v>
      </c>
      <c r="K78" s="338" t="e">
        <f t="shared" si="3"/>
        <v>#REF!</v>
      </c>
      <c r="L78" s="170" t="e">
        <f t="shared" si="3"/>
        <v>#REF!</v>
      </c>
      <c r="M78" s="170" t="e">
        <f t="shared" si="3"/>
        <v>#REF!</v>
      </c>
      <c r="N78" s="170" t="e">
        <f t="shared" si="3"/>
        <v>#REF!</v>
      </c>
      <c r="O78" s="170" t="e">
        <f t="shared" si="3"/>
        <v>#REF!</v>
      </c>
      <c r="P78" s="170" t="e">
        <f t="shared" si="3"/>
        <v>#REF!</v>
      </c>
      <c r="Q78" s="492" t="e">
        <f>Q76+Q77</f>
        <v>#REF!</v>
      </c>
    </row>
    <row r="79" spans="1:17" x14ac:dyDescent="0.2">
      <c r="A79" s="188"/>
      <c r="B79" s="199" t="e">
        <f>SUM(B72:B76)</f>
        <v>#REF!</v>
      </c>
      <c r="C79" s="199" t="e">
        <f>SUM(C72:C76)</f>
        <v>#REF!</v>
      </c>
      <c r="D79" s="258">
        <f>D74+D78</f>
        <v>-17194042.985871781</v>
      </c>
      <c r="E79" s="505" t="e">
        <f>E74+E78</f>
        <v>#REF!</v>
      </c>
      <c r="F79" s="168" t="e">
        <f>F74+F78</f>
        <v>#REF!</v>
      </c>
      <c r="G79" s="168" t="e">
        <f t="shared" ref="G79:P79" si="4">G74+G78</f>
        <v>#REF!</v>
      </c>
      <c r="H79" s="168" t="e">
        <f t="shared" si="4"/>
        <v>#REF!</v>
      </c>
      <c r="I79" s="245" t="e">
        <f t="shared" si="4"/>
        <v>#REF!</v>
      </c>
      <c r="J79" s="168" t="e">
        <f t="shared" si="4"/>
        <v>#REF!</v>
      </c>
      <c r="K79" s="252" t="e">
        <f t="shared" si="4"/>
        <v>#REF!</v>
      </c>
      <c r="L79" s="168" t="e">
        <f t="shared" si="4"/>
        <v>#REF!</v>
      </c>
      <c r="M79" s="168" t="e">
        <f t="shared" si="4"/>
        <v>#REF!</v>
      </c>
      <c r="N79" s="168" t="e">
        <f t="shared" si="4"/>
        <v>#REF!</v>
      </c>
      <c r="O79" s="168" t="e">
        <f t="shared" si="4"/>
        <v>#REF!</v>
      </c>
      <c r="P79" s="168" t="e">
        <f t="shared" si="4"/>
        <v>#REF!</v>
      </c>
      <c r="Q79" s="491"/>
    </row>
    <row r="80" spans="1:17" x14ac:dyDescent="0.2">
      <c r="A80" s="183"/>
      <c r="B80" s="187"/>
      <c r="C80" s="187"/>
      <c r="D80" s="258"/>
      <c r="E80" s="286"/>
      <c r="F80" s="168"/>
      <c r="G80" s="168"/>
      <c r="H80" s="168"/>
      <c r="I80" s="245"/>
      <c r="J80" s="168"/>
      <c r="K80" s="252"/>
      <c r="L80" s="168"/>
      <c r="M80" s="168"/>
      <c r="N80" s="168"/>
      <c r="O80" s="168"/>
      <c r="P80" s="168"/>
      <c r="Q80" s="491"/>
    </row>
    <row r="81" spans="1:17" x14ac:dyDescent="0.2">
      <c r="A81" s="280" t="s">
        <v>142</v>
      </c>
      <c r="B81" s="201"/>
      <c r="C81" s="201"/>
      <c r="D81" s="258"/>
      <c r="E81" s="286"/>
      <c r="F81" s="168"/>
      <c r="G81" s="168"/>
      <c r="H81" s="168"/>
      <c r="I81" s="245"/>
      <c r="J81" s="168"/>
      <c r="K81" s="252"/>
      <c r="L81" s="168"/>
      <c r="M81" s="168"/>
      <c r="N81" s="168"/>
      <c r="O81" s="168"/>
      <c r="P81" s="168"/>
      <c r="Q81" s="491"/>
    </row>
    <row r="82" spans="1:17" x14ac:dyDescent="0.2">
      <c r="A82" s="243" t="s">
        <v>146</v>
      </c>
      <c r="B82" s="199" t="e">
        <f>C82/24</f>
        <v>#REF!</v>
      </c>
      <c r="C82" s="199" t="e">
        <f>#REF!</f>
        <v>#REF!</v>
      </c>
      <c r="D82" s="191">
        <f>P20</f>
        <v>22381468.801234379</v>
      </c>
      <c r="E82" s="503">
        <f>P20</f>
        <v>22381468.801234379</v>
      </c>
      <c r="F82" s="167" t="e">
        <f>E84</f>
        <v>#REF!</v>
      </c>
      <c r="G82" s="167" t="e">
        <f t="shared" ref="G82:P82" si="5">F84</f>
        <v>#REF!</v>
      </c>
      <c r="H82" s="167" t="e">
        <f t="shared" si="5"/>
        <v>#REF!</v>
      </c>
      <c r="I82" s="327" t="e">
        <f t="shared" si="5"/>
        <v>#REF!</v>
      </c>
      <c r="J82" s="167" t="e">
        <f t="shared" si="5"/>
        <v>#REF!</v>
      </c>
      <c r="K82" s="337" t="e">
        <f t="shared" si="5"/>
        <v>#REF!</v>
      </c>
      <c r="L82" s="167" t="e">
        <f t="shared" si="5"/>
        <v>#REF!</v>
      </c>
      <c r="M82" s="167" t="e">
        <f t="shared" si="5"/>
        <v>#REF!</v>
      </c>
      <c r="N82" s="167" t="e">
        <f t="shared" si="5"/>
        <v>#REF!</v>
      </c>
      <c r="O82" s="167" t="e">
        <f t="shared" si="5"/>
        <v>#REF!</v>
      </c>
      <c r="P82" s="167" t="e">
        <f t="shared" si="5"/>
        <v>#REF!</v>
      </c>
      <c r="Q82" s="491">
        <f>D82</f>
        <v>22381468.801234379</v>
      </c>
    </row>
    <row r="83" spans="1:17" x14ac:dyDescent="0.2">
      <c r="A83" s="188" t="s">
        <v>145</v>
      </c>
      <c r="B83" s="199"/>
      <c r="C83" s="199"/>
      <c r="D83" s="191"/>
      <c r="E83" s="503" t="e">
        <f>'2011-2 Amortization'!L25</f>
        <v>#REF!</v>
      </c>
      <c r="F83" s="170" t="e">
        <f>'2011-2 Amortization'!L47</f>
        <v>#REF!</v>
      </c>
      <c r="G83" s="170" t="e">
        <f>'2011-2 Amortization'!L69</f>
        <v>#REF!</v>
      </c>
      <c r="H83" s="170"/>
      <c r="I83" s="328"/>
      <c r="J83" s="170"/>
      <c r="K83" s="338"/>
      <c r="L83" s="170"/>
      <c r="M83" s="170"/>
      <c r="N83" s="170"/>
      <c r="O83" s="170"/>
      <c r="P83" s="170"/>
      <c r="Q83" s="491" t="e">
        <f>SUM(E83:P83)</f>
        <v>#REF!</v>
      </c>
    </row>
    <row r="84" spans="1:17" x14ac:dyDescent="0.2">
      <c r="A84" s="282" t="s">
        <v>136</v>
      </c>
      <c r="B84" s="238"/>
      <c r="C84" s="238"/>
      <c r="D84" s="259">
        <f t="shared" ref="D84:P84" si="6">D82+D83</f>
        <v>22381468.801234379</v>
      </c>
      <c r="E84" s="506" t="e">
        <f t="shared" si="6"/>
        <v>#REF!</v>
      </c>
      <c r="F84" s="240" t="e">
        <f t="shared" si="6"/>
        <v>#REF!</v>
      </c>
      <c r="G84" s="240" t="e">
        <f t="shared" si="6"/>
        <v>#REF!</v>
      </c>
      <c r="H84" s="240" t="e">
        <f t="shared" si="6"/>
        <v>#REF!</v>
      </c>
      <c r="I84" s="330" t="e">
        <f t="shared" si="6"/>
        <v>#REF!</v>
      </c>
      <c r="J84" s="240" t="e">
        <f t="shared" si="6"/>
        <v>#REF!</v>
      </c>
      <c r="K84" s="340" t="e">
        <f t="shared" si="6"/>
        <v>#REF!</v>
      </c>
      <c r="L84" s="240" t="e">
        <f t="shared" si="6"/>
        <v>#REF!</v>
      </c>
      <c r="M84" s="240" t="e">
        <f t="shared" si="6"/>
        <v>#REF!</v>
      </c>
      <c r="N84" s="240" t="e">
        <f t="shared" si="6"/>
        <v>#REF!</v>
      </c>
      <c r="O84" s="240" t="e">
        <f t="shared" si="6"/>
        <v>#REF!</v>
      </c>
      <c r="P84" s="240" t="e">
        <f t="shared" si="6"/>
        <v>#REF!</v>
      </c>
      <c r="Q84" s="492" t="e">
        <f>Q82+Q83</f>
        <v>#REF!</v>
      </c>
    </row>
    <row r="85" spans="1:17" x14ac:dyDescent="0.2">
      <c r="A85" s="188"/>
      <c r="B85" s="199"/>
      <c r="C85" s="199"/>
      <c r="D85" s="191"/>
      <c r="E85" s="283"/>
      <c r="F85" s="167"/>
      <c r="G85" s="167"/>
      <c r="H85" s="167"/>
      <c r="I85" s="327"/>
      <c r="J85" s="167"/>
      <c r="K85" s="337"/>
      <c r="L85" s="167"/>
      <c r="M85" s="167"/>
      <c r="N85" s="167"/>
      <c r="O85" s="167"/>
      <c r="P85" s="167"/>
      <c r="Q85" s="491"/>
    </row>
    <row r="86" spans="1:17" x14ac:dyDescent="0.2">
      <c r="A86" s="188" t="s">
        <v>107</v>
      </c>
      <c r="B86" s="199" t="e">
        <f>C86/24</f>
        <v>#REF!</v>
      </c>
      <c r="C86" s="199" t="e">
        <f>#REF!</f>
        <v>#REF!</v>
      </c>
      <c r="D86" s="189">
        <f>P24</f>
        <v>162822.20232318237</v>
      </c>
      <c r="E86" s="503">
        <f>P24</f>
        <v>162822.20232318237</v>
      </c>
      <c r="F86" s="167" t="e">
        <f>E88</f>
        <v>#REF!</v>
      </c>
      <c r="G86" s="167" t="e">
        <f t="shared" ref="G86:P86" si="7">F88</f>
        <v>#REF!</v>
      </c>
      <c r="H86" s="167" t="e">
        <f t="shared" si="7"/>
        <v>#REF!</v>
      </c>
      <c r="I86" s="327" t="e">
        <f t="shared" si="7"/>
        <v>#REF!</v>
      </c>
      <c r="J86" s="167" t="e">
        <f t="shared" si="7"/>
        <v>#REF!</v>
      </c>
      <c r="K86" s="337" t="e">
        <f t="shared" si="7"/>
        <v>#REF!</v>
      </c>
      <c r="L86" s="167" t="e">
        <f t="shared" si="7"/>
        <v>#REF!</v>
      </c>
      <c r="M86" s="167" t="e">
        <f t="shared" si="7"/>
        <v>#REF!</v>
      </c>
      <c r="N86" s="167" t="e">
        <f t="shared" si="7"/>
        <v>#REF!</v>
      </c>
      <c r="O86" s="167" t="e">
        <f t="shared" si="7"/>
        <v>#REF!</v>
      </c>
      <c r="P86" s="167" t="e">
        <f t="shared" si="7"/>
        <v>#REF!</v>
      </c>
      <c r="Q86" s="491">
        <f>D86</f>
        <v>162822.20232318237</v>
      </c>
    </row>
    <row r="87" spans="1:17" x14ac:dyDescent="0.2">
      <c r="A87" s="188" t="s">
        <v>147</v>
      </c>
      <c r="B87" s="199"/>
      <c r="C87" s="199"/>
      <c r="D87" s="189">
        <v>0</v>
      </c>
      <c r="E87" s="503" t="e">
        <f>'2011-2 Amortization'!M25</f>
        <v>#REF!</v>
      </c>
      <c r="F87" s="170" t="e">
        <f>'2011-2 Amortization'!M47</f>
        <v>#REF!</v>
      </c>
      <c r="G87" s="170" t="e">
        <f>'2011-2 Amortization'!M69</f>
        <v>#REF!</v>
      </c>
      <c r="H87" s="170"/>
      <c r="I87" s="328"/>
      <c r="J87" s="170"/>
      <c r="K87" s="338"/>
      <c r="L87" s="170"/>
      <c r="M87" s="170"/>
      <c r="N87" s="170"/>
      <c r="O87" s="170"/>
      <c r="P87" s="170"/>
      <c r="Q87" s="491" t="e">
        <f>SUM(E87:P87)</f>
        <v>#REF!</v>
      </c>
    </row>
    <row r="88" spans="1:17" x14ac:dyDescent="0.2">
      <c r="A88" s="282" t="s">
        <v>136</v>
      </c>
      <c r="B88" s="238"/>
      <c r="C88" s="238"/>
      <c r="D88" s="260">
        <f t="shared" ref="D88:P88" si="8">SUM(D86:D87)</f>
        <v>162822.20232318237</v>
      </c>
      <c r="E88" s="287" t="e">
        <f t="shared" si="8"/>
        <v>#REF!</v>
      </c>
      <c r="F88" s="241" t="e">
        <f t="shared" si="8"/>
        <v>#REF!</v>
      </c>
      <c r="G88" s="241" t="e">
        <f t="shared" si="8"/>
        <v>#REF!</v>
      </c>
      <c r="H88" s="241" t="e">
        <f t="shared" si="8"/>
        <v>#REF!</v>
      </c>
      <c r="I88" s="332" t="e">
        <f t="shared" si="8"/>
        <v>#REF!</v>
      </c>
      <c r="J88" s="241" t="e">
        <f t="shared" si="8"/>
        <v>#REF!</v>
      </c>
      <c r="K88" s="342" t="e">
        <f t="shared" si="8"/>
        <v>#REF!</v>
      </c>
      <c r="L88" s="241" t="e">
        <f t="shared" si="8"/>
        <v>#REF!</v>
      </c>
      <c r="M88" s="241" t="e">
        <f t="shared" si="8"/>
        <v>#REF!</v>
      </c>
      <c r="N88" s="241" t="e">
        <f t="shared" si="8"/>
        <v>#REF!</v>
      </c>
      <c r="O88" s="241" t="e">
        <f t="shared" si="8"/>
        <v>#REF!</v>
      </c>
      <c r="P88" s="241" t="e">
        <f t="shared" si="8"/>
        <v>#REF!</v>
      </c>
      <c r="Q88" s="494" t="e">
        <f>Q86+Q87</f>
        <v>#REF!</v>
      </c>
    </row>
    <row r="89" spans="1:17" x14ac:dyDescent="0.2">
      <c r="A89" s="192"/>
      <c r="B89" s="199"/>
      <c r="C89" s="199"/>
      <c r="D89" s="189">
        <f t="shared" ref="D89:P89" si="9">D84+D88</f>
        <v>22544291.003557563</v>
      </c>
      <c r="E89" s="505" t="e">
        <f t="shared" si="9"/>
        <v>#REF!</v>
      </c>
      <c r="F89" s="186" t="e">
        <f t="shared" si="9"/>
        <v>#REF!</v>
      </c>
      <c r="G89" s="186" t="e">
        <f t="shared" si="9"/>
        <v>#REF!</v>
      </c>
      <c r="H89" s="186" t="e">
        <f t="shared" si="9"/>
        <v>#REF!</v>
      </c>
      <c r="I89" s="331" t="e">
        <f t="shared" si="9"/>
        <v>#REF!</v>
      </c>
      <c r="J89" s="186" t="e">
        <f t="shared" si="9"/>
        <v>#REF!</v>
      </c>
      <c r="K89" s="341" t="e">
        <f t="shared" si="9"/>
        <v>#REF!</v>
      </c>
      <c r="L89" s="186" t="e">
        <f t="shared" si="9"/>
        <v>#REF!</v>
      </c>
      <c r="M89" s="186" t="e">
        <f t="shared" si="9"/>
        <v>#REF!</v>
      </c>
      <c r="N89" s="186" t="e">
        <f t="shared" si="9"/>
        <v>#REF!</v>
      </c>
      <c r="O89" s="186" t="e">
        <f t="shared" si="9"/>
        <v>#REF!</v>
      </c>
      <c r="P89" s="186" t="e">
        <f t="shared" si="9"/>
        <v>#REF!</v>
      </c>
      <c r="Q89" s="166"/>
    </row>
    <row r="90" spans="1:17" x14ac:dyDescent="0.2">
      <c r="A90" s="192"/>
      <c r="B90" s="199"/>
      <c r="C90" s="199"/>
      <c r="D90" s="189"/>
      <c r="E90" s="505"/>
      <c r="F90" s="186"/>
      <c r="G90" s="186"/>
      <c r="H90" s="186"/>
      <c r="I90" s="331"/>
      <c r="J90" s="186"/>
      <c r="K90" s="341"/>
      <c r="L90" s="186"/>
      <c r="M90" s="186"/>
      <c r="N90" s="186"/>
      <c r="O90" s="186"/>
      <c r="P90" s="186"/>
      <c r="Q90" s="166"/>
    </row>
    <row r="91" spans="1:17" x14ac:dyDescent="0.2">
      <c r="A91" s="192" t="s">
        <v>148</v>
      </c>
      <c r="B91" s="199"/>
      <c r="C91" s="199"/>
      <c r="D91" s="189">
        <f>D74+D84</f>
        <v>6321394.9173589889</v>
      </c>
      <c r="E91" s="505" t="e">
        <f>E74+E84</f>
        <v>#REF!</v>
      </c>
      <c r="F91" s="186" t="e">
        <f>F74+F84</f>
        <v>#REF!</v>
      </c>
      <c r="G91" s="186" t="e">
        <f t="shared" ref="G91:Q91" si="10">G74+G84</f>
        <v>#REF!</v>
      </c>
      <c r="H91" s="186" t="e">
        <f t="shared" si="10"/>
        <v>#REF!</v>
      </c>
      <c r="I91" s="331" t="e">
        <f t="shared" si="10"/>
        <v>#REF!</v>
      </c>
      <c r="J91" s="186" t="e">
        <f t="shared" si="10"/>
        <v>#REF!</v>
      </c>
      <c r="K91" s="341" t="e">
        <f t="shared" si="10"/>
        <v>#REF!</v>
      </c>
      <c r="L91" s="186" t="e">
        <f t="shared" si="10"/>
        <v>#REF!</v>
      </c>
      <c r="M91" s="186" t="e">
        <f t="shared" si="10"/>
        <v>#REF!</v>
      </c>
      <c r="N91" s="186" t="e">
        <f t="shared" si="10"/>
        <v>#REF!</v>
      </c>
      <c r="O91" s="186" t="e">
        <f t="shared" si="10"/>
        <v>#REF!</v>
      </c>
      <c r="P91" s="186" t="e">
        <f t="shared" si="10"/>
        <v>#REF!</v>
      </c>
      <c r="Q91" s="186" t="e">
        <f t="shared" si="10"/>
        <v>#REF!</v>
      </c>
    </row>
    <row r="92" spans="1:17" x14ac:dyDescent="0.2">
      <c r="A92" s="192" t="s">
        <v>149</v>
      </c>
      <c r="B92" s="199"/>
      <c r="C92" s="199"/>
      <c r="D92" s="189">
        <f>D78+D88</f>
        <v>-971146.89967320894</v>
      </c>
      <c r="E92" s="505" t="e">
        <f>E78+E88</f>
        <v>#REF!</v>
      </c>
      <c r="F92" s="186" t="e">
        <f>F78+F88</f>
        <v>#REF!</v>
      </c>
      <c r="G92" s="186" t="e">
        <f t="shared" ref="G92:Q92" si="11">G78+G88</f>
        <v>#REF!</v>
      </c>
      <c r="H92" s="186" t="e">
        <f t="shared" si="11"/>
        <v>#REF!</v>
      </c>
      <c r="I92" s="331" t="e">
        <f t="shared" si="11"/>
        <v>#REF!</v>
      </c>
      <c r="J92" s="186" t="e">
        <f t="shared" si="11"/>
        <v>#REF!</v>
      </c>
      <c r="K92" s="341" t="e">
        <f t="shared" si="11"/>
        <v>#REF!</v>
      </c>
      <c r="L92" s="186" t="e">
        <f t="shared" si="11"/>
        <v>#REF!</v>
      </c>
      <c r="M92" s="186" t="e">
        <f t="shared" si="11"/>
        <v>#REF!</v>
      </c>
      <c r="N92" s="186" t="e">
        <f t="shared" si="11"/>
        <v>#REF!</v>
      </c>
      <c r="O92" s="186" t="e">
        <f t="shared" si="11"/>
        <v>#REF!</v>
      </c>
      <c r="P92" s="186" t="e">
        <f t="shared" si="11"/>
        <v>#REF!</v>
      </c>
      <c r="Q92" s="186" t="e">
        <f t="shared" si="11"/>
        <v>#REF!</v>
      </c>
    </row>
    <row r="93" spans="1:17" ht="12" thickBot="1" x14ac:dyDescent="0.25">
      <c r="A93" s="300" t="s">
        <v>157</v>
      </c>
      <c r="B93" s="238" t="e">
        <f>SUM(B82:B86)</f>
        <v>#REF!</v>
      </c>
      <c r="C93" s="238" t="e">
        <f>SUM(C82:C86)</f>
        <v>#REF!</v>
      </c>
      <c r="D93" s="261">
        <f>D91+D92</f>
        <v>5350248.0176857803</v>
      </c>
      <c r="E93" s="506" t="e">
        <f>E79+E89</f>
        <v>#REF!</v>
      </c>
      <c r="F93" s="242" t="e">
        <f>F79+F89</f>
        <v>#REF!</v>
      </c>
      <c r="G93" s="242" t="e">
        <f t="shared" ref="G93:P93" si="12">G79+G89</f>
        <v>#REF!</v>
      </c>
      <c r="H93" s="242" t="e">
        <f t="shared" si="12"/>
        <v>#REF!</v>
      </c>
      <c r="I93" s="333" t="e">
        <f t="shared" si="12"/>
        <v>#REF!</v>
      </c>
      <c r="J93" s="242" t="e">
        <f t="shared" si="12"/>
        <v>#REF!</v>
      </c>
      <c r="K93" s="343" t="e">
        <f t="shared" si="12"/>
        <v>#REF!</v>
      </c>
      <c r="L93" s="242" t="e">
        <f t="shared" si="12"/>
        <v>#REF!</v>
      </c>
      <c r="M93" s="242" t="e">
        <f t="shared" si="12"/>
        <v>#REF!</v>
      </c>
      <c r="N93" s="242" t="e">
        <f t="shared" si="12"/>
        <v>#REF!</v>
      </c>
      <c r="O93" s="242" t="e">
        <f t="shared" si="12"/>
        <v>#REF!</v>
      </c>
      <c r="P93" s="242" t="e">
        <f t="shared" si="12"/>
        <v>#REF!</v>
      </c>
      <c r="Q93" s="242" t="e">
        <f>Q91+Q92</f>
        <v>#REF!</v>
      </c>
    </row>
    <row r="94" spans="1:17" x14ac:dyDescent="0.2">
      <c r="A94" s="301" t="s">
        <v>108</v>
      </c>
      <c r="B94" s="252" t="e">
        <f>B72+B82</f>
        <v>#REF!</v>
      </c>
      <c r="C94" s="168" t="e">
        <f>C72+C82</f>
        <v>#REF!</v>
      </c>
      <c r="D94" s="258">
        <f t="shared" ref="D94:F95" si="13">D91</f>
        <v>6321394.9173589889</v>
      </c>
      <c r="E94" s="505" t="e">
        <f t="shared" si="13"/>
        <v>#REF!</v>
      </c>
      <c r="F94" s="168" t="e">
        <f t="shared" si="13"/>
        <v>#REF!</v>
      </c>
      <c r="G94" s="168" t="e">
        <f t="shared" ref="G94:P94" si="14">G91</f>
        <v>#REF!</v>
      </c>
      <c r="H94" s="168" t="e">
        <f t="shared" si="14"/>
        <v>#REF!</v>
      </c>
      <c r="I94" s="245" t="e">
        <f t="shared" si="14"/>
        <v>#REF!</v>
      </c>
      <c r="J94" s="168" t="e">
        <f t="shared" si="14"/>
        <v>#REF!</v>
      </c>
      <c r="K94" s="252" t="e">
        <f t="shared" si="14"/>
        <v>#REF!</v>
      </c>
      <c r="L94" s="168" t="e">
        <f t="shared" si="14"/>
        <v>#REF!</v>
      </c>
      <c r="M94" s="168" t="e">
        <f t="shared" si="14"/>
        <v>#REF!</v>
      </c>
      <c r="N94" s="168" t="e">
        <f t="shared" si="14"/>
        <v>#REF!</v>
      </c>
      <c r="O94" s="168" t="e">
        <f t="shared" si="14"/>
        <v>#REF!</v>
      </c>
      <c r="P94" s="168" t="e">
        <f t="shared" si="14"/>
        <v>#REF!</v>
      </c>
      <c r="Q94" s="166"/>
    </row>
    <row r="95" spans="1:17" ht="12" thickBot="1" x14ac:dyDescent="0.25">
      <c r="A95" s="302" t="s">
        <v>156</v>
      </c>
      <c r="B95" s="253" t="e">
        <f>B76+B86</f>
        <v>#REF!</v>
      </c>
      <c r="C95" s="204" t="e">
        <f>C76+C86</f>
        <v>#REF!</v>
      </c>
      <c r="D95" s="262">
        <f t="shared" si="13"/>
        <v>-971146.89967320894</v>
      </c>
      <c r="E95" s="507" t="e">
        <f t="shared" si="13"/>
        <v>#REF!</v>
      </c>
      <c r="F95" s="204" t="e">
        <f t="shared" si="13"/>
        <v>#REF!</v>
      </c>
      <c r="G95" s="204" t="e">
        <f t="shared" ref="G95:P95" si="15">G92</f>
        <v>#REF!</v>
      </c>
      <c r="H95" s="204" t="e">
        <f t="shared" si="15"/>
        <v>#REF!</v>
      </c>
      <c r="I95" s="246" t="e">
        <f t="shared" si="15"/>
        <v>#REF!</v>
      </c>
      <c r="J95" s="204" t="e">
        <f t="shared" si="15"/>
        <v>#REF!</v>
      </c>
      <c r="K95" s="253" t="e">
        <f t="shared" si="15"/>
        <v>#REF!</v>
      </c>
      <c r="L95" s="204" t="e">
        <f t="shared" si="15"/>
        <v>#REF!</v>
      </c>
      <c r="M95" s="204" t="e">
        <f t="shared" si="15"/>
        <v>#REF!</v>
      </c>
      <c r="N95" s="204" t="e">
        <f t="shared" si="15"/>
        <v>#REF!</v>
      </c>
      <c r="O95" s="204" t="e">
        <f t="shared" si="15"/>
        <v>#REF!</v>
      </c>
      <c r="P95" s="204" t="e">
        <f t="shared" si="15"/>
        <v>#REF!</v>
      </c>
      <c r="Q95" s="493"/>
    </row>
    <row r="96" spans="1:17" ht="12" thickBot="1" x14ac:dyDescent="0.25">
      <c r="A96" s="302" t="s">
        <v>157</v>
      </c>
      <c r="B96" s="262" t="e">
        <f t="shared" ref="B96:P96" si="16">B94+B95</f>
        <v>#REF!</v>
      </c>
      <c r="C96" s="204" t="e">
        <f t="shared" si="16"/>
        <v>#REF!</v>
      </c>
      <c r="D96" s="262">
        <f t="shared" si="16"/>
        <v>5350248.0176857803</v>
      </c>
      <c r="E96" s="507" t="e">
        <f t="shared" si="16"/>
        <v>#REF!</v>
      </c>
      <c r="F96" s="204" t="e">
        <f t="shared" si="16"/>
        <v>#REF!</v>
      </c>
      <c r="G96" s="204" t="e">
        <f t="shared" si="16"/>
        <v>#REF!</v>
      </c>
      <c r="H96" s="204" t="e">
        <f t="shared" si="16"/>
        <v>#REF!</v>
      </c>
      <c r="I96" s="246" t="e">
        <f t="shared" si="16"/>
        <v>#REF!</v>
      </c>
      <c r="J96" s="204" t="e">
        <f t="shared" si="16"/>
        <v>#REF!</v>
      </c>
      <c r="K96" s="262" t="e">
        <f t="shared" si="16"/>
        <v>#REF!</v>
      </c>
      <c r="L96" s="298" t="e">
        <f t="shared" si="16"/>
        <v>#REF!</v>
      </c>
      <c r="M96" s="253" t="e">
        <f t="shared" si="16"/>
        <v>#REF!</v>
      </c>
      <c r="N96" s="204" t="e">
        <f t="shared" si="16"/>
        <v>#REF!</v>
      </c>
      <c r="O96" s="204" t="e">
        <f t="shared" si="16"/>
        <v>#REF!</v>
      </c>
      <c r="P96" s="204" t="e">
        <f t="shared" si="16"/>
        <v>#REF!</v>
      </c>
      <c r="Q96" s="495" t="e">
        <f>Q74+Q78+Q84+Q88</f>
        <v>#REF!</v>
      </c>
    </row>
    <row r="97" spans="1:16" ht="15.75" x14ac:dyDescent="0.25">
      <c r="A97" s="174"/>
      <c r="B97" s="247"/>
      <c r="C97" s="205"/>
      <c r="D97" s="258"/>
      <c r="E97" s="245"/>
      <c r="F97" s="202"/>
      <c r="G97" s="297"/>
      <c r="H97" s="297"/>
      <c r="J97" s="297"/>
      <c r="L97" s="297"/>
      <c r="M97" s="297"/>
      <c r="N97" s="299"/>
      <c r="P97" s="299"/>
    </row>
    <row r="98" spans="1:16" ht="15.75" x14ac:dyDescent="0.25">
      <c r="A98" s="169" t="s">
        <v>109</v>
      </c>
      <c r="B98" s="244"/>
      <c r="C98" s="205"/>
      <c r="D98" s="258"/>
      <c r="E98" s="217"/>
      <c r="F98" s="168"/>
      <c r="G98" s="309"/>
      <c r="H98" s="173"/>
      <c r="J98" s="173"/>
      <c r="L98" s="173"/>
      <c r="M98" s="173"/>
      <c r="N98" s="166"/>
      <c r="P98" s="166"/>
    </row>
    <row r="99" spans="1:16" ht="15.75" x14ac:dyDescent="0.25">
      <c r="A99" s="171" t="s">
        <v>110</v>
      </c>
      <c r="B99" s="216"/>
      <c r="C99" s="205"/>
      <c r="D99" s="258"/>
      <c r="E99" s="245"/>
      <c r="F99" s="168"/>
      <c r="G99" s="310"/>
      <c r="H99" s="173"/>
      <c r="J99" s="173"/>
      <c r="L99" s="173"/>
      <c r="M99" s="173"/>
      <c r="N99" s="166"/>
      <c r="P99" s="166"/>
    </row>
    <row r="100" spans="1:16" x14ac:dyDescent="0.2">
      <c r="A100" s="175" t="s">
        <v>155</v>
      </c>
      <c r="B100" s="248"/>
      <c r="C100" s="176"/>
      <c r="D100" s="168">
        <f>D94</f>
        <v>6321394.9173589889</v>
      </c>
      <c r="E100" s="168" t="e">
        <f>E94</f>
        <v>#REF!</v>
      </c>
      <c r="F100" s="168" t="e">
        <f>F94</f>
        <v>#REF!</v>
      </c>
      <c r="G100" s="168" t="e">
        <f t="shared" ref="G100:P100" si="17">G94</f>
        <v>#REF!</v>
      </c>
      <c r="H100" s="168" t="e">
        <f t="shared" si="17"/>
        <v>#REF!</v>
      </c>
      <c r="I100" s="258" t="e">
        <f t="shared" si="17"/>
        <v>#REF!</v>
      </c>
      <c r="J100" s="168" t="e">
        <f t="shared" si="17"/>
        <v>#REF!</v>
      </c>
      <c r="K100" s="258" t="e">
        <f t="shared" si="17"/>
        <v>#REF!</v>
      </c>
      <c r="L100" s="168" t="e">
        <f t="shared" si="17"/>
        <v>#REF!</v>
      </c>
      <c r="M100" s="168" t="e">
        <f t="shared" si="17"/>
        <v>#REF!</v>
      </c>
      <c r="N100" s="168" t="e">
        <f t="shared" si="17"/>
        <v>#REF!</v>
      </c>
      <c r="O100" s="258" t="e">
        <f t="shared" si="17"/>
        <v>#REF!</v>
      </c>
      <c r="P100" s="168" t="e">
        <f t="shared" si="17"/>
        <v>#REF!</v>
      </c>
    </row>
    <row r="101" spans="1:16" x14ac:dyDescent="0.2">
      <c r="A101" s="175"/>
      <c r="B101" s="248"/>
      <c r="C101" s="176"/>
      <c r="D101" s="258"/>
      <c r="E101" s="245"/>
      <c r="F101" s="168"/>
      <c r="G101" s="168"/>
      <c r="H101" s="168"/>
      <c r="I101" s="258"/>
      <c r="J101" s="168"/>
      <c r="K101" s="258"/>
      <c r="L101" s="168"/>
      <c r="M101" s="168"/>
      <c r="N101" s="168"/>
      <c r="O101" s="258"/>
      <c r="P101" s="168"/>
    </row>
    <row r="102" spans="1:16" x14ac:dyDescent="0.2">
      <c r="A102" s="175" t="s">
        <v>158</v>
      </c>
      <c r="B102" s="248"/>
      <c r="C102" s="176"/>
      <c r="D102" s="289">
        <f>P38</f>
        <v>788.5710716267713</v>
      </c>
      <c r="E102" s="511">
        <f>P38</f>
        <v>788.5710716267713</v>
      </c>
      <c r="F102" s="168">
        <f>E102</f>
        <v>788.5710716267713</v>
      </c>
      <c r="G102" s="168">
        <f t="shared" ref="G102:O102" si="18">F102</f>
        <v>788.5710716267713</v>
      </c>
      <c r="H102" s="168">
        <f t="shared" si="18"/>
        <v>788.5710716267713</v>
      </c>
      <c r="I102" s="258">
        <f t="shared" si="18"/>
        <v>788.5710716267713</v>
      </c>
      <c r="J102" s="168">
        <f t="shared" si="18"/>
        <v>788.5710716267713</v>
      </c>
      <c r="K102" s="168">
        <f t="shared" si="18"/>
        <v>788.5710716267713</v>
      </c>
      <c r="L102" s="168">
        <f t="shared" si="18"/>
        <v>788.5710716267713</v>
      </c>
      <c r="M102" s="168">
        <f t="shared" si="18"/>
        <v>788.5710716267713</v>
      </c>
      <c r="N102" s="168">
        <f t="shared" si="18"/>
        <v>788.5710716267713</v>
      </c>
      <c r="O102" s="168">
        <f t="shared" si="18"/>
        <v>788.5710716267713</v>
      </c>
      <c r="P102" s="168">
        <f>L102</f>
        <v>788.5710716267713</v>
      </c>
    </row>
    <row r="103" spans="1:16" x14ac:dyDescent="0.2">
      <c r="A103" s="175"/>
      <c r="B103" s="248"/>
      <c r="C103" s="176"/>
      <c r="D103" s="289"/>
      <c r="E103" s="511"/>
      <c r="F103" s="168"/>
      <c r="G103" s="168"/>
      <c r="H103" s="168"/>
      <c r="I103" s="258"/>
      <c r="J103" s="168"/>
      <c r="K103" s="258"/>
      <c r="L103" s="168"/>
      <c r="M103" s="168"/>
      <c r="N103" s="168"/>
      <c r="O103" s="258"/>
      <c r="P103" s="168"/>
    </row>
    <row r="104" spans="1:16" x14ac:dyDescent="0.2">
      <c r="A104" s="175" t="s">
        <v>111</v>
      </c>
      <c r="B104" s="248"/>
      <c r="C104" s="176"/>
      <c r="D104" s="289">
        <f>P41</f>
        <v>69076.940793094225</v>
      </c>
      <c r="E104" s="313">
        <f>D100*0.0147/12</f>
        <v>7743.7087737647607</v>
      </c>
      <c r="F104" s="313" t="e">
        <f>E100*0.0147/12</f>
        <v>#REF!</v>
      </c>
      <c r="G104" s="313" t="e">
        <f>F100*0.0147/12</f>
        <v>#REF!</v>
      </c>
      <c r="H104" s="313" t="e">
        <f>G100*0.0147/12</f>
        <v>#REF!</v>
      </c>
      <c r="I104" s="334"/>
      <c r="J104" s="313"/>
      <c r="K104" s="313"/>
      <c r="L104" s="313"/>
      <c r="M104" s="313"/>
      <c r="N104" s="313"/>
      <c r="O104" s="313"/>
      <c r="P104" s="313"/>
    </row>
    <row r="105" spans="1:16" x14ac:dyDescent="0.2">
      <c r="A105" s="176" t="s">
        <v>112</v>
      </c>
      <c r="B105" s="248"/>
      <c r="C105" s="176"/>
      <c r="D105" s="289">
        <f>D104</f>
        <v>69076.940793094225</v>
      </c>
      <c r="E105" s="511">
        <f>D105+E104</f>
        <v>76820.649566858992</v>
      </c>
      <c r="F105" s="168" t="e">
        <f>E105+F104</f>
        <v>#REF!</v>
      </c>
      <c r="G105" s="168" t="e">
        <f t="shared" ref="G105:P105" si="19">F105+G104</f>
        <v>#REF!</v>
      </c>
      <c r="H105" s="168" t="e">
        <f t="shared" si="19"/>
        <v>#REF!</v>
      </c>
      <c r="I105" s="258" t="e">
        <f t="shared" si="19"/>
        <v>#REF!</v>
      </c>
      <c r="J105" s="168" t="e">
        <f t="shared" si="19"/>
        <v>#REF!</v>
      </c>
      <c r="K105" s="258" t="e">
        <f t="shared" si="19"/>
        <v>#REF!</v>
      </c>
      <c r="L105" s="168" t="e">
        <f t="shared" si="19"/>
        <v>#REF!</v>
      </c>
      <c r="M105" s="168" t="e">
        <f t="shared" si="19"/>
        <v>#REF!</v>
      </c>
      <c r="N105" s="168" t="e">
        <f t="shared" si="19"/>
        <v>#REF!</v>
      </c>
      <c r="O105" s="258" t="e">
        <f t="shared" si="19"/>
        <v>#REF!</v>
      </c>
      <c r="P105" s="168" t="e">
        <f t="shared" si="19"/>
        <v>#REF!</v>
      </c>
    </row>
    <row r="106" spans="1:16" ht="12" thickBot="1" x14ac:dyDescent="0.25">
      <c r="A106" s="177" t="s">
        <v>113</v>
      </c>
      <c r="B106" s="249"/>
      <c r="C106" s="207"/>
      <c r="D106" s="508">
        <f>D96+D105+D102</f>
        <v>5420113.5295505011</v>
      </c>
      <c r="E106" s="508" t="e">
        <f>E96+E105+E102</f>
        <v>#REF!</v>
      </c>
      <c r="F106" s="208" t="e">
        <f>F96+F102+F105</f>
        <v>#REF!</v>
      </c>
      <c r="G106" s="208" t="e">
        <f>G96+G102+G105</f>
        <v>#REF!</v>
      </c>
      <c r="H106" s="208" t="e">
        <f t="shared" ref="H106:P106" si="20">H96+H102+H105</f>
        <v>#REF!</v>
      </c>
      <c r="I106" s="263" t="e">
        <f t="shared" si="20"/>
        <v>#REF!</v>
      </c>
      <c r="J106" s="208" t="e">
        <f t="shared" si="20"/>
        <v>#REF!</v>
      </c>
      <c r="K106" s="263" t="e">
        <f t="shared" si="20"/>
        <v>#REF!</v>
      </c>
      <c r="L106" s="208" t="e">
        <f t="shared" si="20"/>
        <v>#REF!</v>
      </c>
      <c r="M106" s="208" t="e">
        <f t="shared" si="20"/>
        <v>#REF!</v>
      </c>
      <c r="N106" s="208" t="e">
        <f t="shared" si="20"/>
        <v>#REF!</v>
      </c>
      <c r="O106" s="263" t="e">
        <f t="shared" si="20"/>
        <v>#REF!</v>
      </c>
      <c r="P106" s="208" t="e">
        <f t="shared" si="20"/>
        <v>#REF!</v>
      </c>
    </row>
    <row r="107" spans="1:16" x14ac:dyDescent="0.2">
      <c r="A107" s="178" t="s">
        <v>114</v>
      </c>
      <c r="B107" s="250"/>
      <c r="C107" s="209"/>
      <c r="D107" s="509">
        <f>P43</f>
        <v>5420113.6600000001</v>
      </c>
      <c r="E107" s="509">
        <f>5619405.33-911774.59+76820.67</f>
        <v>4784451.41</v>
      </c>
      <c r="F107" s="210">
        <f>-855399.92+4947777.23+83704.44</f>
        <v>4176081.7500000005</v>
      </c>
      <c r="G107" s="210">
        <f>SUM('[20]2.Reg Asset_Liability Details'!$L$60:$L$62)</f>
        <v>3599881.64</v>
      </c>
      <c r="H107" s="210"/>
      <c r="I107" s="296"/>
      <c r="J107" s="210"/>
      <c r="K107" s="296"/>
      <c r="L107" s="210"/>
      <c r="M107" s="210"/>
      <c r="N107" s="210"/>
      <c r="O107" s="296"/>
      <c r="P107" s="210"/>
    </row>
    <row r="108" spans="1:16" ht="12" thickBot="1" x14ac:dyDescent="0.25">
      <c r="A108" s="179" t="s">
        <v>115</v>
      </c>
      <c r="B108" s="251"/>
      <c r="C108" s="211"/>
      <c r="D108" s="512">
        <f t="shared" ref="D108:P108" si="21">+D106-D107</f>
        <v>-0.13044949900358915</v>
      </c>
      <c r="E108" s="510" t="e">
        <f t="shared" si="21"/>
        <v>#REF!</v>
      </c>
      <c r="F108" s="212" t="e">
        <f t="shared" si="21"/>
        <v>#REF!</v>
      </c>
      <c r="G108" s="212" t="e">
        <f t="shared" si="21"/>
        <v>#REF!</v>
      </c>
      <c r="H108" s="212" t="e">
        <f t="shared" si="21"/>
        <v>#REF!</v>
      </c>
      <c r="I108" s="499" t="e">
        <f t="shared" si="21"/>
        <v>#REF!</v>
      </c>
      <c r="J108" s="212" t="e">
        <f t="shared" si="21"/>
        <v>#REF!</v>
      </c>
      <c r="K108" s="264" t="e">
        <f t="shared" si="21"/>
        <v>#REF!</v>
      </c>
      <c r="L108" s="212" t="e">
        <f t="shared" si="21"/>
        <v>#REF!</v>
      </c>
      <c r="M108" s="212" t="e">
        <f t="shared" si="21"/>
        <v>#REF!</v>
      </c>
      <c r="N108" s="212" t="e">
        <f t="shared" si="21"/>
        <v>#REF!</v>
      </c>
      <c r="O108" s="264" t="e">
        <f t="shared" si="21"/>
        <v>#REF!</v>
      </c>
      <c r="P108" s="212" t="e">
        <f t="shared" si="21"/>
        <v>#REF!</v>
      </c>
    </row>
    <row r="109" spans="1:16" x14ac:dyDescent="0.2">
      <c r="I109" s="215"/>
      <c r="J109" s="215"/>
      <c r="K109" s="215"/>
      <c r="L109" s="215"/>
      <c r="P109" s="352"/>
    </row>
    <row r="110" spans="1:16" hidden="1" x14ac:dyDescent="0.2">
      <c r="D110" s="163" t="s">
        <v>116</v>
      </c>
      <c r="E110" s="180">
        <v>-227.82539952109005</v>
      </c>
      <c r="F110" s="180">
        <v>-18368.492315645293</v>
      </c>
      <c r="I110" s="215"/>
      <c r="J110" s="215"/>
      <c r="K110" s="215"/>
      <c r="L110" s="215"/>
    </row>
    <row r="111" spans="1:16" hidden="1" x14ac:dyDescent="0.2">
      <c r="D111" s="163" t="s">
        <v>117</v>
      </c>
      <c r="E111" s="203">
        <v>-227.82539952109005</v>
      </c>
      <c r="F111" s="203">
        <v>-25913.321182094562</v>
      </c>
      <c r="I111" s="215"/>
      <c r="J111" s="215"/>
      <c r="K111" s="215"/>
      <c r="L111" s="215"/>
    </row>
    <row r="112" spans="1:16" ht="12" hidden="1" thickBot="1" x14ac:dyDescent="0.25">
      <c r="E112" s="213">
        <v>0</v>
      </c>
      <c r="F112" s="213">
        <v>-7544.8288664492684</v>
      </c>
      <c r="I112" s="215"/>
      <c r="J112" s="215"/>
      <c r="K112" s="215"/>
      <c r="L112" s="215"/>
    </row>
    <row r="113" spans="1:12" hidden="1" x14ac:dyDescent="0.2">
      <c r="I113" s="215"/>
      <c r="J113" s="215"/>
      <c r="K113" s="215"/>
      <c r="L113" s="215"/>
    </row>
    <row r="114" spans="1:12" hidden="1" x14ac:dyDescent="0.2">
      <c r="I114" s="215"/>
      <c r="J114" s="215"/>
      <c r="K114" s="215"/>
      <c r="L114" s="215"/>
    </row>
    <row r="115" spans="1:12" hidden="1" x14ac:dyDescent="0.2">
      <c r="I115" s="215"/>
      <c r="J115" s="215"/>
      <c r="K115" s="215"/>
      <c r="L115" s="215"/>
    </row>
    <row r="116" spans="1:12" x14ac:dyDescent="0.2">
      <c r="A116" s="181" t="s">
        <v>118</v>
      </c>
      <c r="B116" s="214"/>
      <c r="C116" s="214"/>
      <c r="D116" s="215"/>
      <c r="F116" s="189"/>
      <c r="G116" s="206"/>
      <c r="I116" s="215"/>
      <c r="J116" s="215" t="s">
        <v>173</v>
      </c>
      <c r="K116" s="496">
        <v>7963.1843603439593</v>
      </c>
      <c r="L116" s="215"/>
    </row>
    <row r="117" spans="1:12" ht="12" thickBot="1" x14ac:dyDescent="0.25">
      <c r="A117" s="182"/>
      <c r="B117" s="215"/>
      <c r="C117" s="215"/>
      <c r="D117" s="215"/>
      <c r="F117" s="276"/>
      <c r="G117" s="206"/>
      <c r="I117" s="215"/>
      <c r="J117" s="215" t="s">
        <v>174</v>
      </c>
      <c r="K117" s="497">
        <v>4921.0689867294122</v>
      </c>
      <c r="L117" s="215"/>
    </row>
    <row r="118" spans="1:12" ht="16.5" thickBot="1" x14ac:dyDescent="0.3">
      <c r="A118" s="182" t="s">
        <v>121</v>
      </c>
      <c r="B118" s="265" t="s">
        <v>119</v>
      </c>
      <c r="C118" s="266"/>
      <c r="D118" s="266"/>
      <c r="E118" s="500"/>
      <c r="F118" s="267"/>
      <c r="I118" s="215"/>
      <c r="J118" s="215" t="s">
        <v>175</v>
      </c>
      <c r="K118" s="215"/>
      <c r="L118" s="215"/>
    </row>
    <row r="119" spans="1:12" ht="12.75" x14ac:dyDescent="0.2">
      <c r="A119" s="182"/>
      <c r="B119" s="185"/>
      <c r="C119" s="268" t="s">
        <v>401</v>
      </c>
      <c r="D119" s="323" t="s">
        <v>402</v>
      </c>
      <c r="E119" s="501" t="s">
        <v>403</v>
      </c>
      <c r="F119" s="268" t="s">
        <v>404</v>
      </c>
      <c r="I119" s="215"/>
      <c r="J119" s="215" t="s">
        <v>176</v>
      </c>
      <c r="K119" s="498">
        <f>K116-K117</f>
        <v>3042.115373614547</v>
      </c>
      <c r="L119" s="215"/>
    </row>
    <row r="120" spans="1:12" ht="13.5" thickBot="1" x14ac:dyDescent="0.25">
      <c r="A120" s="182" t="s">
        <v>126</v>
      </c>
      <c r="B120" s="152"/>
      <c r="C120" s="269" t="s">
        <v>125</v>
      </c>
      <c r="D120" s="324" t="s">
        <v>122</v>
      </c>
      <c r="E120" s="502" t="s">
        <v>123</v>
      </c>
      <c r="F120" s="269" t="s">
        <v>124</v>
      </c>
      <c r="I120" s="215"/>
      <c r="J120" s="215"/>
      <c r="K120" s="215"/>
      <c r="L120" s="215"/>
    </row>
    <row r="121" spans="1:12" ht="12.75" x14ac:dyDescent="0.2">
      <c r="A121" s="182" t="s">
        <v>128</v>
      </c>
      <c r="B121" s="144" t="s">
        <v>127</v>
      </c>
      <c r="C121" s="270" t="e">
        <f>SUM(E73:G73)+SUM(E83:G83)</f>
        <v>#REF!</v>
      </c>
      <c r="D121" s="270">
        <f>SUM(H73:J73)+SUM(H83:J83)</f>
        <v>0</v>
      </c>
      <c r="E121" s="270">
        <f>SUM(K73:M73)+SUM(K83:M83)</f>
        <v>0</v>
      </c>
      <c r="F121" s="270">
        <f>SUM(N73:P73)+SUM(N83:P83)</f>
        <v>0</v>
      </c>
      <c r="I121" s="215"/>
      <c r="J121" s="215"/>
      <c r="K121" s="215"/>
      <c r="L121" s="215"/>
    </row>
    <row r="122" spans="1:12" ht="12.75" x14ac:dyDescent="0.2">
      <c r="A122" s="182" t="s">
        <v>131</v>
      </c>
      <c r="B122" s="144" t="s">
        <v>129</v>
      </c>
      <c r="C122" s="271" t="e">
        <f>G74+G84</f>
        <v>#REF!</v>
      </c>
      <c r="D122" s="271" t="e">
        <f>J74+J84</f>
        <v>#REF!</v>
      </c>
      <c r="E122" s="271" t="e">
        <f>M74+M84</f>
        <v>#REF!</v>
      </c>
      <c r="F122" s="271" t="e">
        <f>P74+P84</f>
        <v>#REF!</v>
      </c>
    </row>
    <row r="123" spans="1:12" ht="12.75" x14ac:dyDescent="0.2">
      <c r="A123" s="182" t="s">
        <v>133</v>
      </c>
      <c r="B123" s="144" t="s">
        <v>132</v>
      </c>
      <c r="C123" s="270" t="e">
        <f>SUM(E77:G77)+SUM(E87:G87)+SUM(E104:G104)</f>
        <v>#REF!</v>
      </c>
      <c r="D123" s="270" t="e">
        <f>SUM(H77:J77)+SUM(H87:J87)+SUM(H104:J104)</f>
        <v>#REF!</v>
      </c>
      <c r="E123" s="270">
        <f>SUM(K77:M77)+SUM(K87:M87)+SUM(K104:M104)</f>
        <v>0</v>
      </c>
      <c r="F123" s="270">
        <f>SUM(N77:P77)+SUM(N87:P87)+SUM(N104:P104)</f>
        <v>0</v>
      </c>
    </row>
    <row r="124" spans="1:12" ht="13.5" thickBot="1" x14ac:dyDescent="0.25">
      <c r="A124" s="182" t="s">
        <v>135</v>
      </c>
      <c r="B124" s="152" t="s">
        <v>134</v>
      </c>
      <c r="C124" s="272" t="e">
        <f>G105+G78+G88+G102</f>
        <v>#REF!</v>
      </c>
      <c r="D124" s="272" t="e">
        <f>J78+J88+J105+J102</f>
        <v>#REF!</v>
      </c>
      <c r="E124" s="272" t="e">
        <f>M78+M88+M105+M102</f>
        <v>#REF!</v>
      </c>
      <c r="F124" s="272" t="e">
        <f>P78+P88+P105+P102</f>
        <v>#REF!</v>
      </c>
    </row>
    <row r="125" spans="1:12" ht="13.5" thickBot="1" x14ac:dyDescent="0.25">
      <c r="A125" s="182" t="s">
        <v>137</v>
      </c>
      <c r="B125" s="273" t="s">
        <v>136</v>
      </c>
      <c r="C125" s="274" t="e">
        <f>C122+C124</f>
        <v>#REF!</v>
      </c>
      <c r="D125" s="274" t="e">
        <f>D122+D124</f>
        <v>#REF!</v>
      </c>
      <c r="E125" s="274" t="e">
        <f>E122+E124</f>
        <v>#REF!</v>
      </c>
      <c r="F125" s="274" t="e">
        <f>F122+F124</f>
        <v>#REF!</v>
      </c>
    </row>
    <row r="126" spans="1:12" ht="13.5" thickBot="1" x14ac:dyDescent="0.25">
      <c r="A126" s="182" t="s">
        <v>139</v>
      </c>
      <c r="B126" s="273" t="s">
        <v>138</v>
      </c>
      <c r="C126" s="275" t="e">
        <f>C121+C123+F61</f>
        <v>#REF!</v>
      </c>
      <c r="D126" s="275" t="e">
        <f>D121+D123+C126</f>
        <v>#REF!</v>
      </c>
      <c r="E126" s="275" t="e">
        <f>E121+E123+D126</f>
        <v>#REF!</v>
      </c>
      <c r="F126" s="275" t="e">
        <f>F121+F123+E126</f>
        <v>#REF!</v>
      </c>
    </row>
    <row r="127" spans="1:12" ht="12" thickBot="1" x14ac:dyDescent="0.25">
      <c r="B127" s="219" t="s">
        <v>163</v>
      </c>
      <c r="C127" s="308" t="e">
        <f>C125-C126</f>
        <v>#REF!</v>
      </c>
      <c r="D127" s="308" t="e">
        <f>J107-D125</f>
        <v>#REF!</v>
      </c>
      <c r="E127" s="308" t="e">
        <f>M107-E125</f>
        <v>#REF!</v>
      </c>
      <c r="F127" s="308" t="e">
        <f>P107-F125</f>
        <v>#REF!</v>
      </c>
      <c r="G127" s="206"/>
    </row>
    <row r="128" spans="1:12" ht="12" thickBot="1" x14ac:dyDescent="0.25">
      <c r="B128" s="219" t="s">
        <v>164</v>
      </c>
      <c r="C128" s="308" t="e">
        <f>C126-G107</f>
        <v>#REF!</v>
      </c>
      <c r="D128" s="308" t="e">
        <f>D126-J107</f>
        <v>#REF!</v>
      </c>
      <c r="E128" s="308" t="e">
        <f>E126-M107</f>
        <v>#REF!</v>
      </c>
      <c r="F128" s="308" t="e">
        <f>F126-P107</f>
        <v>#REF!</v>
      </c>
      <c r="G128" s="206"/>
    </row>
    <row r="129" spans="5:7" x14ac:dyDescent="0.2">
      <c r="E129" s="206"/>
      <c r="F129" s="206"/>
      <c r="G129" s="206"/>
    </row>
    <row r="130" spans="5:7" x14ac:dyDescent="0.2">
      <c r="E130" s="206"/>
      <c r="F130" s="206"/>
      <c r="G130" s="206"/>
    </row>
    <row r="131" spans="5:7" x14ac:dyDescent="0.2">
      <c r="E131" s="206"/>
      <c r="F131" s="206"/>
      <c r="G131" s="206"/>
    </row>
    <row r="132" spans="5:7" x14ac:dyDescent="0.2">
      <c r="E132" s="206"/>
      <c r="F132" s="206"/>
      <c r="G132" s="206"/>
    </row>
    <row r="133" spans="5:7" x14ac:dyDescent="0.2">
      <c r="E133" s="206"/>
      <c r="F133" s="206"/>
      <c r="G133" s="206"/>
    </row>
    <row r="134" spans="5:7" x14ac:dyDescent="0.2">
      <c r="E134" s="206"/>
      <c r="F134" s="206"/>
      <c r="G134" s="206"/>
    </row>
    <row r="135" spans="5:7" x14ac:dyDescent="0.2">
      <c r="E135" s="206"/>
      <c r="F135" s="206"/>
      <c r="G135" s="206"/>
    </row>
    <row r="136" spans="5:7" x14ac:dyDescent="0.2">
      <c r="E136" s="206"/>
      <c r="F136" s="206"/>
      <c r="G136" s="206"/>
    </row>
    <row r="137" spans="5:7" x14ac:dyDescent="0.2">
      <c r="E137" s="206"/>
      <c r="F137" s="206"/>
      <c r="G137" s="206"/>
    </row>
    <row r="138" spans="5:7" x14ac:dyDescent="0.2">
      <c r="E138" s="206"/>
      <c r="F138" s="206"/>
      <c r="G138" s="206"/>
    </row>
    <row r="139" spans="5:7" x14ac:dyDescent="0.2">
      <c r="E139" s="206"/>
      <c r="F139" s="206"/>
      <c r="G139" s="206"/>
    </row>
    <row r="140" spans="5:7" x14ac:dyDescent="0.2">
      <c r="E140" s="206"/>
      <c r="F140" s="206"/>
      <c r="G140" s="206"/>
    </row>
    <row r="141" spans="5:7" ht="12.75" x14ac:dyDescent="0.2">
      <c r="E141" s="206"/>
      <c r="F141" s="80"/>
      <c r="G141" s="206"/>
    </row>
    <row r="142" spans="5:7" ht="12.75" x14ac:dyDescent="0.2">
      <c r="E142" s="206"/>
      <c r="F142" s="80"/>
      <c r="G142" s="206"/>
    </row>
    <row r="144" spans="5:7" hidden="1" x14ac:dyDescent="0.2"/>
    <row r="145" spans="1:6" ht="12" hidden="1" thickBot="1" x14ac:dyDescent="0.25">
      <c r="A145" s="162" t="s">
        <v>140</v>
      </c>
      <c r="B145" s="219"/>
      <c r="C145" s="220"/>
      <c r="D145" s="221">
        <v>11049</v>
      </c>
      <c r="E145" s="220" t="s">
        <v>141</v>
      </c>
      <c r="F145" s="220" t="s">
        <v>130</v>
      </c>
    </row>
    <row r="146" spans="1:6" hidden="1" x14ac:dyDescent="0.2">
      <c r="B146" s="222" t="s">
        <v>62</v>
      </c>
      <c r="C146" s="223">
        <f>D146/D148</f>
        <v>0.86683012260484638</v>
      </c>
      <c r="D146" s="224">
        <f>D94</f>
        <v>6321394.9173589889</v>
      </c>
      <c r="E146" s="225" t="e">
        <f>E94</f>
        <v>#REF!</v>
      </c>
      <c r="F146" s="225" t="e">
        <f>F94</f>
        <v>#REF!</v>
      </c>
    </row>
    <row r="147" spans="1:6" hidden="1" x14ac:dyDescent="0.2">
      <c r="B147" s="217" t="s">
        <v>132</v>
      </c>
      <c r="C147" s="226">
        <f>D147/D148</f>
        <v>-0.13316987739515368</v>
      </c>
      <c r="D147" s="227">
        <f>D95</f>
        <v>-971146.89967320894</v>
      </c>
      <c r="E147" s="228" t="e">
        <f>E96*$C$147</f>
        <v>#REF!</v>
      </c>
      <c r="F147" s="228" t="e">
        <f>F96*$C$147</f>
        <v>#REF!</v>
      </c>
    </row>
    <row r="148" spans="1:6" hidden="1" x14ac:dyDescent="0.2">
      <c r="B148" s="229" t="s">
        <v>120</v>
      </c>
      <c r="C148" s="226">
        <f>D148/D148</f>
        <v>1</v>
      </c>
      <c r="D148" s="227">
        <f>D146-D147</f>
        <v>7292541.8170321975</v>
      </c>
      <c r="E148" s="228" t="e">
        <f>E146-E147</f>
        <v>#REF!</v>
      </c>
      <c r="F148" s="228" t="e">
        <f>F146-F147</f>
        <v>#REF!</v>
      </c>
    </row>
    <row r="149" spans="1:6" hidden="1" x14ac:dyDescent="0.2">
      <c r="B149" s="229"/>
      <c r="C149" s="184"/>
      <c r="D149" s="230">
        <v>4.0800000000000003E-2</v>
      </c>
      <c r="E149" s="231">
        <v>4.0800000000000003E-2</v>
      </c>
      <c r="F149" s="231">
        <v>4.0800000000000003E-2</v>
      </c>
    </row>
    <row r="150" spans="1:6" ht="12" hidden="1" thickBot="1" x14ac:dyDescent="0.25">
      <c r="B150" s="232"/>
      <c r="C150" s="233"/>
      <c r="D150" s="218"/>
      <c r="E150" s="234">
        <f>D148*E149/12</f>
        <v>24794.642177909471</v>
      </c>
      <c r="F150" s="234" t="e">
        <f>E148*F149/12</f>
        <v>#REF!</v>
      </c>
    </row>
    <row r="151" spans="1:6" hidden="1" x14ac:dyDescent="0.2">
      <c r="B151" s="235"/>
      <c r="E151" s="236"/>
      <c r="F151" s="236"/>
    </row>
    <row r="152" spans="1:6" x14ac:dyDescent="0.2">
      <c r="C152" s="206"/>
      <c r="D152" s="206"/>
      <c r="E152" s="237"/>
      <c r="F152" s="237"/>
    </row>
  </sheetData>
  <phoneticPr fontId="18" type="noConversion"/>
  <pageMargins left="0" right="0" top="0" bottom="0" header="0.51181102362204722" footer="0.51181102362204722"/>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topLeftCell="B3" workbookViewId="0">
      <selection activeCell="K11" sqref="K11"/>
    </sheetView>
  </sheetViews>
  <sheetFormatPr defaultRowHeight="12" x14ac:dyDescent="0.2"/>
  <cols>
    <col min="1" max="1" width="43" style="472" customWidth="1"/>
    <col min="2" max="2" width="14" style="472" customWidth="1"/>
    <col min="3" max="3" width="11.85546875" style="472" customWidth="1"/>
    <col min="4" max="4" width="14.5703125" style="472" customWidth="1"/>
    <col min="5" max="13" width="12.7109375" style="472" customWidth="1"/>
    <col min="14" max="16384" width="9.140625" style="472"/>
  </cols>
  <sheetData>
    <row r="1" spans="1:1" x14ac:dyDescent="0.2">
      <c r="A1" s="472" t="s">
        <v>57</v>
      </c>
    </row>
    <row r="2" spans="1:1" x14ac:dyDescent="0.2">
      <c r="A2" s="472" t="s">
        <v>395</v>
      </c>
    </row>
    <row r="4" spans="1:1" x14ac:dyDescent="0.2">
      <c r="A4" s="472" t="s">
        <v>390</v>
      </c>
    </row>
    <row r="6" spans="1:1" x14ac:dyDescent="0.2">
      <c r="A6" s="472" t="s">
        <v>396</v>
      </c>
    </row>
    <row r="8" spans="1:1" x14ac:dyDescent="0.2">
      <c r="A8" s="472" t="s">
        <v>61</v>
      </c>
    </row>
    <row r="10" spans="1:1" x14ac:dyDescent="0.2">
      <c r="A10" s="472" t="s">
        <v>62</v>
      </c>
    </row>
    <row r="17" spans="1:13" ht="12.75" thickBot="1" x14ac:dyDescent="0.25"/>
    <row r="18" spans="1:13" s="489" customFormat="1" ht="21" customHeight="1" thickBot="1" x14ac:dyDescent="0.25">
      <c r="A18" s="489" t="s">
        <v>177</v>
      </c>
      <c r="B18" s="797" t="s">
        <v>169</v>
      </c>
      <c r="C18" s="798"/>
      <c r="D18" s="799"/>
      <c r="E18" s="797" t="s">
        <v>397</v>
      </c>
      <c r="F18" s="798"/>
      <c r="G18" s="799"/>
      <c r="H18" s="797" t="s">
        <v>179</v>
      </c>
      <c r="I18" s="798"/>
      <c r="J18" s="799"/>
      <c r="K18" s="797" t="s">
        <v>398</v>
      </c>
      <c r="L18" s="798"/>
      <c r="M18" s="799"/>
    </row>
    <row r="19" spans="1:13" x14ac:dyDescent="0.2">
      <c r="B19" s="473" t="s">
        <v>120</v>
      </c>
      <c r="C19" s="474" t="s">
        <v>132</v>
      </c>
      <c r="D19" s="475" t="s">
        <v>178</v>
      </c>
      <c r="E19" s="473" t="s">
        <v>120</v>
      </c>
      <c r="F19" s="474" t="s">
        <v>132</v>
      </c>
      <c r="G19" s="475" t="s">
        <v>178</v>
      </c>
      <c r="H19" s="473" t="s">
        <v>120</v>
      </c>
      <c r="I19" s="474" t="s">
        <v>132</v>
      </c>
      <c r="J19" s="475" t="s">
        <v>178</v>
      </c>
      <c r="K19" s="473" t="s">
        <v>120</v>
      </c>
      <c r="L19" s="474" t="s">
        <v>132</v>
      </c>
      <c r="M19" s="475" t="s">
        <v>178</v>
      </c>
    </row>
    <row r="20" spans="1:13" x14ac:dyDescent="0.2">
      <c r="A20" s="476" t="s">
        <v>74</v>
      </c>
      <c r="B20" s="477" t="e">
        <f>#REF!</f>
        <v>#REF!</v>
      </c>
      <c r="C20" s="478" t="e">
        <f>#REF!</f>
        <v>#REF!</v>
      </c>
      <c r="D20" s="479" t="e">
        <f>B20+C20</f>
        <v>#REF!</v>
      </c>
      <c r="E20" s="477" t="e">
        <f>#REF!</f>
        <v>#REF!</v>
      </c>
      <c r="F20" s="478" t="e">
        <f>#REF!</f>
        <v>#REF!</v>
      </c>
      <c r="G20" s="479" t="e">
        <f>E20+F20</f>
        <v>#REF!</v>
      </c>
      <c r="H20" s="477" t="e">
        <f t="shared" ref="H20:I25" si="0">B20+E20</f>
        <v>#REF!</v>
      </c>
      <c r="I20" s="478" t="e">
        <f t="shared" si="0"/>
        <v>#REF!</v>
      </c>
      <c r="J20" s="479" t="e">
        <f>H20+I20</f>
        <v>#REF!</v>
      </c>
      <c r="K20" s="477" t="e">
        <f t="shared" ref="K20:L25" si="1">E20+H20</f>
        <v>#REF!</v>
      </c>
      <c r="L20" s="478" t="e">
        <f t="shared" si="1"/>
        <v>#REF!</v>
      </c>
      <c r="M20" s="479" t="e">
        <f>K20+L20</f>
        <v>#REF!</v>
      </c>
    </row>
    <row r="21" spans="1:13" x14ac:dyDescent="0.2">
      <c r="A21" s="476" t="s">
        <v>75</v>
      </c>
      <c r="B21" s="477" t="e">
        <f>#REF!</f>
        <v>#REF!</v>
      </c>
      <c r="C21" s="478" t="e">
        <f>#REF!</f>
        <v>#REF!</v>
      </c>
      <c r="D21" s="479" t="e">
        <f t="shared" ref="D21:D30" si="2">B21+C21</f>
        <v>#REF!</v>
      </c>
      <c r="E21" s="477" t="e">
        <f>#REF!</f>
        <v>#REF!</v>
      </c>
      <c r="F21" s="478" t="e">
        <f>#REF!</f>
        <v>#REF!</v>
      </c>
      <c r="G21" s="479" t="e">
        <f t="shared" ref="G21:G26" si="3">E21+F21</f>
        <v>#REF!</v>
      </c>
      <c r="H21" s="477" t="e">
        <f t="shared" si="0"/>
        <v>#REF!</v>
      </c>
      <c r="I21" s="478" t="e">
        <f t="shared" si="0"/>
        <v>#REF!</v>
      </c>
      <c r="J21" s="479" t="e">
        <f t="shared" ref="J21:J26" si="4">H21+I21</f>
        <v>#REF!</v>
      </c>
      <c r="K21" s="477" t="e">
        <f t="shared" si="1"/>
        <v>#REF!</v>
      </c>
      <c r="L21" s="478" t="e">
        <f t="shared" si="1"/>
        <v>#REF!</v>
      </c>
      <c r="M21" s="479" t="e">
        <f t="shared" ref="M21:M26" si="5">K21+L21</f>
        <v>#REF!</v>
      </c>
    </row>
    <row r="22" spans="1:13" x14ac:dyDescent="0.2">
      <c r="A22" s="476" t="s">
        <v>76</v>
      </c>
      <c r="B22" s="477" t="e">
        <f>#REF!</f>
        <v>#REF!</v>
      </c>
      <c r="C22" s="478" t="e">
        <f>#REF!</f>
        <v>#REF!</v>
      </c>
      <c r="D22" s="479" t="e">
        <f t="shared" si="2"/>
        <v>#REF!</v>
      </c>
      <c r="E22" s="477" t="e">
        <f>#REF!</f>
        <v>#REF!</v>
      </c>
      <c r="F22" s="478" t="e">
        <f>#REF!</f>
        <v>#REF!</v>
      </c>
      <c r="G22" s="479" t="e">
        <f t="shared" si="3"/>
        <v>#REF!</v>
      </c>
      <c r="H22" s="477" t="e">
        <f t="shared" si="0"/>
        <v>#REF!</v>
      </c>
      <c r="I22" s="478" t="e">
        <f t="shared" si="0"/>
        <v>#REF!</v>
      </c>
      <c r="J22" s="479" t="e">
        <f t="shared" si="4"/>
        <v>#REF!</v>
      </c>
      <c r="K22" s="477" t="e">
        <f t="shared" si="1"/>
        <v>#REF!</v>
      </c>
      <c r="L22" s="478" t="e">
        <f t="shared" si="1"/>
        <v>#REF!</v>
      </c>
      <c r="M22" s="479" t="e">
        <f t="shared" si="5"/>
        <v>#REF!</v>
      </c>
    </row>
    <row r="23" spans="1:13" x14ac:dyDescent="0.2">
      <c r="A23" s="476" t="s">
        <v>77</v>
      </c>
      <c r="B23" s="477" t="e">
        <f>#REF!</f>
        <v>#REF!</v>
      </c>
      <c r="C23" s="478" t="e">
        <f>#REF!</f>
        <v>#REF!</v>
      </c>
      <c r="D23" s="479" t="e">
        <f t="shared" si="2"/>
        <v>#REF!</v>
      </c>
      <c r="E23" s="477" t="e">
        <f>#REF!</f>
        <v>#REF!</v>
      </c>
      <c r="F23" s="478" t="e">
        <f>#REF!</f>
        <v>#REF!</v>
      </c>
      <c r="G23" s="479" t="e">
        <f t="shared" si="3"/>
        <v>#REF!</v>
      </c>
      <c r="H23" s="477" t="e">
        <f t="shared" si="0"/>
        <v>#REF!</v>
      </c>
      <c r="I23" s="478" t="e">
        <f t="shared" si="0"/>
        <v>#REF!</v>
      </c>
      <c r="J23" s="479" t="e">
        <f t="shared" si="4"/>
        <v>#REF!</v>
      </c>
      <c r="K23" s="477" t="e">
        <f t="shared" si="1"/>
        <v>#REF!</v>
      </c>
      <c r="L23" s="478" t="e">
        <f t="shared" si="1"/>
        <v>#REF!</v>
      </c>
      <c r="M23" s="479" t="e">
        <f t="shared" si="5"/>
        <v>#REF!</v>
      </c>
    </row>
    <row r="24" spans="1:13" x14ac:dyDescent="0.2">
      <c r="A24" s="476" t="s">
        <v>78</v>
      </c>
      <c r="B24" s="477" t="e">
        <f>#REF!</f>
        <v>#REF!</v>
      </c>
      <c r="C24" s="478" t="e">
        <f>#REF!</f>
        <v>#REF!</v>
      </c>
      <c r="D24" s="479" t="e">
        <f t="shared" si="2"/>
        <v>#REF!</v>
      </c>
      <c r="E24" s="477" t="e">
        <f>#REF!</f>
        <v>#REF!</v>
      </c>
      <c r="F24" s="478" t="e">
        <f>#REF!</f>
        <v>#REF!</v>
      </c>
      <c r="G24" s="479" t="e">
        <f t="shared" si="3"/>
        <v>#REF!</v>
      </c>
      <c r="H24" s="477" t="e">
        <f t="shared" si="0"/>
        <v>#REF!</v>
      </c>
      <c r="I24" s="478" t="e">
        <f t="shared" si="0"/>
        <v>#REF!</v>
      </c>
      <c r="J24" s="479" t="e">
        <f t="shared" si="4"/>
        <v>#REF!</v>
      </c>
      <c r="K24" s="477" t="e">
        <f t="shared" si="1"/>
        <v>#REF!</v>
      </c>
      <c r="L24" s="478" t="e">
        <f t="shared" si="1"/>
        <v>#REF!</v>
      </c>
      <c r="M24" s="479" t="e">
        <f t="shared" si="5"/>
        <v>#REF!</v>
      </c>
    </row>
    <row r="25" spans="1:13" x14ac:dyDescent="0.2">
      <c r="A25" s="480" t="s">
        <v>79</v>
      </c>
      <c r="B25" s="477" t="e">
        <f>#REF!</f>
        <v>#REF!</v>
      </c>
      <c r="C25" s="478" t="e">
        <f>#REF!</f>
        <v>#REF!</v>
      </c>
      <c r="D25" s="479" t="e">
        <f t="shared" si="2"/>
        <v>#REF!</v>
      </c>
      <c r="E25" s="477" t="e">
        <f>#REF!</f>
        <v>#REF!</v>
      </c>
      <c r="F25" s="478" t="e">
        <f>#REF!</f>
        <v>#REF!</v>
      </c>
      <c r="G25" s="479" t="e">
        <f t="shared" si="3"/>
        <v>#REF!</v>
      </c>
      <c r="H25" s="477" t="e">
        <f t="shared" si="0"/>
        <v>#REF!</v>
      </c>
      <c r="I25" s="478" t="e">
        <f t="shared" si="0"/>
        <v>#REF!</v>
      </c>
      <c r="J25" s="479" t="e">
        <f t="shared" si="4"/>
        <v>#REF!</v>
      </c>
      <c r="K25" s="477" t="e">
        <f t="shared" si="1"/>
        <v>#REF!</v>
      </c>
      <c r="L25" s="478" t="e">
        <f t="shared" si="1"/>
        <v>#REF!</v>
      </c>
      <c r="M25" s="479" t="e">
        <f t="shared" si="5"/>
        <v>#REF!</v>
      </c>
    </row>
    <row r="26" spans="1:13" x14ac:dyDescent="0.2">
      <c r="A26" s="480"/>
      <c r="B26" s="481" t="e">
        <f>SUM(B20:B25)</f>
        <v>#REF!</v>
      </c>
      <c r="C26" s="482" t="e">
        <f>#REF!</f>
        <v>#REF!</v>
      </c>
      <c r="D26" s="483" t="e">
        <f t="shared" si="2"/>
        <v>#REF!</v>
      </c>
      <c r="E26" s="481" t="e">
        <f>SUM(E20:E25)</f>
        <v>#REF!</v>
      </c>
      <c r="F26" s="482" t="e">
        <f>#REF!</f>
        <v>#REF!</v>
      </c>
      <c r="G26" s="483" t="e">
        <f t="shared" si="3"/>
        <v>#REF!</v>
      </c>
      <c r="H26" s="481" t="e">
        <f>SUM(H20:H25)</f>
        <v>#REF!</v>
      </c>
      <c r="I26" s="482" t="e">
        <f>SUM(I20:I25)</f>
        <v>#REF!</v>
      </c>
      <c r="J26" s="483" t="e">
        <f t="shared" si="4"/>
        <v>#REF!</v>
      </c>
      <c r="K26" s="481" t="e">
        <f>SUM(K20:K25)</f>
        <v>#REF!</v>
      </c>
      <c r="L26" s="482" t="e">
        <f>SUM(L20:L25)</f>
        <v>#REF!</v>
      </c>
      <c r="M26" s="483" t="e">
        <f t="shared" si="5"/>
        <v>#REF!</v>
      </c>
    </row>
    <row r="27" spans="1:13" x14ac:dyDescent="0.2">
      <c r="A27" s="476"/>
      <c r="B27" s="477"/>
      <c r="C27" s="478"/>
      <c r="D27" s="484"/>
      <c r="E27" s="477"/>
      <c r="F27" s="478"/>
      <c r="G27" s="484"/>
      <c r="H27" s="477"/>
      <c r="I27" s="478"/>
      <c r="J27" s="484"/>
      <c r="K27" s="477"/>
      <c r="L27" s="478"/>
      <c r="M27" s="484"/>
    </row>
    <row r="28" spans="1:13" x14ac:dyDescent="0.2">
      <c r="A28" s="476" t="s">
        <v>80</v>
      </c>
      <c r="B28" s="481" t="e">
        <f>#REF!</f>
        <v>#REF!</v>
      </c>
      <c r="C28" s="482" t="e">
        <f>#REF!</f>
        <v>#REF!</v>
      </c>
      <c r="D28" s="483" t="e">
        <f t="shared" si="2"/>
        <v>#REF!</v>
      </c>
      <c r="E28" s="481" t="e">
        <f>#REF!</f>
        <v>#REF!</v>
      </c>
      <c r="F28" s="482" t="e">
        <f>#REF!</f>
        <v>#REF!</v>
      </c>
      <c r="G28" s="483" t="e">
        <f>E28+F28</f>
        <v>#REF!</v>
      </c>
      <c r="H28" s="481" t="e">
        <f>B28+E28</f>
        <v>#REF!</v>
      </c>
      <c r="I28" s="482" t="e">
        <f>C28+F28</f>
        <v>#REF!</v>
      </c>
      <c r="J28" s="483" t="e">
        <f>H28+I28</f>
        <v>#REF!</v>
      </c>
      <c r="K28" s="481" t="e">
        <f>E28+H28</f>
        <v>#REF!</v>
      </c>
      <c r="L28" s="482" t="e">
        <f>F28+I28</f>
        <v>#REF!</v>
      </c>
      <c r="M28" s="483" t="e">
        <f>K28+L28</f>
        <v>#REF!</v>
      </c>
    </row>
    <row r="29" spans="1:13" x14ac:dyDescent="0.2">
      <c r="B29" s="477"/>
      <c r="C29" s="478"/>
      <c r="D29" s="484"/>
      <c r="E29" s="477"/>
      <c r="F29" s="478"/>
      <c r="G29" s="484"/>
      <c r="H29" s="477"/>
      <c r="I29" s="478"/>
      <c r="J29" s="484"/>
      <c r="K29" s="477"/>
      <c r="L29" s="478"/>
      <c r="M29" s="484"/>
    </row>
    <row r="30" spans="1:13" ht="12.75" thickBot="1" x14ac:dyDescent="0.25">
      <c r="A30" s="485" t="s">
        <v>81</v>
      </c>
      <c r="B30" s="486" t="e">
        <f>B26+B28</f>
        <v>#REF!</v>
      </c>
      <c r="C30" s="487" t="e">
        <f>C26+C28</f>
        <v>#REF!</v>
      </c>
      <c r="D30" s="488" t="e">
        <f t="shared" si="2"/>
        <v>#REF!</v>
      </c>
      <c r="E30" s="486" t="e">
        <f>E26+E28</f>
        <v>#REF!</v>
      </c>
      <c r="F30" s="487" t="e">
        <f>F26+F28</f>
        <v>#REF!</v>
      </c>
      <c r="G30" s="488" t="e">
        <f>E30+F30</f>
        <v>#REF!</v>
      </c>
      <c r="H30" s="486" t="e">
        <f>H26+H28</f>
        <v>#REF!</v>
      </c>
      <c r="I30" s="487" t="e">
        <f>I26+I28</f>
        <v>#REF!</v>
      </c>
      <c r="J30" s="488" t="e">
        <f>H30+I30</f>
        <v>#REF!</v>
      </c>
      <c r="K30" s="486" t="e">
        <f>K26+K28</f>
        <v>#REF!</v>
      </c>
      <c r="L30" s="487" t="e">
        <f>L26+L28</f>
        <v>#REF!</v>
      </c>
      <c r="M30" s="488" t="e">
        <f>K30+L30</f>
        <v>#REF!</v>
      </c>
    </row>
  </sheetData>
  <mergeCells count="4">
    <mergeCell ref="B18:D18"/>
    <mergeCell ref="E18:G18"/>
    <mergeCell ref="H18:J18"/>
    <mergeCell ref="K18:M18"/>
  </mergeCells>
  <phoneticPr fontId="18"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26930AC81FE74A97DB69A7F7AEBEEA" ma:contentTypeVersion="0" ma:contentTypeDescription="Create a new document." ma:contentTypeScope="" ma:versionID="3827822f73c73d9cc1399aa38756262a">
  <xsd:schema xmlns:xsd="http://www.w3.org/2001/XMLSchema" xmlns:xs="http://www.w3.org/2001/XMLSchema" xmlns:p="http://schemas.microsoft.com/office/2006/metadata/properties" targetNamespace="http://schemas.microsoft.com/office/2006/metadata/properties" ma:root="true" ma:fieldsID="8022916f55ab85163ee9a5069dec31d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86BA89-80EE-49A1-A98F-7C42E2FEF7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260FA97-DB60-4B57-9EA1-446F6A3E18CE}">
  <ds:schemaRefs>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 ds:uri="http://purl.org/dc/elements/1.1/"/>
    <ds:schemaRef ds:uri="http://purl.org/dc/terms/"/>
    <ds:schemaRef ds:uri="http://schemas.microsoft.com/office/2006/documentManagement/types"/>
    <ds:schemaRef ds:uri="http://purl.org/dc/dcmitype/"/>
  </ds:schemaRefs>
</ds:datastoreItem>
</file>

<file path=customXml/itemProps3.xml><?xml version="1.0" encoding="utf-8"?>
<ds:datastoreItem xmlns:ds="http://schemas.openxmlformats.org/officeDocument/2006/customXml" ds:itemID="{749C42E3-9E9C-4C97-B037-CB07C31E14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2015 Continuity Schedule</vt:lpstr>
      <vt:lpstr>2011 EDDVAR</vt:lpstr>
      <vt:lpstr>2011 Decision</vt:lpstr>
      <vt:lpstr>WorkBook_Current</vt:lpstr>
      <vt:lpstr>Calc_Rate Rider GA_NonRPP</vt:lpstr>
      <vt:lpstr>1595 Continuity 2011</vt:lpstr>
      <vt:lpstr>1595 May 1, 2008</vt:lpstr>
      <vt:lpstr>1595 Continuity 2010</vt:lpstr>
      <vt:lpstr>Group 1 Accounts</vt:lpstr>
      <vt:lpstr>2011-2 Amortization</vt:lpstr>
      <vt:lpstr>Reg Asset_Liability Details</vt:lpstr>
      <vt:lpstr>Amrt YTD June 12</vt:lpstr>
      <vt:lpstr>1521-1562 June 12</vt:lpstr>
      <vt:lpstr>Amortization Sch</vt:lpstr>
      <vt:lpstr>2012 Customer IR</vt:lpstr>
      <vt:lpstr>2012 Decision</vt:lpstr>
      <vt:lpstr>'1595 Continuity 2010'!Print_Area</vt:lpstr>
      <vt:lpstr>'1595 Continuity 2011'!Print_Area</vt:lpstr>
      <vt:lpstr>'1595 May 1, 2008'!Print_Area</vt:lpstr>
      <vt:lpstr>'2011-2 Amortization'!Print_Area</vt:lpstr>
      <vt:lpstr>'Reg Asset_Liability Details'!Print_Area</vt:lpstr>
      <vt:lpstr>WorkBook_Current!Print_Area</vt:lpstr>
      <vt:lpstr>'2015 Continuity Schedule'!Print_Titles</vt:lpstr>
      <vt:lpstr>'Reg Asset_Liability Details'!Print_Titles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Campbell</dc:creator>
  <cp:lastModifiedBy>Sharon du Quesnay</cp:lastModifiedBy>
  <cp:lastPrinted>2015-09-23T14:39:13Z</cp:lastPrinted>
  <dcterms:created xsi:type="dcterms:W3CDTF">2005-02-22T02:24:51Z</dcterms:created>
  <dcterms:modified xsi:type="dcterms:W3CDTF">2015-09-23T14:39:19Z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0x010100C526930AC81FE74A97DB69A7F7AEBEEA</vt:lpwstr>
  </property>
</Properties>
</file>