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7100" windowHeight="9855"/>
  </bookViews>
  <sheets>
    <sheet name="Year 1-January 1, 2016" sheetId="1" r:id="rId1"/>
    <sheet name="Year 2-January 1, 2017" sheetId="5" r:id="rId2"/>
    <sheet name="Year 3-Janaury 1, 2018" sheetId="9" r:id="rId3"/>
    <sheet name="Year 4-January 1, 2019" sheetId="10" r:id="rId4"/>
    <sheet name="Sheet2" sheetId="2" r:id="rId5"/>
    <sheet name="Sheet3" sheetId="3" r:id="rId6"/>
  </sheets>
  <definedNames>
    <definedName name="_xlnm.Print_Area" localSheetId="0">'Year 1-January 1, 2016'!$A$1:$E$52</definedName>
    <definedName name="_xlnm.Print_Area" localSheetId="1">'Year 2-January 1, 2017'!$A$1:$E$52</definedName>
    <definedName name="_xlnm.Print_Area" localSheetId="2">'Year 3-Janaury 1, 2018'!$A$1:$E$52</definedName>
    <definedName name="_xlnm.Print_Area" localSheetId="3">'Year 4-January 1, 2019'!$A$1:$E$52</definedName>
  </definedNames>
  <calcPr calcId="145621"/>
</workbook>
</file>

<file path=xl/calcChain.xml><?xml version="1.0" encoding="utf-8"?>
<calcChain xmlns="http://schemas.openxmlformats.org/spreadsheetml/2006/main">
  <c r="C21" i="10" l="1"/>
  <c r="D21" i="10" s="1"/>
  <c r="C20" i="10"/>
  <c r="D20" i="10" s="1"/>
  <c r="C21" i="9"/>
  <c r="D21" i="9" s="1"/>
  <c r="C20" i="9"/>
  <c r="D20" i="9" s="1"/>
  <c r="C21" i="5"/>
  <c r="D21" i="5" s="1"/>
  <c r="C20" i="5"/>
  <c r="D20" i="5" s="1"/>
  <c r="D22" i="10" l="1"/>
  <c r="D22" i="9"/>
  <c r="D22" i="5"/>
  <c r="E21" i="9" l="1"/>
  <c r="B30" i="9" s="1"/>
  <c r="C30" i="9" s="1"/>
  <c r="D30" i="9" s="1"/>
  <c r="E20" i="9"/>
  <c r="B29" i="9" s="1"/>
  <c r="E20" i="10"/>
  <c r="B29" i="10" s="1"/>
  <c r="C29" i="10" s="1"/>
  <c r="D29" i="10" s="1"/>
  <c r="E21" i="10"/>
  <c r="B30" i="10" s="1"/>
  <c r="C30" i="10" s="1"/>
  <c r="D30" i="10" s="1"/>
  <c r="E20" i="5"/>
  <c r="E21" i="5"/>
  <c r="C21" i="1"/>
  <c r="B21" i="1"/>
  <c r="C20" i="1"/>
  <c r="B20" i="1"/>
  <c r="D20" i="1" s="1"/>
  <c r="D21" i="1" l="1"/>
  <c r="D22" i="1" s="1"/>
  <c r="E20" i="1" s="1"/>
  <c r="C29" i="9"/>
  <c r="D29" i="9" s="1"/>
  <c r="B30" i="5"/>
  <c r="C30" i="5" s="1"/>
  <c r="D30" i="5" s="1"/>
  <c r="E22" i="5"/>
  <c r="B29" i="5"/>
  <c r="C29" i="5" s="1"/>
  <c r="B34" i="5"/>
  <c r="C34" i="5" s="1"/>
  <c r="B34" i="10"/>
  <c r="E22" i="10"/>
  <c r="B34" i="9"/>
  <c r="C34" i="9" s="1"/>
  <c r="E22" i="9"/>
  <c r="E21" i="1" l="1"/>
  <c r="B30" i="1" s="1"/>
  <c r="C30" i="1" s="1"/>
  <c r="D30" i="1" s="1"/>
  <c r="D34" i="5"/>
  <c r="E34" i="5" s="1"/>
  <c r="D34" i="9"/>
  <c r="E34" i="9" s="1"/>
  <c r="D29" i="5"/>
  <c r="D31" i="5" s="1"/>
  <c r="B29" i="1"/>
  <c r="C29" i="1" s="1"/>
  <c r="E22" i="1"/>
  <c r="B34" i="1"/>
  <c r="B35" i="5"/>
  <c r="B31" i="5"/>
  <c r="B35" i="10"/>
  <c r="C35" i="10" s="1"/>
  <c r="D35" i="10" s="1"/>
  <c r="E35" i="10" s="1"/>
  <c r="C34" i="10"/>
  <c r="D34" i="10" s="1"/>
  <c r="B31" i="10"/>
  <c r="D31" i="10"/>
  <c r="D31" i="9"/>
  <c r="B31" i="9"/>
  <c r="B35" i="9"/>
  <c r="C35" i="9" l="1"/>
  <c r="D35" i="9" s="1"/>
  <c r="E35" i="9" s="1"/>
  <c r="C35" i="5"/>
  <c r="B31" i="1"/>
  <c r="C34" i="1"/>
  <c r="D34" i="1" s="1"/>
  <c r="B35" i="1"/>
  <c r="D29" i="1"/>
  <c r="D31" i="1" s="1"/>
  <c r="B36" i="9"/>
  <c r="B36" i="5"/>
  <c r="B36" i="10"/>
  <c r="C36" i="10"/>
  <c r="B39" i="5"/>
  <c r="C36" i="5" l="1"/>
  <c r="D35" i="5"/>
  <c r="B40" i="5" s="1"/>
  <c r="B41" i="5" s="1"/>
  <c r="C36" i="9"/>
  <c r="B36" i="1"/>
  <c r="C35" i="1"/>
  <c r="E34" i="1"/>
  <c r="B40" i="10"/>
  <c r="B41" i="10" s="1"/>
  <c r="B39" i="10"/>
  <c r="E34" i="10"/>
  <c r="E36" i="10" s="1"/>
  <c r="B40" i="9"/>
  <c r="B41" i="9" s="1"/>
  <c r="B39" i="9"/>
  <c r="E36" i="9"/>
  <c r="B39" i="1"/>
  <c r="E35" i="5" l="1"/>
  <c r="E36" i="5" s="1"/>
  <c r="D35" i="1"/>
  <c r="C36" i="1"/>
  <c r="E35" i="1" l="1"/>
  <c r="E36" i="1" s="1"/>
  <c r="B40" i="1"/>
  <c r="D40" i="10" l="1"/>
  <c r="B41" i="1"/>
</calcChain>
</file>

<file path=xl/sharedStrings.xml><?xml version="1.0" encoding="utf-8"?>
<sst xmlns="http://schemas.openxmlformats.org/spreadsheetml/2006/main" count="171" uniqueCount="37">
  <si>
    <t>A)  Data Inputs</t>
  </si>
  <si>
    <t>Customers</t>
  </si>
  <si>
    <t>kWh</t>
  </si>
  <si>
    <t>Monthly Fixed Charge ($)</t>
  </si>
  <si>
    <t>Distribution Volumetric Rate ($/kWh)</t>
  </si>
  <si>
    <t>B) Current Fixed/Variable Split</t>
  </si>
  <si>
    <t>Base Rates</t>
  </si>
  <si>
    <t>Billing Determinants</t>
  </si>
  <si>
    <t>Revenue</t>
  </si>
  <si>
    <t>% of Total Revenue</t>
  </si>
  <si>
    <t>Fixed</t>
  </si>
  <si>
    <t>Variable</t>
  </si>
  <si>
    <t>TOTAL</t>
  </si>
  <si>
    <t>-</t>
  </si>
  <si>
    <t>C) Calculating Test Year Base Rates</t>
  </si>
  <si>
    <r>
      <t>Number of Required Rate Design Policy Transition Years</t>
    </r>
    <r>
      <rPr>
        <vertAlign val="superscript"/>
        <sz val="10"/>
        <rFont val="Arial"/>
        <family val="2"/>
      </rPr>
      <t>2</t>
    </r>
  </si>
  <si>
    <t>Test Year Revenue @ Current F/V Split</t>
  </si>
  <si>
    <t>Test Year Base Rates @ Current F/V Split</t>
  </si>
  <si>
    <t>Reconciliation - Test Year Base Rates @ Current F/V Split</t>
  </si>
  <si>
    <t>New F/V Split</t>
  </si>
  <si>
    <t>Revenue @ new
 F/V Split</t>
  </si>
  <si>
    <t>Final Adjusted 
Base Rates</t>
  </si>
  <si>
    <t>Revenue Reconciliation @ Adjusted Rates</t>
  </si>
  <si>
    <r>
      <t>Checks</t>
    </r>
    <r>
      <rPr>
        <b/>
        <vertAlign val="superscript"/>
        <sz val="10"/>
        <rFont val="Arial"/>
        <family val="2"/>
      </rPr>
      <t>3</t>
    </r>
  </si>
  <si>
    <t>Change in Fixed Rate</t>
  </si>
  <si>
    <t>Difference Between Revenues @ Proposed Rates and Class Specific Revenue Requirement</t>
  </si>
  <si>
    <t>Notes:</t>
  </si>
  <si>
    <r>
      <rPr>
        <sz val="10"/>
        <rFont val="Arial"/>
        <family val="2"/>
      </rPr>
      <t>1</t>
    </r>
    <r>
      <rPr>
        <b/>
        <sz val="10"/>
        <rFont val="Arial"/>
        <family val="2"/>
      </rPr>
      <t xml:space="preserve">     </t>
    </r>
    <r>
      <rPr>
        <sz val="10"/>
        <rFont val="Arial"/>
        <family val="2"/>
      </rPr>
      <t>The final residential class specific revenue requirement, as shown in Appendix 2-P, should be used (i.e. the revenue requirement after any proposed adjustments to R/C ratios).</t>
    </r>
  </si>
  <si>
    <t>2     Default number of transition years for rate design policy change is 4. Where the change in the residential rate design will result in the fixed charge increasing by more than $4/year, a distributor may propose an additional transition year.</t>
  </si>
  <si>
    <t>3     Change in fixed rate due to rate design policy should be less than $4. The difference between the proposed class revenue requirement and the revenue at calculated base rates should be minimal (i.e. should be reasonably considered as a rounding error)</t>
  </si>
  <si>
    <r>
      <t>Approved Residential Class Specific Revenue Requirement</t>
    </r>
    <r>
      <rPr>
        <vertAlign val="superscript"/>
        <sz val="10"/>
        <rFont val="Arial"/>
        <family val="2"/>
      </rPr>
      <t xml:space="preserve">1  </t>
    </r>
    <r>
      <rPr>
        <sz val="10"/>
        <rFont val="Arial"/>
        <family val="2"/>
      </rPr>
      <t>(EB-2013-0134)</t>
    </r>
  </si>
  <si>
    <t>Approved Billing Determinants for Residential Class (EB-2013-0134)</t>
  </si>
  <si>
    <t>Residential Base Rates on Current Tariff (EB-2013-0134)</t>
  </si>
  <si>
    <t>Accumulative Difference</t>
  </si>
  <si>
    <t>Filing Requirements Appendix 2-PA</t>
  </si>
  <si>
    <t>Rate Design Policy For Residential Customers</t>
  </si>
  <si>
    <t>4 Year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</si>
</sst>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_(&quot;$&quot;* #,##0.0000_);_(&quot;$&quot;* \(#,##0.00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2" fillId="0" borderId="0" xfId="4" applyProtection="1">
      <protection locked="0"/>
    </xf>
    <xf numFmtId="0" fontId="2" fillId="0" borderId="0" xfId="4" applyFont="1" applyProtection="1">
      <protection locked="0"/>
    </xf>
    <xf numFmtId="0" fontId="3" fillId="0" borderId="0" xfId="4" applyFont="1" applyProtection="1">
      <protection locked="0"/>
    </xf>
    <xf numFmtId="0" fontId="2" fillId="0" borderId="3" xfId="4" applyFont="1" applyBorder="1" applyProtection="1">
      <protection locked="0"/>
    </xf>
    <xf numFmtId="166" fontId="2" fillId="2" borderId="4" xfId="1" applyNumberFormat="1" applyFont="1" applyFill="1" applyBorder="1" applyAlignment="1" applyProtection="1">
      <alignment horizontal="right" vertical="top"/>
      <protection locked="0"/>
    </xf>
    <xf numFmtId="0" fontId="2" fillId="0" borderId="5" xfId="4" applyFont="1" applyBorder="1" applyProtection="1">
      <protection locked="0"/>
    </xf>
    <xf numFmtId="166" fontId="2" fillId="2" borderId="6" xfId="1" applyNumberFormat="1" applyFont="1" applyFill="1" applyBorder="1" applyAlignment="1" applyProtection="1">
      <alignment horizontal="right" vertical="top"/>
      <protection locked="0"/>
    </xf>
    <xf numFmtId="164" fontId="2" fillId="2" borderId="8" xfId="2" applyFont="1" applyFill="1" applyBorder="1" applyAlignment="1" applyProtection="1">
      <alignment horizontal="right" vertical="top"/>
      <protection locked="0"/>
    </xf>
    <xf numFmtId="0" fontId="2" fillId="2" borderId="4" xfId="4" applyFont="1" applyFill="1" applyBorder="1" applyAlignment="1" applyProtection="1">
      <alignment horizontal="right" vertical="top"/>
      <protection locked="0"/>
    </xf>
    <xf numFmtId="0" fontId="2" fillId="2" borderId="6" xfId="4" applyFont="1" applyFill="1" applyBorder="1" applyAlignment="1" applyProtection="1">
      <alignment horizontal="right" vertical="top"/>
      <protection locked="0"/>
    </xf>
    <xf numFmtId="0" fontId="2" fillId="0" borderId="9" xfId="4" applyBorder="1" applyAlignment="1" applyProtection="1">
      <alignment horizontal="center"/>
      <protection locked="0"/>
    </xf>
    <xf numFmtId="0" fontId="3" fillId="0" borderId="10" xfId="4" applyFont="1" applyBorder="1" applyAlignment="1" applyProtection="1">
      <alignment horizontal="center"/>
      <protection locked="0"/>
    </xf>
    <xf numFmtId="0" fontId="3" fillId="0" borderId="11" xfId="4" applyFont="1" applyBorder="1" applyAlignment="1" applyProtection="1">
      <alignment horizontal="center"/>
      <protection locked="0"/>
    </xf>
    <xf numFmtId="0" fontId="3" fillId="0" borderId="12" xfId="4" applyFont="1" applyBorder="1" applyAlignment="1" applyProtection="1">
      <alignment horizontal="center"/>
      <protection locked="0"/>
    </xf>
    <xf numFmtId="0" fontId="3" fillId="0" borderId="13" xfId="4" applyFont="1" applyBorder="1" applyAlignment="1" applyProtection="1">
      <alignment horizontal="center"/>
      <protection locked="0"/>
    </xf>
    <xf numFmtId="0" fontId="2" fillId="0" borderId="14" xfId="4" applyBorder="1" applyProtection="1">
      <protection locked="0"/>
    </xf>
    <xf numFmtId="166" fontId="0" fillId="0" borderId="15" xfId="1" applyNumberFormat="1" applyFont="1" applyBorder="1" applyProtection="1">
      <protection locked="0"/>
    </xf>
    <xf numFmtId="164" fontId="0" fillId="0" borderId="14" xfId="2" applyFont="1" applyBorder="1" applyProtection="1">
      <protection locked="0"/>
    </xf>
    <xf numFmtId="10" fontId="0" fillId="0" borderId="4" xfId="3" applyNumberFormat="1" applyFont="1" applyBorder="1" applyProtection="1">
      <protection locked="0"/>
    </xf>
    <xf numFmtId="166" fontId="0" fillId="0" borderId="16" xfId="1" applyNumberFormat="1" applyFont="1" applyBorder="1" applyProtection="1">
      <protection locked="0"/>
    </xf>
    <xf numFmtId="0" fontId="3" fillId="0" borderId="5" xfId="4" applyFont="1" applyBorder="1" applyProtection="1">
      <protection locked="0"/>
    </xf>
    <xf numFmtId="0" fontId="2" fillId="0" borderId="17" xfId="4" applyFont="1" applyBorder="1" applyAlignment="1" applyProtection="1">
      <alignment horizontal="center"/>
      <protection locked="0"/>
    </xf>
    <xf numFmtId="166" fontId="2" fillId="0" borderId="18" xfId="1" applyNumberFormat="1" applyFont="1" applyBorder="1" applyAlignment="1" applyProtection="1">
      <alignment horizontal="center"/>
      <protection locked="0"/>
    </xf>
    <xf numFmtId="164" fontId="0" fillId="0" borderId="19" xfId="2" applyFont="1" applyBorder="1" applyProtection="1">
      <protection locked="0"/>
    </xf>
    <xf numFmtId="0" fontId="3" fillId="0" borderId="0" xfId="4" applyFont="1" applyFill="1" applyBorder="1" applyProtection="1">
      <protection locked="0"/>
    </xf>
    <xf numFmtId="0" fontId="2" fillId="0" borderId="7" xfId="4" applyFont="1" applyFill="1" applyBorder="1" applyAlignment="1" applyProtection="1">
      <alignment wrapText="1"/>
      <protection locked="0"/>
    </xf>
    <xf numFmtId="0" fontId="2" fillId="2" borderId="8" xfId="4" applyFont="1" applyFill="1" applyBorder="1" applyAlignment="1" applyProtection="1">
      <alignment horizontal="center" vertical="center"/>
      <protection locked="0"/>
    </xf>
    <xf numFmtId="0" fontId="2" fillId="0" borderId="9" xfId="4" applyFont="1" applyBorder="1" applyProtection="1">
      <protection locked="0"/>
    </xf>
    <xf numFmtId="0" fontId="3" fillId="0" borderId="11" xfId="4" applyFont="1" applyBorder="1" applyAlignment="1" applyProtection="1">
      <alignment horizontal="center" vertical="center" wrapText="1"/>
      <protection locked="0"/>
    </xf>
    <xf numFmtId="0" fontId="3" fillId="0" borderId="10" xfId="4" applyFont="1" applyBorder="1" applyAlignment="1" applyProtection="1">
      <alignment horizontal="center" vertical="center" wrapText="1"/>
      <protection locked="0"/>
    </xf>
    <xf numFmtId="0" fontId="3" fillId="0" borderId="20" xfId="4" applyFont="1" applyBorder="1" applyAlignment="1" applyProtection="1">
      <alignment horizontal="center" wrapText="1"/>
      <protection locked="0"/>
    </xf>
    <xf numFmtId="164" fontId="0" fillId="0" borderId="4" xfId="2" applyFont="1" applyBorder="1" applyProtection="1">
      <protection locked="0"/>
    </xf>
    <xf numFmtId="0" fontId="2" fillId="0" borderId="22" xfId="4" applyFont="1" applyBorder="1" applyProtection="1">
      <protection locked="0"/>
    </xf>
    <xf numFmtId="164" fontId="0" fillId="0" borderId="16" xfId="2" applyFont="1" applyBorder="1" applyProtection="1">
      <protection locked="0"/>
    </xf>
    <xf numFmtId="0" fontId="2" fillId="0" borderId="24" xfId="4" applyFont="1" applyFill="1" applyBorder="1" applyProtection="1">
      <protection locked="0"/>
    </xf>
    <xf numFmtId="164" fontId="0" fillId="0" borderId="18" xfId="2" applyFont="1" applyBorder="1" applyProtection="1">
      <protection locked="0"/>
    </xf>
    <xf numFmtId="0" fontId="2" fillId="0" borderId="25" xfId="4" applyBorder="1" applyAlignment="1" applyProtection="1">
      <alignment horizontal="center"/>
      <protection locked="0"/>
    </xf>
    <xf numFmtId="164" fontId="0" fillId="0" borderId="26" xfId="2" applyFont="1" applyBorder="1" applyProtection="1">
      <protection locked="0"/>
    </xf>
    <xf numFmtId="0" fontId="3" fillId="0" borderId="11" xfId="4" applyFont="1" applyBorder="1" applyAlignment="1" applyProtection="1">
      <alignment horizontal="center" wrapText="1"/>
      <protection locked="0"/>
    </xf>
    <xf numFmtId="0" fontId="3" fillId="0" borderId="10" xfId="4" applyFont="1" applyBorder="1" applyAlignment="1" applyProtection="1">
      <alignment horizontal="center" wrapText="1"/>
      <protection locked="0"/>
    </xf>
    <xf numFmtId="0" fontId="3" fillId="0" borderId="13" xfId="4" applyFont="1" applyBorder="1" applyAlignment="1" applyProtection="1">
      <alignment horizontal="center" wrapText="1"/>
      <protection locked="0"/>
    </xf>
    <xf numFmtId="10" fontId="0" fillId="0" borderId="14" xfId="3" applyNumberFormat="1" applyFont="1" applyBorder="1" applyProtection="1">
      <protection locked="0"/>
    </xf>
    <xf numFmtId="44" fontId="2" fillId="0" borderId="14" xfId="4" applyNumberFormat="1" applyBorder="1" applyProtection="1">
      <protection locked="0"/>
    </xf>
    <xf numFmtId="10" fontId="0" fillId="0" borderId="16" xfId="3" applyNumberFormat="1" applyFont="1" applyBorder="1" applyProtection="1">
      <protection locked="0"/>
    </xf>
    <xf numFmtId="44" fontId="2" fillId="0" borderId="16" xfId="4" applyNumberFormat="1" applyBorder="1" applyProtection="1">
      <protection locked="0"/>
    </xf>
    <xf numFmtId="164" fontId="0" fillId="0" borderId="27" xfId="2" applyFont="1" applyBorder="1" applyProtection="1">
      <protection locked="0"/>
    </xf>
    <xf numFmtId="164" fontId="0" fillId="0" borderId="6" xfId="2" applyFont="1" applyBorder="1" applyProtection="1">
      <protection locked="0"/>
    </xf>
    <xf numFmtId="0" fontId="3" fillId="0" borderId="13" xfId="4" applyFont="1" applyBorder="1" applyAlignment="1" applyProtection="1">
      <alignment horizontal="center"/>
      <protection locked="0"/>
    </xf>
    <xf numFmtId="10" fontId="0" fillId="0" borderId="6" xfId="3" applyNumberFormat="1" applyFont="1" applyBorder="1" applyProtection="1">
      <protection locked="0"/>
    </xf>
    <xf numFmtId="0" fontId="2" fillId="0" borderId="0" xfId="4" applyFont="1" applyFill="1" applyAlignment="1" applyProtection="1">
      <alignment vertical="top" wrapText="1"/>
      <protection locked="0"/>
    </xf>
    <xf numFmtId="0" fontId="2" fillId="0" borderId="0" xfId="4" applyFont="1" applyFill="1" applyAlignment="1" applyProtection="1">
      <alignment horizontal="left" vertical="top" wrapText="1"/>
      <protection locked="0"/>
    </xf>
    <xf numFmtId="0" fontId="2" fillId="0" borderId="0" xfId="4" applyFill="1" applyAlignment="1" applyProtection="1">
      <alignment horizontal="left" vertical="top" wrapText="1"/>
      <protection locked="0"/>
    </xf>
    <xf numFmtId="0" fontId="2" fillId="0" borderId="7" xfId="4" applyFont="1" applyBorder="1" applyAlignment="1" applyProtection="1">
      <alignment vertical="top" wrapText="1"/>
      <protection locked="0"/>
    </xf>
    <xf numFmtId="0" fontId="2" fillId="0" borderId="0" xfId="4" applyAlignment="1" applyProtection="1">
      <alignment vertical="top"/>
      <protection locked="0"/>
    </xf>
    <xf numFmtId="0" fontId="0" fillId="0" borderId="0" xfId="0" applyAlignment="1">
      <alignment vertical="top"/>
    </xf>
    <xf numFmtId="10" fontId="2" fillId="0" borderId="18" xfId="4" applyNumberFormat="1" applyBorder="1" applyAlignment="1" applyProtection="1">
      <protection locked="0"/>
    </xf>
    <xf numFmtId="10" fontId="2" fillId="0" borderId="6" xfId="4" applyNumberFormat="1" applyFont="1" applyBorder="1" applyAlignment="1" applyProtection="1">
      <protection locked="0"/>
    </xf>
    <xf numFmtId="164" fontId="2" fillId="0" borderId="21" xfId="2" applyFont="1" applyBorder="1" applyProtection="1">
      <protection locked="0"/>
    </xf>
    <xf numFmtId="167" fontId="2" fillId="0" borderId="23" xfId="2" applyNumberFormat="1" applyFont="1" applyBorder="1" applyProtection="1">
      <protection locked="0"/>
    </xf>
    <xf numFmtId="164" fontId="2" fillId="0" borderId="14" xfId="4" applyNumberFormat="1" applyBorder="1" applyProtection="1">
      <protection locked="0"/>
    </xf>
    <xf numFmtId="167" fontId="2" fillId="0" borderId="14" xfId="4" applyNumberFormat="1" applyBorder="1" applyProtection="1">
      <protection locked="0"/>
    </xf>
    <xf numFmtId="164" fontId="0" fillId="0" borderId="0" xfId="2" applyFont="1" applyBorder="1" applyProtection="1">
      <protection locked="0"/>
    </xf>
    <xf numFmtId="0" fontId="3" fillId="0" borderId="0" xfId="4" applyFont="1" applyFill="1" applyAlignment="1" applyProtection="1">
      <alignment horizontal="left" vertical="center" wrapText="1"/>
      <protection locked="0"/>
    </xf>
    <xf numFmtId="0" fontId="2" fillId="0" borderId="0" xfId="4" applyFont="1" applyFill="1" applyAlignment="1" applyProtection="1">
      <alignment horizontal="left" vertical="top" wrapText="1"/>
      <protection locked="0"/>
    </xf>
    <xf numFmtId="0" fontId="4" fillId="0" borderId="0" xfId="4" applyFont="1" applyAlignment="1" applyProtection="1">
      <alignment horizontal="center"/>
      <protection locked="0"/>
    </xf>
    <xf numFmtId="0" fontId="3" fillId="0" borderId="1" xfId="4" applyFont="1" applyBorder="1" applyAlignment="1" applyProtection="1">
      <alignment horizontal="center"/>
      <protection locked="0"/>
    </xf>
    <xf numFmtId="0" fontId="3" fillId="0" borderId="2" xfId="4" applyFont="1" applyBorder="1" applyAlignment="1" applyProtection="1">
      <alignment horizontal="center"/>
      <protection locked="0"/>
    </xf>
    <xf numFmtId="0" fontId="3" fillId="0" borderId="9" xfId="4" applyFont="1" applyBorder="1" applyAlignment="1" applyProtection="1">
      <alignment horizontal="center"/>
      <protection locked="0"/>
    </xf>
    <xf numFmtId="0" fontId="3" fillId="0" borderId="13" xfId="4" applyFont="1" applyBorder="1" applyAlignment="1" applyProtection="1">
      <alignment horizontal="center"/>
      <protection locked="0"/>
    </xf>
    <xf numFmtId="0" fontId="2" fillId="0" borderId="22" xfId="4" applyFont="1" applyBorder="1" applyAlignment="1" applyProtection="1">
      <alignment wrapText="1"/>
      <protection locked="0"/>
    </xf>
    <xf numFmtId="0" fontId="2" fillId="0" borderId="28" xfId="4" applyFont="1" applyBorder="1" applyAlignment="1" applyProtection="1">
      <alignment wrapText="1"/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zoomScaleNormal="100" workbookViewId="0">
      <selection activeCell="I21" sqref="I21"/>
    </sheetView>
  </sheetViews>
  <sheetFormatPr defaultRowHeight="15" x14ac:dyDescent="0.25"/>
  <cols>
    <col min="1" max="1" width="38.140625" customWidth="1"/>
    <col min="2" max="2" width="23.5703125" customWidth="1"/>
    <col min="3" max="3" width="20.42578125" customWidth="1"/>
    <col min="4" max="4" width="20.85546875" customWidth="1"/>
    <col min="5" max="5" width="20.140625" customWidth="1"/>
    <col min="6" max="6" width="18" customWidth="1"/>
  </cols>
  <sheetData>
    <row r="1" spans="1:6" ht="18" x14ac:dyDescent="0.25">
      <c r="A1" s="65" t="s">
        <v>34</v>
      </c>
      <c r="B1" s="65"/>
      <c r="C1" s="65"/>
      <c r="D1" s="65"/>
      <c r="E1" s="65"/>
      <c r="F1" s="65"/>
    </row>
    <row r="2" spans="1:6" ht="18" x14ac:dyDescent="0.25">
      <c r="A2" s="65" t="s">
        <v>35</v>
      </c>
      <c r="B2" s="65"/>
      <c r="C2" s="65"/>
      <c r="D2" s="65"/>
      <c r="E2" s="65"/>
      <c r="F2" s="65"/>
    </row>
    <row r="3" spans="1:6" ht="18" x14ac:dyDescent="0.25">
      <c r="A3" s="65" t="s">
        <v>36</v>
      </c>
      <c r="B3" s="65"/>
      <c r="C3" s="65"/>
      <c r="D3" s="65"/>
      <c r="E3" s="65"/>
      <c r="F3" s="65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3" t="s">
        <v>0</v>
      </c>
      <c r="B5" s="3"/>
      <c r="C5" s="1"/>
      <c r="D5" s="1"/>
      <c r="E5" s="1"/>
      <c r="F5" s="1"/>
    </row>
    <row r="6" spans="1:6" ht="15.75" thickBot="1" x14ac:dyDescent="0.3">
      <c r="A6" s="1"/>
      <c r="B6" s="1"/>
      <c r="C6" s="1"/>
      <c r="D6" s="1"/>
      <c r="E6" s="1"/>
      <c r="F6" s="1"/>
    </row>
    <row r="7" spans="1:6" x14ac:dyDescent="0.25">
      <c r="A7" s="66" t="s">
        <v>31</v>
      </c>
      <c r="B7" s="67"/>
      <c r="C7" s="2"/>
      <c r="D7" s="1"/>
      <c r="E7" s="1"/>
      <c r="F7" s="1"/>
    </row>
    <row r="8" spans="1:6" x14ac:dyDescent="0.25">
      <c r="A8" s="4" t="s">
        <v>1</v>
      </c>
      <c r="B8" s="5">
        <v>18825</v>
      </c>
      <c r="C8" s="1"/>
      <c r="D8" s="1"/>
      <c r="E8" s="1"/>
      <c r="F8" s="1"/>
    </row>
    <row r="9" spans="1:6" ht="15.75" thickBot="1" x14ac:dyDescent="0.3">
      <c r="A9" s="6" t="s">
        <v>2</v>
      </c>
      <c r="B9" s="7">
        <v>169468358</v>
      </c>
      <c r="C9" s="1"/>
      <c r="D9" s="1"/>
      <c r="E9" s="1"/>
      <c r="F9" s="1"/>
    </row>
    <row r="10" spans="1:6" ht="15.75" thickBot="1" x14ac:dyDescent="0.3">
      <c r="A10" s="1"/>
      <c r="B10" s="1"/>
      <c r="C10" s="1"/>
      <c r="D10" s="1"/>
      <c r="E10" s="1"/>
      <c r="F10" s="1"/>
    </row>
    <row r="11" spans="1:6" s="55" customFormat="1" ht="27.75" thickBot="1" x14ac:dyDescent="0.3">
      <c r="A11" s="53" t="s">
        <v>30</v>
      </c>
      <c r="B11" s="8">
        <v>8046258</v>
      </c>
      <c r="C11" s="54"/>
      <c r="D11" s="54"/>
      <c r="E11" s="54"/>
      <c r="F11" s="54"/>
    </row>
    <row r="12" spans="1:6" ht="15.75" thickBot="1" x14ac:dyDescent="0.3">
      <c r="A12" s="1"/>
      <c r="B12" s="1"/>
      <c r="C12" s="1"/>
      <c r="D12" s="1"/>
      <c r="E12" s="1"/>
      <c r="F12" s="1"/>
    </row>
    <row r="13" spans="1:6" x14ac:dyDescent="0.25">
      <c r="A13" s="66" t="s">
        <v>32</v>
      </c>
      <c r="B13" s="67"/>
      <c r="C13" s="1"/>
      <c r="D13" s="1"/>
      <c r="E13" s="1"/>
      <c r="F13" s="1"/>
    </row>
    <row r="14" spans="1:6" x14ac:dyDescent="0.25">
      <c r="A14" s="4" t="s">
        <v>3</v>
      </c>
      <c r="B14" s="9">
        <v>17.010000000000002</v>
      </c>
      <c r="C14" s="1"/>
      <c r="D14" s="1"/>
      <c r="E14" s="1"/>
      <c r="F14" s="1"/>
    </row>
    <row r="15" spans="1:6" ht="15.75" thickBot="1" x14ac:dyDescent="0.3">
      <c r="A15" s="6" t="s">
        <v>4</v>
      </c>
      <c r="B15" s="10">
        <v>2.4799999999999999E-2</v>
      </c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3" t="s">
        <v>5</v>
      </c>
      <c r="B17" s="1"/>
      <c r="C17" s="1"/>
      <c r="D17" s="1"/>
      <c r="E17" s="1"/>
      <c r="F17" s="1"/>
    </row>
    <row r="18" spans="1:6" ht="15.75" thickBot="1" x14ac:dyDescent="0.3">
      <c r="A18" s="1"/>
      <c r="B18" s="1"/>
      <c r="C18" s="1"/>
      <c r="D18" s="1"/>
      <c r="E18" s="1"/>
      <c r="F18" s="1"/>
    </row>
    <row r="19" spans="1:6" x14ac:dyDescent="0.25">
      <c r="A19" s="11"/>
      <c r="B19" s="12" t="s">
        <v>6</v>
      </c>
      <c r="C19" s="13" t="s">
        <v>7</v>
      </c>
      <c r="D19" s="14" t="s">
        <v>8</v>
      </c>
      <c r="E19" s="15" t="s">
        <v>9</v>
      </c>
      <c r="F19" s="1"/>
    </row>
    <row r="20" spans="1:6" x14ac:dyDescent="0.25">
      <c r="A20" s="4" t="s">
        <v>10</v>
      </c>
      <c r="B20" s="16">
        <f>IF(B14="","",B14)</f>
        <v>17.010000000000002</v>
      </c>
      <c r="C20" s="17">
        <f>IF(B8="","",B8)</f>
        <v>18825</v>
      </c>
      <c r="D20" s="18">
        <f>ROUND(IF(ISERROR(B20*C20*12),"",B20*C20*12),2)</f>
        <v>3842559</v>
      </c>
      <c r="E20" s="19">
        <f>ROUND(IF(ISERROR(D20/D22),"",D20/D22),4)</f>
        <v>0.47760000000000002</v>
      </c>
      <c r="F20" s="1"/>
    </row>
    <row r="21" spans="1:6" x14ac:dyDescent="0.25">
      <c r="A21" s="4" t="s">
        <v>11</v>
      </c>
      <c r="B21" s="16">
        <f>IF(B15="","",B15)</f>
        <v>2.4799999999999999E-2</v>
      </c>
      <c r="C21" s="20">
        <f>IF(B9="","",B9)</f>
        <v>169468358</v>
      </c>
      <c r="D21" s="18">
        <f>ROUND(IF(ISERROR(B21*C21),"",B21*C21),2)</f>
        <v>4202815.28</v>
      </c>
      <c r="E21" s="19">
        <f>ROUND(IF(ISERROR(D21/D22),"",D21/D22),4)</f>
        <v>0.52239999999999998</v>
      </c>
      <c r="F21" s="1"/>
    </row>
    <row r="22" spans="1:6" ht="15.75" thickBot="1" x14ac:dyDescent="0.3">
      <c r="A22" s="21" t="s">
        <v>12</v>
      </c>
      <c r="B22" s="22"/>
      <c r="C22" s="23"/>
      <c r="D22" s="24">
        <f>IF(ISERROR(D20+D21),"",D20+D21)</f>
        <v>8045374.2800000003</v>
      </c>
      <c r="E22" s="57">
        <f>SUM(E20:E21)</f>
        <v>1</v>
      </c>
      <c r="F22" s="1"/>
    </row>
    <row r="23" spans="1:6" x14ac:dyDescent="0.25">
      <c r="A23" s="2"/>
      <c r="B23" s="1"/>
      <c r="C23" s="1"/>
      <c r="D23" s="1"/>
      <c r="E23" s="1"/>
      <c r="F23" s="1"/>
    </row>
    <row r="24" spans="1:6" x14ac:dyDescent="0.25">
      <c r="A24" s="25" t="s">
        <v>14</v>
      </c>
      <c r="B24" s="1"/>
      <c r="C24" s="1"/>
      <c r="D24" s="1"/>
      <c r="E24" s="1"/>
      <c r="F24" s="1"/>
    </row>
    <row r="25" spans="1:6" ht="15.75" thickBot="1" x14ac:dyDescent="0.3">
      <c r="A25" s="2"/>
      <c r="B25" s="1"/>
      <c r="C25" s="1"/>
      <c r="D25" s="1"/>
      <c r="E25" s="1"/>
      <c r="F25" s="1"/>
    </row>
    <row r="26" spans="1:6" ht="28.5" thickBot="1" x14ac:dyDescent="0.3">
      <c r="A26" s="26" t="s">
        <v>15</v>
      </c>
      <c r="B26" s="27">
        <v>4</v>
      </c>
      <c r="C26" s="2"/>
      <c r="D26" s="1"/>
      <c r="E26" s="1"/>
      <c r="F26" s="1"/>
    </row>
    <row r="27" spans="1:6" ht="15.75" thickBot="1" x14ac:dyDescent="0.3">
      <c r="A27" s="2"/>
      <c r="B27" s="1"/>
      <c r="C27" s="1"/>
      <c r="D27" s="1"/>
      <c r="E27" s="1"/>
      <c r="F27" s="1"/>
    </row>
    <row r="28" spans="1:6" ht="39" x14ac:dyDescent="0.25">
      <c r="A28" s="28"/>
      <c r="B28" s="29" t="s">
        <v>16</v>
      </c>
      <c r="C28" s="30" t="s">
        <v>17</v>
      </c>
      <c r="D28" s="31" t="s">
        <v>18</v>
      </c>
      <c r="E28" s="1"/>
      <c r="F28" s="1"/>
    </row>
    <row r="29" spans="1:6" x14ac:dyDescent="0.25">
      <c r="A29" s="4" t="s">
        <v>10</v>
      </c>
      <c r="B29" s="18">
        <f>ROUND(IF(ISERROR(B$11*E20),"",B$11*E20),2)</f>
        <v>3842892.82</v>
      </c>
      <c r="C29" s="58">
        <f>IF(ISERROR(ROUND(B29/B8/12,2)),"",ROUND(B29/B8/12,2))</f>
        <v>17.010000000000002</v>
      </c>
      <c r="D29" s="32">
        <f>ROUND(IF(ISERROR(C29*B8*12),"",C29*B8*12),2)</f>
        <v>3842559</v>
      </c>
      <c r="E29" s="1"/>
      <c r="F29" s="1"/>
    </row>
    <row r="30" spans="1:6" x14ac:dyDescent="0.25">
      <c r="A30" s="33" t="s">
        <v>11</v>
      </c>
      <c r="B30" s="34">
        <f>ROUND(IF(ISERROR(B$11*E21),"",B$11*E21),2)</f>
        <v>4203365.18</v>
      </c>
      <c r="C30" s="59">
        <f>IF(ISERROR(ROUND(B30/B9,4)),"",ROUND(B30/B9,4))</f>
        <v>2.4799999999999999E-2</v>
      </c>
      <c r="D30" s="32">
        <f>ROUND(IF(ISERROR(C30*B9),"",C30*B9),2)</f>
        <v>4202815.28</v>
      </c>
      <c r="E30" s="1"/>
      <c r="F30" s="1"/>
    </row>
    <row r="31" spans="1:6" ht="15.75" thickBot="1" x14ac:dyDescent="0.3">
      <c r="A31" s="35" t="s">
        <v>12</v>
      </c>
      <c r="B31" s="36">
        <f>IF(ISERROR(B29+B30),"",B29+B30)</f>
        <v>8046258</v>
      </c>
      <c r="C31" s="37"/>
      <c r="D31" s="38">
        <f>IF(ISERROR(D29+D30),"",D29+D30)</f>
        <v>8045374.2800000003</v>
      </c>
      <c r="E31" s="1"/>
      <c r="F31" s="1"/>
    </row>
    <row r="32" spans="1:6" ht="15.75" thickBot="1" x14ac:dyDescent="0.3">
      <c r="A32" s="2"/>
      <c r="B32" s="1"/>
      <c r="C32" s="1"/>
      <c r="D32" s="1"/>
      <c r="E32" s="1"/>
      <c r="F32" s="1"/>
    </row>
    <row r="33" spans="1:6" ht="39" x14ac:dyDescent="0.25">
      <c r="A33" s="28"/>
      <c r="B33" s="13" t="s">
        <v>19</v>
      </c>
      <c r="C33" s="39" t="s">
        <v>20</v>
      </c>
      <c r="D33" s="40" t="s">
        <v>21</v>
      </c>
      <c r="E33" s="41" t="s">
        <v>22</v>
      </c>
      <c r="F33" s="2"/>
    </row>
    <row r="34" spans="1:6" x14ac:dyDescent="0.25">
      <c r="A34" s="4" t="s">
        <v>10</v>
      </c>
      <c r="B34" s="42">
        <f>ROUND(IF(ISERROR(((1-E20)/B26)+E20),"",((1-E20)/B26)+E20),4)</f>
        <v>0.60819999999999996</v>
      </c>
      <c r="C34" s="43">
        <f>ROUND(IF(ISERROR(B34*B$11),"",B34*B$11),2)</f>
        <v>4893734.12</v>
      </c>
      <c r="D34" s="58">
        <f>IF(ISERROR(ROUND(C34/B8/12,2)),"",ROUND(C34/B8/12,2))</f>
        <v>21.66</v>
      </c>
      <c r="E34" s="32">
        <f>ROUND(IF(ISERROR(D34*12*B8),"",D34*12*B8),2)</f>
        <v>4892994</v>
      </c>
      <c r="F34" s="2"/>
    </row>
    <row r="35" spans="1:6" x14ac:dyDescent="0.25">
      <c r="A35" s="33" t="s">
        <v>11</v>
      </c>
      <c r="B35" s="44">
        <f>ROUND(IF(ISERROR(1-B34),"",1-B34),4)</f>
        <v>0.39179999999999998</v>
      </c>
      <c r="C35" s="45">
        <f>ROUND(IF(ISERROR(B35*B$11),"",B35*B$11),2)</f>
        <v>3152523.88</v>
      </c>
      <c r="D35" s="59">
        <f>IF(ISERROR(ROUND(C35/B9,4)),"",ROUND(C35/B9,4))</f>
        <v>1.8599999999999998E-2</v>
      </c>
      <c r="E35" s="46">
        <f>ROUND(IF(ISERROR(D35*B9),"",D35*B9),2)</f>
        <v>3152111.46</v>
      </c>
      <c r="F35" s="2"/>
    </row>
    <row r="36" spans="1:6" ht="15.75" thickBot="1" x14ac:dyDescent="0.3">
      <c r="A36" s="35" t="s">
        <v>12</v>
      </c>
      <c r="B36" s="56">
        <f>SUM(B34:B35)</f>
        <v>1</v>
      </c>
      <c r="C36" s="24">
        <f>IF(ISERROR(SUM(C34:C35)),"",SUM(C34:C35))</f>
        <v>8046258</v>
      </c>
      <c r="D36" s="37"/>
      <c r="E36" s="47">
        <f>IF(ISERROR(E34+E35),"",E34+E35)</f>
        <v>8045105.46</v>
      </c>
      <c r="F36" s="1"/>
    </row>
    <row r="37" spans="1:6" ht="15.75" thickBot="1" x14ac:dyDescent="0.3">
      <c r="A37" s="2"/>
      <c r="B37" s="1"/>
      <c r="C37" s="1"/>
      <c r="D37" s="1"/>
      <c r="E37" s="1"/>
      <c r="F37" s="1"/>
    </row>
    <row r="38" spans="1:6" x14ac:dyDescent="0.25">
      <c r="A38" s="68" t="s">
        <v>23</v>
      </c>
      <c r="B38" s="69"/>
      <c r="C38" s="1"/>
      <c r="D38" s="1"/>
      <c r="E38" s="1"/>
      <c r="F38" s="1"/>
    </row>
    <row r="39" spans="1:6" x14ac:dyDescent="0.25">
      <c r="A39" s="4" t="s">
        <v>24</v>
      </c>
      <c r="B39" s="32">
        <f>IF(ISERROR(D34-C29),"",D34-C29)</f>
        <v>4.6499999999999986</v>
      </c>
      <c r="C39" s="1"/>
      <c r="D39" s="1"/>
      <c r="E39" s="1"/>
      <c r="F39" s="1"/>
    </row>
    <row r="40" spans="1:6" x14ac:dyDescent="0.25">
      <c r="A40" s="70" t="s">
        <v>25</v>
      </c>
      <c r="B40" s="46">
        <f>ROUND(IF(ISERROR((D34*12*B8)+(D35*B9)-B11),"",(D34*12*B8)+(D35*B9)-B11),2)</f>
        <v>-1152.54</v>
      </c>
      <c r="C40" s="1"/>
      <c r="D40" s="1"/>
      <c r="E40" s="1"/>
      <c r="F40" s="1"/>
    </row>
    <row r="41" spans="1:6" ht="27.75" customHeight="1" thickBot="1" x14ac:dyDescent="0.3">
      <c r="A41" s="71"/>
      <c r="B41" s="49">
        <f>IF(ISERROR(B40/B11), "", B40/B11)</f>
        <v>-1.4323925481882384E-4</v>
      </c>
      <c r="C41" s="1"/>
      <c r="D41" s="1"/>
      <c r="E41" s="1"/>
      <c r="F41" s="1"/>
    </row>
    <row r="42" spans="1:6" x14ac:dyDescent="0.25">
      <c r="A42" s="2"/>
      <c r="B42" s="1"/>
      <c r="C42" s="1"/>
      <c r="D42" s="1"/>
      <c r="E42" s="1"/>
      <c r="F42" s="1"/>
    </row>
    <row r="43" spans="1:6" x14ac:dyDescent="0.25">
      <c r="A43" s="3" t="s">
        <v>26</v>
      </c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63" t="s">
        <v>27</v>
      </c>
      <c r="B45" s="63"/>
      <c r="C45" s="63"/>
      <c r="D45" s="63"/>
      <c r="E45" s="63"/>
      <c r="F45" s="1"/>
    </row>
    <row r="46" spans="1:6" x14ac:dyDescent="0.25">
      <c r="A46" s="63"/>
      <c r="B46" s="63"/>
      <c r="C46" s="63"/>
      <c r="D46" s="63"/>
      <c r="E46" s="63"/>
      <c r="F46" s="1"/>
    </row>
    <row r="47" spans="1:6" x14ac:dyDescent="0.25">
      <c r="A47" s="1"/>
      <c r="B47" s="50"/>
      <c r="C47" s="50"/>
      <c r="D47" s="50"/>
      <c r="E47" s="50"/>
      <c r="F47" s="50"/>
    </row>
    <row r="48" spans="1:6" x14ac:dyDescent="0.25">
      <c r="A48" s="64" t="s">
        <v>28</v>
      </c>
      <c r="B48" s="64"/>
      <c r="C48" s="64"/>
      <c r="D48" s="64"/>
      <c r="E48" s="64"/>
      <c r="F48" s="50"/>
    </row>
    <row r="49" spans="1:6" x14ac:dyDescent="0.25">
      <c r="A49" s="64"/>
      <c r="B49" s="64"/>
      <c r="C49" s="64"/>
      <c r="D49" s="64"/>
      <c r="E49" s="64"/>
      <c r="F49" s="51"/>
    </row>
    <row r="50" spans="1:6" x14ac:dyDescent="0.25">
      <c r="A50" s="64"/>
      <c r="B50" s="64"/>
      <c r="C50" s="64"/>
      <c r="D50" s="64"/>
      <c r="E50" s="64"/>
      <c r="F50" s="51"/>
    </row>
    <row r="51" spans="1:6" x14ac:dyDescent="0.25">
      <c r="A51" s="64" t="s">
        <v>29</v>
      </c>
      <c r="B51" s="64"/>
      <c r="C51" s="64"/>
      <c r="D51" s="64"/>
      <c r="E51" s="64"/>
      <c r="F51" s="52"/>
    </row>
    <row r="52" spans="1:6" x14ac:dyDescent="0.25">
      <c r="A52" s="64"/>
      <c r="B52" s="64"/>
      <c r="C52" s="64"/>
      <c r="D52" s="64"/>
      <c r="E52" s="64"/>
      <c r="F52" s="1"/>
    </row>
  </sheetData>
  <mergeCells count="10">
    <mergeCell ref="A45:E46"/>
    <mergeCell ref="A48:E50"/>
    <mergeCell ref="A51:E52"/>
    <mergeCell ref="A1:F1"/>
    <mergeCell ref="A2:F2"/>
    <mergeCell ref="A7:B7"/>
    <mergeCell ref="A13:B13"/>
    <mergeCell ref="A38:B38"/>
    <mergeCell ref="A40:A41"/>
    <mergeCell ref="A3:F3"/>
  </mergeCells>
  <printOptions horizontalCentered="1" gridLines="1"/>
  <pageMargins left="0.5" right="0.5" top="1.25" bottom="0.75" header="0.3" footer="0.25"/>
  <pageSetup scale="70" orientation="portrait" r:id="rId1"/>
  <headerFooter>
    <oddHeader>&amp;R&amp;"Arial,Regular"&amp;10Haldimand County Hydro Inc.
EB-2015-0259
2016 Electricity Distribution Rate Application
Filed: September 30, 2015
APPENDIX 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28" zoomScaleNormal="100" workbookViewId="0">
      <selection activeCell="B64" sqref="B64"/>
    </sheetView>
  </sheetViews>
  <sheetFormatPr defaultRowHeight="15" x14ac:dyDescent="0.25"/>
  <cols>
    <col min="1" max="1" width="38.140625" customWidth="1"/>
    <col min="2" max="2" width="23.5703125" customWidth="1"/>
    <col min="3" max="3" width="20.42578125" customWidth="1"/>
    <col min="4" max="4" width="20.85546875" customWidth="1"/>
    <col min="5" max="5" width="20.140625" customWidth="1"/>
    <col min="6" max="6" width="18" customWidth="1"/>
  </cols>
  <sheetData>
    <row r="1" spans="1:6" ht="18" x14ac:dyDescent="0.25">
      <c r="A1" s="65" t="s">
        <v>34</v>
      </c>
      <c r="B1" s="65"/>
      <c r="C1" s="65"/>
      <c r="D1" s="65"/>
      <c r="E1" s="65"/>
      <c r="F1" s="65"/>
    </row>
    <row r="2" spans="1:6" ht="18" x14ac:dyDescent="0.25">
      <c r="A2" s="65" t="s">
        <v>35</v>
      </c>
      <c r="B2" s="65"/>
      <c r="C2" s="65"/>
      <c r="D2" s="65"/>
      <c r="E2" s="65"/>
      <c r="F2" s="65"/>
    </row>
    <row r="3" spans="1:6" ht="18" x14ac:dyDescent="0.25">
      <c r="A3" s="65" t="s">
        <v>36</v>
      </c>
      <c r="B3" s="65"/>
      <c r="C3" s="65"/>
      <c r="D3" s="65"/>
      <c r="E3" s="65"/>
      <c r="F3" s="65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3" t="s">
        <v>0</v>
      </c>
      <c r="B5" s="3"/>
      <c r="C5" s="1"/>
      <c r="D5" s="1"/>
      <c r="E5" s="1"/>
      <c r="F5" s="1"/>
    </row>
    <row r="6" spans="1:6" ht="15.75" thickBot="1" x14ac:dyDescent="0.3">
      <c r="A6" s="1"/>
      <c r="B6" s="1"/>
      <c r="C6" s="1"/>
      <c r="D6" s="1"/>
      <c r="E6" s="1"/>
      <c r="F6" s="1"/>
    </row>
    <row r="7" spans="1:6" x14ac:dyDescent="0.25">
      <c r="A7" s="66" t="s">
        <v>31</v>
      </c>
      <c r="B7" s="67"/>
      <c r="C7" s="2"/>
      <c r="D7" s="1"/>
      <c r="E7" s="1"/>
      <c r="F7" s="1"/>
    </row>
    <row r="8" spans="1:6" x14ac:dyDescent="0.25">
      <c r="A8" s="4" t="s">
        <v>1</v>
      </c>
      <c r="B8" s="5">
        <v>18825</v>
      </c>
      <c r="C8" s="1"/>
      <c r="D8" s="1"/>
      <c r="E8" s="1"/>
      <c r="F8" s="1"/>
    </row>
    <row r="9" spans="1:6" ht="15.75" thickBot="1" x14ac:dyDescent="0.3">
      <c r="A9" s="6" t="s">
        <v>2</v>
      </c>
      <c r="B9" s="7">
        <v>169468358</v>
      </c>
      <c r="C9" s="1"/>
      <c r="D9" s="1"/>
      <c r="E9" s="1"/>
      <c r="F9" s="1"/>
    </row>
    <row r="10" spans="1:6" ht="15.75" thickBot="1" x14ac:dyDescent="0.3">
      <c r="A10" s="1"/>
      <c r="B10" s="1"/>
      <c r="C10" s="1"/>
      <c r="D10" s="1"/>
      <c r="E10" s="1"/>
      <c r="F10" s="1"/>
    </row>
    <row r="11" spans="1:6" s="55" customFormat="1" ht="27.75" thickBot="1" x14ac:dyDescent="0.3">
      <c r="A11" s="53" t="s">
        <v>30</v>
      </c>
      <c r="B11" s="8">
        <v>8046258</v>
      </c>
      <c r="C11" s="54"/>
      <c r="D11" s="54"/>
      <c r="E11" s="54"/>
      <c r="F11" s="54"/>
    </row>
    <row r="12" spans="1:6" ht="15.75" thickBot="1" x14ac:dyDescent="0.3">
      <c r="A12" s="1"/>
      <c r="B12" s="1"/>
      <c r="C12" s="1"/>
      <c r="D12" s="1"/>
      <c r="E12" s="1"/>
      <c r="F12" s="1"/>
    </row>
    <row r="13" spans="1:6" x14ac:dyDescent="0.25">
      <c r="A13" s="66" t="s">
        <v>32</v>
      </c>
      <c r="B13" s="67"/>
      <c r="C13" s="1"/>
      <c r="D13" s="1"/>
      <c r="E13" s="1"/>
      <c r="F13" s="1"/>
    </row>
    <row r="14" spans="1:6" x14ac:dyDescent="0.25">
      <c r="A14" s="4" t="s">
        <v>3</v>
      </c>
      <c r="B14" s="9">
        <v>17.010000000000002</v>
      </c>
      <c r="C14" s="1"/>
      <c r="D14" s="1"/>
      <c r="E14" s="1"/>
      <c r="F14" s="1"/>
    </row>
    <row r="15" spans="1:6" ht="15.75" thickBot="1" x14ac:dyDescent="0.3">
      <c r="A15" s="6" t="s">
        <v>4</v>
      </c>
      <c r="B15" s="10">
        <v>2.4799999999999999E-2</v>
      </c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3" t="s">
        <v>5</v>
      </c>
      <c r="B17" s="1"/>
      <c r="C17" s="1"/>
      <c r="D17" s="1"/>
      <c r="E17" s="1"/>
      <c r="F17" s="1"/>
    </row>
    <row r="18" spans="1:6" ht="15.75" thickBot="1" x14ac:dyDescent="0.3">
      <c r="A18" s="1"/>
      <c r="B18" s="1"/>
      <c r="C18" s="1"/>
      <c r="D18" s="1"/>
      <c r="E18" s="1"/>
      <c r="F18" s="1"/>
    </row>
    <row r="19" spans="1:6" x14ac:dyDescent="0.25">
      <c r="A19" s="11"/>
      <c r="B19" s="12" t="s">
        <v>6</v>
      </c>
      <c r="C19" s="13" t="s">
        <v>7</v>
      </c>
      <c r="D19" s="14" t="s">
        <v>8</v>
      </c>
      <c r="E19" s="48" t="s">
        <v>9</v>
      </c>
      <c r="F19" s="1"/>
    </row>
    <row r="20" spans="1:6" x14ac:dyDescent="0.25">
      <c r="A20" s="4" t="s">
        <v>10</v>
      </c>
      <c r="B20" s="60">
        <v>21.66</v>
      </c>
      <c r="C20" s="17">
        <f>IF(B8="","",B8)</f>
        <v>18825</v>
      </c>
      <c r="D20" s="18">
        <f>ROUND(IF(ISERROR(B20*C20*12),"",B20*C20*12),2)</f>
        <v>4892994</v>
      </c>
      <c r="E20" s="19">
        <f>ROUND(IF(ISERROR(D20/D22),"",D20/D22),4)</f>
        <v>0.60819999999999996</v>
      </c>
      <c r="F20" s="1"/>
    </row>
    <row r="21" spans="1:6" x14ac:dyDescent="0.25">
      <c r="A21" s="4" t="s">
        <v>11</v>
      </c>
      <c r="B21" s="61">
        <v>1.8599999999999998E-2</v>
      </c>
      <c r="C21" s="20">
        <f>IF(B9="","",B9)</f>
        <v>169468358</v>
      </c>
      <c r="D21" s="18">
        <f>ROUND(IF(ISERROR(B21*C21),"",B21*C21),2)</f>
        <v>3152111.46</v>
      </c>
      <c r="E21" s="19">
        <f>ROUND(IF(ISERROR(D21/D22),"",D21/D22),4)</f>
        <v>0.39179999999999998</v>
      </c>
      <c r="F21" s="1"/>
    </row>
    <row r="22" spans="1:6" ht="15.75" thickBot="1" x14ac:dyDescent="0.3">
      <c r="A22" s="21" t="s">
        <v>12</v>
      </c>
      <c r="B22" s="22"/>
      <c r="C22" s="23"/>
      <c r="D22" s="24">
        <f>IF(ISERROR(D20+D21),"",D20+D21)</f>
        <v>8045105.46</v>
      </c>
      <c r="E22" s="57">
        <f>SUM(E20:E21)</f>
        <v>1</v>
      </c>
      <c r="F22" s="1"/>
    </row>
    <row r="23" spans="1:6" x14ac:dyDescent="0.25">
      <c r="A23" s="2"/>
      <c r="B23" s="1"/>
      <c r="C23" s="1"/>
      <c r="D23" s="1"/>
      <c r="E23" s="1"/>
      <c r="F23" s="1"/>
    </row>
    <row r="24" spans="1:6" x14ac:dyDescent="0.25">
      <c r="A24" s="25" t="s">
        <v>14</v>
      </c>
      <c r="B24" s="1"/>
      <c r="C24" s="1"/>
      <c r="D24" s="1"/>
      <c r="E24" s="1"/>
      <c r="F24" s="1"/>
    </row>
    <row r="25" spans="1:6" ht="15.75" thickBot="1" x14ac:dyDescent="0.3">
      <c r="A25" s="2"/>
      <c r="B25" s="1"/>
      <c r="C25" s="1"/>
      <c r="D25" s="1"/>
      <c r="E25" s="1"/>
      <c r="F25" s="1"/>
    </row>
    <row r="26" spans="1:6" ht="28.5" thickBot="1" x14ac:dyDescent="0.3">
      <c r="A26" s="26" t="s">
        <v>15</v>
      </c>
      <c r="B26" s="27">
        <v>3</v>
      </c>
      <c r="C26" s="2"/>
      <c r="D26" s="1"/>
      <c r="E26" s="1"/>
      <c r="F26" s="1"/>
    </row>
    <row r="27" spans="1:6" ht="15.75" thickBot="1" x14ac:dyDescent="0.3">
      <c r="A27" s="2"/>
      <c r="B27" s="1"/>
      <c r="C27" s="1"/>
      <c r="D27" s="1"/>
      <c r="E27" s="1"/>
      <c r="F27" s="1"/>
    </row>
    <row r="28" spans="1:6" ht="39" x14ac:dyDescent="0.25">
      <c r="A28" s="28"/>
      <c r="B28" s="29" t="s">
        <v>16</v>
      </c>
      <c r="C28" s="30" t="s">
        <v>17</v>
      </c>
      <c r="D28" s="31" t="s">
        <v>18</v>
      </c>
      <c r="E28" s="1"/>
      <c r="F28" s="1"/>
    </row>
    <row r="29" spans="1:6" x14ac:dyDescent="0.25">
      <c r="A29" s="4" t="s">
        <v>10</v>
      </c>
      <c r="B29" s="18">
        <f>ROUND(IF(ISERROR(B$11*E20),"",B$11*E20),2)</f>
        <v>4893734.12</v>
      </c>
      <c r="C29" s="58">
        <f>IF(ISERROR(ROUND(B29/B8/12,2)),"",ROUND(B29/B8/12,2))</f>
        <v>21.66</v>
      </c>
      <c r="D29" s="32">
        <f>ROUND(IF(ISERROR(C29*B8*12),"",C29*B8*12),2)</f>
        <v>4892994</v>
      </c>
      <c r="E29" s="1"/>
      <c r="F29" s="1"/>
    </row>
    <row r="30" spans="1:6" x14ac:dyDescent="0.25">
      <c r="A30" s="33" t="s">
        <v>11</v>
      </c>
      <c r="B30" s="34">
        <f>ROUND(IF(ISERROR(B$11*E21),"",B$11*E21),2)</f>
        <v>3152523.88</v>
      </c>
      <c r="C30" s="59">
        <f>IF(ISERROR(ROUND(B30/B9,4)),"",ROUND(B30/B9,4))</f>
        <v>1.8599999999999998E-2</v>
      </c>
      <c r="D30" s="32">
        <f>ROUND(IF(ISERROR(C30*B9),"",C30*B9),2)</f>
        <v>3152111.46</v>
      </c>
      <c r="E30" s="1"/>
      <c r="F30" s="1"/>
    </row>
    <row r="31" spans="1:6" ht="15.75" thickBot="1" x14ac:dyDescent="0.3">
      <c r="A31" s="35" t="s">
        <v>12</v>
      </c>
      <c r="B31" s="36">
        <f>IF(ISERROR(B29+B30),"",B29+B30)</f>
        <v>8046258</v>
      </c>
      <c r="C31" s="37" t="s">
        <v>13</v>
      </c>
      <c r="D31" s="38">
        <f>IF(ISERROR(D29+D30),"",D29+D30)</f>
        <v>8045105.46</v>
      </c>
      <c r="E31" s="1"/>
      <c r="F31" s="1"/>
    </row>
    <row r="32" spans="1:6" ht="15.75" thickBot="1" x14ac:dyDescent="0.3">
      <c r="A32" s="2"/>
      <c r="B32" s="1"/>
      <c r="C32" s="1"/>
      <c r="D32" s="1"/>
      <c r="E32" s="1"/>
      <c r="F32" s="1"/>
    </row>
    <row r="33" spans="1:6" ht="39" x14ac:dyDescent="0.25">
      <c r="A33" s="28"/>
      <c r="B33" s="13" t="s">
        <v>19</v>
      </c>
      <c r="C33" s="39" t="s">
        <v>20</v>
      </c>
      <c r="D33" s="40" t="s">
        <v>21</v>
      </c>
      <c r="E33" s="41" t="s">
        <v>22</v>
      </c>
      <c r="F33" s="2"/>
    </row>
    <row r="34" spans="1:6" x14ac:dyDescent="0.25">
      <c r="A34" s="4" t="s">
        <v>10</v>
      </c>
      <c r="B34" s="42">
        <f>ROUND(IF(ISERROR(((1-E20)/B26)+E20),"",((1-E20)/B26)+E20),4)</f>
        <v>0.73880000000000001</v>
      </c>
      <c r="C34" s="43">
        <f>ROUND(IF(ISERROR(B34*B$11),"",B34*B$11),2)</f>
        <v>5944575.4100000001</v>
      </c>
      <c r="D34" s="58">
        <f>IF(ISERROR(ROUND(C34/B8/12,2)),"",ROUND(C34/B8/12,2))-0.01</f>
        <v>26.31</v>
      </c>
      <c r="E34" s="32">
        <f>ROUND(IF(ISERROR(D34*12*B8),"",D34*12*B8),2)</f>
        <v>5943429</v>
      </c>
      <c r="F34" s="2"/>
    </row>
    <row r="35" spans="1:6" x14ac:dyDescent="0.25">
      <c r="A35" s="33" t="s">
        <v>11</v>
      </c>
      <c r="B35" s="44">
        <f>ROUND(IF(ISERROR(1-B34),"",1-B34),4)</f>
        <v>0.26119999999999999</v>
      </c>
      <c r="C35" s="45">
        <f>ROUND(IF(ISERROR(B35*B$11),"",B35*B$11),2)</f>
        <v>2101682.59</v>
      </c>
      <c r="D35" s="59">
        <f>IF(ISERROR(ROUND(C35/B9,4)),"",ROUND(C35/B9,4))</f>
        <v>1.24E-2</v>
      </c>
      <c r="E35" s="46">
        <f>ROUND(IF(ISERROR(D35*B9),"",D35*B9),2)</f>
        <v>2101407.64</v>
      </c>
      <c r="F35" s="2"/>
    </row>
    <row r="36" spans="1:6" ht="15.75" thickBot="1" x14ac:dyDescent="0.3">
      <c r="A36" s="35" t="s">
        <v>12</v>
      </c>
      <c r="B36" s="56">
        <f>SUM(B34:B35)</f>
        <v>1</v>
      </c>
      <c r="C36" s="24">
        <f>IF(ISERROR(SUM(C34:C35)),"",SUM(C34:C35))</f>
        <v>8046258</v>
      </c>
      <c r="D36" s="37" t="s">
        <v>13</v>
      </c>
      <c r="E36" s="47">
        <f>IF(ISERROR(E34+E35),"",E34+E35)</f>
        <v>8044836.6400000006</v>
      </c>
      <c r="F36" s="1"/>
    </row>
    <row r="37" spans="1:6" ht="15.75" thickBot="1" x14ac:dyDescent="0.3">
      <c r="A37" s="2"/>
      <c r="B37" s="1"/>
      <c r="C37" s="1"/>
      <c r="D37" s="1"/>
      <c r="E37" s="1"/>
      <c r="F37" s="1"/>
    </row>
    <row r="38" spans="1:6" x14ac:dyDescent="0.25">
      <c r="A38" s="68" t="s">
        <v>23</v>
      </c>
      <c r="B38" s="69"/>
      <c r="C38" s="1"/>
      <c r="D38" s="1"/>
      <c r="E38" s="1"/>
      <c r="F38" s="1"/>
    </row>
    <row r="39" spans="1:6" x14ac:dyDescent="0.25">
      <c r="A39" s="4" t="s">
        <v>24</v>
      </c>
      <c r="B39" s="32">
        <f>IF(ISERROR(D34-C29),"",D34-C29)</f>
        <v>4.6499999999999986</v>
      </c>
      <c r="C39" s="1"/>
      <c r="D39" s="1"/>
      <c r="E39" s="1"/>
      <c r="F39" s="1"/>
    </row>
    <row r="40" spans="1:6" x14ac:dyDescent="0.25">
      <c r="A40" s="70" t="s">
        <v>25</v>
      </c>
      <c r="B40" s="46">
        <f>ROUND(IF(ISERROR((D34*12*B8)+(D35*B9)-B11),"",(D34*12*B8)+(D35*B9)-B11),2)</f>
        <v>-1421.36</v>
      </c>
      <c r="C40" s="1"/>
      <c r="D40" s="1"/>
      <c r="E40" s="1"/>
      <c r="F40" s="1"/>
    </row>
    <row r="41" spans="1:6" ht="27.75" customHeight="1" thickBot="1" x14ac:dyDescent="0.3">
      <c r="A41" s="71"/>
      <c r="B41" s="49">
        <f>IF(ISERROR(B40/B11), "", B40/B11)</f>
        <v>-1.7664857378423609E-4</v>
      </c>
      <c r="C41" s="1"/>
      <c r="D41" s="1"/>
      <c r="E41" s="1"/>
      <c r="F41" s="1"/>
    </row>
    <row r="42" spans="1:6" x14ac:dyDescent="0.25">
      <c r="A42" s="2"/>
      <c r="B42" s="1"/>
      <c r="C42" s="1"/>
      <c r="D42" s="1"/>
      <c r="E42" s="1"/>
      <c r="F42" s="1"/>
    </row>
    <row r="43" spans="1:6" x14ac:dyDescent="0.25">
      <c r="A43" s="3" t="s">
        <v>26</v>
      </c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63" t="s">
        <v>27</v>
      </c>
      <c r="B45" s="63"/>
      <c r="C45" s="63"/>
      <c r="D45" s="63"/>
      <c r="E45" s="63"/>
      <c r="F45" s="1"/>
    </row>
    <row r="46" spans="1:6" x14ac:dyDescent="0.25">
      <c r="A46" s="63"/>
      <c r="B46" s="63"/>
      <c r="C46" s="63"/>
      <c r="D46" s="63"/>
      <c r="E46" s="63"/>
      <c r="F46" s="1"/>
    </row>
    <row r="47" spans="1:6" x14ac:dyDescent="0.25">
      <c r="A47" s="1"/>
      <c r="B47" s="50"/>
      <c r="C47" s="50"/>
      <c r="D47" s="50"/>
      <c r="E47" s="50"/>
      <c r="F47" s="50"/>
    </row>
    <row r="48" spans="1:6" x14ac:dyDescent="0.25">
      <c r="A48" s="64" t="s">
        <v>28</v>
      </c>
      <c r="B48" s="64"/>
      <c r="C48" s="64"/>
      <c r="D48" s="64"/>
      <c r="E48" s="64"/>
      <c r="F48" s="50"/>
    </row>
    <row r="49" spans="1:6" x14ac:dyDescent="0.25">
      <c r="A49" s="64"/>
      <c r="B49" s="64"/>
      <c r="C49" s="64"/>
      <c r="D49" s="64"/>
      <c r="E49" s="64"/>
      <c r="F49" s="51"/>
    </row>
    <row r="50" spans="1:6" x14ac:dyDescent="0.25">
      <c r="A50" s="64"/>
      <c r="B50" s="64"/>
      <c r="C50" s="64"/>
      <c r="D50" s="64"/>
      <c r="E50" s="64"/>
      <c r="F50" s="51"/>
    </row>
    <row r="51" spans="1:6" x14ac:dyDescent="0.25">
      <c r="A51" s="64" t="s">
        <v>29</v>
      </c>
      <c r="B51" s="64"/>
      <c r="C51" s="64"/>
      <c r="D51" s="64"/>
      <c r="E51" s="64"/>
      <c r="F51" s="52"/>
    </row>
    <row r="52" spans="1:6" x14ac:dyDescent="0.25">
      <c r="A52" s="64"/>
      <c r="B52" s="64"/>
      <c r="C52" s="64"/>
      <c r="D52" s="64"/>
      <c r="E52" s="64"/>
      <c r="F52" s="1"/>
    </row>
  </sheetData>
  <mergeCells count="10">
    <mergeCell ref="A45:E46"/>
    <mergeCell ref="A48:E50"/>
    <mergeCell ref="A51:E52"/>
    <mergeCell ref="A1:F1"/>
    <mergeCell ref="A2:F2"/>
    <mergeCell ref="A7:B7"/>
    <mergeCell ref="A13:B13"/>
    <mergeCell ref="A38:B38"/>
    <mergeCell ref="A40:A41"/>
    <mergeCell ref="A3:F3"/>
  </mergeCells>
  <printOptions horizontalCentered="1" gridLines="1"/>
  <pageMargins left="0.5" right="0.5" top="1.25" bottom="0.75" header="0.3" footer="0.25"/>
  <pageSetup scale="70" orientation="portrait" r:id="rId1"/>
  <headerFooter>
    <oddHeader>&amp;R&amp;"Arial,Regular"&amp;10Haldimand County Hydro Inc.
EB-2015-0259
2016 Electricity Distribution Rate Application
Filed: September 30, 2015
APPENDIX 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Normal="100" workbookViewId="0">
      <selection activeCell="I21" sqref="I21"/>
    </sheetView>
  </sheetViews>
  <sheetFormatPr defaultRowHeight="15" x14ac:dyDescent="0.25"/>
  <cols>
    <col min="1" max="1" width="38.140625" customWidth="1"/>
    <col min="2" max="2" width="23.5703125" customWidth="1"/>
    <col min="3" max="3" width="20.42578125" customWidth="1"/>
    <col min="4" max="4" width="20.85546875" customWidth="1"/>
    <col min="5" max="5" width="20.140625" customWidth="1"/>
    <col min="6" max="6" width="18" customWidth="1"/>
  </cols>
  <sheetData>
    <row r="1" spans="1:6" ht="18" x14ac:dyDescent="0.25">
      <c r="A1" s="65" t="s">
        <v>34</v>
      </c>
      <c r="B1" s="65"/>
      <c r="C1" s="65"/>
      <c r="D1" s="65"/>
      <c r="E1" s="65"/>
      <c r="F1" s="65"/>
    </row>
    <row r="2" spans="1:6" ht="18" x14ac:dyDescent="0.25">
      <c r="A2" s="65" t="s">
        <v>35</v>
      </c>
      <c r="B2" s="65"/>
      <c r="C2" s="65"/>
      <c r="D2" s="65"/>
      <c r="E2" s="65"/>
      <c r="F2" s="65"/>
    </row>
    <row r="3" spans="1:6" ht="18" x14ac:dyDescent="0.25">
      <c r="A3" s="65" t="s">
        <v>36</v>
      </c>
      <c r="B3" s="65"/>
      <c r="C3" s="65"/>
      <c r="D3" s="65"/>
      <c r="E3" s="65"/>
      <c r="F3" s="65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3" t="s">
        <v>0</v>
      </c>
      <c r="B5" s="3"/>
      <c r="C5" s="1"/>
      <c r="D5" s="1"/>
      <c r="E5" s="1"/>
      <c r="F5" s="1"/>
    </row>
    <row r="6" spans="1:6" ht="15.75" thickBot="1" x14ac:dyDescent="0.3">
      <c r="A6" s="1"/>
      <c r="B6" s="1"/>
      <c r="C6" s="1"/>
      <c r="D6" s="1"/>
      <c r="E6" s="1"/>
      <c r="F6" s="1"/>
    </row>
    <row r="7" spans="1:6" x14ac:dyDescent="0.25">
      <c r="A7" s="66" t="s">
        <v>31</v>
      </c>
      <c r="B7" s="67"/>
      <c r="C7" s="2"/>
      <c r="D7" s="1"/>
      <c r="E7" s="1"/>
      <c r="F7" s="1"/>
    </row>
    <row r="8" spans="1:6" x14ac:dyDescent="0.25">
      <c r="A8" s="4" t="s">
        <v>1</v>
      </c>
      <c r="B8" s="5">
        <v>18825</v>
      </c>
      <c r="C8" s="1"/>
      <c r="D8" s="1"/>
      <c r="E8" s="1"/>
      <c r="F8" s="1"/>
    </row>
    <row r="9" spans="1:6" ht="15.75" thickBot="1" x14ac:dyDescent="0.3">
      <c r="A9" s="6" t="s">
        <v>2</v>
      </c>
      <c r="B9" s="7">
        <v>169468358</v>
      </c>
      <c r="C9" s="1"/>
      <c r="D9" s="1"/>
      <c r="E9" s="1"/>
      <c r="F9" s="1"/>
    </row>
    <row r="10" spans="1:6" ht="15.75" thickBot="1" x14ac:dyDescent="0.3">
      <c r="A10" s="1"/>
      <c r="B10" s="1"/>
      <c r="C10" s="1"/>
      <c r="D10" s="1"/>
      <c r="E10" s="1"/>
      <c r="F10" s="1"/>
    </row>
    <row r="11" spans="1:6" s="55" customFormat="1" ht="27.75" thickBot="1" x14ac:dyDescent="0.3">
      <c r="A11" s="53" t="s">
        <v>30</v>
      </c>
      <c r="B11" s="8">
        <v>8046258</v>
      </c>
      <c r="C11" s="54"/>
      <c r="D11" s="54"/>
      <c r="E11" s="54"/>
      <c r="F11" s="54"/>
    </row>
    <row r="12" spans="1:6" ht="15.75" thickBot="1" x14ac:dyDescent="0.3">
      <c r="A12" s="1"/>
      <c r="B12" s="1"/>
      <c r="C12" s="1"/>
      <c r="D12" s="1"/>
      <c r="E12" s="1"/>
      <c r="F12" s="1"/>
    </row>
    <row r="13" spans="1:6" x14ac:dyDescent="0.25">
      <c r="A13" s="66" t="s">
        <v>32</v>
      </c>
      <c r="B13" s="67"/>
      <c r="C13" s="1"/>
      <c r="D13" s="1"/>
      <c r="E13" s="1"/>
      <c r="F13" s="1"/>
    </row>
    <row r="14" spans="1:6" x14ac:dyDescent="0.25">
      <c r="A14" s="4" t="s">
        <v>3</v>
      </c>
      <c r="B14" s="9">
        <v>17.010000000000002</v>
      </c>
      <c r="C14" s="1"/>
      <c r="D14" s="1"/>
      <c r="E14" s="1"/>
      <c r="F14" s="1"/>
    </row>
    <row r="15" spans="1:6" ht="15.75" thickBot="1" x14ac:dyDescent="0.3">
      <c r="A15" s="6" t="s">
        <v>4</v>
      </c>
      <c r="B15" s="10">
        <v>2.4799999999999999E-2</v>
      </c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3" t="s">
        <v>5</v>
      </c>
      <c r="B17" s="1"/>
      <c r="C17" s="1"/>
      <c r="D17" s="1"/>
      <c r="E17" s="1"/>
      <c r="F17" s="1"/>
    </row>
    <row r="18" spans="1:6" ht="15.75" thickBot="1" x14ac:dyDescent="0.3">
      <c r="A18" s="1"/>
      <c r="B18" s="1"/>
      <c r="C18" s="1"/>
      <c r="D18" s="1"/>
      <c r="E18" s="1"/>
      <c r="F18" s="1"/>
    </row>
    <row r="19" spans="1:6" x14ac:dyDescent="0.25">
      <c r="A19" s="11"/>
      <c r="B19" s="12" t="s">
        <v>6</v>
      </c>
      <c r="C19" s="13" t="s">
        <v>7</v>
      </c>
      <c r="D19" s="14" t="s">
        <v>8</v>
      </c>
      <c r="E19" s="48" t="s">
        <v>9</v>
      </c>
      <c r="F19" s="1"/>
    </row>
    <row r="20" spans="1:6" x14ac:dyDescent="0.25">
      <c r="A20" s="4" t="s">
        <v>10</v>
      </c>
      <c r="B20" s="60">
        <v>26.31</v>
      </c>
      <c r="C20" s="17">
        <f>IF(B8="","",B8)</f>
        <v>18825</v>
      </c>
      <c r="D20" s="18">
        <f>ROUND(IF(ISERROR(B20*C20*12),"",B20*C20*12),2)</f>
        <v>5943429</v>
      </c>
      <c r="E20" s="19">
        <f>ROUND(IF(ISERROR(D20/D22),"",D20/D22),4)</f>
        <v>0.73880000000000001</v>
      </c>
      <c r="F20" s="1"/>
    </row>
    <row r="21" spans="1:6" x14ac:dyDescent="0.25">
      <c r="A21" s="4" t="s">
        <v>11</v>
      </c>
      <c r="B21" s="61">
        <v>1.24E-2</v>
      </c>
      <c r="C21" s="20">
        <f>IF(B9="","",B9)</f>
        <v>169468358</v>
      </c>
      <c r="D21" s="18">
        <f>ROUND(IF(ISERROR(B21*C21),"",B21*C21),2)</f>
        <v>2101407.64</v>
      </c>
      <c r="E21" s="19">
        <f>ROUND(IF(ISERROR(D21/D22),"",D21/D22),4)</f>
        <v>0.26119999999999999</v>
      </c>
      <c r="F21" s="1"/>
    </row>
    <row r="22" spans="1:6" ht="15.75" thickBot="1" x14ac:dyDescent="0.3">
      <c r="A22" s="21" t="s">
        <v>12</v>
      </c>
      <c r="B22" s="22"/>
      <c r="C22" s="23"/>
      <c r="D22" s="24">
        <f>IF(ISERROR(D20+D21),"",D20+D21)</f>
        <v>8044836.6400000006</v>
      </c>
      <c r="E22" s="57">
        <f>SUM(E20:E21)</f>
        <v>1</v>
      </c>
      <c r="F22" s="1"/>
    </row>
    <row r="23" spans="1:6" x14ac:dyDescent="0.25">
      <c r="A23" s="2"/>
      <c r="B23" s="1"/>
      <c r="C23" s="1"/>
      <c r="D23" s="1"/>
      <c r="E23" s="1"/>
      <c r="F23" s="1"/>
    </row>
    <row r="24" spans="1:6" x14ac:dyDescent="0.25">
      <c r="A24" s="25" t="s">
        <v>14</v>
      </c>
      <c r="B24" s="1"/>
      <c r="C24" s="1"/>
      <c r="D24" s="1"/>
      <c r="E24" s="1"/>
      <c r="F24" s="1"/>
    </row>
    <row r="25" spans="1:6" ht="15.75" thickBot="1" x14ac:dyDescent="0.3">
      <c r="A25" s="2"/>
      <c r="B25" s="1"/>
      <c r="C25" s="1"/>
      <c r="D25" s="1"/>
      <c r="E25" s="1"/>
      <c r="F25" s="1"/>
    </row>
    <row r="26" spans="1:6" ht="28.5" thickBot="1" x14ac:dyDescent="0.3">
      <c r="A26" s="26" t="s">
        <v>15</v>
      </c>
      <c r="B26" s="27">
        <v>2</v>
      </c>
      <c r="C26" s="2"/>
      <c r="D26" s="1"/>
      <c r="E26" s="1"/>
      <c r="F26" s="1"/>
    </row>
    <row r="27" spans="1:6" ht="15.75" thickBot="1" x14ac:dyDescent="0.3">
      <c r="A27" s="2"/>
      <c r="B27" s="1"/>
      <c r="C27" s="1"/>
      <c r="D27" s="1"/>
      <c r="E27" s="1"/>
      <c r="F27" s="1"/>
    </row>
    <row r="28" spans="1:6" ht="39" x14ac:dyDescent="0.25">
      <c r="A28" s="28"/>
      <c r="B28" s="29" t="s">
        <v>16</v>
      </c>
      <c r="C28" s="30" t="s">
        <v>17</v>
      </c>
      <c r="D28" s="31" t="s">
        <v>18</v>
      </c>
      <c r="E28" s="1"/>
      <c r="F28" s="1"/>
    </row>
    <row r="29" spans="1:6" x14ac:dyDescent="0.25">
      <c r="A29" s="4" t="s">
        <v>10</v>
      </c>
      <c r="B29" s="18">
        <f>ROUND(IF(ISERROR(B$11*E20),"",B$11*E20),2)</f>
        <v>5944575.4100000001</v>
      </c>
      <c r="C29" s="58">
        <f>IF(ISERROR(ROUND(B29/B8/12,2)),"",ROUND(B29/B8/12,2))-0.01</f>
        <v>26.31</v>
      </c>
      <c r="D29" s="32">
        <f>ROUND(IF(ISERROR(C29*B8*12),"",C29*B8*12),2)</f>
        <v>5943429</v>
      </c>
      <c r="E29" s="1"/>
      <c r="F29" s="1"/>
    </row>
    <row r="30" spans="1:6" x14ac:dyDescent="0.25">
      <c r="A30" s="33" t="s">
        <v>11</v>
      </c>
      <c r="B30" s="34">
        <f>ROUND(IF(ISERROR(B$11*E21),"",B$11*E21),2)</f>
        <v>2101682.59</v>
      </c>
      <c r="C30" s="59">
        <f>IF(ISERROR(ROUND(B30/B9,4)),"",ROUND(B30/B9,4))</f>
        <v>1.24E-2</v>
      </c>
      <c r="D30" s="32">
        <f>ROUND(IF(ISERROR(C30*B9),"",C30*B9),2)</f>
        <v>2101407.64</v>
      </c>
      <c r="E30" s="1"/>
      <c r="F30" s="1"/>
    </row>
    <row r="31" spans="1:6" ht="15.75" thickBot="1" x14ac:dyDescent="0.3">
      <c r="A31" s="35" t="s">
        <v>12</v>
      </c>
      <c r="B31" s="36">
        <f>IF(ISERROR(B29+B30),"",B29+B30)</f>
        <v>8046258</v>
      </c>
      <c r="C31" s="37" t="s">
        <v>13</v>
      </c>
      <c r="D31" s="38">
        <f>IF(ISERROR(D29+D30),"",D29+D30)</f>
        <v>8044836.6400000006</v>
      </c>
      <c r="E31" s="1"/>
      <c r="F31" s="1"/>
    </row>
    <row r="32" spans="1:6" ht="15.75" thickBot="1" x14ac:dyDescent="0.3">
      <c r="A32" s="2"/>
      <c r="B32" s="1"/>
      <c r="C32" s="1"/>
      <c r="D32" s="1"/>
      <c r="E32" s="1"/>
      <c r="F32" s="1"/>
    </row>
    <row r="33" spans="1:6" ht="39" x14ac:dyDescent="0.25">
      <c r="A33" s="28"/>
      <c r="B33" s="13" t="s">
        <v>19</v>
      </c>
      <c r="C33" s="39" t="s">
        <v>20</v>
      </c>
      <c r="D33" s="40" t="s">
        <v>21</v>
      </c>
      <c r="E33" s="41" t="s">
        <v>22</v>
      </c>
      <c r="F33" s="2"/>
    </row>
    <row r="34" spans="1:6" x14ac:dyDescent="0.25">
      <c r="A34" s="4" t="s">
        <v>10</v>
      </c>
      <c r="B34" s="42">
        <f>ROUND(IF(ISERROR(((1-E20)/B26)+E20),"",((1-E20)/B26)+E20),4)</f>
        <v>0.86939999999999995</v>
      </c>
      <c r="C34" s="43">
        <f>ROUND(IF(ISERROR(B34*B$11),"",B34*B$11),2)</f>
        <v>6995416.71</v>
      </c>
      <c r="D34" s="58">
        <f>IF(ISERROR(ROUND(C34/B8/12,2)),"",ROUND(C34/B8/12,2))-0.01</f>
        <v>30.959999999999997</v>
      </c>
      <c r="E34" s="32">
        <f>ROUND(IF(ISERROR(D34*12*B8),"",D34*12*B8),2)</f>
        <v>6993864</v>
      </c>
      <c r="F34" s="2"/>
    </row>
    <row r="35" spans="1:6" x14ac:dyDescent="0.25">
      <c r="A35" s="33" t="s">
        <v>11</v>
      </c>
      <c r="B35" s="44">
        <f>ROUND(IF(ISERROR(1-B34),"",1-B34),4)</f>
        <v>0.13059999999999999</v>
      </c>
      <c r="C35" s="45">
        <f>ROUND(IF(ISERROR(B35*B$11),"",B35*B$11),2)</f>
        <v>1050841.29</v>
      </c>
      <c r="D35" s="59">
        <f>IF(ISERROR(ROUND(C35/B9,4)),"",ROUND(C35/B9,4))</f>
        <v>6.1999999999999998E-3</v>
      </c>
      <c r="E35" s="46">
        <f>ROUND(IF(ISERROR(D35*B9),"",D35*B9),2)</f>
        <v>1050703.82</v>
      </c>
      <c r="F35" s="2"/>
    </row>
    <row r="36" spans="1:6" ht="15.75" thickBot="1" x14ac:dyDescent="0.3">
      <c r="A36" s="35" t="s">
        <v>12</v>
      </c>
      <c r="B36" s="56">
        <f>SUM(B34:B35)</f>
        <v>1</v>
      </c>
      <c r="C36" s="24">
        <f>IF(ISERROR(SUM(C34:C35)),"",SUM(C34:C35))</f>
        <v>8046258</v>
      </c>
      <c r="D36" s="37" t="s">
        <v>13</v>
      </c>
      <c r="E36" s="47">
        <f>IF(ISERROR(E34+E35),"",E34+E35)</f>
        <v>8044567.8200000003</v>
      </c>
      <c r="F36" s="1"/>
    </row>
    <row r="37" spans="1:6" ht="15.75" thickBot="1" x14ac:dyDescent="0.3">
      <c r="A37" s="2"/>
      <c r="B37" s="1"/>
      <c r="C37" s="1"/>
      <c r="D37" s="1"/>
      <c r="E37" s="1"/>
      <c r="F37" s="1"/>
    </row>
    <row r="38" spans="1:6" x14ac:dyDescent="0.25">
      <c r="A38" s="68" t="s">
        <v>23</v>
      </c>
      <c r="B38" s="69"/>
      <c r="C38" s="1"/>
      <c r="D38" s="1"/>
      <c r="E38" s="1"/>
      <c r="F38" s="1"/>
    </row>
    <row r="39" spans="1:6" x14ac:dyDescent="0.25">
      <c r="A39" s="4" t="s">
        <v>24</v>
      </c>
      <c r="B39" s="32">
        <f>IF(ISERROR(D34-C29),"",D34-C29)</f>
        <v>4.6499999999999986</v>
      </c>
      <c r="C39" s="1"/>
      <c r="D39" s="1"/>
      <c r="E39" s="1"/>
      <c r="F39" s="1"/>
    </row>
    <row r="40" spans="1:6" x14ac:dyDescent="0.25">
      <c r="A40" s="70" t="s">
        <v>25</v>
      </c>
      <c r="B40" s="46">
        <f>ROUND(IF(ISERROR((D34*12*B8)+(D35*B9)-B11),"",(D34*12*B8)+(D35*B9)-B11),2)</f>
        <v>-1690.18</v>
      </c>
      <c r="C40" s="1"/>
      <c r="D40" s="1"/>
      <c r="E40" s="1"/>
      <c r="F40" s="1"/>
    </row>
    <row r="41" spans="1:6" ht="27.75" customHeight="1" thickBot="1" x14ac:dyDescent="0.3">
      <c r="A41" s="71"/>
      <c r="B41" s="49">
        <f>IF(ISERROR(B40/B11), "", B40/B11)</f>
        <v>-2.1005789274964836E-4</v>
      </c>
      <c r="C41" s="1"/>
      <c r="D41" s="1"/>
      <c r="E41" s="1"/>
      <c r="F41" s="1"/>
    </row>
    <row r="42" spans="1:6" x14ac:dyDescent="0.25">
      <c r="A42" s="2"/>
      <c r="B42" s="1"/>
      <c r="C42" s="1"/>
      <c r="D42" s="1"/>
      <c r="E42" s="1"/>
      <c r="F42" s="1"/>
    </row>
    <row r="43" spans="1:6" x14ac:dyDescent="0.25">
      <c r="A43" s="3" t="s">
        <v>26</v>
      </c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63" t="s">
        <v>27</v>
      </c>
      <c r="B45" s="63"/>
      <c r="C45" s="63"/>
      <c r="D45" s="63"/>
      <c r="E45" s="63"/>
      <c r="F45" s="1"/>
    </row>
    <row r="46" spans="1:6" x14ac:dyDescent="0.25">
      <c r="A46" s="63"/>
      <c r="B46" s="63"/>
      <c r="C46" s="63"/>
      <c r="D46" s="63"/>
      <c r="E46" s="63"/>
      <c r="F46" s="1"/>
    </row>
    <row r="47" spans="1:6" x14ac:dyDescent="0.25">
      <c r="A47" s="1"/>
      <c r="B47" s="50"/>
      <c r="C47" s="50"/>
      <c r="D47" s="50"/>
      <c r="E47" s="50"/>
      <c r="F47" s="50"/>
    </row>
    <row r="48" spans="1:6" x14ac:dyDescent="0.25">
      <c r="A48" s="64" t="s">
        <v>28</v>
      </c>
      <c r="B48" s="64"/>
      <c r="C48" s="64"/>
      <c r="D48" s="64"/>
      <c r="E48" s="64"/>
      <c r="F48" s="50"/>
    </row>
    <row r="49" spans="1:6" x14ac:dyDescent="0.25">
      <c r="A49" s="64"/>
      <c r="B49" s="64"/>
      <c r="C49" s="64"/>
      <c r="D49" s="64"/>
      <c r="E49" s="64"/>
      <c r="F49" s="51"/>
    </row>
    <row r="50" spans="1:6" x14ac:dyDescent="0.25">
      <c r="A50" s="64"/>
      <c r="B50" s="64"/>
      <c r="C50" s="64"/>
      <c r="D50" s="64"/>
      <c r="E50" s="64"/>
      <c r="F50" s="51"/>
    </row>
    <row r="51" spans="1:6" x14ac:dyDescent="0.25">
      <c r="A51" s="64" t="s">
        <v>29</v>
      </c>
      <c r="B51" s="64"/>
      <c r="C51" s="64"/>
      <c r="D51" s="64"/>
      <c r="E51" s="64"/>
      <c r="F51" s="52"/>
    </row>
    <row r="52" spans="1:6" x14ac:dyDescent="0.25">
      <c r="A52" s="64"/>
      <c r="B52" s="64"/>
      <c r="C52" s="64"/>
      <c r="D52" s="64"/>
      <c r="E52" s="64"/>
      <c r="F52" s="1"/>
    </row>
  </sheetData>
  <mergeCells count="10">
    <mergeCell ref="A45:E46"/>
    <mergeCell ref="A48:E50"/>
    <mergeCell ref="A51:E52"/>
    <mergeCell ref="A1:F1"/>
    <mergeCell ref="A2:F2"/>
    <mergeCell ref="A7:B7"/>
    <mergeCell ref="A13:B13"/>
    <mergeCell ref="A38:B38"/>
    <mergeCell ref="A40:A41"/>
    <mergeCell ref="A3:F3"/>
  </mergeCells>
  <printOptions horizontalCentered="1" gridLines="1"/>
  <pageMargins left="0.5" right="0.5" top="1.25" bottom="0.75" header="0.3" footer="0.25"/>
  <pageSetup scale="70" orientation="portrait" r:id="rId1"/>
  <headerFooter>
    <oddHeader>&amp;R&amp;"Arial,Regular"&amp;10Haldimand County Hydro Inc.
EB-2015-0259
2016 Electricity Distribution Rate Application
Filed: September 30, 2015
APPENDIX 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Normal="100" workbookViewId="0">
      <selection activeCell="I21" sqref="I21"/>
    </sheetView>
  </sheetViews>
  <sheetFormatPr defaultRowHeight="15" x14ac:dyDescent="0.25"/>
  <cols>
    <col min="1" max="1" width="38.140625" customWidth="1"/>
    <col min="2" max="2" width="23.5703125" customWidth="1"/>
    <col min="3" max="3" width="20.42578125" customWidth="1"/>
    <col min="4" max="4" width="20.85546875" customWidth="1"/>
    <col min="5" max="5" width="20.140625" customWidth="1"/>
    <col min="6" max="6" width="18" customWidth="1"/>
  </cols>
  <sheetData>
    <row r="1" spans="1:6" ht="18" x14ac:dyDescent="0.25">
      <c r="A1" s="65" t="s">
        <v>34</v>
      </c>
      <c r="B1" s="65"/>
      <c r="C1" s="65"/>
      <c r="D1" s="65"/>
      <c r="E1" s="65"/>
      <c r="F1" s="65"/>
    </row>
    <row r="2" spans="1:6" ht="18" x14ac:dyDescent="0.25">
      <c r="A2" s="65" t="s">
        <v>35</v>
      </c>
      <c r="B2" s="65"/>
      <c r="C2" s="65"/>
      <c r="D2" s="65"/>
      <c r="E2" s="65"/>
      <c r="F2" s="65"/>
    </row>
    <row r="3" spans="1:6" ht="18" x14ac:dyDescent="0.25">
      <c r="A3" s="65" t="s">
        <v>36</v>
      </c>
      <c r="B3" s="65"/>
      <c r="C3" s="65"/>
      <c r="D3" s="65"/>
      <c r="E3" s="65"/>
      <c r="F3" s="65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3" t="s">
        <v>0</v>
      </c>
      <c r="B5" s="3"/>
      <c r="C5" s="1"/>
      <c r="D5" s="1"/>
      <c r="E5" s="1"/>
      <c r="F5" s="1"/>
    </row>
    <row r="6" spans="1:6" ht="15.75" thickBot="1" x14ac:dyDescent="0.3">
      <c r="A6" s="1"/>
      <c r="B6" s="1"/>
      <c r="C6" s="1"/>
      <c r="D6" s="1"/>
      <c r="E6" s="1"/>
      <c r="F6" s="1"/>
    </row>
    <row r="7" spans="1:6" x14ac:dyDescent="0.25">
      <c r="A7" s="66" t="s">
        <v>31</v>
      </c>
      <c r="B7" s="67"/>
      <c r="C7" s="2"/>
      <c r="D7" s="1"/>
      <c r="E7" s="1"/>
      <c r="F7" s="1"/>
    </row>
    <row r="8" spans="1:6" x14ac:dyDescent="0.25">
      <c r="A8" s="4" t="s">
        <v>1</v>
      </c>
      <c r="B8" s="5">
        <v>18825</v>
      </c>
      <c r="C8" s="1"/>
      <c r="D8" s="1"/>
      <c r="E8" s="1"/>
      <c r="F8" s="1"/>
    </row>
    <row r="9" spans="1:6" ht="15.75" thickBot="1" x14ac:dyDescent="0.3">
      <c r="A9" s="6" t="s">
        <v>2</v>
      </c>
      <c r="B9" s="7">
        <v>169468358</v>
      </c>
      <c r="C9" s="1"/>
      <c r="D9" s="1"/>
      <c r="E9" s="1"/>
      <c r="F9" s="1"/>
    </row>
    <row r="10" spans="1:6" ht="15.75" thickBot="1" x14ac:dyDescent="0.3">
      <c r="A10" s="1"/>
      <c r="B10" s="1"/>
      <c r="C10" s="1"/>
      <c r="D10" s="1"/>
      <c r="E10" s="1"/>
      <c r="F10" s="1"/>
    </row>
    <row r="11" spans="1:6" s="55" customFormat="1" ht="27.75" thickBot="1" x14ac:dyDescent="0.3">
      <c r="A11" s="53" t="s">
        <v>30</v>
      </c>
      <c r="B11" s="8">
        <v>8046258</v>
      </c>
      <c r="C11" s="54"/>
      <c r="D11" s="54"/>
      <c r="E11" s="54"/>
      <c r="F11" s="54"/>
    </row>
    <row r="12" spans="1:6" ht="15.75" thickBot="1" x14ac:dyDescent="0.3">
      <c r="A12" s="1"/>
      <c r="B12" s="1"/>
      <c r="C12" s="1"/>
      <c r="D12" s="1"/>
      <c r="E12" s="1"/>
      <c r="F12" s="1"/>
    </row>
    <row r="13" spans="1:6" x14ac:dyDescent="0.25">
      <c r="A13" s="66" t="s">
        <v>32</v>
      </c>
      <c r="B13" s="67"/>
      <c r="C13" s="1"/>
      <c r="D13" s="1"/>
      <c r="E13" s="1"/>
      <c r="F13" s="1"/>
    </row>
    <row r="14" spans="1:6" x14ac:dyDescent="0.25">
      <c r="A14" s="4" t="s">
        <v>3</v>
      </c>
      <c r="B14" s="9">
        <v>17.010000000000002</v>
      </c>
      <c r="C14" s="1"/>
      <c r="D14" s="1"/>
      <c r="E14" s="1"/>
      <c r="F14" s="1"/>
    </row>
    <row r="15" spans="1:6" ht="15.75" thickBot="1" x14ac:dyDescent="0.3">
      <c r="A15" s="6" t="s">
        <v>4</v>
      </c>
      <c r="B15" s="10">
        <v>2.4799999999999999E-2</v>
      </c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3" t="s">
        <v>5</v>
      </c>
      <c r="B17" s="1"/>
      <c r="C17" s="1"/>
      <c r="D17" s="1"/>
      <c r="E17" s="1"/>
      <c r="F17" s="1"/>
    </row>
    <row r="18" spans="1:6" ht="15.75" thickBot="1" x14ac:dyDescent="0.3">
      <c r="A18" s="1"/>
      <c r="B18" s="1"/>
      <c r="C18" s="1"/>
      <c r="D18" s="1"/>
      <c r="E18" s="1"/>
      <c r="F18" s="1"/>
    </row>
    <row r="19" spans="1:6" x14ac:dyDescent="0.25">
      <c r="A19" s="11"/>
      <c r="B19" s="12" t="s">
        <v>6</v>
      </c>
      <c r="C19" s="13" t="s">
        <v>7</v>
      </c>
      <c r="D19" s="14" t="s">
        <v>8</v>
      </c>
      <c r="E19" s="48" t="s">
        <v>9</v>
      </c>
      <c r="F19" s="1"/>
    </row>
    <row r="20" spans="1:6" x14ac:dyDescent="0.25">
      <c r="A20" s="4" t="s">
        <v>10</v>
      </c>
      <c r="B20" s="60">
        <v>30.96</v>
      </c>
      <c r="C20" s="17">
        <f>IF(B8="","",B8)</f>
        <v>18825</v>
      </c>
      <c r="D20" s="18">
        <f>ROUND(IF(ISERROR(B20*C20*12),"",B20*C20*12),2)</f>
        <v>6993864</v>
      </c>
      <c r="E20" s="19">
        <f>ROUND(IF(ISERROR(D20/D22),"",D20/D22),4)</f>
        <v>0.86939999999999995</v>
      </c>
      <c r="F20" s="1"/>
    </row>
    <row r="21" spans="1:6" x14ac:dyDescent="0.25">
      <c r="A21" s="4" t="s">
        <v>11</v>
      </c>
      <c r="B21" s="61">
        <v>6.1999999999999998E-3</v>
      </c>
      <c r="C21" s="20">
        <f>IF(B9="","",B9)</f>
        <v>169468358</v>
      </c>
      <c r="D21" s="18">
        <f>ROUND(IF(ISERROR(B21*C21),"",B21*C21),2)</f>
        <v>1050703.82</v>
      </c>
      <c r="E21" s="19">
        <f>ROUND(IF(ISERROR(D21/D22),"",D21/D22),4)</f>
        <v>0.13059999999999999</v>
      </c>
      <c r="F21" s="1"/>
    </row>
    <row r="22" spans="1:6" ht="15.75" thickBot="1" x14ac:dyDescent="0.3">
      <c r="A22" s="21" t="s">
        <v>12</v>
      </c>
      <c r="B22" s="22"/>
      <c r="C22" s="23"/>
      <c r="D22" s="24">
        <f>IF(ISERROR(D20+D21),"",D20+D21)</f>
        <v>8044567.8200000003</v>
      </c>
      <c r="E22" s="57">
        <f>SUM(E20:E21)</f>
        <v>1</v>
      </c>
      <c r="F22" s="1"/>
    </row>
    <row r="23" spans="1:6" x14ac:dyDescent="0.25">
      <c r="A23" s="2"/>
      <c r="B23" s="1"/>
      <c r="C23" s="1"/>
      <c r="D23" s="1"/>
      <c r="E23" s="1"/>
      <c r="F23" s="1"/>
    </row>
    <row r="24" spans="1:6" x14ac:dyDescent="0.25">
      <c r="A24" s="25" t="s">
        <v>14</v>
      </c>
      <c r="B24" s="1"/>
      <c r="C24" s="1"/>
      <c r="D24" s="1"/>
      <c r="E24" s="1"/>
      <c r="F24" s="1"/>
    </row>
    <row r="25" spans="1:6" ht="15.75" thickBot="1" x14ac:dyDescent="0.3">
      <c r="A25" s="2"/>
      <c r="B25" s="1"/>
      <c r="C25" s="1"/>
      <c r="D25" s="1"/>
      <c r="E25" s="1"/>
      <c r="F25" s="1"/>
    </row>
    <row r="26" spans="1:6" ht="28.5" thickBot="1" x14ac:dyDescent="0.3">
      <c r="A26" s="26" t="s">
        <v>15</v>
      </c>
      <c r="B26" s="27">
        <v>1</v>
      </c>
      <c r="C26" s="2"/>
      <c r="D26" s="1"/>
      <c r="E26" s="1"/>
      <c r="F26" s="1"/>
    </row>
    <row r="27" spans="1:6" ht="15.75" thickBot="1" x14ac:dyDescent="0.3">
      <c r="A27" s="2"/>
      <c r="B27" s="1"/>
      <c r="C27" s="1"/>
      <c r="D27" s="1"/>
      <c r="E27" s="1"/>
      <c r="F27" s="1"/>
    </row>
    <row r="28" spans="1:6" ht="39" x14ac:dyDescent="0.25">
      <c r="A28" s="28"/>
      <c r="B28" s="29" t="s">
        <v>16</v>
      </c>
      <c r="C28" s="30" t="s">
        <v>17</v>
      </c>
      <c r="D28" s="31" t="s">
        <v>18</v>
      </c>
      <c r="E28" s="1"/>
      <c r="F28" s="1"/>
    </row>
    <row r="29" spans="1:6" x14ac:dyDescent="0.25">
      <c r="A29" s="4" t="s">
        <v>10</v>
      </c>
      <c r="B29" s="18">
        <f>ROUND(IF(ISERROR(B$11*E20),"",B$11*E20),2)</f>
        <v>6995416.71</v>
      </c>
      <c r="C29" s="58">
        <f>IF(ISERROR(ROUND(B29/B8/12,2)),"",ROUND(B29/B8/12,2))-0.01</f>
        <v>30.959999999999997</v>
      </c>
      <c r="D29" s="32">
        <f>ROUND(IF(ISERROR(C29*B8*12),"",C29*B8*12),2)</f>
        <v>6993864</v>
      </c>
      <c r="E29" s="1"/>
      <c r="F29" s="1"/>
    </row>
    <row r="30" spans="1:6" x14ac:dyDescent="0.25">
      <c r="A30" s="33" t="s">
        <v>11</v>
      </c>
      <c r="B30" s="34">
        <f>ROUND(IF(ISERROR(B$11*E21),"",B$11*E21),2)</f>
        <v>1050841.29</v>
      </c>
      <c r="C30" s="59">
        <f>IF(ISERROR(ROUND(B30/B9,4)),"",ROUND(B30/B9,4))</f>
        <v>6.1999999999999998E-3</v>
      </c>
      <c r="D30" s="32">
        <f>ROUND(IF(ISERROR(C30*B9),"",C30*B9),2)</f>
        <v>1050703.82</v>
      </c>
      <c r="E30" s="1"/>
      <c r="F30" s="1"/>
    </row>
    <row r="31" spans="1:6" ht="15.75" thickBot="1" x14ac:dyDescent="0.3">
      <c r="A31" s="35" t="s">
        <v>12</v>
      </c>
      <c r="B31" s="36">
        <f>IF(ISERROR(B29+B30),"",B29+B30)</f>
        <v>8046258</v>
      </c>
      <c r="C31" s="37" t="s">
        <v>13</v>
      </c>
      <c r="D31" s="38">
        <f>IF(ISERROR(D29+D30),"",D29+D30)</f>
        <v>8044567.8200000003</v>
      </c>
      <c r="E31" s="1"/>
      <c r="F31" s="1"/>
    </row>
    <row r="32" spans="1:6" ht="15.75" thickBot="1" x14ac:dyDescent="0.3">
      <c r="A32" s="2"/>
      <c r="B32" s="1"/>
      <c r="C32" s="1"/>
      <c r="D32" s="1"/>
      <c r="E32" s="1"/>
      <c r="F32" s="1"/>
    </row>
    <row r="33" spans="1:6" ht="39" x14ac:dyDescent="0.25">
      <c r="A33" s="28"/>
      <c r="B33" s="13" t="s">
        <v>19</v>
      </c>
      <c r="C33" s="39" t="s">
        <v>20</v>
      </c>
      <c r="D33" s="40" t="s">
        <v>21</v>
      </c>
      <c r="E33" s="41" t="s">
        <v>22</v>
      </c>
      <c r="F33" s="2"/>
    </row>
    <row r="34" spans="1:6" x14ac:dyDescent="0.25">
      <c r="A34" s="4" t="s">
        <v>10</v>
      </c>
      <c r="B34" s="42">
        <f>ROUND(IF(ISERROR(((1-E20)/B26)+E20),"",((1-E20)/B26)+E20),4)</f>
        <v>1</v>
      </c>
      <c r="C34" s="43">
        <f>IF(ISERROR(B34*B$11),"",B34*B$11)</f>
        <v>8046258</v>
      </c>
      <c r="D34" s="58">
        <f>IF(ISERROR(ROUND(C34/B8/12,2)),"",ROUND(C34/B8/12,2))</f>
        <v>35.619999999999997</v>
      </c>
      <c r="E34" s="32">
        <f>IF(ISERROR(D34*12*B8),"",D34*12*B8)</f>
        <v>8046557.9999999991</v>
      </c>
      <c r="F34" s="2"/>
    </row>
    <row r="35" spans="1:6" x14ac:dyDescent="0.25">
      <c r="A35" s="33" t="s">
        <v>11</v>
      </c>
      <c r="B35" s="44">
        <f>ROUND(IF(ISERROR(1-B34),"",1-B34),4)</f>
        <v>0</v>
      </c>
      <c r="C35" s="45">
        <f>IF(ISERROR(B35*B$11),"",B35*B$11)</f>
        <v>0</v>
      </c>
      <c r="D35" s="59">
        <f>IF(ISERROR(ROUND(C35/B9,4)),"",ROUND(C35/B9,4))</f>
        <v>0</v>
      </c>
      <c r="E35" s="46">
        <f>IF(ISERROR(D35*B9),"",D35*B9)</f>
        <v>0</v>
      </c>
      <c r="F35" s="2"/>
    </row>
    <row r="36" spans="1:6" ht="15.75" thickBot="1" x14ac:dyDescent="0.3">
      <c r="A36" s="35" t="s">
        <v>12</v>
      </c>
      <c r="B36" s="56">
        <f>SUM(B34:B35)</f>
        <v>1</v>
      </c>
      <c r="C36" s="24">
        <f>IF(ISERROR(SUM(C34:C35)),"",SUM(C34:C35))</f>
        <v>8046258</v>
      </c>
      <c r="D36" s="37" t="s">
        <v>13</v>
      </c>
      <c r="E36" s="47">
        <f>IF(ISERROR(E34+E35),"",E34+E35)</f>
        <v>8046557.9999999991</v>
      </c>
      <c r="F36" s="1"/>
    </row>
    <row r="37" spans="1:6" ht="15.75" thickBot="1" x14ac:dyDescent="0.3">
      <c r="A37" s="2"/>
      <c r="B37" s="1"/>
      <c r="C37" s="1"/>
      <c r="D37" s="1"/>
      <c r="E37" s="1"/>
      <c r="F37" s="1"/>
    </row>
    <row r="38" spans="1:6" x14ac:dyDescent="0.25">
      <c r="A38" s="68" t="s">
        <v>23</v>
      </c>
      <c r="B38" s="69"/>
      <c r="C38" s="1"/>
      <c r="D38" s="1"/>
      <c r="E38" s="1"/>
      <c r="F38" s="1"/>
    </row>
    <row r="39" spans="1:6" x14ac:dyDescent="0.25">
      <c r="A39" s="4" t="s">
        <v>24</v>
      </c>
      <c r="B39" s="32">
        <f>IF(ISERROR(D34-C29),"",D34-C29)</f>
        <v>4.66</v>
      </c>
      <c r="C39" s="1"/>
      <c r="D39" s="3" t="s">
        <v>33</v>
      </c>
      <c r="E39" s="1"/>
      <c r="F39" s="1"/>
    </row>
    <row r="40" spans="1:6" x14ac:dyDescent="0.25">
      <c r="A40" s="70" t="s">
        <v>25</v>
      </c>
      <c r="B40" s="46">
        <f>ROUND(IF(ISERROR((D34*12*B8)+(D35*B9)-B11),"",(D34*12*B8)+(D35*B9)-B11),2)</f>
        <v>300</v>
      </c>
      <c r="C40" s="1"/>
      <c r="D40" s="62">
        <f>'Year 1-January 1, 2016'!B40+'Year 2-January 1, 2017'!B40+'Year 3-Janaury 1, 2018'!B40+'Year 4-January 1, 2019'!B40</f>
        <v>-3964.08</v>
      </c>
      <c r="E40" s="1"/>
      <c r="F40" s="1"/>
    </row>
    <row r="41" spans="1:6" ht="27.75" customHeight="1" thickBot="1" x14ac:dyDescent="0.3">
      <c r="A41" s="71"/>
      <c r="B41" s="49">
        <f>IF(ISERROR(B40/B11), "", B40/B11)</f>
        <v>3.7284412207513109E-5</v>
      </c>
      <c r="C41" s="1"/>
      <c r="D41" s="1"/>
      <c r="E41" s="1"/>
      <c r="F41" s="1"/>
    </row>
    <row r="42" spans="1:6" x14ac:dyDescent="0.25">
      <c r="A42" s="2"/>
      <c r="B42" s="1"/>
      <c r="C42" s="1"/>
      <c r="D42" s="1"/>
      <c r="E42" s="1"/>
      <c r="F42" s="1"/>
    </row>
    <row r="43" spans="1:6" x14ac:dyDescent="0.25">
      <c r="A43" s="3" t="s">
        <v>26</v>
      </c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63" t="s">
        <v>27</v>
      </c>
      <c r="B45" s="63"/>
      <c r="C45" s="63"/>
      <c r="D45" s="63"/>
      <c r="E45" s="63"/>
      <c r="F45" s="1"/>
    </row>
    <row r="46" spans="1:6" x14ac:dyDescent="0.25">
      <c r="A46" s="63"/>
      <c r="B46" s="63"/>
      <c r="C46" s="63"/>
      <c r="D46" s="63"/>
      <c r="E46" s="63"/>
      <c r="F46" s="1"/>
    </row>
    <row r="47" spans="1:6" x14ac:dyDescent="0.25">
      <c r="A47" s="1"/>
      <c r="B47" s="50"/>
      <c r="C47" s="50"/>
      <c r="D47" s="50"/>
      <c r="E47" s="50"/>
      <c r="F47" s="50"/>
    </row>
    <row r="48" spans="1:6" x14ac:dyDescent="0.25">
      <c r="A48" s="64" t="s">
        <v>28</v>
      </c>
      <c r="B48" s="64"/>
      <c r="C48" s="64"/>
      <c r="D48" s="64"/>
      <c r="E48" s="64"/>
      <c r="F48" s="50"/>
    </row>
    <row r="49" spans="1:6" x14ac:dyDescent="0.25">
      <c r="A49" s="64"/>
      <c r="B49" s="64"/>
      <c r="C49" s="64"/>
      <c r="D49" s="64"/>
      <c r="E49" s="64"/>
      <c r="F49" s="51"/>
    </row>
    <row r="50" spans="1:6" x14ac:dyDescent="0.25">
      <c r="A50" s="64"/>
      <c r="B50" s="64"/>
      <c r="C50" s="64"/>
      <c r="D50" s="64"/>
      <c r="E50" s="64"/>
      <c r="F50" s="51"/>
    </row>
    <row r="51" spans="1:6" x14ac:dyDescent="0.25">
      <c r="A51" s="64" t="s">
        <v>29</v>
      </c>
      <c r="B51" s="64"/>
      <c r="C51" s="64"/>
      <c r="D51" s="64"/>
      <c r="E51" s="64"/>
      <c r="F51" s="52"/>
    </row>
    <row r="52" spans="1:6" x14ac:dyDescent="0.25">
      <c r="A52" s="64"/>
      <c r="B52" s="64"/>
      <c r="C52" s="64"/>
      <c r="D52" s="64"/>
      <c r="E52" s="64"/>
      <c r="F52" s="1"/>
    </row>
  </sheetData>
  <mergeCells count="10">
    <mergeCell ref="A45:E46"/>
    <mergeCell ref="A48:E50"/>
    <mergeCell ref="A51:E52"/>
    <mergeCell ref="A1:F1"/>
    <mergeCell ref="A2:F2"/>
    <mergeCell ref="A7:B7"/>
    <mergeCell ref="A13:B13"/>
    <mergeCell ref="A38:B38"/>
    <mergeCell ref="A40:A41"/>
    <mergeCell ref="A3:F3"/>
  </mergeCells>
  <printOptions horizontalCentered="1" gridLines="1"/>
  <pageMargins left="0.5" right="0.5" top="1.25" bottom="0.75" header="0.3" footer="0.25"/>
  <pageSetup scale="70" orientation="portrait" r:id="rId1"/>
  <headerFooter>
    <oddHeader>&amp;R&amp;"Arial,Regular"&amp;10Haldimand County Hydro Inc.
EB-2015-0259
2016 Electricity Distribution Rate Application
Filed: September 30, 2015
APPENDIX 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0" sqref="P30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Year 1-January 1, 2016</vt:lpstr>
      <vt:lpstr>Year 2-January 1, 2017</vt:lpstr>
      <vt:lpstr>Year 3-Janaury 1, 2018</vt:lpstr>
      <vt:lpstr>Year 4-January 1, 2019</vt:lpstr>
      <vt:lpstr>Sheet2</vt:lpstr>
      <vt:lpstr>Sheet3</vt:lpstr>
      <vt:lpstr>'Year 1-January 1, 2016'!Print_Area</vt:lpstr>
      <vt:lpstr>'Year 2-January 1, 2017'!Print_Area</vt:lpstr>
      <vt:lpstr>'Year 3-Janaury 1, 2018'!Print_Area</vt:lpstr>
      <vt:lpstr>'Year 4-January 1, 2019'!Print_Area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Andre</dc:creator>
  <cp:lastModifiedBy>Sherry Graham</cp:lastModifiedBy>
  <cp:lastPrinted>2015-09-24T15:14:48Z</cp:lastPrinted>
  <dcterms:created xsi:type="dcterms:W3CDTF">2015-08-27T12:52:32Z</dcterms:created>
  <dcterms:modified xsi:type="dcterms:W3CDTF">2015-09-30T12:52:46Z</dcterms:modified>
</cp:coreProperties>
</file>