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comments15.xml" ContentType="application/vnd.openxmlformats-officedocument.spreadsheetml.comments+xml"/>
  <Override PartName="/xl/comments16.xml" ContentType="application/vnd.openxmlformats-officedocument.spreadsheetml.comments+xml"/>
  <Override PartName="/xl/comments17.xml" ContentType="application/vnd.openxmlformats-officedocument.spreadsheetml.comments+xml"/>
  <Override PartName="/xl/comments18.xml" ContentType="application/vnd.openxmlformats-officedocument.spreadsheetml.comments+xml"/>
  <Override PartName="/xl/comments19.xml" ContentType="application/vnd.openxmlformats-officedocument.spreadsheetml.comments+xml"/>
  <Override PartName="/xl/comments20.xml" ContentType="application/vnd.openxmlformats-officedocument.spreadsheetml.comments+xml"/>
  <Override PartName="/xl/comments21.xml" ContentType="application/vnd.openxmlformats-officedocument.spreadsheetml.comments+xml"/>
  <Override PartName="/xl/comments2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120" yWindow="180" windowWidth="15570" windowHeight="9795" firstSheet="17" activeTab="23"/>
  </bookViews>
  <sheets>
    <sheet name="Res (100kWh)" sheetId="1" r:id="rId1"/>
    <sheet name="Res (250kWh)" sheetId="2" r:id="rId2"/>
    <sheet name="Res (500kWh)" sheetId="3" r:id="rId3"/>
    <sheet name="Res (800kWh)" sheetId="4" r:id="rId4"/>
    <sheet name="Res (1,000kWh)" sheetId="5" r:id="rId5"/>
    <sheet name="Res (1,500kWh)" sheetId="6" r:id="rId6"/>
    <sheet name="Res (2,000kWh)" sheetId="7" r:id="rId7"/>
    <sheet name="GS&lt;50 (1,000kWh)" sheetId="8" r:id="rId8"/>
    <sheet name="GS&lt;50 (2,000kWh)" sheetId="9" r:id="rId9"/>
    <sheet name="GS&lt;50 (5,000kWh)" sheetId="10" r:id="rId10"/>
    <sheet name="GS&lt;50 (10,000kWh)" sheetId="11" r:id="rId11"/>
    <sheet name="GS&lt;50 (15,000kWh)" sheetId="12" r:id="rId12"/>
    <sheet name="GS 50-4999 (60kW)" sheetId="13" r:id="rId13"/>
    <sheet name="GS 50-4999 (100kW)" sheetId="19" r:id="rId14"/>
    <sheet name="GS 50-4999 (250kW)" sheetId="25" r:id="rId15"/>
    <sheet name="GS 50-4999 (500kW)" sheetId="23" r:id="rId16"/>
    <sheet name="GS 50-4999 (1,000kW)" sheetId="14" r:id="rId17"/>
    <sheet name="LU (14,500kW)" sheetId="15" r:id="rId18"/>
    <sheet name="SL (1kW)" sheetId="16" r:id="rId19"/>
    <sheet name="SL (.14 kW)" sheetId="27" r:id="rId20"/>
    <sheet name="USL (150kWh)" sheetId="17" r:id="rId21"/>
    <sheet name="ED (6,000kW)" sheetId="26" r:id="rId22"/>
    <sheet name="Summary" sheetId="24" r:id="rId23"/>
    <sheet name="Sum Typical" sheetId="28" r:id="rId24"/>
  </sheets>
  <externalReferences>
    <externalReference r:id="rId25"/>
  </externalReferences>
  <definedNames>
    <definedName name="EBNUMBER">'[1]LDC Info'!$E$16</definedName>
    <definedName name="_xlnm.Print_Area" localSheetId="21">'ED (6,000kW)'!$A$1:$O$88</definedName>
    <definedName name="_xlnm.Print_Area" localSheetId="16">'GS 50-4999 (1,000kW)'!$A$1:$O$88</definedName>
    <definedName name="_xlnm.Print_Area" localSheetId="13">'GS 50-4999 (100kW)'!$A$1:$O$88</definedName>
    <definedName name="_xlnm.Print_Area" localSheetId="14">'GS 50-4999 (250kW)'!$A$1:$O$88</definedName>
    <definedName name="_xlnm.Print_Area" localSheetId="15">'GS 50-4999 (500kW)'!$A$1:$O$88</definedName>
    <definedName name="_xlnm.Print_Area" localSheetId="12">'GS 50-4999 (60kW)'!$A$1:$O$88</definedName>
    <definedName name="_xlnm.Print_Area" localSheetId="7">'GS&lt;50 (1,000kWh)'!$A$1:$O$89</definedName>
    <definedName name="_xlnm.Print_Area" localSheetId="10">'GS&lt;50 (10,000kWh)'!$A$1:$O$89</definedName>
    <definedName name="_xlnm.Print_Area" localSheetId="11">'GS&lt;50 (15,000kWh)'!$A$1:$O$89</definedName>
    <definedName name="_xlnm.Print_Area" localSheetId="8">'GS&lt;50 (2,000kWh)'!$A$1:$O$89</definedName>
    <definedName name="_xlnm.Print_Area" localSheetId="9">'GS&lt;50 (5,000kWh)'!$A$1:$O$89</definedName>
    <definedName name="_xlnm.Print_Area" localSheetId="17">'LU (14,500kW)'!$A$1:$O$88</definedName>
    <definedName name="_xlnm.Print_Area" localSheetId="4">'Res (1,000kWh)'!$A$1:$O$89</definedName>
    <definedName name="_xlnm.Print_Area" localSheetId="5">'Res (1,500kWh)'!$A$1:$O$89</definedName>
    <definedName name="_xlnm.Print_Area" localSheetId="0">'Res (100kWh)'!$A$1:$O$89</definedName>
    <definedName name="_xlnm.Print_Area" localSheetId="6">'Res (2,000kWh)'!$A$1:$O$89</definedName>
    <definedName name="_xlnm.Print_Area" localSheetId="1">'Res (250kWh)'!$A$1:$O$89</definedName>
    <definedName name="_xlnm.Print_Area" localSheetId="2">'Res (500kWh)'!$A$1:$O$89</definedName>
    <definedName name="_xlnm.Print_Area" localSheetId="3">'Res (800kWh)'!$A$1:$O$89</definedName>
    <definedName name="_xlnm.Print_Area" localSheetId="19">'SL (.14 kW)'!$A$1:$O$88</definedName>
    <definedName name="_xlnm.Print_Area" localSheetId="18">'SL (1kW)'!$A$1:$O$88</definedName>
    <definedName name="_xlnm.Print_Area" localSheetId="20">'USL (150kWh)'!$A$1:$O$88</definedName>
  </definedNames>
  <calcPr calcId="145621" iterate="1" iterateCount="1000"/>
</workbook>
</file>

<file path=xl/calcChain.xml><?xml version="1.0" encoding="utf-8"?>
<calcChain xmlns="http://schemas.openxmlformats.org/spreadsheetml/2006/main">
  <c r="J38" i="15" l="1"/>
  <c r="J38" i="13"/>
  <c r="J39" i="8"/>
  <c r="J26" i="27" l="1"/>
  <c r="J42" i="27"/>
  <c r="J29" i="7" l="1"/>
  <c r="J29" i="6"/>
  <c r="J29" i="5"/>
  <c r="J29" i="4"/>
  <c r="J29" i="3"/>
  <c r="J29" i="2"/>
  <c r="J38" i="26" l="1"/>
  <c r="J38" i="16"/>
  <c r="J38" i="27"/>
  <c r="J27" i="27" l="1"/>
  <c r="J21" i="27"/>
  <c r="F53" i="17" l="1"/>
  <c r="F43" i="13"/>
  <c r="F43" i="17" l="1"/>
  <c r="J41" i="26" l="1"/>
  <c r="J41" i="27"/>
  <c r="J41" i="16"/>
  <c r="J38" i="17"/>
  <c r="J39" i="1"/>
  <c r="J41" i="13" l="1"/>
  <c r="J27" i="19" l="1"/>
  <c r="J21" i="19"/>
  <c r="J57" i="15" l="1"/>
  <c r="J56" i="15"/>
  <c r="G6" i="28" l="1"/>
  <c r="J72" i="27" l="1"/>
  <c r="F72" i="27"/>
  <c r="O68" i="27"/>
  <c r="N68" i="27"/>
  <c r="G57" i="27"/>
  <c r="K57" i="27" s="1"/>
  <c r="G56" i="27"/>
  <c r="K56" i="27" s="1"/>
  <c r="L56" i="27" s="1"/>
  <c r="L55" i="27"/>
  <c r="H55" i="27"/>
  <c r="O55" i="27" s="1"/>
  <c r="L54" i="27"/>
  <c r="N54" i="27" s="1"/>
  <c r="H54" i="27"/>
  <c r="O54" i="27" s="1"/>
  <c r="K53" i="27"/>
  <c r="G53" i="27"/>
  <c r="F53" i="27"/>
  <c r="K52" i="27"/>
  <c r="J52" i="27"/>
  <c r="G52" i="27"/>
  <c r="H52" i="27" s="1"/>
  <c r="J51" i="27"/>
  <c r="L51" i="27" s="1"/>
  <c r="N51" i="27" s="1"/>
  <c r="H51" i="27"/>
  <c r="J50" i="27"/>
  <c r="K49" i="27"/>
  <c r="L49" i="27" s="1"/>
  <c r="J49" i="27"/>
  <c r="G49" i="27"/>
  <c r="H49" i="27" s="1"/>
  <c r="G46" i="27"/>
  <c r="H46" i="27" s="1"/>
  <c r="L44" i="27"/>
  <c r="H44" i="27"/>
  <c r="K43" i="27"/>
  <c r="G43" i="27"/>
  <c r="K42" i="27"/>
  <c r="L42" i="27" s="1"/>
  <c r="H42" i="27"/>
  <c r="G42" i="27"/>
  <c r="K41" i="27"/>
  <c r="L41" i="27" s="1"/>
  <c r="G41" i="27"/>
  <c r="H41" i="27" s="1"/>
  <c r="K40" i="27"/>
  <c r="L40" i="27" s="1"/>
  <c r="G40" i="27"/>
  <c r="H40" i="27" s="1"/>
  <c r="O40" i="27" s="1"/>
  <c r="K39" i="27"/>
  <c r="L39" i="27" s="1"/>
  <c r="G39" i="27"/>
  <c r="H39" i="27" s="1"/>
  <c r="O39" i="27" s="1"/>
  <c r="K38" i="27"/>
  <c r="L38" i="27" s="1"/>
  <c r="K36" i="27"/>
  <c r="L36" i="27" s="1"/>
  <c r="G36" i="27"/>
  <c r="H36" i="27" s="1"/>
  <c r="O36" i="27" s="1"/>
  <c r="K35" i="27"/>
  <c r="L35" i="27" s="1"/>
  <c r="G35" i="27"/>
  <c r="H35" i="27" s="1"/>
  <c r="O35" i="27" s="1"/>
  <c r="K34" i="27"/>
  <c r="L34" i="27" s="1"/>
  <c r="G34" i="27"/>
  <c r="H34" i="27" s="1"/>
  <c r="O34" i="27" s="1"/>
  <c r="K33" i="27"/>
  <c r="L33" i="27" s="1"/>
  <c r="G33" i="27"/>
  <c r="H33" i="27" s="1"/>
  <c r="O33" i="27" s="1"/>
  <c r="K32" i="27"/>
  <c r="L32" i="27" s="1"/>
  <c r="G32" i="27"/>
  <c r="H32" i="27" s="1"/>
  <c r="O32" i="27" s="1"/>
  <c r="K31" i="27"/>
  <c r="L31" i="27" s="1"/>
  <c r="G31" i="27"/>
  <c r="H31" i="27" s="1"/>
  <c r="O31" i="27" s="1"/>
  <c r="K30" i="27"/>
  <c r="L30" i="27" s="1"/>
  <c r="G30" i="27"/>
  <c r="H30" i="27" s="1"/>
  <c r="O30" i="27" s="1"/>
  <c r="K29" i="27"/>
  <c r="L29" i="27" s="1"/>
  <c r="G29" i="27"/>
  <c r="H29" i="27" s="1"/>
  <c r="O29" i="27" s="1"/>
  <c r="K28" i="27"/>
  <c r="L28" i="27" s="1"/>
  <c r="G28" i="27"/>
  <c r="H28" i="27" s="1"/>
  <c r="O28" i="27" s="1"/>
  <c r="K27" i="27"/>
  <c r="L27" i="27" s="1"/>
  <c r="G27" i="27"/>
  <c r="G38" i="27" s="1"/>
  <c r="H38" i="27" s="1"/>
  <c r="K26" i="27"/>
  <c r="L26" i="27" s="1"/>
  <c r="G26" i="27"/>
  <c r="H26" i="27" s="1"/>
  <c r="O26" i="27" s="1"/>
  <c r="K25" i="27"/>
  <c r="L25" i="27" s="1"/>
  <c r="G25" i="27"/>
  <c r="H25" i="27" s="1"/>
  <c r="L24" i="27"/>
  <c r="H24" i="27"/>
  <c r="O24" i="27" s="1"/>
  <c r="L23" i="27"/>
  <c r="H23" i="27"/>
  <c r="O23" i="27" s="1"/>
  <c r="O22" i="27"/>
  <c r="L22" i="27"/>
  <c r="H22" i="27"/>
  <c r="L21" i="27"/>
  <c r="H21" i="27"/>
  <c r="N30" i="27" l="1"/>
  <c r="N22" i="27"/>
  <c r="N29" i="27"/>
  <c r="G47" i="27"/>
  <c r="H47" i="27" s="1"/>
  <c r="N32" i="27"/>
  <c r="N40" i="27"/>
  <c r="O51" i="27"/>
  <c r="N21" i="27"/>
  <c r="O21" i="27" s="1"/>
  <c r="N24" i="27"/>
  <c r="N31" i="27"/>
  <c r="N42" i="27"/>
  <c r="O42" i="27" s="1"/>
  <c r="N44" i="27"/>
  <c r="L52" i="27"/>
  <c r="N23" i="27"/>
  <c r="N34" i="27"/>
  <c r="J53" i="27"/>
  <c r="J43" i="27" s="1"/>
  <c r="F43" i="27"/>
  <c r="H53" i="27"/>
  <c r="N39" i="27"/>
  <c r="N26" i="27"/>
  <c r="N41" i="27"/>
  <c r="H27" i="27"/>
  <c r="N25" i="27"/>
  <c r="O25" i="27" s="1"/>
  <c r="N27" i="27"/>
  <c r="O27" i="27" s="1"/>
  <c r="K46" i="27"/>
  <c r="L46" i="27" s="1"/>
  <c r="N46" i="27" s="1"/>
  <c r="O46" i="27" s="1"/>
  <c r="N35" i="27"/>
  <c r="N36" i="27"/>
  <c r="N28" i="27"/>
  <c r="K50" i="27"/>
  <c r="L50" i="27" s="1"/>
  <c r="H37" i="27"/>
  <c r="N33" i="27"/>
  <c r="O41" i="27"/>
  <c r="N49" i="27"/>
  <c r="O49" i="27" s="1"/>
  <c r="N52" i="27"/>
  <c r="O52" i="27" s="1"/>
  <c r="L43" i="27"/>
  <c r="L57" i="27"/>
  <c r="L53" i="27"/>
  <c r="N38" i="27"/>
  <c r="O38" i="27" s="1"/>
  <c r="G50" i="27"/>
  <c r="H50" i="27" s="1"/>
  <c r="L37" i="27"/>
  <c r="N55" i="27"/>
  <c r="H43" i="27"/>
  <c r="H57" i="27"/>
  <c r="O57" i="27" s="1"/>
  <c r="H56" i="27"/>
  <c r="K47" i="27" l="1"/>
  <c r="L47" i="27" s="1"/>
  <c r="N47" i="27" s="1"/>
  <c r="O47" i="27" s="1"/>
  <c r="N50" i="27"/>
  <c r="H45" i="27"/>
  <c r="L45" i="27"/>
  <c r="N37" i="27"/>
  <c r="O37" i="27" s="1"/>
  <c r="K41" i="24" s="1"/>
  <c r="K18" i="28" s="1"/>
  <c r="N57" i="27"/>
  <c r="N43" i="27"/>
  <c r="O43" i="27" s="1"/>
  <c r="N56" i="27"/>
  <c r="O56" i="27" s="1"/>
  <c r="O50" i="27"/>
  <c r="N53" i="27"/>
  <c r="O53" i="27" s="1"/>
  <c r="L48" i="27" l="1"/>
  <c r="N45" i="27"/>
  <c r="O45" i="27" s="1"/>
  <c r="L41" i="24" s="1"/>
  <c r="L18" i="28" s="1"/>
  <c r="H48" i="27"/>
  <c r="F47" i="25"/>
  <c r="F46" i="25"/>
  <c r="H65" i="27" l="1"/>
  <c r="H59" i="27"/>
  <c r="N48" i="27"/>
  <c r="O48" i="27" s="1"/>
  <c r="L65" i="27"/>
  <c r="L59" i="27"/>
  <c r="H60" i="27" l="1"/>
  <c r="H61" i="27" s="1"/>
  <c r="N65" i="27"/>
  <c r="O65" i="27" s="1"/>
  <c r="L66" i="27"/>
  <c r="H66" i="27"/>
  <c r="H67" i="27" s="1"/>
  <c r="L60" i="27"/>
  <c r="N60" i="27" s="1"/>
  <c r="N59" i="27"/>
  <c r="O59" i="27" s="1"/>
  <c r="G46" i="26"/>
  <c r="K46" i="26" s="1"/>
  <c r="G46" i="16"/>
  <c r="K46" i="16" s="1"/>
  <c r="G46" i="15"/>
  <c r="K46" i="15" s="1"/>
  <c r="K46" i="14"/>
  <c r="G46" i="14"/>
  <c r="G46" i="23"/>
  <c r="K46" i="23" s="1"/>
  <c r="K46" i="25"/>
  <c r="G46" i="25"/>
  <c r="G46" i="19"/>
  <c r="K46" i="19" s="1"/>
  <c r="K46" i="13"/>
  <c r="G46" i="13"/>
  <c r="N66" i="27" l="1"/>
  <c r="L61" i="27"/>
  <c r="N61" i="27" s="1"/>
  <c r="O61" i="27" s="1"/>
  <c r="L67" i="27"/>
  <c r="H62" i="27"/>
  <c r="H69" i="27"/>
  <c r="G41" i="24" s="1"/>
  <c r="G18" i="28" s="1"/>
  <c r="O66" i="27"/>
  <c r="O60" i="27"/>
  <c r="L62" i="27" l="1"/>
  <c r="L63" i="27" s="1"/>
  <c r="H63" i="27"/>
  <c r="N67" i="27"/>
  <c r="O67" i="27" s="1"/>
  <c r="L69" i="27"/>
  <c r="N69" i="27" l="1"/>
  <c r="O69" i="27" s="1"/>
  <c r="H41" i="24"/>
  <c r="N62" i="27"/>
  <c r="O62" i="27" s="1"/>
  <c r="N63" i="27"/>
  <c r="O63" i="27" s="1"/>
  <c r="I41" i="24" l="1"/>
  <c r="H18" i="28"/>
  <c r="J22" i="14"/>
  <c r="J22" i="23"/>
  <c r="J22" i="25"/>
  <c r="J22" i="19"/>
  <c r="G22" i="13"/>
  <c r="J22" i="12"/>
  <c r="J22" i="11"/>
  <c r="J22" i="10"/>
  <c r="J22" i="9"/>
  <c r="K22" i="15"/>
  <c r="K22" i="14"/>
  <c r="K22" i="23"/>
  <c r="K22" i="25"/>
  <c r="K22" i="19"/>
  <c r="K22" i="13"/>
  <c r="K22" i="12"/>
  <c r="K22" i="11"/>
  <c r="K22" i="10"/>
  <c r="K22" i="9"/>
  <c r="G22" i="15"/>
  <c r="G22" i="14"/>
  <c r="G22" i="23"/>
  <c r="G22" i="25"/>
  <c r="G22" i="19"/>
  <c r="G25" i="13"/>
  <c r="G22" i="12"/>
  <c r="G22" i="11"/>
  <c r="G22" i="10"/>
  <c r="G22" i="9"/>
  <c r="K22" i="8"/>
  <c r="G22" i="8"/>
  <c r="J41" i="24" l="1"/>
  <c r="J18" i="28" s="1"/>
  <c r="I18" i="28"/>
  <c r="F72" i="26"/>
  <c r="F72" i="17"/>
  <c r="G46" i="17" s="1"/>
  <c r="F72" i="16"/>
  <c r="F72" i="14"/>
  <c r="F72" i="23"/>
  <c r="F72" i="25"/>
  <c r="F72" i="19"/>
  <c r="F72" i="13"/>
  <c r="F73" i="12"/>
  <c r="F73" i="11"/>
  <c r="F73" i="10"/>
  <c r="F73" i="9"/>
  <c r="H46" i="17" l="1"/>
  <c r="G47" i="17"/>
  <c r="H47" i="17" s="1"/>
  <c r="F53" i="25"/>
  <c r="F43" i="25" s="1"/>
  <c r="F53" i="26"/>
  <c r="F43" i="26" s="1"/>
  <c r="F53" i="16"/>
  <c r="F43" i="16" s="1"/>
  <c r="F53" i="15"/>
  <c r="O68" i="26" l="1"/>
  <c r="N68" i="26"/>
  <c r="K57" i="26"/>
  <c r="H56" i="26"/>
  <c r="L55" i="26"/>
  <c r="N55" i="26" s="1"/>
  <c r="H55" i="26"/>
  <c r="O55" i="26" s="1"/>
  <c r="L54" i="26"/>
  <c r="H54" i="26"/>
  <c r="O54" i="26" s="1"/>
  <c r="J53" i="26"/>
  <c r="J43" i="26" s="1"/>
  <c r="G53" i="26"/>
  <c r="H53" i="26" s="1"/>
  <c r="K52" i="26"/>
  <c r="J52" i="26"/>
  <c r="G52" i="26"/>
  <c r="H52" i="26" s="1"/>
  <c r="J51" i="26"/>
  <c r="L51" i="26" s="1"/>
  <c r="N51" i="26" s="1"/>
  <c r="H51" i="26"/>
  <c r="J50" i="26"/>
  <c r="K49" i="26"/>
  <c r="K50" i="26" s="1"/>
  <c r="L50" i="26" s="1"/>
  <c r="J49" i="26"/>
  <c r="G49" i="26"/>
  <c r="H49" i="26" s="1"/>
  <c r="G47" i="26"/>
  <c r="H47" i="26" s="1"/>
  <c r="N44" i="26"/>
  <c r="L44" i="26"/>
  <c r="H44" i="26"/>
  <c r="K43" i="26"/>
  <c r="G43" i="26"/>
  <c r="K42" i="26"/>
  <c r="L42" i="26"/>
  <c r="G42" i="26"/>
  <c r="H42" i="26" s="1"/>
  <c r="K41" i="26"/>
  <c r="L41" i="26" s="1"/>
  <c r="G41" i="26"/>
  <c r="H41" i="26" s="1"/>
  <c r="K40" i="26"/>
  <c r="L40" i="26" s="1"/>
  <c r="G40" i="26"/>
  <c r="H40" i="26" s="1"/>
  <c r="O40" i="26" s="1"/>
  <c r="L39" i="26"/>
  <c r="K39" i="26"/>
  <c r="G39" i="26"/>
  <c r="H39" i="26" s="1"/>
  <c r="O39" i="26" s="1"/>
  <c r="K38" i="26"/>
  <c r="L38" i="26" s="1"/>
  <c r="K36" i="26"/>
  <c r="L36" i="26" s="1"/>
  <c r="G36" i="26"/>
  <c r="H36" i="26" s="1"/>
  <c r="O36" i="26" s="1"/>
  <c r="K35" i="26"/>
  <c r="L35" i="26" s="1"/>
  <c r="G35" i="26"/>
  <c r="H35" i="26" s="1"/>
  <c r="O35" i="26" s="1"/>
  <c r="K34" i="26"/>
  <c r="L34" i="26" s="1"/>
  <c r="G34" i="26"/>
  <c r="H34" i="26" s="1"/>
  <c r="O34" i="26" s="1"/>
  <c r="K33" i="26"/>
  <c r="L33" i="26" s="1"/>
  <c r="G33" i="26"/>
  <c r="H33" i="26" s="1"/>
  <c r="O33" i="26" s="1"/>
  <c r="K32" i="26"/>
  <c r="L32" i="26" s="1"/>
  <c r="G32" i="26"/>
  <c r="H32" i="26" s="1"/>
  <c r="O32" i="26" s="1"/>
  <c r="K31" i="26"/>
  <c r="L31" i="26" s="1"/>
  <c r="G31" i="26"/>
  <c r="H31" i="26" s="1"/>
  <c r="O31" i="26" s="1"/>
  <c r="K30" i="26"/>
  <c r="L30" i="26" s="1"/>
  <c r="G30" i="26"/>
  <c r="H30" i="26" s="1"/>
  <c r="O30" i="26" s="1"/>
  <c r="K29" i="26"/>
  <c r="L29" i="26" s="1"/>
  <c r="G29" i="26"/>
  <c r="H29" i="26" s="1"/>
  <c r="O29" i="26" s="1"/>
  <c r="K28" i="26"/>
  <c r="L28" i="26" s="1"/>
  <c r="H28" i="26"/>
  <c r="O28" i="26" s="1"/>
  <c r="G28" i="26"/>
  <c r="K27" i="26"/>
  <c r="L27" i="26" s="1"/>
  <c r="G27" i="26"/>
  <c r="G38" i="26" s="1"/>
  <c r="H38" i="26" s="1"/>
  <c r="K26" i="26"/>
  <c r="L26" i="26" s="1"/>
  <c r="G26" i="26"/>
  <c r="H26" i="26" s="1"/>
  <c r="O26" i="26" s="1"/>
  <c r="K25" i="26"/>
  <c r="L25" i="26" s="1"/>
  <c r="G25" i="26"/>
  <c r="H25" i="26" s="1"/>
  <c r="L24" i="26"/>
  <c r="N24" i="26" s="1"/>
  <c r="H24" i="26"/>
  <c r="O24" i="26" s="1"/>
  <c r="L23" i="26"/>
  <c r="N23" i="26" s="1"/>
  <c r="H23" i="26"/>
  <c r="O23" i="26" s="1"/>
  <c r="L22" i="26"/>
  <c r="N22" i="26" s="1"/>
  <c r="H22" i="26"/>
  <c r="O22" i="26" s="1"/>
  <c r="L21" i="26"/>
  <c r="H21" i="26"/>
  <c r="N42" i="26" l="1"/>
  <c r="O51" i="26"/>
  <c r="L52" i="26"/>
  <c r="N54" i="26"/>
  <c r="H43" i="26"/>
  <c r="N41" i="26"/>
  <c r="O41" i="26" s="1"/>
  <c r="L46" i="26"/>
  <c r="N21" i="26"/>
  <c r="O21" i="26"/>
  <c r="N32" i="26"/>
  <c r="N36" i="26"/>
  <c r="N34" i="26"/>
  <c r="K53" i="26"/>
  <c r="L53" i="26" s="1"/>
  <c r="N53" i="26" s="1"/>
  <c r="O53" i="26" s="1"/>
  <c r="N52" i="26"/>
  <c r="O52" i="26" s="1"/>
  <c r="L49" i="26"/>
  <c r="N49" i="26" s="1"/>
  <c r="O49" i="26" s="1"/>
  <c r="N31" i="26"/>
  <c r="N35" i="26"/>
  <c r="G50" i="26"/>
  <c r="H50" i="26" s="1"/>
  <c r="N50" i="26" s="1"/>
  <c r="O50" i="26" s="1"/>
  <c r="N28" i="26"/>
  <c r="N39" i="26"/>
  <c r="H46" i="26"/>
  <c r="H27" i="26"/>
  <c r="N27" i="26" s="1"/>
  <c r="O27" i="26" s="1"/>
  <c r="O42" i="26"/>
  <c r="N25" i="26"/>
  <c r="O25" i="26" s="1"/>
  <c r="N33" i="26"/>
  <c r="N40" i="26"/>
  <c r="N38" i="26"/>
  <c r="O38" i="26" s="1"/>
  <c r="L57" i="26"/>
  <c r="L43" i="26"/>
  <c r="N43" i="26" s="1"/>
  <c r="O43" i="26" s="1"/>
  <c r="N26" i="26"/>
  <c r="L37" i="26"/>
  <c r="N30" i="26"/>
  <c r="N29" i="26"/>
  <c r="K56" i="26"/>
  <c r="L56" i="26" s="1"/>
  <c r="N56" i="26" s="1"/>
  <c r="O56" i="26" s="1"/>
  <c r="K47" i="26"/>
  <c r="L47" i="26" s="1"/>
  <c r="N47" i="26" s="1"/>
  <c r="O47" i="26" s="1"/>
  <c r="H57" i="26"/>
  <c r="N46" i="26" l="1"/>
  <c r="H37" i="26"/>
  <c r="H45" i="26" s="1"/>
  <c r="O46" i="26"/>
  <c r="N37" i="26"/>
  <c r="O37" i="26" s="1"/>
  <c r="K44" i="24" s="1"/>
  <c r="K21" i="28" s="1"/>
  <c r="L45" i="26"/>
  <c r="N57" i="26"/>
  <c r="O57" i="26" s="1"/>
  <c r="L48" i="26" l="1"/>
  <c r="N45" i="26"/>
  <c r="O45" i="26" s="1"/>
  <c r="L44" i="24" s="1"/>
  <c r="L21" i="28" s="1"/>
  <c r="H48" i="26"/>
  <c r="H65" i="26" l="1"/>
  <c r="H59" i="26"/>
  <c r="N48" i="26"/>
  <c r="O48" i="26" s="1"/>
  <c r="L59" i="26"/>
  <c r="L65" i="26"/>
  <c r="L60" i="26" l="1"/>
  <c r="L61" i="26" s="1"/>
  <c r="N59" i="26"/>
  <c r="L66" i="26"/>
  <c r="L67" i="26" s="1"/>
  <c r="N65" i="26"/>
  <c r="O65" i="26" s="1"/>
  <c r="H66" i="26"/>
  <c r="H67" i="26" s="1"/>
  <c r="H60" i="26"/>
  <c r="H61" i="26" s="1"/>
  <c r="O59" i="26"/>
  <c r="H69" i="26" l="1"/>
  <c r="G44" i="24" s="1"/>
  <c r="G21" i="28" s="1"/>
  <c r="L69" i="26"/>
  <c r="N67" i="26"/>
  <c r="O67" i="26" s="1"/>
  <c r="N61" i="26"/>
  <c r="O61" i="26" s="1"/>
  <c r="N66" i="26"/>
  <c r="O66" i="26" s="1"/>
  <c r="N60" i="26"/>
  <c r="O60" i="26" s="1"/>
  <c r="N69" i="26" l="1"/>
  <c r="O69" i="26" s="1"/>
  <c r="H44" i="24"/>
  <c r="H21" i="28" s="1"/>
  <c r="N62" i="26"/>
  <c r="O62" i="26" s="1"/>
  <c r="H63" i="26"/>
  <c r="L63" i="26"/>
  <c r="N63" i="26" l="1"/>
  <c r="O63" i="26" s="1"/>
  <c r="J53" i="17" l="1"/>
  <c r="J43" i="17" s="1"/>
  <c r="J52" i="17"/>
  <c r="J51" i="17"/>
  <c r="J50" i="17"/>
  <c r="J49" i="17"/>
  <c r="J53" i="16" l="1"/>
  <c r="J43" i="16" s="1"/>
  <c r="J52" i="16"/>
  <c r="J51" i="16"/>
  <c r="J50" i="16"/>
  <c r="J49" i="16"/>
  <c r="J72" i="16"/>
  <c r="J52" i="15"/>
  <c r="J51" i="15"/>
  <c r="J50" i="15"/>
  <c r="J49" i="15"/>
  <c r="J52" i="14"/>
  <c r="J51" i="14"/>
  <c r="J50" i="14"/>
  <c r="J49" i="14"/>
  <c r="J47" i="14"/>
  <c r="J46" i="14"/>
  <c r="J52" i="23"/>
  <c r="J51" i="23"/>
  <c r="J50" i="23"/>
  <c r="J49" i="23"/>
  <c r="J47" i="23"/>
  <c r="J46" i="23"/>
  <c r="J52" i="25"/>
  <c r="J51" i="25"/>
  <c r="J50" i="25"/>
  <c r="J49" i="25"/>
  <c r="J47" i="25"/>
  <c r="J46" i="25"/>
  <c r="J42" i="14"/>
  <c r="J41" i="14"/>
  <c r="J38" i="14"/>
  <c r="J27" i="14"/>
  <c r="J26" i="14"/>
  <c r="J25" i="14"/>
  <c r="J21" i="14"/>
  <c r="J42" i="23"/>
  <c r="J41" i="23"/>
  <c r="J38" i="23"/>
  <c r="J27" i="23"/>
  <c r="J26" i="23"/>
  <c r="J25" i="23"/>
  <c r="J21" i="23"/>
  <c r="J42" i="25"/>
  <c r="J41" i="25"/>
  <c r="J38" i="25"/>
  <c r="J27" i="25"/>
  <c r="J26" i="25"/>
  <c r="J25" i="25"/>
  <c r="J21" i="25"/>
  <c r="J25" i="19"/>
  <c r="J26" i="19"/>
  <c r="J38" i="19"/>
  <c r="J41" i="19"/>
  <c r="J42" i="19"/>
  <c r="F53" i="14"/>
  <c r="F43" i="14" s="1"/>
  <c r="F52" i="14"/>
  <c r="F51" i="14"/>
  <c r="F50" i="14"/>
  <c r="F49" i="14"/>
  <c r="F47" i="14"/>
  <c r="F46" i="14"/>
  <c r="F53" i="23"/>
  <c r="F43" i="23" s="1"/>
  <c r="F52" i="23"/>
  <c r="F51" i="23"/>
  <c r="F50" i="23"/>
  <c r="F49" i="23"/>
  <c r="F47" i="23"/>
  <c r="F46" i="23"/>
  <c r="F38" i="25"/>
  <c r="F41" i="25"/>
  <c r="F42" i="25"/>
  <c r="F42" i="14"/>
  <c r="F41" i="14"/>
  <c r="F38" i="14"/>
  <c r="F27" i="14"/>
  <c r="F25" i="14"/>
  <c r="F21" i="14"/>
  <c r="F42" i="23"/>
  <c r="F41" i="23"/>
  <c r="F38" i="23"/>
  <c r="F27" i="23"/>
  <c r="F25" i="23"/>
  <c r="F21" i="23"/>
  <c r="F27" i="25"/>
  <c r="F25" i="25"/>
  <c r="F21" i="25"/>
  <c r="J52" i="19"/>
  <c r="J51" i="19"/>
  <c r="J50" i="19"/>
  <c r="J49" i="19"/>
  <c r="J47" i="19"/>
  <c r="J46" i="19"/>
  <c r="F53" i="19"/>
  <c r="F43" i="19" s="1"/>
  <c r="F52" i="19"/>
  <c r="F51" i="19"/>
  <c r="F50" i="19"/>
  <c r="F49" i="19"/>
  <c r="F47" i="19"/>
  <c r="F46" i="19"/>
  <c r="F42" i="19"/>
  <c r="F41" i="19"/>
  <c r="F38" i="19"/>
  <c r="F27" i="19"/>
  <c r="F25" i="19"/>
  <c r="F21" i="19"/>
  <c r="J72" i="17" l="1"/>
  <c r="J72" i="14"/>
  <c r="J72" i="23"/>
  <c r="J72" i="25"/>
  <c r="J72" i="19"/>
  <c r="J72" i="13"/>
  <c r="J73" i="12"/>
  <c r="J73" i="11"/>
  <c r="J73" i="10"/>
  <c r="J73" i="9"/>
  <c r="J73" i="8"/>
  <c r="J52" i="13" l="1"/>
  <c r="J51" i="13"/>
  <c r="J50" i="13"/>
  <c r="J49" i="13"/>
  <c r="J53" i="13"/>
  <c r="J43" i="13" s="1"/>
  <c r="J53" i="25" l="1"/>
  <c r="J43" i="25" s="1"/>
  <c r="J53" i="23"/>
  <c r="J43" i="23" s="1"/>
  <c r="J53" i="14"/>
  <c r="J43" i="14" s="1"/>
  <c r="J53" i="19"/>
  <c r="J43" i="19" s="1"/>
  <c r="K57" i="25"/>
  <c r="L57" i="25" s="1"/>
  <c r="H57" i="25"/>
  <c r="O57" i="25" s="1"/>
  <c r="K56" i="25"/>
  <c r="L56" i="25" s="1"/>
  <c r="H56" i="25"/>
  <c r="O56" i="25" s="1"/>
  <c r="L55" i="25"/>
  <c r="H55" i="25"/>
  <c r="O55" i="25" s="1"/>
  <c r="L54" i="25"/>
  <c r="H54" i="25"/>
  <c r="O54" i="25" s="1"/>
  <c r="G53" i="25"/>
  <c r="K53" i="25" s="1"/>
  <c r="L53" i="25" s="1"/>
  <c r="L52" i="25"/>
  <c r="K52" i="25"/>
  <c r="G52" i="25"/>
  <c r="H52" i="25" s="1"/>
  <c r="L51" i="25"/>
  <c r="H51" i="25"/>
  <c r="K49" i="25"/>
  <c r="K50" i="25" s="1"/>
  <c r="L50" i="25" s="1"/>
  <c r="G49" i="25"/>
  <c r="G50" i="25" s="1"/>
  <c r="H50" i="25" s="1"/>
  <c r="K47" i="25"/>
  <c r="L47" i="25" s="1"/>
  <c r="G47" i="25"/>
  <c r="H47" i="25" s="1"/>
  <c r="L44" i="25"/>
  <c r="H44" i="25"/>
  <c r="K43" i="25"/>
  <c r="G43" i="25"/>
  <c r="H43" i="25" s="1"/>
  <c r="K42" i="25"/>
  <c r="L42" i="25"/>
  <c r="G42" i="25"/>
  <c r="H42" i="25" s="1"/>
  <c r="K41" i="25"/>
  <c r="L41" i="25" s="1"/>
  <c r="G41" i="25"/>
  <c r="H41" i="25" s="1"/>
  <c r="K40" i="25"/>
  <c r="L40" i="25" s="1"/>
  <c r="G40" i="25"/>
  <c r="H40" i="25" s="1"/>
  <c r="O40" i="25" s="1"/>
  <c r="K39" i="25"/>
  <c r="L39" i="25" s="1"/>
  <c r="G39" i="25"/>
  <c r="H39" i="25" s="1"/>
  <c r="K38" i="25"/>
  <c r="L38" i="25" s="1"/>
  <c r="K36" i="25"/>
  <c r="L36" i="25" s="1"/>
  <c r="G36" i="25"/>
  <c r="H36" i="25" s="1"/>
  <c r="O36" i="25" s="1"/>
  <c r="K35" i="25"/>
  <c r="L35" i="25" s="1"/>
  <c r="G35" i="25"/>
  <c r="H35" i="25" s="1"/>
  <c r="O35" i="25" s="1"/>
  <c r="K34" i="25"/>
  <c r="L34" i="25" s="1"/>
  <c r="G34" i="25"/>
  <c r="H34" i="25" s="1"/>
  <c r="O34" i="25" s="1"/>
  <c r="K33" i="25"/>
  <c r="L33" i="25" s="1"/>
  <c r="G33" i="25"/>
  <c r="H33" i="25" s="1"/>
  <c r="O33" i="25" s="1"/>
  <c r="K32" i="25"/>
  <c r="L32" i="25" s="1"/>
  <c r="G32" i="25"/>
  <c r="H32" i="25" s="1"/>
  <c r="O32" i="25" s="1"/>
  <c r="K31" i="25"/>
  <c r="L31" i="25" s="1"/>
  <c r="G31" i="25"/>
  <c r="H31" i="25" s="1"/>
  <c r="O31" i="25" s="1"/>
  <c r="K30" i="25"/>
  <c r="L30" i="25" s="1"/>
  <c r="G30" i="25"/>
  <c r="H30" i="25" s="1"/>
  <c r="O30" i="25" s="1"/>
  <c r="K29" i="25"/>
  <c r="L29" i="25" s="1"/>
  <c r="N29" i="25" s="1"/>
  <c r="G29" i="25"/>
  <c r="H29" i="25" s="1"/>
  <c r="O29" i="25" s="1"/>
  <c r="L28" i="25"/>
  <c r="K28" i="25"/>
  <c r="G28" i="25"/>
  <c r="H28" i="25" s="1"/>
  <c r="O28" i="25" s="1"/>
  <c r="K27" i="25"/>
  <c r="L27" i="25" s="1"/>
  <c r="G27" i="25"/>
  <c r="G38" i="25" s="1"/>
  <c r="H38" i="25" s="1"/>
  <c r="K26" i="25"/>
  <c r="L26" i="25" s="1"/>
  <c r="G26" i="25"/>
  <c r="H26" i="25" s="1"/>
  <c r="O26" i="25" s="1"/>
  <c r="K25" i="25"/>
  <c r="L25" i="25" s="1"/>
  <c r="G25" i="25"/>
  <c r="H25" i="25" s="1"/>
  <c r="L24" i="25"/>
  <c r="H24" i="25"/>
  <c r="O24" i="25" s="1"/>
  <c r="L23" i="25"/>
  <c r="H23" i="25"/>
  <c r="O23" i="25" s="1"/>
  <c r="L22" i="25"/>
  <c r="H22" i="25"/>
  <c r="O22" i="25" s="1"/>
  <c r="L21" i="25"/>
  <c r="H21" i="25"/>
  <c r="N24" i="25" l="1"/>
  <c r="N52" i="25"/>
  <c r="N56" i="25"/>
  <c r="N57" i="25"/>
  <c r="N55" i="25"/>
  <c r="N54" i="25"/>
  <c r="N50" i="25"/>
  <c r="N51" i="25"/>
  <c r="O51" i="25" s="1"/>
  <c r="N28" i="25"/>
  <c r="N32" i="25"/>
  <c r="N23" i="25"/>
  <c r="N22" i="25"/>
  <c r="N42" i="25"/>
  <c r="O42" i="25" s="1"/>
  <c r="N44" i="25"/>
  <c r="N41" i="25"/>
  <c r="N47" i="25"/>
  <c r="O47" i="25" s="1"/>
  <c r="H46" i="25"/>
  <c r="N26" i="25"/>
  <c r="N40" i="25"/>
  <c r="L46" i="25"/>
  <c r="L49" i="25"/>
  <c r="H53" i="25"/>
  <c r="L43" i="25"/>
  <c r="N43" i="25" s="1"/>
  <c r="O43" i="25" s="1"/>
  <c r="N31" i="25"/>
  <c r="N35" i="25"/>
  <c r="N53" i="25"/>
  <c r="O53" i="25" s="1"/>
  <c r="N33" i="25"/>
  <c r="N36" i="25"/>
  <c r="N30" i="25"/>
  <c r="N34" i="25"/>
  <c r="O41" i="25"/>
  <c r="L37" i="25"/>
  <c r="N21" i="25"/>
  <c r="O21" i="25" s="1"/>
  <c r="N25" i="25"/>
  <c r="O25" i="25" s="1"/>
  <c r="N38" i="25"/>
  <c r="O38" i="25" s="1"/>
  <c r="O52" i="25"/>
  <c r="N39" i="25"/>
  <c r="O39" i="25" s="1"/>
  <c r="O50" i="25"/>
  <c r="H49" i="25"/>
  <c r="H27" i="25"/>
  <c r="N46" i="25" l="1"/>
  <c r="O46" i="25" s="1"/>
  <c r="H37" i="25"/>
  <c r="H45" i="25" s="1"/>
  <c r="N49" i="25"/>
  <c r="O49" i="25" s="1"/>
  <c r="L45" i="25"/>
  <c r="N27" i="25"/>
  <c r="O27" i="25" s="1"/>
  <c r="N37" i="25" l="1"/>
  <c r="O37" i="25" s="1"/>
  <c r="K29" i="24" s="1"/>
  <c r="K9" i="28" s="1"/>
  <c r="H48" i="25"/>
  <c r="L48" i="25"/>
  <c r="N45" i="25"/>
  <c r="O45" i="25" s="1"/>
  <c r="L29" i="24" s="1"/>
  <c r="L9" i="28" s="1"/>
  <c r="N48" i="25" l="1"/>
  <c r="O48" i="25" s="1"/>
  <c r="L59" i="25"/>
  <c r="L65" i="25"/>
  <c r="H65" i="25"/>
  <c r="H59" i="25"/>
  <c r="H60" i="25" l="1"/>
  <c r="N65" i="25"/>
  <c r="L66" i="25"/>
  <c r="L60" i="25"/>
  <c r="N59" i="25"/>
  <c r="O59" i="25" s="1"/>
  <c r="O65" i="25"/>
  <c r="H66" i="25"/>
  <c r="N60" i="25" l="1"/>
  <c r="O60" i="25" s="1"/>
  <c r="H61" i="25"/>
  <c r="H62" i="25" s="1"/>
  <c r="N66" i="25"/>
  <c r="O66" i="25" s="1"/>
  <c r="L67" i="25"/>
  <c r="H67" i="25"/>
  <c r="L61" i="25"/>
  <c r="L62" i="25" l="1"/>
  <c r="N62" i="25" s="1"/>
  <c r="O62" i="25" s="1"/>
  <c r="N61" i="25"/>
  <c r="O61" i="25" s="1"/>
  <c r="H69" i="25"/>
  <c r="G29" i="24" s="1"/>
  <c r="G9" i="28" s="1"/>
  <c r="O68" i="25"/>
  <c r="H63" i="25"/>
  <c r="N67" i="25"/>
  <c r="O67" i="25" s="1"/>
  <c r="L69" i="25"/>
  <c r="H29" i="24" s="1"/>
  <c r="H9" i="28" s="1"/>
  <c r="I29" i="24" l="1"/>
  <c r="L63" i="25"/>
  <c r="N63" i="25" s="1"/>
  <c r="O63" i="25" s="1"/>
  <c r="N68" i="25"/>
  <c r="N69" i="25"/>
  <c r="O69" i="25" s="1"/>
  <c r="J29" i="24" l="1"/>
  <c r="J9" i="28" s="1"/>
  <c r="I9" i="28"/>
  <c r="J58" i="12"/>
  <c r="J57" i="12"/>
  <c r="J56" i="12"/>
  <c r="J55" i="12"/>
  <c r="J54" i="12"/>
  <c r="J53" i="12"/>
  <c r="J52" i="12"/>
  <c r="J51" i="12"/>
  <c r="J50" i="12"/>
  <c r="J48" i="12"/>
  <c r="J47" i="12"/>
  <c r="J45" i="12"/>
  <c r="J58" i="11"/>
  <c r="J57" i="11"/>
  <c r="J56" i="11"/>
  <c r="J55" i="11"/>
  <c r="J54" i="11"/>
  <c r="J53" i="11"/>
  <c r="J52" i="11"/>
  <c r="J51" i="11"/>
  <c r="J50" i="11"/>
  <c r="J48" i="11"/>
  <c r="J47" i="11"/>
  <c r="J45" i="11"/>
  <c r="J58" i="10"/>
  <c r="J57" i="10"/>
  <c r="J56" i="10"/>
  <c r="J55" i="10"/>
  <c r="J54" i="10"/>
  <c r="J53" i="10"/>
  <c r="J52" i="10"/>
  <c r="J51" i="10"/>
  <c r="J50" i="10"/>
  <c r="J48" i="10"/>
  <c r="J47" i="10"/>
  <c r="J45" i="10"/>
  <c r="J43" i="12"/>
  <c r="J39" i="12"/>
  <c r="J27" i="12"/>
  <c r="J26" i="12"/>
  <c r="J25" i="12"/>
  <c r="J24" i="12"/>
  <c r="J21" i="12"/>
  <c r="J43" i="11"/>
  <c r="J39" i="11"/>
  <c r="J27" i="11"/>
  <c r="J26" i="11"/>
  <c r="J25" i="11"/>
  <c r="J24" i="11"/>
  <c r="J21" i="11"/>
  <c r="J43" i="10"/>
  <c r="J39" i="10"/>
  <c r="J27" i="10"/>
  <c r="J26" i="10"/>
  <c r="J25" i="10"/>
  <c r="J24" i="10"/>
  <c r="J21" i="10"/>
  <c r="J58" i="9"/>
  <c r="J57" i="9"/>
  <c r="J56" i="9"/>
  <c r="J55" i="9"/>
  <c r="J54" i="9"/>
  <c r="J53" i="9"/>
  <c r="J52" i="9"/>
  <c r="J51" i="9"/>
  <c r="J50" i="9"/>
  <c r="J48" i="9"/>
  <c r="J47" i="9"/>
  <c r="J45" i="9"/>
  <c r="J43" i="9"/>
  <c r="J39" i="9"/>
  <c r="J27" i="9"/>
  <c r="J26" i="9"/>
  <c r="J25" i="9"/>
  <c r="J24" i="9"/>
  <c r="J21" i="9"/>
  <c r="F58" i="12"/>
  <c r="F57" i="12"/>
  <c r="F56" i="12"/>
  <c r="F55" i="12"/>
  <c r="F54" i="12"/>
  <c r="F53" i="12"/>
  <c r="F52" i="12"/>
  <c r="F51" i="12"/>
  <c r="F50" i="12"/>
  <c r="F48" i="12"/>
  <c r="F47" i="12"/>
  <c r="F45" i="12"/>
  <c r="F58" i="11"/>
  <c r="F57" i="11"/>
  <c r="F56" i="11"/>
  <c r="F55" i="11"/>
  <c r="F54" i="11"/>
  <c r="F53" i="11"/>
  <c r="F52" i="11"/>
  <c r="F51" i="11"/>
  <c r="F50" i="11"/>
  <c r="F48" i="11"/>
  <c r="F47" i="11"/>
  <c r="F45" i="11"/>
  <c r="F58" i="10"/>
  <c r="F57" i="10"/>
  <c r="F56" i="10"/>
  <c r="F55" i="10"/>
  <c r="F54" i="10"/>
  <c r="F53" i="10"/>
  <c r="F52" i="10"/>
  <c r="F51" i="10"/>
  <c r="F50" i="10"/>
  <c r="F48" i="10"/>
  <c r="F47" i="10"/>
  <c r="F45" i="10"/>
  <c r="F43" i="12"/>
  <c r="F39" i="12"/>
  <c r="F27" i="12"/>
  <c r="F25" i="12"/>
  <c r="F23" i="12"/>
  <c r="F21" i="12"/>
  <c r="F43" i="11"/>
  <c r="F39" i="11"/>
  <c r="F27" i="11"/>
  <c r="F25" i="11"/>
  <c r="F23" i="11"/>
  <c r="F21" i="11"/>
  <c r="F43" i="10"/>
  <c r="F39" i="10"/>
  <c r="F27" i="10"/>
  <c r="F25" i="10"/>
  <c r="F23" i="10"/>
  <c r="F21" i="10"/>
  <c r="F58" i="9"/>
  <c r="F57" i="9"/>
  <c r="F56" i="9"/>
  <c r="F55" i="9"/>
  <c r="F54" i="9"/>
  <c r="F53" i="9"/>
  <c r="F52" i="9"/>
  <c r="F51" i="9"/>
  <c r="F50" i="9"/>
  <c r="F48" i="9"/>
  <c r="F47" i="9"/>
  <c r="F45" i="9"/>
  <c r="F43" i="9"/>
  <c r="F39" i="9"/>
  <c r="F27" i="9"/>
  <c r="F25" i="9"/>
  <c r="F23" i="9"/>
  <c r="F21" i="9"/>
  <c r="J53" i="8"/>
  <c r="J52" i="8"/>
  <c r="J51" i="8"/>
  <c r="J50" i="8"/>
  <c r="F55" i="8"/>
  <c r="J55" i="8" s="1"/>
  <c r="F56" i="8"/>
  <c r="J56" i="8" s="1"/>
  <c r="F57" i="8"/>
  <c r="J57" i="8" s="1"/>
  <c r="F58" i="8"/>
  <c r="J58" i="8" s="1"/>
  <c r="F54" i="8"/>
  <c r="J54" i="8" s="1"/>
  <c r="J58" i="7" l="1"/>
  <c r="J57" i="7"/>
  <c r="J56" i="7"/>
  <c r="J55" i="7"/>
  <c r="J54" i="7"/>
  <c r="J53" i="7"/>
  <c r="J52" i="7"/>
  <c r="J51" i="7"/>
  <c r="J50" i="7"/>
  <c r="J48" i="7"/>
  <c r="J47" i="7"/>
  <c r="J45" i="7"/>
  <c r="J58" i="6"/>
  <c r="J57" i="6"/>
  <c r="J56" i="6"/>
  <c r="J55" i="6"/>
  <c r="J54" i="6"/>
  <c r="J53" i="6"/>
  <c r="J52" i="6"/>
  <c r="J51" i="6"/>
  <c r="J50" i="6"/>
  <c r="J48" i="6"/>
  <c r="J47" i="6"/>
  <c r="J45" i="6"/>
  <c r="J58" i="5"/>
  <c r="J57" i="5"/>
  <c r="J56" i="5"/>
  <c r="J55" i="5"/>
  <c r="J54" i="5"/>
  <c r="J53" i="5"/>
  <c r="J52" i="5"/>
  <c r="J51" i="5"/>
  <c r="J50" i="5"/>
  <c r="J48" i="5"/>
  <c r="J47" i="5"/>
  <c r="J45" i="5"/>
  <c r="J58" i="4"/>
  <c r="J57" i="4"/>
  <c r="J56" i="4"/>
  <c r="J55" i="4"/>
  <c r="J54" i="4"/>
  <c r="J53" i="4"/>
  <c r="J52" i="4"/>
  <c r="J51" i="4"/>
  <c r="J50" i="4"/>
  <c r="J48" i="4"/>
  <c r="J47" i="4"/>
  <c r="J45" i="4"/>
  <c r="J43" i="7"/>
  <c r="J39" i="7"/>
  <c r="J27" i="7"/>
  <c r="J26" i="7"/>
  <c r="J25" i="7"/>
  <c r="J24" i="7"/>
  <c r="J21" i="7"/>
  <c r="J43" i="6"/>
  <c r="J39" i="6"/>
  <c r="J27" i="6"/>
  <c r="J26" i="6"/>
  <c r="J25" i="6"/>
  <c r="J24" i="6"/>
  <c r="J21" i="6"/>
  <c r="J43" i="5"/>
  <c r="J39" i="5"/>
  <c r="J27" i="5"/>
  <c r="J26" i="5"/>
  <c r="J25" i="5"/>
  <c r="J24" i="5"/>
  <c r="J21" i="5"/>
  <c r="J43" i="4"/>
  <c r="J39" i="4"/>
  <c r="J27" i="4"/>
  <c r="J26" i="4"/>
  <c r="J25" i="4"/>
  <c r="J24" i="4"/>
  <c r="J21" i="4"/>
  <c r="J58" i="3"/>
  <c r="J57" i="3"/>
  <c r="J56" i="3"/>
  <c r="J55" i="3"/>
  <c r="J54" i="3"/>
  <c r="J53" i="3"/>
  <c r="J52" i="3"/>
  <c r="J51" i="3"/>
  <c r="J50" i="3"/>
  <c r="J48" i="3"/>
  <c r="J47" i="3"/>
  <c r="J45" i="3"/>
  <c r="J43" i="3"/>
  <c r="J39" i="3"/>
  <c r="J27" i="3"/>
  <c r="J26" i="3"/>
  <c r="J25" i="3"/>
  <c r="J24" i="3"/>
  <c r="J21" i="3"/>
  <c r="J58" i="2"/>
  <c r="J57" i="2"/>
  <c r="J56" i="2"/>
  <c r="J55" i="2"/>
  <c r="J54" i="2"/>
  <c r="J53" i="2"/>
  <c r="J52" i="2"/>
  <c r="J51" i="2"/>
  <c r="J50" i="2"/>
  <c r="J48" i="2"/>
  <c r="J47" i="2"/>
  <c r="J45" i="2"/>
  <c r="J43" i="2"/>
  <c r="J39" i="2"/>
  <c r="J27" i="2"/>
  <c r="J26" i="2"/>
  <c r="J25" i="2"/>
  <c r="J24" i="2"/>
  <c r="J21" i="2"/>
  <c r="J73" i="7" l="1"/>
  <c r="F73" i="7"/>
  <c r="J73" i="6"/>
  <c r="F73" i="6"/>
  <c r="J73" i="5"/>
  <c r="F73" i="5"/>
  <c r="J73" i="4"/>
  <c r="F73" i="4"/>
  <c r="J73" i="3"/>
  <c r="F73" i="3"/>
  <c r="J73" i="2"/>
  <c r="F73" i="2"/>
  <c r="F58" i="7"/>
  <c r="F57" i="7"/>
  <c r="F56" i="7"/>
  <c r="F55" i="7"/>
  <c r="F54" i="7"/>
  <c r="F53" i="7"/>
  <c r="F52" i="7"/>
  <c r="F51" i="7"/>
  <c r="F50" i="7"/>
  <c r="F48" i="7"/>
  <c r="F47" i="7"/>
  <c r="F58" i="6"/>
  <c r="F57" i="6"/>
  <c r="F56" i="6"/>
  <c r="F55" i="6"/>
  <c r="F54" i="6"/>
  <c r="F53" i="6"/>
  <c r="F52" i="6"/>
  <c r="F51" i="6"/>
  <c r="F50" i="6"/>
  <c r="F48" i="6"/>
  <c r="F47" i="6"/>
  <c r="F58" i="5"/>
  <c r="F57" i="5"/>
  <c r="F56" i="5"/>
  <c r="F55" i="5"/>
  <c r="F54" i="5"/>
  <c r="F53" i="5"/>
  <c r="F52" i="5"/>
  <c r="F51" i="5"/>
  <c r="F50" i="5"/>
  <c r="F48" i="5"/>
  <c r="F47" i="5"/>
  <c r="F58" i="4"/>
  <c r="F57" i="4"/>
  <c r="F56" i="4"/>
  <c r="F55" i="4"/>
  <c r="F54" i="4"/>
  <c r="F53" i="4"/>
  <c r="F52" i="4"/>
  <c r="F51" i="4"/>
  <c r="F50" i="4"/>
  <c r="F48" i="4"/>
  <c r="F47" i="4"/>
  <c r="F58" i="3"/>
  <c r="F57" i="3"/>
  <c r="F56" i="3"/>
  <c r="F55" i="3"/>
  <c r="F54" i="3"/>
  <c r="F53" i="3"/>
  <c r="F52" i="3"/>
  <c r="F51" i="3"/>
  <c r="F50" i="3"/>
  <c r="F48" i="3"/>
  <c r="F47" i="3"/>
  <c r="F45" i="7"/>
  <c r="F45" i="6"/>
  <c r="F45" i="5"/>
  <c r="F45" i="4"/>
  <c r="F45" i="3"/>
  <c r="F43" i="7"/>
  <c r="F39" i="7"/>
  <c r="F43" i="6"/>
  <c r="F39" i="6"/>
  <c r="F43" i="5"/>
  <c r="F39" i="5"/>
  <c r="F43" i="4"/>
  <c r="F39" i="4"/>
  <c r="F43" i="3"/>
  <c r="F39" i="3"/>
  <c r="F27" i="7"/>
  <c r="F26" i="7"/>
  <c r="F25" i="7"/>
  <c r="F24" i="7"/>
  <c r="F23" i="7"/>
  <c r="F22" i="7"/>
  <c r="F21" i="7"/>
  <c r="F27" i="6"/>
  <c r="F26" i="6"/>
  <c r="F25" i="6"/>
  <c r="F24" i="6"/>
  <c r="F23" i="6"/>
  <c r="F22" i="6"/>
  <c r="F21" i="6"/>
  <c r="F27" i="5"/>
  <c r="F26" i="5"/>
  <c r="F25" i="5"/>
  <c r="F24" i="5"/>
  <c r="F23" i="5"/>
  <c r="F22" i="5"/>
  <c r="F21" i="5"/>
  <c r="F27" i="4"/>
  <c r="F26" i="4"/>
  <c r="F25" i="4"/>
  <c r="F24" i="4"/>
  <c r="F23" i="4"/>
  <c r="F22" i="4"/>
  <c r="F21" i="4"/>
  <c r="F27" i="3"/>
  <c r="F26" i="3"/>
  <c r="F25" i="3"/>
  <c r="F24" i="3"/>
  <c r="F23" i="3"/>
  <c r="F22" i="3"/>
  <c r="F21" i="3"/>
  <c r="F58" i="2"/>
  <c r="F57" i="2"/>
  <c r="F56" i="2"/>
  <c r="F55" i="2"/>
  <c r="F54" i="2"/>
  <c r="F53" i="2"/>
  <c r="F52" i="2"/>
  <c r="F51" i="2"/>
  <c r="F50" i="2"/>
  <c r="F48" i="2"/>
  <c r="F47" i="2"/>
  <c r="F45" i="2"/>
  <c r="F43" i="2"/>
  <c r="F39" i="2"/>
  <c r="F27" i="2"/>
  <c r="F26" i="2"/>
  <c r="F25" i="2"/>
  <c r="F24" i="2"/>
  <c r="F23" i="2"/>
  <c r="F22" i="2"/>
  <c r="F21" i="2"/>
  <c r="J58" i="1"/>
  <c r="J57" i="1"/>
  <c r="J56" i="1"/>
  <c r="J55" i="1"/>
  <c r="J54" i="1"/>
  <c r="H21" i="17" l="1"/>
  <c r="H21" i="16"/>
  <c r="H21" i="15"/>
  <c r="H21" i="23"/>
  <c r="H21" i="14"/>
  <c r="H21" i="19"/>
  <c r="H21" i="13"/>
  <c r="H21" i="12"/>
  <c r="H21" i="11"/>
  <c r="H21" i="10"/>
  <c r="H21" i="9"/>
  <c r="H21" i="8"/>
  <c r="H21" i="7"/>
  <c r="H21" i="6"/>
  <c r="H21" i="5"/>
  <c r="H21" i="4"/>
  <c r="H21" i="3"/>
  <c r="H21" i="2"/>
  <c r="H21" i="1"/>
  <c r="L26" i="13"/>
  <c r="K25" i="17"/>
  <c r="L25" i="17"/>
  <c r="K26" i="17"/>
  <c r="G25" i="17"/>
  <c r="H25" i="17" s="1"/>
  <c r="N25" i="17" s="1"/>
  <c r="O25" i="17" s="1"/>
  <c r="G26" i="17"/>
  <c r="K27" i="17"/>
  <c r="G27" i="17"/>
  <c r="H27" i="17" s="1"/>
  <c r="K25" i="16"/>
  <c r="L25" i="16" s="1"/>
  <c r="K26" i="16"/>
  <c r="L26" i="16" s="1"/>
  <c r="G25" i="16"/>
  <c r="H25" i="16" s="1"/>
  <c r="G26" i="16"/>
  <c r="K27" i="16"/>
  <c r="G27" i="16"/>
  <c r="H27" i="16" s="1"/>
  <c r="K25" i="15"/>
  <c r="K26" i="15"/>
  <c r="G25" i="15"/>
  <c r="H25" i="15" s="1"/>
  <c r="G26" i="15"/>
  <c r="H26" i="15" s="1"/>
  <c r="O26" i="15" s="1"/>
  <c r="K27" i="15"/>
  <c r="G27" i="15"/>
  <c r="L46" i="14"/>
  <c r="G47" i="14"/>
  <c r="H47" i="14" s="1"/>
  <c r="K25" i="23"/>
  <c r="L25" i="23" s="1"/>
  <c r="K26" i="23"/>
  <c r="K27" i="23"/>
  <c r="G25" i="23"/>
  <c r="H25" i="23" s="1"/>
  <c r="G26" i="23"/>
  <c r="G27" i="23"/>
  <c r="G38" i="23" s="1"/>
  <c r="H38" i="23" s="1"/>
  <c r="K25" i="14"/>
  <c r="K26" i="14"/>
  <c r="L26" i="14" s="1"/>
  <c r="K27" i="14"/>
  <c r="G25" i="14"/>
  <c r="G26" i="14"/>
  <c r="G27" i="14"/>
  <c r="H27" i="14" s="1"/>
  <c r="K25" i="19"/>
  <c r="K26" i="19"/>
  <c r="L26" i="19" s="1"/>
  <c r="N26" i="19" s="1"/>
  <c r="K27" i="19"/>
  <c r="G25" i="19"/>
  <c r="H25" i="19"/>
  <c r="G26" i="19"/>
  <c r="G27" i="19"/>
  <c r="H27" i="19" s="1"/>
  <c r="K25" i="13"/>
  <c r="K26" i="13"/>
  <c r="K27" i="13"/>
  <c r="H25" i="13"/>
  <c r="G26" i="13"/>
  <c r="G27" i="13"/>
  <c r="H27" i="13" s="1"/>
  <c r="K25" i="12"/>
  <c r="L25" i="12"/>
  <c r="K26" i="12"/>
  <c r="L26" i="12" s="1"/>
  <c r="G25" i="12"/>
  <c r="H25" i="12" s="1"/>
  <c r="N25" i="12" s="1"/>
  <c r="O25" i="12" s="1"/>
  <c r="G26" i="12"/>
  <c r="K25" i="11"/>
  <c r="L25" i="11" s="1"/>
  <c r="K26" i="11"/>
  <c r="L26" i="11" s="1"/>
  <c r="G25" i="11"/>
  <c r="H25" i="11" s="1"/>
  <c r="G26" i="11"/>
  <c r="K25" i="10"/>
  <c r="L25" i="10" s="1"/>
  <c r="K26" i="10"/>
  <c r="L26" i="10" s="1"/>
  <c r="G25" i="10"/>
  <c r="H25" i="10" s="1"/>
  <c r="G26" i="10"/>
  <c r="K25" i="9"/>
  <c r="L25" i="9" s="1"/>
  <c r="N25" i="9" s="1"/>
  <c r="O25" i="9" s="1"/>
  <c r="K26" i="9"/>
  <c r="L26" i="9" s="1"/>
  <c r="N26" i="9" s="1"/>
  <c r="G25" i="9"/>
  <c r="H25" i="9"/>
  <c r="G26" i="9"/>
  <c r="L25" i="8"/>
  <c r="K25" i="8"/>
  <c r="K26" i="8"/>
  <c r="G25" i="8"/>
  <c r="H25" i="8" s="1"/>
  <c r="G26" i="8"/>
  <c r="H26" i="8"/>
  <c r="O26" i="8" s="1"/>
  <c r="K25" i="7"/>
  <c r="L25" i="7" s="1"/>
  <c r="N25" i="7" s="1"/>
  <c r="O25" i="7" s="1"/>
  <c r="K26" i="7"/>
  <c r="L26" i="7" s="1"/>
  <c r="G25" i="7"/>
  <c r="H25" i="7"/>
  <c r="G26" i="7"/>
  <c r="K25" i="6"/>
  <c r="L25" i="6" s="1"/>
  <c r="K26" i="6"/>
  <c r="L26" i="6" s="1"/>
  <c r="G25" i="6"/>
  <c r="H25" i="6" s="1"/>
  <c r="G26" i="6"/>
  <c r="H26" i="6"/>
  <c r="O26" i="6" s="1"/>
  <c r="K25" i="5"/>
  <c r="L25" i="5"/>
  <c r="K26" i="5"/>
  <c r="L26" i="5" s="1"/>
  <c r="G25" i="5"/>
  <c r="H25" i="5"/>
  <c r="G26" i="5"/>
  <c r="K25" i="1"/>
  <c r="L25" i="1"/>
  <c r="K26" i="1"/>
  <c r="L26" i="1" s="1"/>
  <c r="G25" i="1"/>
  <c r="H25" i="1" s="1"/>
  <c r="N25" i="1" s="1"/>
  <c r="O25" i="1" s="1"/>
  <c r="G26" i="1"/>
  <c r="H26" i="1"/>
  <c r="O26" i="1" s="1"/>
  <c r="K25" i="2"/>
  <c r="L25" i="2" s="1"/>
  <c r="K26" i="2"/>
  <c r="L26" i="2" s="1"/>
  <c r="G25" i="2"/>
  <c r="H25" i="2" s="1"/>
  <c r="G26" i="2"/>
  <c r="G25" i="4"/>
  <c r="G26" i="4"/>
  <c r="H26" i="4" s="1"/>
  <c r="O26" i="4" s="1"/>
  <c r="K25" i="4"/>
  <c r="L25" i="4"/>
  <c r="K26" i="4"/>
  <c r="K25" i="3"/>
  <c r="L25" i="3" s="1"/>
  <c r="K26" i="3"/>
  <c r="G25" i="3"/>
  <c r="H25" i="3" s="1"/>
  <c r="G26" i="3"/>
  <c r="H26" i="3"/>
  <c r="O26" i="3"/>
  <c r="H25" i="4"/>
  <c r="K49" i="14"/>
  <c r="G49" i="14"/>
  <c r="G49" i="23"/>
  <c r="H49" i="23" s="1"/>
  <c r="K49" i="23"/>
  <c r="K49" i="16"/>
  <c r="L49" i="16" s="1"/>
  <c r="N49" i="16" s="1"/>
  <c r="O49" i="16" s="1"/>
  <c r="G49" i="16"/>
  <c r="K49" i="15"/>
  <c r="K50" i="15" s="1"/>
  <c r="L50" i="15" s="1"/>
  <c r="G49" i="15"/>
  <c r="G50" i="15" s="1"/>
  <c r="H50" i="15" s="1"/>
  <c r="K47" i="15"/>
  <c r="G47" i="15"/>
  <c r="H47" i="15" s="1"/>
  <c r="K47" i="23"/>
  <c r="G47" i="23"/>
  <c r="H47" i="23" s="1"/>
  <c r="J53" i="15"/>
  <c r="J43" i="15" s="1"/>
  <c r="H57" i="23"/>
  <c r="H56" i="23"/>
  <c r="L55" i="23"/>
  <c r="H55" i="23"/>
  <c r="O55" i="23" s="1"/>
  <c r="L54" i="23"/>
  <c r="H54" i="23"/>
  <c r="O54" i="23" s="1"/>
  <c r="G53" i="23"/>
  <c r="K53" i="23" s="1"/>
  <c r="L53" i="23" s="1"/>
  <c r="H53" i="23"/>
  <c r="K52" i="23"/>
  <c r="L52" i="23"/>
  <c r="G52" i="23"/>
  <c r="H52" i="23"/>
  <c r="L51" i="23"/>
  <c r="H51" i="23"/>
  <c r="K50" i="23"/>
  <c r="L50" i="23" s="1"/>
  <c r="L44" i="23"/>
  <c r="H44" i="23"/>
  <c r="K43" i="23"/>
  <c r="G43" i="23"/>
  <c r="K42" i="23"/>
  <c r="G42" i="23"/>
  <c r="H42" i="23" s="1"/>
  <c r="K41" i="23"/>
  <c r="G41" i="23"/>
  <c r="H41" i="23" s="1"/>
  <c r="K40" i="23"/>
  <c r="L40" i="23" s="1"/>
  <c r="G40" i="23"/>
  <c r="H40" i="23" s="1"/>
  <c r="O40" i="23" s="1"/>
  <c r="K39" i="23"/>
  <c r="L39" i="23" s="1"/>
  <c r="G39" i="23"/>
  <c r="H39" i="23" s="1"/>
  <c r="O39" i="23" s="1"/>
  <c r="K38" i="23"/>
  <c r="K36" i="23"/>
  <c r="L36" i="23"/>
  <c r="G36" i="23"/>
  <c r="H36" i="23"/>
  <c r="N36" i="23" s="1"/>
  <c r="K35" i="23"/>
  <c r="L35" i="23" s="1"/>
  <c r="N35" i="23" s="1"/>
  <c r="G35" i="23"/>
  <c r="H35" i="23" s="1"/>
  <c r="O35" i="23" s="1"/>
  <c r="K34" i="23"/>
  <c r="L34" i="23" s="1"/>
  <c r="G34" i="23"/>
  <c r="H34" i="23" s="1"/>
  <c r="O34" i="23" s="1"/>
  <c r="K33" i="23"/>
  <c r="L33" i="23" s="1"/>
  <c r="G33" i="23"/>
  <c r="H33" i="23" s="1"/>
  <c r="L32" i="23"/>
  <c r="K32" i="23"/>
  <c r="G32" i="23"/>
  <c r="H32" i="23" s="1"/>
  <c r="K31" i="23"/>
  <c r="L31" i="23" s="1"/>
  <c r="G31" i="23"/>
  <c r="H31" i="23" s="1"/>
  <c r="O31" i="23" s="1"/>
  <c r="K30" i="23"/>
  <c r="L30" i="23" s="1"/>
  <c r="G30" i="23"/>
  <c r="H30" i="23"/>
  <c r="O30" i="23" s="1"/>
  <c r="K29" i="23"/>
  <c r="L29" i="23" s="1"/>
  <c r="G29" i="23"/>
  <c r="H29" i="23" s="1"/>
  <c r="O29" i="23" s="1"/>
  <c r="K28" i="23"/>
  <c r="L28" i="23" s="1"/>
  <c r="N28" i="23" s="1"/>
  <c r="H28" i="23"/>
  <c r="O28" i="23" s="1"/>
  <c r="G28" i="23"/>
  <c r="H26" i="23"/>
  <c r="O26" i="23" s="1"/>
  <c r="L24" i="23"/>
  <c r="N24" i="23" s="1"/>
  <c r="H24" i="23"/>
  <c r="O24" i="23" s="1"/>
  <c r="L23" i="23"/>
  <c r="H23" i="23"/>
  <c r="O23" i="23"/>
  <c r="L22" i="23"/>
  <c r="H22" i="23"/>
  <c r="O22" i="23" s="1"/>
  <c r="K57" i="19"/>
  <c r="L57" i="19" s="1"/>
  <c r="N57" i="19" s="1"/>
  <c r="H57" i="19"/>
  <c r="O57" i="19" s="1"/>
  <c r="K56" i="19"/>
  <c r="L56" i="19"/>
  <c r="N56" i="19" s="1"/>
  <c r="H56" i="19"/>
  <c r="O56" i="19" s="1"/>
  <c r="L55" i="19"/>
  <c r="N55" i="19" s="1"/>
  <c r="H55" i="19"/>
  <c r="O55" i="19" s="1"/>
  <c r="L54" i="19"/>
  <c r="H54" i="19"/>
  <c r="O54" i="19" s="1"/>
  <c r="N54" i="19"/>
  <c r="G53" i="19"/>
  <c r="H53" i="19" s="1"/>
  <c r="K52" i="19"/>
  <c r="L52" i="19" s="1"/>
  <c r="G52" i="19"/>
  <c r="H52" i="19" s="1"/>
  <c r="L51" i="19"/>
  <c r="H51" i="19"/>
  <c r="K49" i="19"/>
  <c r="L49" i="19" s="1"/>
  <c r="G49" i="19"/>
  <c r="G50" i="19" s="1"/>
  <c r="H50" i="19" s="1"/>
  <c r="K47" i="19"/>
  <c r="L47" i="19" s="1"/>
  <c r="G47" i="19"/>
  <c r="H47" i="19" s="1"/>
  <c r="L44" i="19"/>
  <c r="N44" i="19" s="1"/>
  <c r="H44" i="19"/>
  <c r="K43" i="19"/>
  <c r="G43" i="19"/>
  <c r="H43" i="19"/>
  <c r="K42" i="19"/>
  <c r="G42" i="19"/>
  <c r="H42" i="19" s="1"/>
  <c r="K41" i="19"/>
  <c r="L41" i="19" s="1"/>
  <c r="G41" i="19"/>
  <c r="H41" i="19"/>
  <c r="K40" i="19"/>
  <c r="L40" i="19"/>
  <c r="N40" i="19" s="1"/>
  <c r="G40" i="19"/>
  <c r="H40" i="19"/>
  <c r="O40" i="19" s="1"/>
  <c r="K39" i="19"/>
  <c r="L39" i="19"/>
  <c r="G39" i="19"/>
  <c r="H39" i="19"/>
  <c r="O39" i="19" s="1"/>
  <c r="K38" i="19"/>
  <c r="L38" i="19" s="1"/>
  <c r="G38" i="19"/>
  <c r="H38" i="19" s="1"/>
  <c r="K36" i="19"/>
  <c r="L36" i="19" s="1"/>
  <c r="N36" i="19" s="1"/>
  <c r="G36" i="19"/>
  <c r="H36" i="19" s="1"/>
  <c r="O36" i="19" s="1"/>
  <c r="K35" i="19"/>
  <c r="L35" i="19"/>
  <c r="G35" i="19"/>
  <c r="H35" i="19"/>
  <c r="O35" i="19" s="1"/>
  <c r="K34" i="19"/>
  <c r="L34" i="19" s="1"/>
  <c r="N34" i="19" s="1"/>
  <c r="G34" i="19"/>
  <c r="H34" i="19" s="1"/>
  <c r="O34" i="19" s="1"/>
  <c r="K33" i="19"/>
  <c r="L33" i="19" s="1"/>
  <c r="N33" i="19" s="1"/>
  <c r="G33" i="19"/>
  <c r="H33" i="19" s="1"/>
  <c r="O33" i="19" s="1"/>
  <c r="K32" i="19"/>
  <c r="L32" i="19" s="1"/>
  <c r="N32" i="19" s="1"/>
  <c r="G32" i="19"/>
  <c r="H32" i="19" s="1"/>
  <c r="O32" i="19" s="1"/>
  <c r="K31" i="19"/>
  <c r="L31" i="19" s="1"/>
  <c r="N31" i="19" s="1"/>
  <c r="G31" i="19"/>
  <c r="H31" i="19" s="1"/>
  <c r="O31" i="19" s="1"/>
  <c r="K30" i="19"/>
  <c r="L30" i="19" s="1"/>
  <c r="N30" i="19" s="1"/>
  <c r="G30" i="19"/>
  <c r="H30" i="19" s="1"/>
  <c r="O30" i="19" s="1"/>
  <c r="K29" i="19"/>
  <c r="L29" i="19"/>
  <c r="G29" i="19"/>
  <c r="H29" i="19"/>
  <c r="O29" i="19" s="1"/>
  <c r="K28" i="19"/>
  <c r="L28" i="19" s="1"/>
  <c r="N28" i="19" s="1"/>
  <c r="G28" i="19"/>
  <c r="H28" i="19" s="1"/>
  <c r="O28" i="19" s="1"/>
  <c r="H26" i="19"/>
  <c r="O26" i="19" s="1"/>
  <c r="L25" i="19"/>
  <c r="L24" i="19"/>
  <c r="H24" i="19"/>
  <c r="O24" i="19" s="1"/>
  <c r="L23" i="19"/>
  <c r="H23" i="19"/>
  <c r="O23" i="19"/>
  <c r="L22" i="19"/>
  <c r="H22" i="19"/>
  <c r="O22" i="19" s="1"/>
  <c r="K49" i="17"/>
  <c r="K46" i="17"/>
  <c r="K47" i="17" s="1"/>
  <c r="G49" i="17"/>
  <c r="K53" i="17"/>
  <c r="L53" i="17"/>
  <c r="G53" i="17"/>
  <c r="H53" i="17"/>
  <c r="K41" i="16"/>
  <c r="L41" i="16" s="1"/>
  <c r="G41" i="16"/>
  <c r="K41" i="15"/>
  <c r="G41" i="15"/>
  <c r="H41" i="15" s="1"/>
  <c r="K41" i="14"/>
  <c r="L41" i="14" s="1"/>
  <c r="G41" i="14"/>
  <c r="H41" i="14" s="1"/>
  <c r="G42" i="14"/>
  <c r="K41" i="13"/>
  <c r="L41" i="13" s="1"/>
  <c r="G41" i="13"/>
  <c r="H41" i="13" s="1"/>
  <c r="K53" i="16"/>
  <c r="G53" i="16"/>
  <c r="H53" i="16"/>
  <c r="N53" i="16" s="1"/>
  <c r="O53" i="16" s="1"/>
  <c r="G53" i="15"/>
  <c r="G53" i="14"/>
  <c r="K53" i="14" s="1"/>
  <c r="L53" i="14" s="1"/>
  <c r="G43" i="14"/>
  <c r="G53" i="13"/>
  <c r="K53" i="13" s="1"/>
  <c r="L53" i="13" s="1"/>
  <c r="H53" i="13"/>
  <c r="K43" i="13"/>
  <c r="G43" i="13"/>
  <c r="G58" i="12"/>
  <c r="K58" i="12"/>
  <c r="L58" i="12" s="1"/>
  <c r="G57" i="12"/>
  <c r="K57" i="12" s="1"/>
  <c r="L57" i="12" s="1"/>
  <c r="N57" i="12" s="1"/>
  <c r="O57" i="12" s="1"/>
  <c r="G56" i="12"/>
  <c r="K56" i="12"/>
  <c r="L56" i="12" s="1"/>
  <c r="N56" i="12" s="1"/>
  <c r="O56" i="12" s="1"/>
  <c r="H55" i="12"/>
  <c r="G55" i="12"/>
  <c r="K55" i="12"/>
  <c r="L55" i="12" s="1"/>
  <c r="G54" i="12"/>
  <c r="K54" i="12" s="1"/>
  <c r="L54" i="12" s="1"/>
  <c r="K53" i="12"/>
  <c r="L53" i="12"/>
  <c r="G53" i="12"/>
  <c r="H53" i="12"/>
  <c r="L52" i="12"/>
  <c r="H52" i="12"/>
  <c r="K47" i="12"/>
  <c r="L47" i="12" s="1"/>
  <c r="G47" i="12"/>
  <c r="H47" i="12" s="1"/>
  <c r="L45" i="12"/>
  <c r="H45" i="12"/>
  <c r="K44" i="12"/>
  <c r="J44" i="12"/>
  <c r="G44" i="12"/>
  <c r="F44" i="12"/>
  <c r="H44" i="12" s="1"/>
  <c r="K43" i="12"/>
  <c r="G43" i="12"/>
  <c r="H43" i="12" s="1"/>
  <c r="K42" i="12"/>
  <c r="L42" i="12" s="1"/>
  <c r="N42" i="12" s="1"/>
  <c r="G42" i="12"/>
  <c r="H42" i="12" s="1"/>
  <c r="O42" i="12" s="1"/>
  <c r="K41" i="12"/>
  <c r="L41" i="12" s="1"/>
  <c r="G41" i="12"/>
  <c r="H41" i="12" s="1"/>
  <c r="O41" i="12" s="1"/>
  <c r="K40" i="12"/>
  <c r="L40" i="12" s="1"/>
  <c r="H40" i="12"/>
  <c r="G40" i="12"/>
  <c r="K39" i="12"/>
  <c r="L39" i="12" s="1"/>
  <c r="G39" i="12"/>
  <c r="H39" i="12"/>
  <c r="K36" i="12"/>
  <c r="L36" i="12"/>
  <c r="G36" i="12"/>
  <c r="H36" i="12" s="1"/>
  <c r="O36" i="12" s="1"/>
  <c r="K35" i="12"/>
  <c r="L35" i="12"/>
  <c r="G35" i="12"/>
  <c r="H35" i="12"/>
  <c r="O35" i="12" s="1"/>
  <c r="K34" i="12"/>
  <c r="L34" i="12" s="1"/>
  <c r="G34" i="12"/>
  <c r="H34" i="12" s="1"/>
  <c r="O34" i="12" s="1"/>
  <c r="K33" i="12"/>
  <c r="L33" i="12" s="1"/>
  <c r="G33" i="12"/>
  <c r="H33" i="12" s="1"/>
  <c r="O33" i="12" s="1"/>
  <c r="K32" i="12"/>
  <c r="L32" i="12" s="1"/>
  <c r="G32" i="12"/>
  <c r="H32" i="12" s="1"/>
  <c r="O32" i="12" s="1"/>
  <c r="K31" i="12"/>
  <c r="L31" i="12" s="1"/>
  <c r="G31" i="12"/>
  <c r="H31" i="12" s="1"/>
  <c r="O31" i="12" s="1"/>
  <c r="K30" i="12"/>
  <c r="L30" i="12" s="1"/>
  <c r="G30" i="12"/>
  <c r="H30" i="12" s="1"/>
  <c r="O30" i="12" s="1"/>
  <c r="L29" i="12"/>
  <c r="K29" i="12"/>
  <c r="H29" i="12"/>
  <c r="O29" i="12" s="1"/>
  <c r="G29" i="12"/>
  <c r="K28" i="12"/>
  <c r="L28" i="12" s="1"/>
  <c r="G28" i="12"/>
  <c r="H28" i="12" s="1"/>
  <c r="O28" i="12" s="1"/>
  <c r="K27" i="12"/>
  <c r="G27" i="12"/>
  <c r="H27" i="12" s="1"/>
  <c r="H26" i="12"/>
  <c r="O26" i="12" s="1"/>
  <c r="L24" i="12"/>
  <c r="H24" i="12"/>
  <c r="L38" i="12"/>
  <c r="H38" i="12"/>
  <c r="O38" i="12" s="1"/>
  <c r="L23" i="12"/>
  <c r="H23" i="12"/>
  <c r="L22" i="12"/>
  <c r="H22" i="12"/>
  <c r="G58" i="11"/>
  <c r="K58" i="11" s="1"/>
  <c r="L58" i="11" s="1"/>
  <c r="G57" i="11"/>
  <c r="K57" i="11"/>
  <c r="L57" i="11" s="1"/>
  <c r="G56" i="11"/>
  <c r="H56" i="11" s="1"/>
  <c r="G55" i="11"/>
  <c r="K55" i="11" s="1"/>
  <c r="L55" i="11" s="1"/>
  <c r="N55" i="11" s="1"/>
  <c r="O55" i="11" s="1"/>
  <c r="G54" i="11"/>
  <c r="H54" i="11"/>
  <c r="K53" i="11"/>
  <c r="L53" i="11"/>
  <c r="G53" i="11"/>
  <c r="H53" i="11"/>
  <c r="L52" i="11"/>
  <c r="H52" i="11"/>
  <c r="K47" i="11"/>
  <c r="L47" i="11" s="1"/>
  <c r="G47" i="11"/>
  <c r="G48" i="11" s="1"/>
  <c r="L45" i="11"/>
  <c r="H45" i="11"/>
  <c r="K44" i="11"/>
  <c r="J44" i="11"/>
  <c r="G44" i="11"/>
  <c r="F44" i="11"/>
  <c r="K43" i="11"/>
  <c r="G43" i="11"/>
  <c r="H43" i="11" s="1"/>
  <c r="K42" i="11"/>
  <c r="L42" i="11" s="1"/>
  <c r="N42" i="11" s="1"/>
  <c r="G42" i="11"/>
  <c r="H42" i="11" s="1"/>
  <c r="O42" i="11" s="1"/>
  <c r="K41" i="11"/>
  <c r="L41" i="11" s="1"/>
  <c r="G41" i="11"/>
  <c r="H41" i="11" s="1"/>
  <c r="K40" i="11"/>
  <c r="L40" i="11" s="1"/>
  <c r="H40" i="11"/>
  <c r="G40" i="11"/>
  <c r="K39" i="11"/>
  <c r="L39" i="11" s="1"/>
  <c r="N39" i="11" s="1"/>
  <c r="O39" i="11" s="1"/>
  <c r="G39" i="11"/>
  <c r="H39" i="11"/>
  <c r="K36" i="11"/>
  <c r="L36" i="11"/>
  <c r="G36" i="11"/>
  <c r="H36" i="11"/>
  <c r="O36" i="11" s="1"/>
  <c r="K35" i="11"/>
  <c r="L35" i="11" s="1"/>
  <c r="N35" i="11" s="1"/>
  <c r="G35" i="11"/>
  <c r="H35" i="11" s="1"/>
  <c r="O35" i="11" s="1"/>
  <c r="K34" i="11"/>
  <c r="L34" i="11" s="1"/>
  <c r="N34" i="11" s="1"/>
  <c r="G34" i="11"/>
  <c r="H34" i="11" s="1"/>
  <c r="O34" i="11" s="1"/>
  <c r="K33" i="11"/>
  <c r="L33" i="11"/>
  <c r="G33" i="11"/>
  <c r="H33" i="11"/>
  <c r="N33" i="11" s="1"/>
  <c r="K32" i="11"/>
  <c r="L32" i="11" s="1"/>
  <c r="N32" i="11" s="1"/>
  <c r="G32" i="11"/>
  <c r="H32" i="11" s="1"/>
  <c r="O32" i="11" s="1"/>
  <c r="K31" i="11"/>
  <c r="L31" i="11" s="1"/>
  <c r="N31" i="11" s="1"/>
  <c r="G31" i="11"/>
  <c r="H31" i="11" s="1"/>
  <c r="O31" i="11" s="1"/>
  <c r="K30" i="11"/>
  <c r="L30" i="11" s="1"/>
  <c r="G30" i="11"/>
  <c r="H30" i="11" s="1"/>
  <c r="O30" i="11" s="1"/>
  <c r="K29" i="11"/>
  <c r="L29" i="11"/>
  <c r="G29" i="11"/>
  <c r="H29" i="11"/>
  <c r="O29" i="11" s="1"/>
  <c r="K28" i="11"/>
  <c r="L28" i="11" s="1"/>
  <c r="N28" i="11" s="1"/>
  <c r="G28" i="11"/>
  <c r="H28" i="11" s="1"/>
  <c r="O28" i="11" s="1"/>
  <c r="K27" i="11"/>
  <c r="G27" i="11"/>
  <c r="H27" i="11" s="1"/>
  <c r="H26" i="11"/>
  <c r="O26" i="11" s="1"/>
  <c r="L24" i="11"/>
  <c r="H24" i="11"/>
  <c r="O24" i="11"/>
  <c r="L38" i="11"/>
  <c r="H38" i="11"/>
  <c r="O38" i="11" s="1"/>
  <c r="L23" i="11"/>
  <c r="H23" i="11"/>
  <c r="L22" i="11"/>
  <c r="H22" i="11"/>
  <c r="O22" i="11" s="1"/>
  <c r="G58" i="10"/>
  <c r="K58" i="10"/>
  <c r="L58" i="10" s="1"/>
  <c r="N58" i="10" s="1"/>
  <c r="O58" i="10" s="1"/>
  <c r="G57" i="10"/>
  <c r="K57" i="10" s="1"/>
  <c r="L57" i="10" s="1"/>
  <c r="N57" i="10" s="1"/>
  <c r="O57" i="10" s="1"/>
  <c r="G56" i="10"/>
  <c r="K56" i="10"/>
  <c r="L56" i="10" s="1"/>
  <c r="G55" i="10"/>
  <c r="K55" i="10" s="1"/>
  <c r="L55" i="10" s="1"/>
  <c r="N55" i="10" s="1"/>
  <c r="G54" i="10"/>
  <c r="H54" i="10"/>
  <c r="K53" i="10"/>
  <c r="L53" i="10"/>
  <c r="G53" i="10"/>
  <c r="H53" i="10"/>
  <c r="L52" i="10"/>
  <c r="H52" i="10"/>
  <c r="K47" i="10"/>
  <c r="L47" i="10" s="1"/>
  <c r="G47" i="10"/>
  <c r="G48" i="10" s="1"/>
  <c r="L45" i="10"/>
  <c r="H45" i="10"/>
  <c r="K44" i="10"/>
  <c r="J44" i="10"/>
  <c r="G44" i="10"/>
  <c r="F44" i="10"/>
  <c r="H44" i="10" s="1"/>
  <c r="K43" i="10"/>
  <c r="G43" i="10"/>
  <c r="H43" i="10" s="1"/>
  <c r="K42" i="10"/>
  <c r="L42" i="10" s="1"/>
  <c r="N42" i="10" s="1"/>
  <c r="G42" i="10"/>
  <c r="H42" i="10" s="1"/>
  <c r="O42" i="10" s="1"/>
  <c r="K41" i="10"/>
  <c r="L41" i="10" s="1"/>
  <c r="N41" i="10" s="1"/>
  <c r="G41" i="10"/>
  <c r="H41" i="10" s="1"/>
  <c r="O41" i="10" s="1"/>
  <c r="K40" i="10"/>
  <c r="L40" i="10" s="1"/>
  <c r="N40" i="10" s="1"/>
  <c r="G40" i="10"/>
  <c r="H40" i="10" s="1"/>
  <c r="O40" i="10" s="1"/>
  <c r="K39" i="10"/>
  <c r="L39" i="10" s="1"/>
  <c r="G39" i="10"/>
  <c r="H39" i="10"/>
  <c r="K36" i="10"/>
  <c r="L36" i="10"/>
  <c r="G36" i="10"/>
  <c r="H36" i="10"/>
  <c r="K35" i="10"/>
  <c r="L35" i="10"/>
  <c r="G35" i="10"/>
  <c r="H35" i="10"/>
  <c r="K34" i="10"/>
  <c r="L34" i="10"/>
  <c r="G34" i="10"/>
  <c r="H34" i="10"/>
  <c r="O34" i="10" s="1"/>
  <c r="K33" i="10"/>
  <c r="L33" i="10"/>
  <c r="G33" i="10"/>
  <c r="H33" i="10"/>
  <c r="N33" i="10" s="1"/>
  <c r="K32" i="10"/>
  <c r="L32" i="10"/>
  <c r="G32" i="10"/>
  <c r="H32" i="10"/>
  <c r="O32" i="10" s="1"/>
  <c r="K31" i="10"/>
  <c r="L31" i="10" s="1"/>
  <c r="G31" i="10"/>
  <c r="H31" i="10" s="1"/>
  <c r="O31" i="10" s="1"/>
  <c r="K30" i="10"/>
  <c r="L30" i="10" s="1"/>
  <c r="G30" i="10"/>
  <c r="H30" i="10" s="1"/>
  <c r="O30" i="10" s="1"/>
  <c r="K29" i="10"/>
  <c r="L29" i="10" s="1"/>
  <c r="G29" i="10"/>
  <c r="H29" i="10" s="1"/>
  <c r="K28" i="10"/>
  <c r="L28" i="10" s="1"/>
  <c r="G28" i="10"/>
  <c r="H28" i="10" s="1"/>
  <c r="K27" i="10"/>
  <c r="G27" i="10"/>
  <c r="H27" i="10" s="1"/>
  <c r="H26" i="10"/>
  <c r="O26" i="10" s="1"/>
  <c r="L24" i="10"/>
  <c r="H24" i="10"/>
  <c r="O24" i="10" s="1"/>
  <c r="L38" i="10"/>
  <c r="H38" i="10"/>
  <c r="O38" i="10" s="1"/>
  <c r="L23" i="10"/>
  <c r="H23" i="10"/>
  <c r="L22" i="10"/>
  <c r="H22" i="10"/>
  <c r="O22" i="10" s="1"/>
  <c r="G58" i="9"/>
  <c r="K58" i="9" s="1"/>
  <c r="L58" i="9" s="1"/>
  <c r="G57" i="9"/>
  <c r="K57" i="9" s="1"/>
  <c r="L57" i="9" s="1"/>
  <c r="N57" i="9" s="1"/>
  <c r="O57" i="9" s="1"/>
  <c r="G56" i="9"/>
  <c r="H56" i="9"/>
  <c r="G55" i="9"/>
  <c r="H55" i="9"/>
  <c r="K55" i="9"/>
  <c r="L55" i="9"/>
  <c r="G54" i="9"/>
  <c r="K54" i="9"/>
  <c r="L54" i="9" s="1"/>
  <c r="K53" i="9"/>
  <c r="L53" i="9" s="1"/>
  <c r="G53" i="9"/>
  <c r="H53" i="9" s="1"/>
  <c r="L52" i="9"/>
  <c r="H52" i="9"/>
  <c r="K47" i="9"/>
  <c r="L47" i="9" s="1"/>
  <c r="G47" i="9"/>
  <c r="H47" i="9" s="1"/>
  <c r="L45" i="9"/>
  <c r="H45" i="9"/>
  <c r="K44" i="9"/>
  <c r="J44" i="9"/>
  <c r="G44" i="9"/>
  <c r="F44" i="9"/>
  <c r="K43" i="9"/>
  <c r="G43" i="9"/>
  <c r="H43" i="9" s="1"/>
  <c r="K42" i="9"/>
  <c r="L42" i="9"/>
  <c r="G42" i="9"/>
  <c r="H42" i="9"/>
  <c r="O42" i="9" s="1"/>
  <c r="K41" i="9"/>
  <c r="L41" i="9"/>
  <c r="G41" i="9"/>
  <c r="H41" i="9"/>
  <c r="K40" i="9"/>
  <c r="L40" i="9"/>
  <c r="G40" i="9"/>
  <c r="H40" i="9"/>
  <c r="K39" i="9"/>
  <c r="L39" i="9" s="1"/>
  <c r="G39" i="9"/>
  <c r="H39" i="9" s="1"/>
  <c r="K36" i="9"/>
  <c r="L36" i="9" s="1"/>
  <c r="N36" i="9" s="1"/>
  <c r="G36" i="9"/>
  <c r="H36" i="9"/>
  <c r="O36" i="9" s="1"/>
  <c r="K35" i="9"/>
  <c r="L35" i="9" s="1"/>
  <c r="G35" i="9"/>
  <c r="H35" i="9" s="1"/>
  <c r="O35" i="9" s="1"/>
  <c r="K34" i="9"/>
  <c r="L34" i="9"/>
  <c r="G34" i="9"/>
  <c r="H34" i="9"/>
  <c r="O34" i="9" s="1"/>
  <c r="K33" i="9"/>
  <c r="L33" i="9" s="1"/>
  <c r="N33" i="9" s="1"/>
  <c r="G33" i="9"/>
  <c r="H33" i="9"/>
  <c r="O33" i="9" s="1"/>
  <c r="K32" i="9"/>
  <c r="L32" i="9" s="1"/>
  <c r="N32" i="9" s="1"/>
  <c r="H32" i="9"/>
  <c r="O32" i="9" s="1"/>
  <c r="G32" i="9"/>
  <c r="K31" i="9"/>
  <c r="L31" i="9"/>
  <c r="N31" i="9" s="1"/>
  <c r="G31" i="9"/>
  <c r="H31" i="9" s="1"/>
  <c r="O31" i="9" s="1"/>
  <c r="K30" i="9"/>
  <c r="L30" i="9"/>
  <c r="G30" i="9"/>
  <c r="H30" i="9"/>
  <c r="K29" i="9"/>
  <c r="L29" i="9"/>
  <c r="G29" i="9"/>
  <c r="H29" i="9" s="1"/>
  <c r="O29" i="9" s="1"/>
  <c r="K28" i="9"/>
  <c r="L28" i="9"/>
  <c r="N28" i="9" s="1"/>
  <c r="G28" i="9"/>
  <c r="H28" i="9" s="1"/>
  <c r="O28" i="9" s="1"/>
  <c r="K27" i="9"/>
  <c r="G27" i="9"/>
  <c r="H27" i="9" s="1"/>
  <c r="H26" i="9"/>
  <c r="O26" i="9"/>
  <c r="L24" i="9"/>
  <c r="H24" i="9"/>
  <c r="O24" i="9" s="1"/>
  <c r="L38" i="9"/>
  <c r="N38" i="9" s="1"/>
  <c r="H38" i="9"/>
  <c r="O38" i="9"/>
  <c r="L23" i="9"/>
  <c r="H23" i="9"/>
  <c r="N23" i="9" s="1"/>
  <c r="L22" i="9"/>
  <c r="H22" i="9"/>
  <c r="G56" i="8"/>
  <c r="K56" i="8" s="1"/>
  <c r="L56" i="8" s="1"/>
  <c r="H56" i="8"/>
  <c r="G55" i="8"/>
  <c r="K55" i="8"/>
  <c r="L55" i="8" s="1"/>
  <c r="N55" i="8" s="1"/>
  <c r="G54" i="8"/>
  <c r="H54" i="8" s="1"/>
  <c r="K54" i="8"/>
  <c r="L54" i="8" s="1"/>
  <c r="N54" i="8" s="1"/>
  <c r="O54" i="8" s="1"/>
  <c r="K44" i="8"/>
  <c r="G44" i="8"/>
  <c r="G58" i="7"/>
  <c r="K58" i="7" s="1"/>
  <c r="L58" i="7" s="1"/>
  <c r="G57" i="7"/>
  <c r="H57" i="7" s="1"/>
  <c r="G56" i="7"/>
  <c r="H56" i="7" s="1"/>
  <c r="G55" i="7"/>
  <c r="K55" i="7" s="1"/>
  <c r="L55" i="7" s="1"/>
  <c r="G54" i="7"/>
  <c r="K54" i="7" s="1"/>
  <c r="L54" i="7" s="1"/>
  <c r="K53" i="7"/>
  <c r="L53" i="7" s="1"/>
  <c r="G53" i="7"/>
  <c r="H53" i="7" s="1"/>
  <c r="L52" i="7"/>
  <c r="H52" i="7"/>
  <c r="K47" i="7"/>
  <c r="L47" i="7" s="1"/>
  <c r="G47" i="7"/>
  <c r="G48" i="7" s="1"/>
  <c r="L45" i="7"/>
  <c r="H45" i="7"/>
  <c r="K44" i="7"/>
  <c r="L44" i="7" s="1"/>
  <c r="J44" i="7"/>
  <c r="G44" i="7"/>
  <c r="F44" i="7"/>
  <c r="K43" i="7"/>
  <c r="G43" i="7"/>
  <c r="H43" i="7"/>
  <c r="K42" i="7"/>
  <c r="L42" i="7" s="1"/>
  <c r="G42" i="7"/>
  <c r="H42" i="7"/>
  <c r="K41" i="7"/>
  <c r="L41" i="7" s="1"/>
  <c r="G41" i="7"/>
  <c r="H41" i="7"/>
  <c r="O41" i="7" s="1"/>
  <c r="K40" i="7"/>
  <c r="L40" i="7" s="1"/>
  <c r="N40" i="7" s="1"/>
  <c r="G40" i="7"/>
  <c r="H40" i="7" s="1"/>
  <c r="O40" i="7" s="1"/>
  <c r="K39" i="7"/>
  <c r="L39" i="7" s="1"/>
  <c r="G39" i="7"/>
  <c r="H39" i="7" s="1"/>
  <c r="K36" i="7"/>
  <c r="L36" i="7" s="1"/>
  <c r="N36" i="7" s="1"/>
  <c r="G36" i="7"/>
  <c r="H36" i="7" s="1"/>
  <c r="O36" i="7" s="1"/>
  <c r="K35" i="7"/>
  <c r="L35" i="7" s="1"/>
  <c r="N35" i="7" s="1"/>
  <c r="G35" i="7"/>
  <c r="H35" i="7" s="1"/>
  <c r="O35" i="7" s="1"/>
  <c r="K34" i="7"/>
  <c r="L34" i="7" s="1"/>
  <c r="G34" i="7"/>
  <c r="H34" i="7" s="1"/>
  <c r="O34" i="7" s="1"/>
  <c r="K33" i="7"/>
  <c r="L33" i="7" s="1"/>
  <c r="G33" i="7"/>
  <c r="H33" i="7" s="1"/>
  <c r="O33" i="7" s="1"/>
  <c r="K32" i="7"/>
  <c r="L32" i="7" s="1"/>
  <c r="G32" i="7"/>
  <c r="H32" i="7" s="1"/>
  <c r="O32" i="7" s="1"/>
  <c r="K31" i="7"/>
  <c r="L31" i="7" s="1"/>
  <c r="N31" i="7" s="1"/>
  <c r="G31" i="7"/>
  <c r="H31" i="7" s="1"/>
  <c r="O31" i="7" s="1"/>
  <c r="K30" i="7"/>
  <c r="L30" i="7" s="1"/>
  <c r="N30" i="7" s="1"/>
  <c r="G30" i="7"/>
  <c r="H30" i="7" s="1"/>
  <c r="O30" i="7" s="1"/>
  <c r="K29" i="7"/>
  <c r="L29" i="7" s="1"/>
  <c r="N29" i="7" s="1"/>
  <c r="G29" i="7"/>
  <c r="H29" i="7" s="1"/>
  <c r="O29" i="7" s="1"/>
  <c r="K28" i="7"/>
  <c r="L28" i="7" s="1"/>
  <c r="N28" i="7" s="1"/>
  <c r="G28" i="7"/>
  <c r="H28" i="7"/>
  <c r="O28" i="7" s="1"/>
  <c r="K27" i="7"/>
  <c r="G27" i="7"/>
  <c r="H27" i="7" s="1"/>
  <c r="H26" i="7"/>
  <c r="O26" i="7" s="1"/>
  <c r="L24" i="7"/>
  <c r="H24" i="7"/>
  <c r="L38" i="7"/>
  <c r="H38" i="7"/>
  <c r="O38" i="7"/>
  <c r="L23" i="7"/>
  <c r="H23" i="7"/>
  <c r="L22" i="7"/>
  <c r="H22" i="7"/>
  <c r="O22" i="7" s="1"/>
  <c r="G58" i="6"/>
  <c r="K58" i="6" s="1"/>
  <c r="L58" i="6" s="1"/>
  <c r="G57" i="6"/>
  <c r="K57" i="6" s="1"/>
  <c r="L57" i="6" s="1"/>
  <c r="G56" i="6"/>
  <c r="K56" i="6"/>
  <c r="L56" i="6" s="1"/>
  <c r="N56" i="6" s="1"/>
  <c r="H56" i="6"/>
  <c r="G55" i="6"/>
  <c r="K55" i="6" s="1"/>
  <c r="L55" i="6" s="1"/>
  <c r="G54" i="6"/>
  <c r="H54" i="6"/>
  <c r="K53" i="6"/>
  <c r="L53" i="6"/>
  <c r="G53" i="6"/>
  <c r="H53" i="6"/>
  <c r="L52" i="6"/>
  <c r="H52" i="6"/>
  <c r="K47" i="6"/>
  <c r="L47" i="6" s="1"/>
  <c r="G47" i="6"/>
  <c r="H47" i="6" s="1"/>
  <c r="L45" i="6"/>
  <c r="H45" i="6"/>
  <c r="N45" i="6" s="1"/>
  <c r="K44" i="6"/>
  <c r="J44" i="6"/>
  <c r="G44" i="6"/>
  <c r="F44" i="6"/>
  <c r="K43" i="6"/>
  <c r="G43" i="6"/>
  <c r="H43" i="6" s="1"/>
  <c r="K42" i="6"/>
  <c r="L42" i="6" s="1"/>
  <c r="G42" i="6"/>
  <c r="H42" i="6" s="1"/>
  <c r="K41" i="6"/>
  <c r="L41" i="6" s="1"/>
  <c r="G41" i="6"/>
  <c r="H41" i="6" s="1"/>
  <c r="O41" i="6" s="1"/>
  <c r="K40" i="6"/>
  <c r="L40" i="6" s="1"/>
  <c r="N40" i="6" s="1"/>
  <c r="G40" i="6"/>
  <c r="H40" i="6" s="1"/>
  <c r="O40" i="6" s="1"/>
  <c r="K39" i="6"/>
  <c r="L39" i="6" s="1"/>
  <c r="G39" i="6"/>
  <c r="H39" i="6"/>
  <c r="K36" i="6"/>
  <c r="L36" i="6"/>
  <c r="G36" i="6"/>
  <c r="H36" i="6"/>
  <c r="O36" i="6" s="1"/>
  <c r="K35" i="6"/>
  <c r="L35" i="6"/>
  <c r="G35" i="6"/>
  <c r="H35" i="6"/>
  <c r="O35" i="6" s="1"/>
  <c r="K34" i="6"/>
  <c r="L34" i="6"/>
  <c r="G34" i="6"/>
  <c r="H34" i="6"/>
  <c r="O34" i="6" s="1"/>
  <c r="K33" i="6"/>
  <c r="L33" i="6"/>
  <c r="G33" i="6"/>
  <c r="H33" i="6"/>
  <c r="K32" i="6"/>
  <c r="L32" i="6"/>
  <c r="G32" i="6"/>
  <c r="H32" i="6"/>
  <c r="K31" i="6"/>
  <c r="L31" i="6"/>
  <c r="G31" i="6"/>
  <c r="H31" i="6"/>
  <c r="O31" i="6" s="1"/>
  <c r="K30" i="6"/>
  <c r="L30" i="6" s="1"/>
  <c r="G30" i="6"/>
  <c r="H30" i="6" s="1"/>
  <c r="O30" i="6" s="1"/>
  <c r="K29" i="6"/>
  <c r="L29" i="6" s="1"/>
  <c r="G29" i="6"/>
  <c r="H29" i="6" s="1"/>
  <c r="O29" i="6" s="1"/>
  <c r="K28" i="6"/>
  <c r="L28" i="6" s="1"/>
  <c r="G28" i="6"/>
  <c r="H28" i="6" s="1"/>
  <c r="O28" i="6" s="1"/>
  <c r="K27" i="6"/>
  <c r="G27" i="6"/>
  <c r="H27" i="6" s="1"/>
  <c r="L24" i="6"/>
  <c r="H24" i="6"/>
  <c r="O24" i="6" s="1"/>
  <c r="L38" i="6"/>
  <c r="N38" i="6" s="1"/>
  <c r="H38" i="6"/>
  <c r="O38" i="6" s="1"/>
  <c r="L23" i="6"/>
  <c r="H23" i="6"/>
  <c r="L22" i="6"/>
  <c r="N22" i="6" s="1"/>
  <c r="H22" i="6"/>
  <c r="O22" i="6" s="1"/>
  <c r="G58" i="5"/>
  <c r="K58" i="5" s="1"/>
  <c r="L58" i="5" s="1"/>
  <c r="G57" i="5"/>
  <c r="H57" i="5" s="1"/>
  <c r="G56" i="5"/>
  <c r="H56" i="5"/>
  <c r="G55" i="5"/>
  <c r="H55" i="5" s="1"/>
  <c r="G54" i="5"/>
  <c r="K54" i="5"/>
  <c r="L54" i="5"/>
  <c r="K53" i="5"/>
  <c r="L53" i="5"/>
  <c r="G53" i="5"/>
  <c r="H53" i="5"/>
  <c r="L52" i="5"/>
  <c r="H52" i="5"/>
  <c r="N52" i="5" s="1"/>
  <c r="K47" i="5"/>
  <c r="L47" i="5" s="1"/>
  <c r="G47" i="5"/>
  <c r="G48" i="5" s="1"/>
  <c r="L45" i="5"/>
  <c r="H45" i="5"/>
  <c r="N45" i="5" s="1"/>
  <c r="K44" i="5"/>
  <c r="J44" i="5"/>
  <c r="G44" i="5"/>
  <c r="F44" i="5"/>
  <c r="K43" i="5"/>
  <c r="G43" i="5"/>
  <c r="H43" i="5" s="1"/>
  <c r="K42" i="5"/>
  <c r="L42" i="5" s="1"/>
  <c r="N42" i="5" s="1"/>
  <c r="G42" i="5"/>
  <c r="H42" i="5" s="1"/>
  <c r="O42" i="5" s="1"/>
  <c r="K41" i="5"/>
  <c r="L41" i="5" s="1"/>
  <c r="G41" i="5"/>
  <c r="H41" i="5" s="1"/>
  <c r="K40" i="5"/>
  <c r="L40" i="5" s="1"/>
  <c r="G40" i="5"/>
  <c r="H40" i="5" s="1"/>
  <c r="O40" i="5" s="1"/>
  <c r="K39" i="5"/>
  <c r="L39" i="5" s="1"/>
  <c r="G39" i="5"/>
  <c r="H39" i="5" s="1"/>
  <c r="K36" i="5"/>
  <c r="L36" i="5" s="1"/>
  <c r="G36" i="5"/>
  <c r="H36" i="5" s="1"/>
  <c r="O36" i="5" s="1"/>
  <c r="K35" i="5"/>
  <c r="L35" i="5" s="1"/>
  <c r="G35" i="5"/>
  <c r="H35" i="5" s="1"/>
  <c r="O35" i="5" s="1"/>
  <c r="K34" i="5"/>
  <c r="L34" i="5" s="1"/>
  <c r="G34" i="5"/>
  <c r="H34" i="5" s="1"/>
  <c r="O34" i="5" s="1"/>
  <c r="K33" i="5"/>
  <c r="L33" i="5"/>
  <c r="G33" i="5"/>
  <c r="H33" i="5"/>
  <c r="O33" i="5" s="1"/>
  <c r="K32" i="5"/>
  <c r="L32" i="5" s="1"/>
  <c r="G32" i="5"/>
  <c r="H32" i="5" s="1"/>
  <c r="O32" i="5" s="1"/>
  <c r="K31" i="5"/>
  <c r="L31" i="5"/>
  <c r="G31" i="5"/>
  <c r="H31" i="5"/>
  <c r="O31" i="5" s="1"/>
  <c r="K30" i="5"/>
  <c r="L30" i="5"/>
  <c r="G30" i="5"/>
  <c r="H30" i="5"/>
  <c r="O30" i="5" s="1"/>
  <c r="K29" i="5"/>
  <c r="L29" i="5"/>
  <c r="G29" i="5"/>
  <c r="H29" i="5"/>
  <c r="O29" i="5" s="1"/>
  <c r="K28" i="5"/>
  <c r="L28" i="5"/>
  <c r="G28" i="5"/>
  <c r="H28" i="5"/>
  <c r="O28" i="5" s="1"/>
  <c r="K27" i="5"/>
  <c r="G27" i="5"/>
  <c r="H27" i="5" s="1"/>
  <c r="H26" i="5"/>
  <c r="O26" i="5" s="1"/>
  <c r="L24" i="5"/>
  <c r="H24" i="5"/>
  <c r="L38" i="5"/>
  <c r="N38" i="5" s="1"/>
  <c r="H38" i="5"/>
  <c r="O38" i="5"/>
  <c r="L23" i="5"/>
  <c r="H23" i="5"/>
  <c r="L22" i="5"/>
  <c r="H22" i="5"/>
  <c r="G58" i="4"/>
  <c r="H58" i="4" s="1"/>
  <c r="G57" i="4"/>
  <c r="K57" i="4" s="1"/>
  <c r="L57" i="4" s="1"/>
  <c r="G56" i="4"/>
  <c r="K56" i="4"/>
  <c r="L56" i="4" s="1"/>
  <c r="N56" i="4" s="1"/>
  <c r="O56" i="4" s="1"/>
  <c r="G55" i="4"/>
  <c r="H55" i="4" s="1"/>
  <c r="K55" i="4"/>
  <c r="L55" i="4" s="1"/>
  <c r="N55" i="4" s="1"/>
  <c r="G54" i="4"/>
  <c r="H54" i="4"/>
  <c r="K54" i="4"/>
  <c r="L54" i="4"/>
  <c r="K53" i="4"/>
  <c r="G53" i="4"/>
  <c r="H53" i="4" s="1"/>
  <c r="L52" i="4"/>
  <c r="H52" i="4"/>
  <c r="K47" i="4"/>
  <c r="L47" i="4" s="1"/>
  <c r="G47" i="4"/>
  <c r="H47" i="4" s="1"/>
  <c r="L45" i="4"/>
  <c r="H45" i="4"/>
  <c r="K44" i="4"/>
  <c r="J44" i="4"/>
  <c r="G44" i="4"/>
  <c r="F44" i="4"/>
  <c r="K43" i="4"/>
  <c r="G43" i="4"/>
  <c r="H43" i="4"/>
  <c r="K42" i="4"/>
  <c r="L42" i="4"/>
  <c r="G42" i="4"/>
  <c r="H42" i="4"/>
  <c r="K41" i="4"/>
  <c r="L41" i="4"/>
  <c r="G41" i="4"/>
  <c r="H41" i="4"/>
  <c r="K40" i="4"/>
  <c r="L40" i="4"/>
  <c r="G40" i="4"/>
  <c r="H40" i="4"/>
  <c r="O40" i="4" s="1"/>
  <c r="K39" i="4"/>
  <c r="L39" i="4" s="1"/>
  <c r="G39" i="4"/>
  <c r="H39" i="4" s="1"/>
  <c r="K36" i="4"/>
  <c r="L36" i="4" s="1"/>
  <c r="G36" i="4"/>
  <c r="H36" i="4" s="1"/>
  <c r="O36" i="4" s="1"/>
  <c r="K35" i="4"/>
  <c r="L35" i="4" s="1"/>
  <c r="N35" i="4" s="1"/>
  <c r="G35" i="4"/>
  <c r="H35" i="4" s="1"/>
  <c r="O35" i="4" s="1"/>
  <c r="K34" i="4"/>
  <c r="L34" i="4" s="1"/>
  <c r="G34" i="4"/>
  <c r="H34" i="4" s="1"/>
  <c r="O34" i="4" s="1"/>
  <c r="K33" i="4"/>
  <c r="L33" i="4" s="1"/>
  <c r="N33" i="4" s="1"/>
  <c r="G33" i="4"/>
  <c r="H33" i="4" s="1"/>
  <c r="O33" i="4" s="1"/>
  <c r="K32" i="4"/>
  <c r="L32" i="4" s="1"/>
  <c r="G32" i="4"/>
  <c r="H32" i="4" s="1"/>
  <c r="O32" i="4" s="1"/>
  <c r="K31" i="4"/>
  <c r="L31" i="4" s="1"/>
  <c r="G31" i="4"/>
  <c r="H31" i="4" s="1"/>
  <c r="O31" i="4" s="1"/>
  <c r="K30" i="4"/>
  <c r="L30" i="4" s="1"/>
  <c r="G30" i="4"/>
  <c r="H30" i="4" s="1"/>
  <c r="O30" i="4" s="1"/>
  <c r="K29" i="4"/>
  <c r="L29" i="4" s="1"/>
  <c r="G29" i="4"/>
  <c r="H29" i="4" s="1"/>
  <c r="O29" i="4" s="1"/>
  <c r="K28" i="4"/>
  <c r="L28" i="4" s="1"/>
  <c r="G28" i="4"/>
  <c r="H28" i="4" s="1"/>
  <c r="O28" i="4" s="1"/>
  <c r="K27" i="4"/>
  <c r="G27" i="4"/>
  <c r="H27" i="4" s="1"/>
  <c r="L26" i="4"/>
  <c r="L24" i="4"/>
  <c r="H24" i="4"/>
  <c r="O24" i="4" s="1"/>
  <c r="L38" i="4"/>
  <c r="H38" i="4"/>
  <c r="L23" i="4"/>
  <c r="H23" i="4"/>
  <c r="L22" i="4"/>
  <c r="N22" i="4" s="1"/>
  <c r="O22" i="4"/>
  <c r="H22" i="4"/>
  <c r="G58" i="3"/>
  <c r="H58" i="3" s="1"/>
  <c r="O58" i="3" s="1"/>
  <c r="G57" i="3"/>
  <c r="H57" i="3" s="1"/>
  <c r="G56" i="3"/>
  <c r="H56" i="3" s="1"/>
  <c r="G55" i="3"/>
  <c r="H55" i="3" s="1"/>
  <c r="G54" i="3"/>
  <c r="H54" i="3" s="1"/>
  <c r="K53" i="3"/>
  <c r="L53" i="3" s="1"/>
  <c r="G53" i="3"/>
  <c r="H53" i="3" s="1"/>
  <c r="L52" i="3"/>
  <c r="N52" i="3" s="1"/>
  <c r="H52" i="3"/>
  <c r="K47" i="3"/>
  <c r="L47" i="3" s="1"/>
  <c r="G47" i="3"/>
  <c r="G48" i="3" s="1"/>
  <c r="L45" i="3"/>
  <c r="H45" i="3"/>
  <c r="K44" i="3"/>
  <c r="J44" i="3"/>
  <c r="G44" i="3"/>
  <c r="F44" i="3"/>
  <c r="K43" i="3"/>
  <c r="G43" i="3"/>
  <c r="H43" i="3"/>
  <c r="K42" i="3"/>
  <c r="L42" i="3"/>
  <c r="G42" i="3"/>
  <c r="H42" i="3"/>
  <c r="O42" i="3" s="1"/>
  <c r="K41" i="3"/>
  <c r="L41" i="3"/>
  <c r="G41" i="3"/>
  <c r="H41" i="3"/>
  <c r="N41" i="3" s="1"/>
  <c r="K40" i="3"/>
  <c r="L40" i="3"/>
  <c r="G40" i="3"/>
  <c r="H40" i="3"/>
  <c r="K39" i="3"/>
  <c r="L39" i="3" s="1"/>
  <c r="G39" i="3"/>
  <c r="H39" i="3" s="1"/>
  <c r="K36" i="3"/>
  <c r="L36" i="3" s="1"/>
  <c r="N36" i="3" s="1"/>
  <c r="G36" i="3"/>
  <c r="H36" i="3" s="1"/>
  <c r="O36" i="3" s="1"/>
  <c r="K35" i="3"/>
  <c r="L35" i="3" s="1"/>
  <c r="G35" i="3"/>
  <c r="H35" i="3" s="1"/>
  <c r="O35" i="3" s="1"/>
  <c r="K34" i="3"/>
  <c r="L34" i="3" s="1"/>
  <c r="G34" i="3"/>
  <c r="H34" i="3" s="1"/>
  <c r="K33" i="3"/>
  <c r="L33" i="3" s="1"/>
  <c r="N33" i="3" s="1"/>
  <c r="G33" i="3"/>
  <c r="H33" i="3" s="1"/>
  <c r="O33" i="3" s="1"/>
  <c r="K32" i="3"/>
  <c r="L32" i="3" s="1"/>
  <c r="G32" i="3"/>
  <c r="H32" i="3" s="1"/>
  <c r="O32" i="3" s="1"/>
  <c r="K31" i="3"/>
  <c r="L31" i="3" s="1"/>
  <c r="G31" i="3"/>
  <c r="H31" i="3" s="1"/>
  <c r="K30" i="3"/>
  <c r="L30" i="3" s="1"/>
  <c r="G30" i="3"/>
  <c r="H30" i="3" s="1"/>
  <c r="O30" i="3" s="1"/>
  <c r="L29" i="3"/>
  <c r="K29" i="3"/>
  <c r="G29" i="3"/>
  <c r="H29" i="3" s="1"/>
  <c r="O29" i="3" s="1"/>
  <c r="K28" i="3"/>
  <c r="L28" i="3" s="1"/>
  <c r="N28" i="3" s="1"/>
  <c r="G28" i="3"/>
  <c r="H28" i="3" s="1"/>
  <c r="O28" i="3" s="1"/>
  <c r="K27" i="3"/>
  <c r="G27" i="3"/>
  <c r="H27" i="3" s="1"/>
  <c r="L26" i="3"/>
  <c r="N26" i="3" s="1"/>
  <c r="L24" i="3"/>
  <c r="H24" i="3"/>
  <c r="O24" i="3" s="1"/>
  <c r="L38" i="3"/>
  <c r="N38" i="3" s="1"/>
  <c r="H38" i="3"/>
  <c r="O38" i="3"/>
  <c r="L23" i="3"/>
  <c r="H23" i="3"/>
  <c r="L22" i="3"/>
  <c r="H22" i="3"/>
  <c r="G58" i="2"/>
  <c r="K58" i="2" s="1"/>
  <c r="L58" i="2" s="1"/>
  <c r="G57" i="2"/>
  <c r="H57" i="2" s="1"/>
  <c r="G56" i="2"/>
  <c r="K56" i="2" s="1"/>
  <c r="L56" i="2" s="1"/>
  <c r="G55" i="2"/>
  <c r="H55" i="2" s="1"/>
  <c r="G54" i="2"/>
  <c r="K54" i="2" s="1"/>
  <c r="L54" i="2" s="1"/>
  <c r="K53" i="2"/>
  <c r="L53" i="2"/>
  <c r="G53" i="2"/>
  <c r="H53" i="2" s="1"/>
  <c r="L52" i="2"/>
  <c r="H52" i="2"/>
  <c r="K47" i="2"/>
  <c r="L47" i="2" s="1"/>
  <c r="G47" i="2"/>
  <c r="H47" i="2" s="1"/>
  <c r="L45" i="2"/>
  <c r="H45" i="2"/>
  <c r="K44" i="2"/>
  <c r="J44" i="2"/>
  <c r="G44" i="2"/>
  <c r="F44" i="2"/>
  <c r="K43" i="2"/>
  <c r="G43" i="2"/>
  <c r="H43" i="2"/>
  <c r="K42" i="2"/>
  <c r="L42" i="2" s="1"/>
  <c r="N42" i="2" s="1"/>
  <c r="G42" i="2"/>
  <c r="H42" i="2"/>
  <c r="O42" i="2" s="1"/>
  <c r="K41" i="2"/>
  <c r="L41" i="2" s="1"/>
  <c r="N41" i="2" s="1"/>
  <c r="G41" i="2"/>
  <c r="H41" i="2"/>
  <c r="O41" i="2" s="1"/>
  <c r="K40" i="2"/>
  <c r="L40" i="2" s="1"/>
  <c r="N40" i="2" s="1"/>
  <c r="G40" i="2"/>
  <c r="H40" i="2"/>
  <c r="O40" i="2" s="1"/>
  <c r="K39" i="2"/>
  <c r="L39" i="2" s="1"/>
  <c r="G39" i="2"/>
  <c r="H39" i="2" s="1"/>
  <c r="K36" i="2"/>
  <c r="L36" i="2"/>
  <c r="G36" i="2"/>
  <c r="H36" i="2" s="1"/>
  <c r="O36" i="2" s="1"/>
  <c r="K35" i="2"/>
  <c r="L35" i="2"/>
  <c r="G35" i="2"/>
  <c r="H35" i="2" s="1"/>
  <c r="K34" i="2"/>
  <c r="L34" i="2"/>
  <c r="G34" i="2"/>
  <c r="H34" i="2" s="1"/>
  <c r="O34" i="2" s="1"/>
  <c r="K33" i="2"/>
  <c r="L33" i="2"/>
  <c r="G33" i="2"/>
  <c r="H33" i="2" s="1"/>
  <c r="O33" i="2" s="1"/>
  <c r="K32" i="2"/>
  <c r="L32" i="2"/>
  <c r="G32" i="2"/>
  <c r="H32" i="2" s="1"/>
  <c r="K31" i="2"/>
  <c r="L31" i="2"/>
  <c r="G31" i="2"/>
  <c r="H31" i="2" s="1"/>
  <c r="K30" i="2"/>
  <c r="L30" i="2"/>
  <c r="G30" i="2"/>
  <c r="H30" i="2" s="1"/>
  <c r="O30" i="2" s="1"/>
  <c r="K29" i="2"/>
  <c r="L29" i="2"/>
  <c r="G29" i="2"/>
  <c r="H29" i="2" s="1"/>
  <c r="O29" i="2" s="1"/>
  <c r="K28" i="2"/>
  <c r="L28" i="2" s="1"/>
  <c r="N28" i="2" s="1"/>
  <c r="G28" i="2"/>
  <c r="H28" i="2"/>
  <c r="K27" i="2"/>
  <c r="G27" i="2"/>
  <c r="H27" i="2" s="1"/>
  <c r="H26" i="2"/>
  <c r="O26" i="2" s="1"/>
  <c r="L24" i="2"/>
  <c r="H24" i="2"/>
  <c r="L38" i="2"/>
  <c r="H38" i="2"/>
  <c r="L23" i="2"/>
  <c r="H23" i="2"/>
  <c r="L22" i="2"/>
  <c r="H22" i="2"/>
  <c r="G56" i="1"/>
  <c r="G55" i="1"/>
  <c r="H55" i="1" s="1"/>
  <c r="G54" i="1"/>
  <c r="K54" i="1"/>
  <c r="L54" i="1"/>
  <c r="K44" i="1"/>
  <c r="J44" i="1"/>
  <c r="G44" i="1"/>
  <c r="H47" i="11"/>
  <c r="K56" i="11"/>
  <c r="L56" i="11" s="1"/>
  <c r="N56" i="11" s="1"/>
  <c r="O56" i="11" s="1"/>
  <c r="H55" i="10"/>
  <c r="H54" i="9"/>
  <c r="G48" i="9"/>
  <c r="G50" i="9" s="1"/>
  <c r="H50" i="9" s="1"/>
  <c r="H58" i="12"/>
  <c r="H58" i="11"/>
  <c r="H57" i="11"/>
  <c r="O41" i="9"/>
  <c r="K56" i="9"/>
  <c r="L56" i="9"/>
  <c r="K48" i="9"/>
  <c r="L48" i="9" s="1"/>
  <c r="H47" i="7"/>
  <c r="K56" i="7"/>
  <c r="L56" i="7" s="1"/>
  <c r="N56" i="7" s="1"/>
  <c r="O56" i="7" s="1"/>
  <c r="K56" i="5"/>
  <c r="L56" i="5"/>
  <c r="K56" i="3"/>
  <c r="L56" i="3"/>
  <c r="K48" i="3"/>
  <c r="L48" i="3" s="1"/>
  <c r="K57" i="7"/>
  <c r="L57" i="7" s="1"/>
  <c r="N57" i="7" s="1"/>
  <c r="K54" i="6"/>
  <c r="L54" i="6" s="1"/>
  <c r="N54" i="6" s="1"/>
  <c r="O54" i="6" s="1"/>
  <c r="G48" i="4"/>
  <c r="H48" i="4" s="1"/>
  <c r="H57" i="4"/>
  <c r="K58" i="3"/>
  <c r="L58" i="3"/>
  <c r="H54" i="2"/>
  <c r="G51" i="9"/>
  <c r="H51" i="9" s="1"/>
  <c r="H48" i="9"/>
  <c r="L46" i="13"/>
  <c r="K49" i="13"/>
  <c r="L49" i="13" s="1"/>
  <c r="G49" i="13"/>
  <c r="H49" i="13" s="1"/>
  <c r="G47" i="13"/>
  <c r="H47" i="13" s="1"/>
  <c r="K42" i="17"/>
  <c r="K40" i="17"/>
  <c r="K39" i="17"/>
  <c r="L39" i="17"/>
  <c r="K38" i="17"/>
  <c r="L38" i="17" s="1"/>
  <c r="G42" i="17"/>
  <c r="H42" i="17" s="1"/>
  <c r="G40" i="17"/>
  <c r="G39" i="17"/>
  <c r="H39" i="17"/>
  <c r="O39" i="17" s="1"/>
  <c r="G38" i="17"/>
  <c r="H38" i="17" s="1"/>
  <c r="G57" i="17"/>
  <c r="K57" i="17" s="1"/>
  <c r="L57" i="17" s="1"/>
  <c r="G56" i="17"/>
  <c r="K56" i="17" s="1"/>
  <c r="L56" i="17" s="1"/>
  <c r="L55" i="17"/>
  <c r="N55" i="17" s="1"/>
  <c r="H55" i="17"/>
  <c r="L54" i="17"/>
  <c r="N54" i="17" s="1"/>
  <c r="H54" i="17"/>
  <c r="O54" i="17"/>
  <c r="K52" i="17"/>
  <c r="L52" i="17"/>
  <c r="G52" i="17"/>
  <c r="H52" i="17" s="1"/>
  <c r="L51" i="17"/>
  <c r="H51" i="17"/>
  <c r="K50" i="17"/>
  <c r="L50" i="17" s="1"/>
  <c r="H49" i="17"/>
  <c r="L44" i="17"/>
  <c r="H44" i="17"/>
  <c r="K43" i="17"/>
  <c r="G43" i="17"/>
  <c r="K41" i="17"/>
  <c r="L41" i="17" s="1"/>
  <c r="G41" i="17"/>
  <c r="H41" i="17" s="1"/>
  <c r="L40" i="17"/>
  <c r="N40" i="17" s="1"/>
  <c r="H40" i="17"/>
  <c r="O40" i="17" s="1"/>
  <c r="K36" i="17"/>
  <c r="L36" i="17" s="1"/>
  <c r="G36" i="17"/>
  <c r="H36" i="17" s="1"/>
  <c r="O36" i="17" s="1"/>
  <c r="K35" i="17"/>
  <c r="L35" i="17"/>
  <c r="N35" i="17" s="1"/>
  <c r="G35" i="17"/>
  <c r="H35" i="17" s="1"/>
  <c r="O35" i="17" s="1"/>
  <c r="K34" i="17"/>
  <c r="L34" i="17"/>
  <c r="N34" i="17" s="1"/>
  <c r="G34" i="17"/>
  <c r="H34" i="17"/>
  <c r="O34" i="17" s="1"/>
  <c r="K33" i="17"/>
  <c r="L33" i="17" s="1"/>
  <c r="N33" i="17" s="1"/>
  <c r="G33" i="17"/>
  <c r="H33" i="17"/>
  <c r="O33" i="17" s="1"/>
  <c r="K32" i="17"/>
  <c r="L32" i="17" s="1"/>
  <c r="N32" i="17" s="1"/>
  <c r="G32" i="17"/>
  <c r="H32" i="17"/>
  <c r="O32" i="17" s="1"/>
  <c r="K31" i="17"/>
  <c r="L31" i="17" s="1"/>
  <c r="N31" i="17" s="1"/>
  <c r="G31" i="17"/>
  <c r="H31" i="17"/>
  <c r="O31" i="17" s="1"/>
  <c r="K30" i="17"/>
  <c r="L30" i="17" s="1"/>
  <c r="G30" i="17"/>
  <c r="H30" i="17" s="1"/>
  <c r="O30" i="17" s="1"/>
  <c r="K29" i="17"/>
  <c r="L29" i="17" s="1"/>
  <c r="G29" i="17"/>
  <c r="H29" i="17" s="1"/>
  <c r="O29" i="17" s="1"/>
  <c r="K28" i="17"/>
  <c r="L28" i="17"/>
  <c r="N28" i="17" s="1"/>
  <c r="G28" i="17"/>
  <c r="H28" i="17" s="1"/>
  <c r="O28" i="17" s="1"/>
  <c r="L26" i="17"/>
  <c r="H26" i="17"/>
  <c r="O26" i="17" s="1"/>
  <c r="L24" i="17"/>
  <c r="N24" i="17"/>
  <c r="H24" i="17"/>
  <c r="O24" i="17"/>
  <c r="L23" i="17"/>
  <c r="N23" i="17"/>
  <c r="H23" i="17"/>
  <c r="L22" i="17"/>
  <c r="N22" i="17" s="1"/>
  <c r="H22" i="17"/>
  <c r="G57" i="16"/>
  <c r="K57" i="16"/>
  <c r="L57" i="16" s="1"/>
  <c r="N57" i="16" s="1"/>
  <c r="G56" i="16"/>
  <c r="H56" i="16" s="1"/>
  <c r="K56" i="16"/>
  <c r="L56" i="16" s="1"/>
  <c r="L55" i="16"/>
  <c r="N55" i="16" s="1"/>
  <c r="H55" i="16"/>
  <c r="O55" i="16" s="1"/>
  <c r="L54" i="16"/>
  <c r="H54" i="16"/>
  <c r="O54" i="16" s="1"/>
  <c r="L53" i="16"/>
  <c r="K52" i="16"/>
  <c r="L52" i="16"/>
  <c r="G52" i="16"/>
  <c r="H52" i="16" s="1"/>
  <c r="L51" i="16"/>
  <c r="H51" i="16"/>
  <c r="K50" i="16"/>
  <c r="L50" i="16" s="1"/>
  <c r="H49" i="16"/>
  <c r="K47" i="16"/>
  <c r="L47" i="16" s="1"/>
  <c r="H46" i="16"/>
  <c r="L44" i="16"/>
  <c r="H44" i="16"/>
  <c r="K43" i="16"/>
  <c r="G43" i="16"/>
  <c r="K42" i="16"/>
  <c r="G42" i="16"/>
  <c r="H42" i="16" s="1"/>
  <c r="H41" i="16"/>
  <c r="K40" i="16"/>
  <c r="L40" i="16" s="1"/>
  <c r="N40" i="16" s="1"/>
  <c r="G40" i="16"/>
  <c r="H40" i="16"/>
  <c r="O40" i="16" s="1"/>
  <c r="K39" i="16"/>
  <c r="L39" i="16"/>
  <c r="G39" i="16"/>
  <c r="H39" i="16" s="1"/>
  <c r="K38" i="16"/>
  <c r="L38" i="16" s="1"/>
  <c r="K36" i="16"/>
  <c r="L36" i="16" s="1"/>
  <c r="N36" i="16" s="1"/>
  <c r="G36" i="16"/>
  <c r="H36" i="16"/>
  <c r="O36" i="16" s="1"/>
  <c r="K35" i="16"/>
  <c r="L35" i="16"/>
  <c r="G35" i="16"/>
  <c r="H35" i="16" s="1"/>
  <c r="O35" i="16" s="1"/>
  <c r="K34" i="16"/>
  <c r="L34" i="16"/>
  <c r="G34" i="16"/>
  <c r="H34" i="16" s="1"/>
  <c r="K33" i="16"/>
  <c r="L33" i="16" s="1"/>
  <c r="N33" i="16" s="1"/>
  <c r="G33" i="16"/>
  <c r="H33" i="16"/>
  <c r="O33" i="16"/>
  <c r="K32" i="16"/>
  <c r="L32" i="16" s="1"/>
  <c r="N32" i="16" s="1"/>
  <c r="G32" i="16"/>
  <c r="H32" i="16"/>
  <c r="O32" i="16" s="1"/>
  <c r="K31" i="16"/>
  <c r="L31" i="16"/>
  <c r="N31" i="16" s="1"/>
  <c r="G31" i="16"/>
  <c r="H31" i="16"/>
  <c r="O31" i="16"/>
  <c r="K30" i="16"/>
  <c r="L30" i="16" s="1"/>
  <c r="N30" i="16" s="1"/>
  <c r="G30" i="16"/>
  <c r="H30" i="16"/>
  <c r="O30" i="16" s="1"/>
  <c r="K29" i="16"/>
  <c r="L29" i="16" s="1"/>
  <c r="G29" i="16"/>
  <c r="H29" i="16" s="1"/>
  <c r="O29" i="16" s="1"/>
  <c r="K28" i="16"/>
  <c r="L28" i="16"/>
  <c r="N28" i="16" s="1"/>
  <c r="G28" i="16"/>
  <c r="H28" i="16"/>
  <c r="O28" i="16"/>
  <c r="H26" i="16"/>
  <c r="O26" i="16" s="1"/>
  <c r="L24" i="16"/>
  <c r="N24" i="16" s="1"/>
  <c r="H24" i="16"/>
  <c r="O24" i="16"/>
  <c r="L23" i="16"/>
  <c r="N23" i="16" s="1"/>
  <c r="H23" i="16"/>
  <c r="O23" i="16"/>
  <c r="L22" i="16"/>
  <c r="N22" i="16" s="1"/>
  <c r="H22" i="16"/>
  <c r="O22" i="16"/>
  <c r="H57" i="15"/>
  <c r="K56" i="15"/>
  <c r="L56" i="15" s="1"/>
  <c r="L55" i="15"/>
  <c r="N55" i="15" s="1"/>
  <c r="H55" i="15"/>
  <c r="O55" i="15" s="1"/>
  <c r="L54" i="15"/>
  <c r="H54" i="15"/>
  <c r="O54" i="15" s="1"/>
  <c r="H53" i="15"/>
  <c r="K52" i="15"/>
  <c r="L52" i="15"/>
  <c r="N52" i="15" s="1"/>
  <c r="G52" i="15"/>
  <c r="H52" i="15" s="1"/>
  <c r="L51" i="15"/>
  <c r="N51" i="15" s="1"/>
  <c r="O51" i="15" s="1"/>
  <c r="H51" i="15"/>
  <c r="H49" i="15"/>
  <c r="L44" i="15"/>
  <c r="H44" i="15"/>
  <c r="K43" i="15"/>
  <c r="G43" i="15"/>
  <c r="K42" i="15"/>
  <c r="G42" i="15"/>
  <c r="H42" i="15" s="1"/>
  <c r="K40" i="15"/>
  <c r="L40" i="15" s="1"/>
  <c r="G40" i="15"/>
  <c r="H40" i="15" s="1"/>
  <c r="O40" i="15" s="1"/>
  <c r="K39" i="15"/>
  <c r="L39" i="15" s="1"/>
  <c r="G39" i="15"/>
  <c r="H39" i="15" s="1"/>
  <c r="O39" i="15" s="1"/>
  <c r="K38" i="15"/>
  <c r="K36" i="15"/>
  <c r="L36" i="15" s="1"/>
  <c r="G36" i="15"/>
  <c r="H36" i="15" s="1"/>
  <c r="O36" i="15" s="1"/>
  <c r="K35" i="15"/>
  <c r="L35" i="15"/>
  <c r="G35" i="15"/>
  <c r="H35" i="15" s="1"/>
  <c r="O35" i="15" s="1"/>
  <c r="K34" i="15"/>
  <c r="L34" i="15" s="1"/>
  <c r="G34" i="15"/>
  <c r="H34" i="15" s="1"/>
  <c r="O34" i="15" s="1"/>
  <c r="K33" i="15"/>
  <c r="L33" i="15" s="1"/>
  <c r="G33" i="15"/>
  <c r="H33" i="15" s="1"/>
  <c r="O33" i="15" s="1"/>
  <c r="K32" i="15"/>
  <c r="L32" i="15"/>
  <c r="G32" i="15"/>
  <c r="H32" i="15" s="1"/>
  <c r="O32" i="15" s="1"/>
  <c r="K31" i="15"/>
  <c r="L31" i="15" s="1"/>
  <c r="N31" i="15" s="1"/>
  <c r="G31" i="15"/>
  <c r="H31" i="15" s="1"/>
  <c r="O31" i="15" s="1"/>
  <c r="K30" i="15"/>
  <c r="L30" i="15"/>
  <c r="G30" i="15"/>
  <c r="H30" i="15"/>
  <c r="K29" i="15"/>
  <c r="L29" i="15"/>
  <c r="G29" i="15"/>
  <c r="H29" i="15"/>
  <c r="O29" i="15" s="1"/>
  <c r="K28" i="15"/>
  <c r="L28" i="15" s="1"/>
  <c r="G28" i="15"/>
  <c r="H28" i="15" s="1"/>
  <c r="O28" i="15" s="1"/>
  <c r="G38" i="15"/>
  <c r="H38" i="15" s="1"/>
  <c r="L25" i="15"/>
  <c r="L24" i="15"/>
  <c r="N24" i="15" s="1"/>
  <c r="H24" i="15"/>
  <c r="O24" i="15" s="1"/>
  <c r="L23" i="15"/>
  <c r="H23" i="15"/>
  <c r="O23" i="15"/>
  <c r="L22" i="15"/>
  <c r="H22" i="15"/>
  <c r="O22" i="15" s="1"/>
  <c r="K57" i="14"/>
  <c r="H56" i="14"/>
  <c r="K56" i="14"/>
  <c r="L56" i="14" s="1"/>
  <c r="L55" i="14"/>
  <c r="N55" i="14" s="1"/>
  <c r="H55" i="14"/>
  <c r="O55" i="14" s="1"/>
  <c r="L54" i="14"/>
  <c r="H54" i="14"/>
  <c r="O54" i="14" s="1"/>
  <c r="H53" i="14"/>
  <c r="K52" i="14"/>
  <c r="L52" i="14"/>
  <c r="G52" i="14"/>
  <c r="H52" i="14"/>
  <c r="L51" i="14"/>
  <c r="H51" i="14"/>
  <c r="K50" i="14"/>
  <c r="L50" i="14" s="1"/>
  <c r="H49" i="14"/>
  <c r="L44" i="14"/>
  <c r="H44" i="14"/>
  <c r="K43" i="14"/>
  <c r="H43" i="14"/>
  <c r="K42" i="14"/>
  <c r="H42" i="14"/>
  <c r="K40" i="14"/>
  <c r="L40" i="14"/>
  <c r="G40" i="14"/>
  <c r="H40" i="14"/>
  <c r="K39" i="14"/>
  <c r="L39" i="14"/>
  <c r="G39" i="14"/>
  <c r="H39" i="14"/>
  <c r="O39" i="14" s="1"/>
  <c r="K38" i="14"/>
  <c r="L38" i="14" s="1"/>
  <c r="K36" i="14"/>
  <c r="L36" i="14" s="1"/>
  <c r="G36" i="14"/>
  <c r="H36" i="14" s="1"/>
  <c r="O36" i="14" s="1"/>
  <c r="K35" i="14"/>
  <c r="L35" i="14"/>
  <c r="N35" i="14" s="1"/>
  <c r="G35" i="14"/>
  <c r="H35" i="14"/>
  <c r="O35" i="14" s="1"/>
  <c r="K34" i="14"/>
  <c r="L34" i="14"/>
  <c r="G34" i="14"/>
  <c r="H34" i="14"/>
  <c r="O34" i="14" s="1"/>
  <c r="K33" i="14"/>
  <c r="L33" i="14" s="1"/>
  <c r="G33" i="14"/>
  <c r="H33" i="14" s="1"/>
  <c r="K32" i="14"/>
  <c r="L32" i="14" s="1"/>
  <c r="N32" i="14" s="1"/>
  <c r="G32" i="14"/>
  <c r="H32" i="14" s="1"/>
  <c r="O32" i="14" s="1"/>
  <c r="K31" i="14"/>
  <c r="L31" i="14"/>
  <c r="G31" i="14"/>
  <c r="H31" i="14"/>
  <c r="K30" i="14"/>
  <c r="L30" i="14"/>
  <c r="G30" i="14"/>
  <c r="H30" i="14"/>
  <c r="O30" i="14" s="1"/>
  <c r="K29" i="14"/>
  <c r="L29" i="14"/>
  <c r="G29" i="14"/>
  <c r="H29" i="14"/>
  <c r="O29" i="14" s="1"/>
  <c r="K28" i="14"/>
  <c r="L28" i="14"/>
  <c r="G28" i="14"/>
  <c r="H28" i="14" s="1"/>
  <c r="O28" i="14" s="1"/>
  <c r="H26" i="14"/>
  <c r="O26" i="14" s="1"/>
  <c r="L25" i="14"/>
  <c r="N25" i="14" s="1"/>
  <c r="O25" i="14" s="1"/>
  <c r="H25" i="14"/>
  <c r="L24" i="14"/>
  <c r="N24" i="14" s="1"/>
  <c r="H24" i="14"/>
  <c r="O24" i="14"/>
  <c r="L23" i="14"/>
  <c r="H23" i="14"/>
  <c r="L22" i="14"/>
  <c r="H22" i="14"/>
  <c r="O22" i="14" s="1"/>
  <c r="K50" i="13"/>
  <c r="L50" i="13" s="1"/>
  <c r="H57" i="16"/>
  <c r="O57" i="16" s="1"/>
  <c r="G50" i="16"/>
  <c r="H50" i="16" s="1"/>
  <c r="H56" i="15"/>
  <c r="L49" i="14"/>
  <c r="N49" i="14" s="1"/>
  <c r="O49" i="14" s="1"/>
  <c r="G52" i="13"/>
  <c r="H52" i="13"/>
  <c r="K42" i="13"/>
  <c r="K40" i="13"/>
  <c r="L40" i="13" s="1"/>
  <c r="N40" i="13" s="1"/>
  <c r="K39" i="13"/>
  <c r="L39" i="13" s="1"/>
  <c r="N39" i="13" s="1"/>
  <c r="K38" i="13"/>
  <c r="L38" i="13" s="1"/>
  <c r="G42" i="13"/>
  <c r="G40" i="13"/>
  <c r="H40" i="13"/>
  <c r="G39" i="13"/>
  <c r="H39" i="13"/>
  <c r="K57" i="13"/>
  <c r="L57" i="13" s="1"/>
  <c r="N57" i="13" s="1"/>
  <c r="L43" i="13"/>
  <c r="K56" i="13"/>
  <c r="L56" i="13"/>
  <c r="H55" i="13"/>
  <c r="O55" i="13"/>
  <c r="L54" i="13"/>
  <c r="K52" i="13"/>
  <c r="L52" i="13"/>
  <c r="L51" i="13"/>
  <c r="H51" i="13"/>
  <c r="L44" i="13"/>
  <c r="H44" i="13"/>
  <c r="H43" i="13"/>
  <c r="H42" i="13"/>
  <c r="K36" i="13"/>
  <c r="L36" i="13" s="1"/>
  <c r="N36" i="13" s="1"/>
  <c r="G36" i="13"/>
  <c r="H36" i="13"/>
  <c r="O36" i="13" s="1"/>
  <c r="K35" i="13"/>
  <c r="L35" i="13" s="1"/>
  <c r="N35" i="13" s="1"/>
  <c r="G35" i="13"/>
  <c r="H35" i="13"/>
  <c r="O35" i="13" s="1"/>
  <c r="K34" i="13"/>
  <c r="L34" i="13" s="1"/>
  <c r="N34" i="13" s="1"/>
  <c r="G34" i="13"/>
  <c r="H34" i="13"/>
  <c r="O34" i="13" s="1"/>
  <c r="K33" i="13"/>
  <c r="L33" i="13" s="1"/>
  <c r="N33" i="13" s="1"/>
  <c r="G33" i="13"/>
  <c r="H33" i="13"/>
  <c r="O33" i="13" s="1"/>
  <c r="K32" i="13"/>
  <c r="L32" i="13" s="1"/>
  <c r="N32" i="13" s="1"/>
  <c r="G32" i="13"/>
  <c r="H32" i="13"/>
  <c r="O32" i="13" s="1"/>
  <c r="K31" i="13"/>
  <c r="L31" i="13" s="1"/>
  <c r="N31" i="13" s="1"/>
  <c r="G31" i="13"/>
  <c r="H31" i="13" s="1"/>
  <c r="O31" i="13" s="1"/>
  <c r="K30" i="13"/>
  <c r="L30" i="13" s="1"/>
  <c r="N30" i="13" s="1"/>
  <c r="G30" i="13"/>
  <c r="H30" i="13" s="1"/>
  <c r="O30" i="13" s="1"/>
  <c r="K29" i="13"/>
  <c r="L29" i="13"/>
  <c r="G29" i="13"/>
  <c r="H29" i="13" s="1"/>
  <c r="O29" i="13" s="1"/>
  <c r="K28" i="13"/>
  <c r="L28" i="13" s="1"/>
  <c r="N28" i="13" s="1"/>
  <c r="G28" i="13"/>
  <c r="H28" i="13"/>
  <c r="O28" i="13" s="1"/>
  <c r="H26" i="13"/>
  <c r="O26" i="13" s="1"/>
  <c r="L25" i="13"/>
  <c r="L24" i="13"/>
  <c r="N24" i="13" s="1"/>
  <c r="H24" i="13"/>
  <c r="O24" i="13" s="1"/>
  <c r="L23" i="13"/>
  <c r="N23" i="13" s="1"/>
  <c r="H23" i="13"/>
  <c r="O23" i="13" s="1"/>
  <c r="L22" i="13"/>
  <c r="H22" i="13"/>
  <c r="O22" i="13" s="1"/>
  <c r="G58" i="8"/>
  <c r="K58" i="8"/>
  <c r="L58" i="8" s="1"/>
  <c r="G57" i="8"/>
  <c r="K57" i="8" s="1"/>
  <c r="L57" i="8" s="1"/>
  <c r="K53" i="8"/>
  <c r="L53" i="8"/>
  <c r="N53" i="8" s="1"/>
  <c r="O53" i="8" s="1"/>
  <c r="G53" i="8"/>
  <c r="H53" i="8"/>
  <c r="L52" i="8"/>
  <c r="H52" i="8"/>
  <c r="K47" i="8"/>
  <c r="K48" i="8" s="1"/>
  <c r="G47" i="8"/>
  <c r="G48" i="8" s="1"/>
  <c r="L45" i="8"/>
  <c r="H45" i="8"/>
  <c r="N45" i="8" s="1"/>
  <c r="J44" i="8"/>
  <c r="L44" i="8" s="1"/>
  <c r="F44" i="8"/>
  <c r="H44" i="8" s="1"/>
  <c r="K43" i="8"/>
  <c r="G43" i="8"/>
  <c r="H43" i="8"/>
  <c r="K42" i="8"/>
  <c r="L42" i="8"/>
  <c r="N42" i="8" s="1"/>
  <c r="G42" i="8"/>
  <c r="H42" i="8"/>
  <c r="O42" i="8" s="1"/>
  <c r="K41" i="8"/>
  <c r="L41" i="8"/>
  <c r="G41" i="8"/>
  <c r="H41" i="8"/>
  <c r="O41" i="8" s="1"/>
  <c r="K40" i="8"/>
  <c r="L40" i="8"/>
  <c r="G40" i="8"/>
  <c r="H40" i="8"/>
  <c r="O40" i="8" s="1"/>
  <c r="K39" i="8"/>
  <c r="L39" i="8" s="1"/>
  <c r="G39" i="8"/>
  <c r="H39" i="8"/>
  <c r="K36" i="8"/>
  <c r="L36" i="8"/>
  <c r="G36" i="8"/>
  <c r="H36" i="8"/>
  <c r="O36" i="8" s="1"/>
  <c r="K35" i="8"/>
  <c r="L35" i="8"/>
  <c r="G35" i="8"/>
  <c r="H35" i="8"/>
  <c r="K34" i="8"/>
  <c r="L34" i="8"/>
  <c r="N34" i="8" s="1"/>
  <c r="G34" i="8"/>
  <c r="H34" i="8" s="1"/>
  <c r="O34" i="8" s="1"/>
  <c r="K33" i="8"/>
  <c r="L33" i="8"/>
  <c r="G33" i="8"/>
  <c r="H33" i="8" s="1"/>
  <c r="O33" i="8" s="1"/>
  <c r="K32" i="8"/>
  <c r="L32" i="8"/>
  <c r="G32" i="8"/>
  <c r="H32" i="8"/>
  <c r="N32" i="8" s="1"/>
  <c r="K31" i="8"/>
  <c r="L31" i="8"/>
  <c r="G31" i="8"/>
  <c r="H31" i="8" s="1"/>
  <c r="O31" i="8" s="1"/>
  <c r="K30" i="8"/>
  <c r="L30" i="8"/>
  <c r="N30" i="8" s="1"/>
  <c r="G30" i="8"/>
  <c r="H30" i="8"/>
  <c r="O30" i="8" s="1"/>
  <c r="K29" i="8"/>
  <c r="L29" i="8" s="1"/>
  <c r="N29" i="8" s="1"/>
  <c r="G29" i="8"/>
  <c r="H29" i="8" s="1"/>
  <c r="O29" i="8" s="1"/>
  <c r="K28" i="8"/>
  <c r="L28" i="8"/>
  <c r="G28" i="8"/>
  <c r="H28" i="8" s="1"/>
  <c r="O28" i="8" s="1"/>
  <c r="K27" i="8"/>
  <c r="G27" i="8"/>
  <c r="H27" i="8" s="1"/>
  <c r="L26" i="8"/>
  <c r="N26" i="8" s="1"/>
  <c r="L24" i="8"/>
  <c r="N24" i="8" s="1"/>
  <c r="H24" i="8"/>
  <c r="O24" i="8"/>
  <c r="L38" i="8"/>
  <c r="H38" i="8"/>
  <c r="O38" i="8" s="1"/>
  <c r="L23" i="8"/>
  <c r="H23" i="8"/>
  <c r="L22" i="8"/>
  <c r="H22" i="8"/>
  <c r="O22" i="8" s="1"/>
  <c r="G57" i="1"/>
  <c r="K57" i="1" s="1"/>
  <c r="L57" i="1" s="1"/>
  <c r="J53" i="1"/>
  <c r="G38" i="13"/>
  <c r="H38" i="13" s="1"/>
  <c r="O39" i="13"/>
  <c r="N52" i="13"/>
  <c r="O52" i="13" s="1"/>
  <c r="H57" i="13"/>
  <c r="O57" i="13"/>
  <c r="L55" i="13"/>
  <c r="N55" i="13"/>
  <c r="H54" i="13"/>
  <c r="N54" i="13" s="1"/>
  <c r="O54" i="13"/>
  <c r="H56" i="13"/>
  <c r="O56" i="13"/>
  <c r="H58" i="8"/>
  <c r="G58" i="1"/>
  <c r="H58" i="1" s="1"/>
  <c r="O58" i="1" s="1"/>
  <c r="H56" i="1"/>
  <c r="H54" i="1"/>
  <c r="K53" i="1"/>
  <c r="L53" i="1" s="1"/>
  <c r="G53" i="1"/>
  <c r="H53" i="1" s="1"/>
  <c r="L52" i="1"/>
  <c r="H52" i="1"/>
  <c r="O52" i="1" s="1"/>
  <c r="N52" i="1"/>
  <c r="K47" i="1"/>
  <c r="L47" i="1" s="1"/>
  <c r="G47" i="1"/>
  <c r="G48" i="1" s="1"/>
  <c r="L45" i="1"/>
  <c r="N45" i="1" s="1"/>
  <c r="H45" i="1"/>
  <c r="F44" i="1"/>
  <c r="H44" i="1" s="1"/>
  <c r="K43" i="1"/>
  <c r="G43" i="1"/>
  <c r="H43" i="1" s="1"/>
  <c r="K42" i="1"/>
  <c r="L42" i="1"/>
  <c r="G42" i="1"/>
  <c r="H42" i="1" s="1"/>
  <c r="N42" i="1" s="1"/>
  <c r="K41" i="1"/>
  <c r="L41" i="1"/>
  <c r="G41" i="1"/>
  <c r="H41" i="1" s="1"/>
  <c r="O41" i="1" s="1"/>
  <c r="K40" i="1"/>
  <c r="L40" i="1"/>
  <c r="G40" i="1"/>
  <c r="H40" i="1" s="1"/>
  <c r="N40" i="1" s="1"/>
  <c r="K39" i="1"/>
  <c r="L39" i="1" s="1"/>
  <c r="G39" i="1"/>
  <c r="H39" i="1" s="1"/>
  <c r="K36" i="1"/>
  <c r="L36" i="1"/>
  <c r="G36" i="1"/>
  <c r="H36" i="1" s="1"/>
  <c r="O36" i="1" s="1"/>
  <c r="K35" i="1"/>
  <c r="L35" i="1"/>
  <c r="G35" i="1"/>
  <c r="H35" i="1" s="1"/>
  <c r="O35" i="1" s="1"/>
  <c r="K34" i="1"/>
  <c r="L34" i="1"/>
  <c r="G34" i="1"/>
  <c r="H34" i="1" s="1"/>
  <c r="O34" i="1" s="1"/>
  <c r="K33" i="1"/>
  <c r="L33" i="1"/>
  <c r="G33" i="1"/>
  <c r="H33" i="1" s="1"/>
  <c r="O33" i="1" s="1"/>
  <c r="K32" i="1"/>
  <c r="L32" i="1"/>
  <c r="G32" i="1"/>
  <c r="H32" i="1" s="1"/>
  <c r="O32" i="1" s="1"/>
  <c r="K31" i="1"/>
  <c r="L31" i="1"/>
  <c r="N31" i="1" s="1"/>
  <c r="G31" i="1"/>
  <c r="H31" i="1"/>
  <c r="O31" i="1" s="1"/>
  <c r="K30" i="1"/>
  <c r="L30" i="1" s="1"/>
  <c r="G30" i="1"/>
  <c r="H30" i="1"/>
  <c r="O30" i="1" s="1"/>
  <c r="K29" i="1"/>
  <c r="L29" i="1" s="1"/>
  <c r="G29" i="1"/>
  <c r="H29" i="1"/>
  <c r="K28" i="1"/>
  <c r="L28" i="1" s="1"/>
  <c r="N28" i="1" s="1"/>
  <c r="G28" i="1"/>
  <c r="H28" i="1"/>
  <c r="O28" i="1" s="1"/>
  <c r="K27" i="1"/>
  <c r="G27" i="1"/>
  <c r="H27" i="1" s="1"/>
  <c r="L24" i="1"/>
  <c r="H24" i="1"/>
  <c r="O24" i="1" s="1"/>
  <c r="L38" i="1"/>
  <c r="N38" i="1" s="1"/>
  <c r="H38" i="1"/>
  <c r="O38" i="1"/>
  <c r="L23" i="1"/>
  <c r="H23" i="1"/>
  <c r="L22" i="1"/>
  <c r="N22" i="1"/>
  <c r="O22" i="1"/>
  <c r="H22" i="1"/>
  <c r="K56" i="1"/>
  <c r="L56" i="1"/>
  <c r="L49" i="17"/>
  <c r="N49" i="17" s="1"/>
  <c r="O49" i="17" s="1"/>
  <c r="G50" i="17"/>
  <c r="H50" i="17" s="1"/>
  <c r="G47" i="16"/>
  <c r="H47" i="16" s="1"/>
  <c r="H46" i="15"/>
  <c r="G50" i="14"/>
  <c r="H50" i="14" s="1"/>
  <c r="N56" i="13"/>
  <c r="K57" i="23"/>
  <c r="L57" i="23" s="1"/>
  <c r="N57" i="23" s="1"/>
  <c r="L49" i="23"/>
  <c r="O23" i="17"/>
  <c r="N23" i="15"/>
  <c r="N22" i="19"/>
  <c r="N38" i="12"/>
  <c r="N38" i="11"/>
  <c r="N23" i="6"/>
  <c r="O23" i="6" s="1"/>
  <c r="N24" i="5"/>
  <c r="N23" i="3"/>
  <c r="O23" i="3" s="1"/>
  <c r="N38" i="2"/>
  <c r="N22" i="7"/>
  <c r="O24" i="5"/>
  <c r="O38" i="2"/>
  <c r="H54" i="12"/>
  <c r="N38" i="10"/>
  <c r="H56" i="10"/>
  <c r="N52" i="8"/>
  <c r="O52" i="8" s="1"/>
  <c r="N52" i="7"/>
  <c r="H57" i="6"/>
  <c r="H47" i="5"/>
  <c r="K57" i="5"/>
  <c r="L57" i="5"/>
  <c r="K55" i="5"/>
  <c r="L55" i="5"/>
  <c r="L44" i="4"/>
  <c r="L53" i="4"/>
  <c r="G51" i="4"/>
  <c r="H51" i="4" s="1"/>
  <c r="K58" i="4"/>
  <c r="L58" i="4" s="1"/>
  <c r="G50" i="23"/>
  <c r="H50" i="23" s="1"/>
  <c r="H46" i="23"/>
  <c r="H57" i="8"/>
  <c r="N38" i="8"/>
  <c r="O38" i="4"/>
  <c r="O40" i="11"/>
  <c r="N29" i="15"/>
  <c r="O30" i="15"/>
  <c r="N30" i="15"/>
  <c r="L49" i="15"/>
  <c r="N49" i="15" s="1"/>
  <c r="O49" i="15" s="1"/>
  <c r="K57" i="15"/>
  <c r="L43" i="15" s="1"/>
  <c r="N23" i="23"/>
  <c r="N22" i="23"/>
  <c r="O31" i="14"/>
  <c r="N31" i="14"/>
  <c r="N39" i="14"/>
  <c r="L57" i="14"/>
  <c r="L43" i="14"/>
  <c r="N43" i="14" s="1"/>
  <c r="N30" i="14"/>
  <c r="N54" i="14"/>
  <c r="H57" i="14"/>
  <c r="H46" i="14"/>
  <c r="G38" i="14"/>
  <c r="H38" i="14" s="1"/>
  <c r="N29" i="19"/>
  <c r="N35" i="19"/>
  <c r="H49" i="19"/>
  <c r="K53" i="19"/>
  <c r="L53" i="19"/>
  <c r="N24" i="19"/>
  <c r="N25" i="19"/>
  <c r="O25" i="19" s="1"/>
  <c r="N23" i="19"/>
  <c r="O40" i="13"/>
  <c r="N25" i="13"/>
  <c r="O25" i="13" s="1"/>
  <c r="H46" i="13"/>
  <c r="K47" i="13"/>
  <c r="L47" i="13" s="1"/>
  <c r="G50" i="13"/>
  <c r="H50" i="13" s="1"/>
  <c r="N35" i="12"/>
  <c r="H57" i="12"/>
  <c r="O24" i="12"/>
  <c r="H56" i="12"/>
  <c r="N22" i="12"/>
  <c r="O22" i="12"/>
  <c r="N29" i="11"/>
  <c r="K54" i="11"/>
  <c r="L54" i="11" s="1"/>
  <c r="N54" i="11" s="1"/>
  <c r="O54" i="11" s="1"/>
  <c r="N24" i="11"/>
  <c r="H55" i="11"/>
  <c r="N36" i="10"/>
  <c r="O36" i="10"/>
  <c r="N34" i="10"/>
  <c r="N24" i="10"/>
  <c r="K54" i="10"/>
  <c r="L54" i="10" s="1"/>
  <c r="N54" i="10" s="1"/>
  <c r="O54" i="10" s="1"/>
  <c r="H57" i="10"/>
  <c r="N23" i="10"/>
  <c r="O23" i="10" s="1"/>
  <c r="H58" i="10"/>
  <c r="N55" i="9"/>
  <c r="O55" i="9" s="1"/>
  <c r="N30" i="9"/>
  <c r="O30" i="9"/>
  <c r="N56" i="9"/>
  <c r="O56" i="9" s="1"/>
  <c r="O22" i="9"/>
  <c r="N40" i="9"/>
  <c r="O40" i="9"/>
  <c r="N22" i="9"/>
  <c r="H57" i="9"/>
  <c r="N34" i="9"/>
  <c r="N36" i="8"/>
  <c r="O35" i="8"/>
  <c r="N35" i="8"/>
  <c r="O32" i="8"/>
  <c r="N22" i="8"/>
  <c r="N41" i="8"/>
  <c r="H55" i="8"/>
  <c r="N33" i="6"/>
  <c r="O33" i="6"/>
  <c r="K48" i="6"/>
  <c r="N52" i="6"/>
  <c r="O52" i="6" s="1"/>
  <c r="O32" i="6"/>
  <c r="H55" i="6"/>
  <c r="N56" i="5"/>
  <c r="O56" i="5" s="1"/>
  <c r="N22" i="5"/>
  <c r="O22" i="5"/>
  <c r="H54" i="5"/>
  <c r="N54" i="5" s="1"/>
  <c r="O54" i="5" s="1"/>
  <c r="N54" i="4"/>
  <c r="O54" i="4" s="1"/>
  <c r="N40" i="4"/>
  <c r="H56" i="4"/>
  <c r="N23" i="4"/>
  <c r="O23" i="4" s="1"/>
  <c r="O41" i="4"/>
  <c r="N40" i="3"/>
  <c r="O40" i="3"/>
  <c r="K51" i="3"/>
  <c r="L51" i="3" s="1"/>
  <c r="K55" i="3"/>
  <c r="L55" i="3" s="1"/>
  <c r="N55" i="3" s="1"/>
  <c r="O55" i="3" s="1"/>
  <c r="N42" i="3"/>
  <c r="N22" i="3"/>
  <c r="O22" i="3"/>
  <c r="O28" i="2"/>
  <c r="N52" i="2"/>
  <c r="O52" i="2"/>
  <c r="K48" i="2"/>
  <c r="L48" i="2" s="1"/>
  <c r="L43" i="16"/>
  <c r="L43" i="17"/>
  <c r="N53" i="17"/>
  <c r="O53" i="17" s="1"/>
  <c r="N39" i="17"/>
  <c r="O22" i="17"/>
  <c r="O55" i="17"/>
  <c r="K51" i="6"/>
  <c r="L51" i="6" s="1"/>
  <c r="L48" i="6"/>
  <c r="K50" i="6"/>
  <c r="L50" i="6" s="1"/>
  <c r="N26" i="13"/>
  <c r="N29" i="17" l="1"/>
  <c r="N36" i="17"/>
  <c r="N56" i="17"/>
  <c r="N30" i="17"/>
  <c r="N57" i="17"/>
  <c r="H56" i="17"/>
  <c r="N52" i="17"/>
  <c r="O52" i="17" s="1"/>
  <c r="H57" i="17"/>
  <c r="O57" i="17" s="1"/>
  <c r="N51" i="17"/>
  <c r="O51" i="17" s="1"/>
  <c r="N29" i="16"/>
  <c r="O34" i="16"/>
  <c r="N34" i="16"/>
  <c r="N35" i="16"/>
  <c r="O39" i="16"/>
  <c r="N39" i="16"/>
  <c r="G38" i="16"/>
  <c r="H38" i="16" s="1"/>
  <c r="N41" i="16"/>
  <c r="O41" i="16" s="1"/>
  <c r="N52" i="16"/>
  <c r="O52" i="16" s="1"/>
  <c r="N56" i="16"/>
  <c r="O56" i="16" s="1"/>
  <c r="N54" i="16"/>
  <c r="N51" i="16"/>
  <c r="O51" i="16" s="1"/>
  <c r="N28" i="15"/>
  <c r="K53" i="15"/>
  <c r="L53" i="15" s="1"/>
  <c r="F43" i="15"/>
  <c r="H43" i="15" s="1"/>
  <c r="N43" i="15" s="1"/>
  <c r="O43" i="15" s="1"/>
  <c r="N28" i="14"/>
  <c r="N33" i="14"/>
  <c r="N29" i="14"/>
  <c r="N34" i="14"/>
  <c r="N56" i="14"/>
  <c r="O56" i="14" s="1"/>
  <c r="O32" i="23"/>
  <c r="N32" i="23"/>
  <c r="N29" i="23"/>
  <c r="O36" i="23"/>
  <c r="N51" i="23"/>
  <c r="N54" i="23"/>
  <c r="N55" i="23"/>
  <c r="N30" i="23"/>
  <c r="N39" i="19"/>
  <c r="N53" i="19"/>
  <c r="O53" i="19" s="1"/>
  <c r="N29" i="13"/>
  <c r="N51" i="13"/>
  <c r="O51" i="13" s="1"/>
  <c r="N28" i="12"/>
  <c r="N31" i="12"/>
  <c r="N36" i="12"/>
  <c r="N32" i="12"/>
  <c r="N34" i="12"/>
  <c r="N29" i="12"/>
  <c r="N58" i="12"/>
  <c r="O58" i="12" s="1"/>
  <c r="N57" i="11"/>
  <c r="O57" i="11" s="1"/>
  <c r="N23" i="11"/>
  <c r="N58" i="11"/>
  <c r="O33" i="11"/>
  <c r="N30" i="10"/>
  <c r="N32" i="10"/>
  <c r="N56" i="10"/>
  <c r="N29" i="9"/>
  <c r="N35" i="9"/>
  <c r="N54" i="9"/>
  <c r="N24" i="9"/>
  <c r="H58" i="9"/>
  <c r="N41" i="9"/>
  <c r="N42" i="9"/>
  <c r="N28" i="8"/>
  <c r="N33" i="8"/>
  <c r="N31" i="8"/>
  <c r="N23" i="8"/>
  <c r="N40" i="8"/>
  <c r="N55" i="7"/>
  <c r="O55" i="7" s="1"/>
  <c r="N45" i="7"/>
  <c r="H54" i="7"/>
  <c r="N54" i="7" s="1"/>
  <c r="O54" i="7" s="1"/>
  <c r="H55" i="7"/>
  <c r="H58" i="7"/>
  <c r="N38" i="7"/>
  <c r="N29" i="6"/>
  <c r="N25" i="6"/>
  <c r="O25" i="6" s="1"/>
  <c r="L44" i="6"/>
  <c r="H58" i="6"/>
  <c r="N55" i="6"/>
  <c r="O55" i="6" s="1"/>
  <c r="N57" i="6"/>
  <c r="N34" i="6"/>
  <c r="N34" i="5"/>
  <c r="N57" i="5"/>
  <c r="O57" i="5" s="1"/>
  <c r="H58" i="5"/>
  <c r="N55" i="5"/>
  <c r="O55" i="5" s="1"/>
  <c r="N33" i="5"/>
  <c r="N29" i="4"/>
  <c r="O55" i="4"/>
  <c r="N28" i="4"/>
  <c r="N32" i="4"/>
  <c r="N58" i="4"/>
  <c r="O58" i="4" s="1"/>
  <c r="N53" i="4"/>
  <c r="N57" i="4"/>
  <c r="N26" i="4"/>
  <c r="N38" i="4"/>
  <c r="N30" i="3"/>
  <c r="N32" i="3"/>
  <c r="H44" i="3"/>
  <c r="N45" i="3"/>
  <c r="K54" i="3"/>
  <c r="L54" i="3" s="1"/>
  <c r="N54" i="3" s="1"/>
  <c r="O54" i="3" s="1"/>
  <c r="K57" i="3"/>
  <c r="L57" i="3" s="1"/>
  <c r="N58" i="3"/>
  <c r="N29" i="3"/>
  <c r="N56" i="3"/>
  <c r="O56" i="3" s="1"/>
  <c r="N32" i="2"/>
  <c r="O32" i="2"/>
  <c r="N25" i="2"/>
  <c r="O25" i="2" s="1"/>
  <c r="N31" i="2"/>
  <c r="O31" i="2"/>
  <c r="N35" i="2"/>
  <c r="O35" i="2"/>
  <c r="N29" i="2"/>
  <c r="N30" i="2"/>
  <c r="N34" i="2"/>
  <c r="H56" i="2"/>
  <c r="H58" i="2"/>
  <c r="N58" i="2" s="1"/>
  <c r="N22" i="2"/>
  <c r="K55" i="2"/>
  <c r="L55" i="2" s="1"/>
  <c r="K57" i="2"/>
  <c r="L57" i="2" s="1"/>
  <c r="N57" i="2" s="1"/>
  <c r="O57" i="2" s="1"/>
  <c r="N39" i="1"/>
  <c r="N32" i="1"/>
  <c r="N53" i="1"/>
  <c r="O53" i="1" s="1"/>
  <c r="H57" i="1"/>
  <c r="N57" i="1" s="1"/>
  <c r="O57" i="1" s="1"/>
  <c r="N54" i="1"/>
  <c r="K58" i="1"/>
  <c r="L58" i="1" s="1"/>
  <c r="N58" i="1" s="1"/>
  <c r="N56" i="1"/>
  <c r="O56" i="1" s="1"/>
  <c r="N33" i="1"/>
  <c r="N35" i="1"/>
  <c r="N36" i="1"/>
  <c r="H47" i="1"/>
  <c r="N23" i="1"/>
  <c r="O23" i="1" s="1"/>
  <c r="K55" i="1"/>
  <c r="L55" i="1" s="1"/>
  <c r="N55" i="1" s="1"/>
  <c r="O55" i="1" s="1"/>
  <c r="N33" i="7"/>
  <c r="N32" i="7"/>
  <c r="N34" i="7"/>
  <c r="N31" i="6"/>
  <c r="N30" i="6"/>
  <c r="N36" i="6"/>
  <c r="N35" i="6"/>
  <c r="N32" i="6"/>
  <c r="N28" i="6"/>
  <c r="N35" i="5"/>
  <c r="N32" i="5"/>
  <c r="N31" i="5"/>
  <c r="N30" i="5"/>
  <c r="N29" i="5"/>
  <c r="N28" i="5"/>
  <c r="N36" i="5"/>
  <c r="N36" i="4"/>
  <c r="N34" i="3"/>
  <c r="N31" i="3"/>
  <c r="O34" i="3"/>
  <c r="O31" i="3"/>
  <c r="N35" i="3"/>
  <c r="N33" i="2"/>
  <c r="N36" i="2"/>
  <c r="N29" i="1"/>
  <c r="N30" i="1"/>
  <c r="N34" i="1"/>
  <c r="O29" i="1"/>
  <c r="N54" i="15"/>
  <c r="N25" i="16"/>
  <c r="O25" i="16" s="1"/>
  <c r="N57" i="14"/>
  <c r="O57" i="14" s="1"/>
  <c r="N53" i="14"/>
  <c r="O53" i="14" s="1"/>
  <c r="N26" i="17"/>
  <c r="N26" i="16"/>
  <c r="N25" i="8"/>
  <c r="N25" i="3"/>
  <c r="N24" i="4"/>
  <c r="K50" i="2"/>
  <c r="L50" i="2" s="1"/>
  <c r="N22" i="13"/>
  <c r="N22" i="15"/>
  <c r="N22" i="11"/>
  <c r="N22" i="10"/>
  <c r="H43" i="17"/>
  <c r="N43" i="17" s="1"/>
  <c r="O43" i="17" s="1"/>
  <c r="H43" i="16"/>
  <c r="N43" i="16" s="1"/>
  <c r="O43" i="16" s="1"/>
  <c r="H43" i="23"/>
  <c r="H46" i="19"/>
  <c r="N49" i="13"/>
  <c r="O49" i="13" s="1"/>
  <c r="G48" i="12"/>
  <c r="G51" i="11"/>
  <c r="H51" i="11" s="1"/>
  <c r="G50" i="11"/>
  <c r="H50" i="11" s="1"/>
  <c r="H48" i="11"/>
  <c r="H44" i="11"/>
  <c r="H48" i="10"/>
  <c r="G50" i="10"/>
  <c r="H50" i="10" s="1"/>
  <c r="G51" i="10"/>
  <c r="H51" i="10" s="1"/>
  <c r="H47" i="10"/>
  <c r="H44" i="9"/>
  <c r="N41" i="4"/>
  <c r="N34" i="4"/>
  <c r="N31" i="4"/>
  <c r="N30" i="4"/>
  <c r="L57" i="15"/>
  <c r="N57" i="15" s="1"/>
  <c r="N53" i="15"/>
  <c r="O53" i="15" s="1"/>
  <c r="N56" i="15"/>
  <c r="O56" i="15" s="1"/>
  <c r="L46" i="19"/>
  <c r="L44" i="12"/>
  <c r="L46" i="17"/>
  <c r="N46" i="17" s="1"/>
  <c r="O46" i="17" s="1"/>
  <c r="K51" i="2"/>
  <c r="L51" i="2" s="1"/>
  <c r="N40" i="15"/>
  <c r="O40" i="1"/>
  <c r="O41" i="3"/>
  <c r="N50" i="17"/>
  <c r="O50" i="17" s="1"/>
  <c r="N41" i="17"/>
  <c r="O41" i="17" s="1"/>
  <c r="N38" i="17"/>
  <c r="O38" i="17" s="1"/>
  <c r="N50" i="16"/>
  <c r="O50" i="16" s="1"/>
  <c r="N47" i="16"/>
  <c r="O47" i="16" s="1"/>
  <c r="N38" i="16"/>
  <c r="O38" i="16" s="1"/>
  <c r="L46" i="16"/>
  <c r="N46" i="16" s="1"/>
  <c r="O46" i="16" s="1"/>
  <c r="N50" i="15"/>
  <c r="O50" i="15" s="1"/>
  <c r="N52" i="14"/>
  <c r="O52" i="14" s="1"/>
  <c r="N51" i="14"/>
  <c r="O51" i="14" s="1"/>
  <c r="O51" i="23"/>
  <c r="N52" i="23"/>
  <c r="N22" i="14"/>
  <c r="N36" i="14"/>
  <c r="N23" i="14"/>
  <c r="N40" i="14"/>
  <c r="N33" i="23"/>
  <c r="O43" i="14"/>
  <c r="N46" i="14"/>
  <c r="O46" i="14" s="1"/>
  <c r="N50" i="14"/>
  <c r="O50" i="14" s="1"/>
  <c r="N53" i="23"/>
  <c r="O53" i="23" s="1"/>
  <c r="O40" i="14"/>
  <c r="N26" i="14"/>
  <c r="O33" i="14"/>
  <c r="N38" i="14"/>
  <c r="O38" i="14" s="1"/>
  <c r="O23" i="14"/>
  <c r="N41" i="14"/>
  <c r="O41" i="14" s="1"/>
  <c r="N40" i="23"/>
  <c r="N25" i="23"/>
  <c r="O33" i="23"/>
  <c r="N52" i="19"/>
  <c r="O52" i="19" s="1"/>
  <c r="N51" i="19"/>
  <c r="L43" i="19"/>
  <c r="N43" i="19" s="1"/>
  <c r="O43" i="19" s="1"/>
  <c r="O51" i="19"/>
  <c r="N49" i="19"/>
  <c r="O49" i="19" s="1"/>
  <c r="N47" i="19"/>
  <c r="O47" i="19" s="1"/>
  <c r="N46" i="19"/>
  <c r="O46" i="19" s="1"/>
  <c r="N41" i="19"/>
  <c r="O41" i="19" s="1"/>
  <c r="N38" i="19"/>
  <c r="O38" i="19" s="1"/>
  <c r="L47" i="17"/>
  <c r="N47" i="17" s="1"/>
  <c r="O47" i="17" s="1"/>
  <c r="K47" i="14"/>
  <c r="L47" i="14" s="1"/>
  <c r="N47" i="14" s="1"/>
  <c r="O47" i="14" s="1"/>
  <c r="K50" i="19"/>
  <c r="L50" i="19" s="1"/>
  <c r="N50" i="19" s="1"/>
  <c r="O50" i="19" s="1"/>
  <c r="N50" i="13"/>
  <c r="O50" i="13" s="1"/>
  <c r="K48" i="12"/>
  <c r="K48" i="11"/>
  <c r="N47" i="11"/>
  <c r="O47" i="11" s="1"/>
  <c r="L44" i="11"/>
  <c r="L44" i="10"/>
  <c r="N44" i="10" s="1"/>
  <c r="K48" i="10"/>
  <c r="N47" i="10"/>
  <c r="O47" i="10" s="1"/>
  <c r="K51" i="9"/>
  <c r="L51" i="9" s="1"/>
  <c r="N51" i="9" s="1"/>
  <c r="O51" i="9" s="1"/>
  <c r="K50" i="9"/>
  <c r="L50" i="9" s="1"/>
  <c r="N50" i="9" s="1"/>
  <c r="O50" i="9" s="1"/>
  <c r="L44" i="9"/>
  <c r="N44" i="9" s="1"/>
  <c r="O44" i="9" s="1"/>
  <c r="N53" i="13"/>
  <c r="O53" i="13" s="1"/>
  <c r="N43" i="13"/>
  <c r="O43" i="13" s="1"/>
  <c r="N46" i="13"/>
  <c r="O46" i="13" s="1"/>
  <c r="N47" i="13"/>
  <c r="O47" i="13" s="1"/>
  <c r="N44" i="17"/>
  <c r="N44" i="16"/>
  <c r="N44" i="15"/>
  <c r="N44" i="14"/>
  <c r="N44" i="23"/>
  <c r="N44" i="13"/>
  <c r="N41" i="13"/>
  <c r="O41" i="13" s="1"/>
  <c r="N38" i="13"/>
  <c r="O38" i="13" s="1"/>
  <c r="N33" i="15"/>
  <c r="N36" i="15"/>
  <c r="O57" i="15"/>
  <c r="N34" i="15"/>
  <c r="O52" i="15"/>
  <c r="N32" i="15"/>
  <c r="N35" i="15"/>
  <c r="N25" i="15"/>
  <c r="O25" i="15" s="1"/>
  <c r="N39" i="15"/>
  <c r="L46" i="15"/>
  <c r="N46" i="15" s="1"/>
  <c r="O46" i="15" s="1"/>
  <c r="L47" i="15"/>
  <c r="N47" i="15" s="1"/>
  <c r="O47" i="15" s="1"/>
  <c r="H27" i="15"/>
  <c r="H37" i="15" s="1"/>
  <c r="L26" i="15"/>
  <c r="N26" i="15" s="1"/>
  <c r="L38" i="15"/>
  <c r="N38" i="15" s="1"/>
  <c r="O38" i="15" s="1"/>
  <c r="L41" i="15"/>
  <c r="N41" i="15" s="1"/>
  <c r="O41" i="15" s="1"/>
  <c r="O25" i="23"/>
  <c r="N39" i="23"/>
  <c r="L26" i="23"/>
  <c r="N26" i="23" s="1"/>
  <c r="L38" i="23"/>
  <c r="N38" i="23" s="1"/>
  <c r="O38" i="23" s="1"/>
  <c r="H27" i="23"/>
  <c r="L41" i="23"/>
  <c r="N41" i="23" s="1"/>
  <c r="O41" i="23" s="1"/>
  <c r="L46" i="23"/>
  <c r="N46" i="23" s="1"/>
  <c r="O46" i="23" s="1"/>
  <c r="L47" i="23"/>
  <c r="N47" i="23" s="1"/>
  <c r="O47" i="23" s="1"/>
  <c r="N49" i="23"/>
  <c r="O49" i="23" s="1"/>
  <c r="O57" i="23"/>
  <c r="N50" i="23"/>
  <c r="O50" i="23" s="1"/>
  <c r="L43" i="23"/>
  <c r="N31" i="23"/>
  <c r="K56" i="23"/>
  <c r="L56" i="23" s="1"/>
  <c r="N56" i="23" s="1"/>
  <c r="O56" i="23" s="1"/>
  <c r="O52" i="23"/>
  <c r="N34" i="23"/>
  <c r="N45" i="11"/>
  <c r="N53" i="10"/>
  <c r="N40" i="12"/>
  <c r="N35" i="10"/>
  <c r="N52" i="12"/>
  <c r="O52" i="12" s="1"/>
  <c r="N23" i="12"/>
  <c r="O23" i="12" s="1"/>
  <c r="N45" i="12"/>
  <c r="N53" i="12"/>
  <c r="O53" i="12" s="1"/>
  <c r="N24" i="12"/>
  <c r="N55" i="12"/>
  <c r="O55" i="12" s="1"/>
  <c r="N36" i="11"/>
  <c r="N40" i="11"/>
  <c r="N25" i="11"/>
  <c r="N41" i="11"/>
  <c r="N30" i="11"/>
  <c r="N53" i="11"/>
  <c r="O53" i="11" s="1"/>
  <c r="N28" i="10"/>
  <c r="O55" i="10"/>
  <c r="N25" i="10"/>
  <c r="N29" i="10"/>
  <c r="N45" i="10"/>
  <c r="N52" i="10"/>
  <c r="O52" i="10" s="1"/>
  <c r="N58" i="9"/>
  <c r="O58" i="9" s="1"/>
  <c r="N53" i="9"/>
  <c r="O53" i="9" s="1"/>
  <c r="N52" i="9"/>
  <c r="O52" i="9" s="1"/>
  <c r="N45" i="9"/>
  <c r="N44" i="12"/>
  <c r="O44" i="12" s="1"/>
  <c r="N54" i="12"/>
  <c r="O54" i="12" s="1"/>
  <c r="N47" i="12"/>
  <c r="O47" i="12" s="1"/>
  <c r="N52" i="11"/>
  <c r="O52" i="11" s="1"/>
  <c r="O58" i="11"/>
  <c r="O44" i="10"/>
  <c r="O53" i="10"/>
  <c r="O56" i="10"/>
  <c r="N33" i="12"/>
  <c r="O40" i="12"/>
  <c r="N41" i="12"/>
  <c r="N30" i="12"/>
  <c r="N26" i="12"/>
  <c r="N39" i="12"/>
  <c r="O39" i="12" s="1"/>
  <c r="O41" i="11"/>
  <c r="N26" i="11"/>
  <c r="O25" i="11"/>
  <c r="O23" i="11"/>
  <c r="N31" i="10"/>
  <c r="O33" i="10"/>
  <c r="N26" i="10"/>
  <c r="O29" i="10"/>
  <c r="O25" i="10"/>
  <c r="O28" i="10"/>
  <c r="O35" i="10"/>
  <c r="N39" i="10"/>
  <c r="O39" i="10" s="1"/>
  <c r="O23" i="9"/>
  <c r="O54" i="9"/>
  <c r="N48" i="9"/>
  <c r="O48" i="9" s="1"/>
  <c r="N47" i="9"/>
  <c r="O47" i="9" s="1"/>
  <c r="N39" i="9"/>
  <c r="O39" i="9" s="1"/>
  <c r="N58" i="8"/>
  <c r="N56" i="8"/>
  <c r="O56" i="8" s="1"/>
  <c r="L48" i="8"/>
  <c r="K51" i="8"/>
  <c r="L51" i="8" s="1"/>
  <c r="K50" i="8"/>
  <c r="L50" i="8" s="1"/>
  <c r="L47" i="8"/>
  <c r="G51" i="8"/>
  <c r="H51" i="8" s="1"/>
  <c r="H48" i="8"/>
  <c r="G50" i="8"/>
  <c r="H50" i="8" s="1"/>
  <c r="H47" i="8"/>
  <c r="O55" i="8"/>
  <c r="N57" i="8"/>
  <c r="O57" i="8" s="1"/>
  <c r="O58" i="8"/>
  <c r="N44" i="8"/>
  <c r="O44" i="8" s="1"/>
  <c r="N39" i="8"/>
  <c r="O39" i="8" s="1"/>
  <c r="O25" i="8"/>
  <c r="O23" i="8"/>
  <c r="N45" i="4"/>
  <c r="N24" i="7"/>
  <c r="N23" i="7"/>
  <c r="O23" i="7" s="1"/>
  <c r="N42" i="7"/>
  <c r="N41" i="6"/>
  <c r="N42" i="6"/>
  <c r="N41" i="5"/>
  <c r="N25" i="5"/>
  <c r="O25" i="5" s="1"/>
  <c r="N23" i="5"/>
  <c r="N25" i="4"/>
  <c r="O25" i="4" s="1"/>
  <c r="N42" i="4"/>
  <c r="N56" i="2"/>
  <c r="N45" i="2"/>
  <c r="N24" i="2"/>
  <c r="G50" i="7"/>
  <c r="H50" i="7" s="1"/>
  <c r="H48" i="7"/>
  <c r="G51" i="7"/>
  <c r="H51" i="7" s="1"/>
  <c r="K48" i="7"/>
  <c r="H44" i="7"/>
  <c r="G48" i="6"/>
  <c r="H44" i="6"/>
  <c r="N44" i="6" s="1"/>
  <c r="O44" i="6" s="1"/>
  <c r="H48" i="5"/>
  <c r="G51" i="5"/>
  <c r="H51" i="5" s="1"/>
  <c r="G50" i="5"/>
  <c r="H50" i="5" s="1"/>
  <c r="H44" i="5"/>
  <c r="L44" i="5"/>
  <c r="N44" i="5" s="1"/>
  <c r="O44" i="5" s="1"/>
  <c r="K48" i="5"/>
  <c r="K48" i="4"/>
  <c r="G50" i="4"/>
  <c r="H50" i="4" s="1"/>
  <c r="H44" i="4"/>
  <c r="G51" i="3"/>
  <c r="H51" i="3" s="1"/>
  <c r="H48" i="3"/>
  <c r="N48" i="3" s="1"/>
  <c r="O48" i="3" s="1"/>
  <c r="G50" i="3"/>
  <c r="H50" i="3" s="1"/>
  <c r="K50" i="3"/>
  <c r="L50" i="3" s="1"/>
  <c r="N50" i="3" s="1"/>
  <c r="O50" i="3" s="1"/>
  <c r="H47" i="3"/>
  <c r="N47" i="3" s="1"/>
  <c r="O47" i="3" s="1"/>
  <c r="L44" i="3"/>
  <c r="N44" i="3" s="1"/>
  <c r="O44" i="3" s="1"/>
  <c r="N58" i="7"/>
  <c r="O58" i="7" s="1"/>
  <c r="O52" i="7"/>
  <c r="O57" i="7"/>
  <c r="N53" i="7"/>
  <c r="O53" i="7" s="1"/>
  <c r="N53" i="6"/>
  <c r="O56" i="6"/>
  <c r="N58" i="6"/>
  <c r="O58" i="6" s="1"/>
  <c r="N53" i="5"/>
  <c r="O53" i="5" s="1"/>
  <c r="N58" i="5"/>
  <c r="O58" i="5" s="1"/>
  <c r="N52" i="4"/>
  <c r="O52" i="4" s="1"/>
  <c r="O53" i="4"/>
  <c r="O52" i="3"/>
  <c r="N57" i="3"/>
  <c r="O57" i="3" s="1"/>
  <c r="N51" i="3"/>
  <c r="O51" i="3" s="1"/>
  <c r="N44" i="7"/>
  <c r="O44" i="7" s="1"/>
  <c r="N47" i="7"/>
  <c r="O47" i="7" s="1"/>
  <c r="O57" i="6"/>
  <c r="O53" i="6"/>
  <c r="N47" i="6"/>
  <c r="O47" i="6" s="1"/>
  <c r="N47" i="5"/>
  <c r="O47" i="5" s="1"/>
  <c r="O52" i="5"/>
  <c r="N44" i="4"/>
  <c r="O44" i="4" s="1"/>
  <c r="O57" i="4"/>
  <c r="N47" i="4"/>
  <c r="O47" i="4" s="1"/>
  <c r="N53" i="3"/>
  <c r="O53" i="3" s="1"/>
  <c r="N41" i="7"/>
  <c r="O42" i="7"/>
  <c r="N39" i="7"/>
  <c r="O39" i="7" s="1"/>
  <c r="N39" i="6"/>
  <c r="O39" i="6" s="1"/>
  <c r="O42" i="6"/>
  <c r="N39" i="5"/>
  <c r="O39" i="5" s="1"/>
  <c r="O41" i="5"/>
  <c r="N40" i="5"/>
  <c r="O42" i="4"/>
  <c r="N39" i="4"/>
  <c r="O39" i="4" s="1"/>
  <c r="N39" i="3"/>
  <c r="O39" i="3" s="1"/>
  <c r="N26" i="7"/>
  <c r="O24" i="7"/>
  <c r="N24" i="6"/>
  <c r="N26" i="6"/>
  <c r="O23" i="5"/>
  <c r="N26" i="5"/>
  <c r="N24" i="3"/>
  <c r="O25" i="3"/>
  <c r="L44" i="2"/>
  <c r="H44" i="2"/>
  <c r="G48" i="2"/>
  <c r="N53" i="2"/>
  <c r="O53" i="2" s="1"/>
  <c r="N55" i="2"/>
  <c r="O55" i="2" s="1"/>
  <c r="O58" i="2"/>
  <c r="O56" i="2"/>
  <c r="N54" i="2"/>
  <c r="O54" i="2" s="1"/>
  <c r="N47" i="2"/>
  <c r="O47" i="2" s="1"/>
  <c r="N39" i="2"/>
  <c r="O39" i="2" s="1"/>
  <c r="N26" i="2"/>
  <c r="O24" i="2"/>
  <c r="N23" i="2"/>
  <c r="O23" i="2" s="1"/>
  <c r="O22" i="2"/>
  <c r="L44" i="1"/>
  <c r="N44" i="1" s="1"/>
  <c r="O44" i="1" s="1"/>
  <c r="O54" i="1"/>
  <c r="H48" i="1"/>
  <c r="G50" i="1"/>
  <c r="H50" i="1" s="1"/>
  <c r="G51" i="1"/>
  <c r="H51" i="1" s="1"/>
  <c r="N47" i="1"/>
  <c r="O47" i="1" s="1"/>
  <c r="K48" i="1"/>
  <c r="N41" i="1"/>
  <c r="O42" i="1"/>
  <c r="O39" i="1"/>
  <c r="N26" i="1"/>
  <c r="N24" i="1"/>
  <c r="H37" i="7"/>
  <c r="H37" i="14"/>
  <c r="H45" i="14" s="1"/>
  <c r="H37" i="17"/>
  <c r="H45" i="17" s="1"/>
  <c r="H48" i="17" s="1"/>
  <c r="H37" i="1"/>
  <c r="H37" i="3"/>
  <c r="H37" i="8"/>
  <c r="H37" i="12"/>
  <c r="H37" i="23"/>
  <c r="H37" i="2"/>
  <c r="H37" i="4"/>
  <c r="H37" i="5"/>
  <c r="H37" i="6"/>
  <c r="H37" i="9"/>
  <c r="H37" i="10"/>
  <c r="H37" i="13"/>
  <c r="H37" i="11"/>
  <c r="H37" i="19"/>
  <c r="H37" i="16"/>
  <c r="O56" i="17" l="1"/>
  <c r="N51" i="8"/>
  <c r="O51" i="8" s="1"/>
  <c r="N48" i="8"/>
  <c r="O48" i="8" s="1"/>
  <c r="N43" i="23"/>
  <c r="O43" i="23" s="1"/>
  <c r="G51" i="12"/>
  <c r="H51" i="12" s="1"/>
  <c r="H48" i="12"/>
  <c r="G50" i="12"/>
  <c r="H50" i="12" s="1"/>
  <c r="N44" i="11"/>
  <c r="O44" i="11" s="1"/>
  <c r="N47" i="8"/>
  <c r="O47" i="8" s="1"/>
  <c r="K51" i="12"/>
  <c r="L51" i="12" s="1"/>
  <c r="N51" i="12" s="1"/>
  <c r="O51" i="12" s="1"/>
  <c r="K50" i="12"/>
  <c r="L50" i="12" s="1"/>
  <c r="N50" i="12" s="1"/>
  <c r="O50" i="12" s="1"/>
  <c r="L48" i="12"/>
  <c r="N48" i="12" s="1"/>
  <c r="O48" i="12" s="1"/>
  <c r="L48" i="11"/>
  <c r="N48" i="11" s="1"/>
  <c r="O48" i="11" s="1"/>
  <c r="K51" i="11"/>
  <c r="L51" i="11" s="1"/>
  <c r="N51" i="11" s="1"/>
  <c r="O51" i="11" s="1"/>
  <c r="K50" i="11"/>
  <c r="L50" i="11" s="1"/>
  <c r="N50" i="11" s="1"/>
  <c r="O50" i="11" s="1"/>
  <c r="L48" i="10"/>
  <c r="N48" i="10" s="1"/>
  <c r="O48" i="10" s="1"/>
  <c r="K51" i="10"/>
  <c r="L51" i="10" s="1"/>
  <c r="N51" i="10" s="1"/>
  <c r="O51" i="10" s="1"/>
  <c r="K50" i="10"/>
  <c r="L50" i="10" s="1"/>
  <c r="N50" i="10" s="1"/>
  <c r="O50" i="10" s="1"/>
  <c r="N50" i="8"/>
  <c r="O50" i="8" s="1"/>
  <c r="K51" i="7"/>
  <c r="L51" i="7" s="1"/>
  <c r="N51" i="7" s="1"/>
  <c r="O51" i="7" s="1"/>
  <c r="K50" i="7"/>
  <c r="L50" i="7" s="1"/>
  <c r="N50" i="7" s="1"/>
  <c r="O50" i="7" s="1"/>
  <c r="L48" i="7"/>
  <c r="N48" i="7" s="1"/>
  <c r="O48" i="7" s="1"/>
  <c r="G50" i="6"/>
  <c r="H50" i="6" s="1"/>
  <c r="N50" i="6" s="1"/>
  <c r="O50" i="6" s="1"/>
  <c r="H48" i="6"/>
  <c r="N48" i="6" s="1"/>
  <c r="O48" i="6" s="1"/>
  <c r="G51" i="6"/>
  <c r="H51" i="6" s="1"/>
  <c r="N51" i="6" s="1"/>
  <c r="O51" i="6" s="1"/>
  <c r="L48" i="5"/>
  <c r="N48" i="5" s="1"/>
  <c r="O48" i="5" s="1"/>
  <c r="K51" i="5"/>
  <c r="L51" i="5" s="1"/>
  <c r="N51" i="5" s="1"/>
  <c r="O51" i="5" s="1"/>
  <c r="K50" i="5"/>
  <c r="L50" i="5" s="1"/>
  <c r="N50" i="5" s="1"/>
  <c r="O50" i="5" s="1"/>
  <c r="L48" i="4"/>
  <c r="N48" i="4" s="1"/>
  <c r="O48" i="4" s="1"/>
  <c r="K50" i="4"/>
  <c r="L50" i="4" s="1"/>
  <c r="N50" i="4" s="1"/>
  <c r="O50" i="4" s="1"/>
  <c r="K51" i="4"/>
  <c r="L51" i="4" s="1"/>
  <c r="N51" i="4" s="1"/>
  <c r="O51" i="4" s="1"/>
  <c r="N44" i="2"/>
  <c r="O44" i="2" s="1"/>
  <c r="H48" i="2"/>
  <c r="N48" i="2" s="1"/>
  <c r="O48" i="2" s="1"/>
  <c r="G51" i="2"/>
  <c r="H51" i="2" s="1"/>
  <c r="N51" i="2" s="1"/>
  <c r="O51" i="2" s="1"/>
  <c r="G50" i="2"/>
  <c r="H50" i="2" s="1"/>
  <c r="N50" i="2" s="1"/>
  <c r="O50" i="2" s="1"/>
  <c r="K51" i="1"/>
  <c r="L51" i="1" s="1"/>
  <c r="N51" i="1" s="1"/>
  <c r="O51" i="1" s="1"/>
  <c r="K50" i="1"/>
  <c r="L50" i="1" s="1"/>
  <c r="N50" i="1" s="1"/>
  <c r="O50" i="1" s="1"/>
  <c r="L48" i="1"/>
  <c r="N48" i="1" s="1"/>
  <c r="O48" i="1" s="1"/>
  <c r="H46" i="7"/>
  <c r="H49" i="7" s="1"/>
  <c r="H45" i="23"/>
  <c r="H46" i="3"/>
  <c r="H65" i="17"/>
  <c r="H59" i="17"/>
  <c r="H45" i="19"/>
  <c r="H46" i="11"/>
  <c r="H45" i="15"/>
  <c r="H46" i="10"/>
  <c r="H46" i="6"/>
  <c r="H46" i="5"/>
  <c r="H46" i="2"/>
  <c r="H46" i="4"/>
  <c r="H46" i="8"/>
  <c r="H45" i="16"/>
  <c r="H48" i="14"/>
  <c r="H46" i="12"/>
  <c r="H45" i="13"/>
  <c r="H46" i="9"/>
  <c r="H46" i="1"/>
  <c r="H49" i="4" l="1"/>
  <c r="H49" i="1"/>
  <c r="H49" i="9"/>
  <c r="H48" i="13"/>
  <c r="H65" i="14"/>
  <c r="H59" i="14"/>
  <c r="H48" i="16"/>
  <c r="H49" i="2"/>
  <c r="H49" i="6"/>
  <c r="H48" i="15"/>
  <c r="H65" i="15" s="1"/>
  <c r="H49" i="11"/>
  <c r="H60" i="17"/>
  <c r="H61" i="17" s="1"/>
  <c r="H48" i="23"/>
  <c r="H60" i="7"/>
  <c r="H66" i="7"/>
  <c r="H66" i="17"/>
  <c r="H49" i="12"/>
  <c r="H49" i="8"/>
  <c r="H48" i="19"/>
  <c r="H49" i="5"/>
  <c r="H49" i="10"/>
  <c r="H49" i="3"/>
  <c r="H61" i="7" l="1"/>
  <c r="H60" i="14"/>
  <c r="H66" i="8"/>
  <c r="H60" i="8"/>
  <c r="H59" i="23"/>
  <c r="H65" i="23"/>
  <c r="H60" i="11"/>
  <c r="H66" i="11"/>
  <c r="H66" i="6"/>
  <c r="H60" i="6"/>
  <c r="H60" i="4"/>
  <c r="H66" i="4"/>
  <c r="H62" i="17"/>
  <c r="H63" i="17" s="1"/>
  <c r="H66" i="14"/>
  <c r="H66" i="9"/>
  <c r="H60" i="9"/>
  <c r="H59" i="19"/>
  <c r="H65" i="19"/>
  <c r="H66" i="10"/>
  <c r="H60" i="10"/>
  <c r="H66" i="1"/>
  <c r="H60" i="1"/>
  <c r="H60" i="3"/>
  <c r="H66" i="3"/>
  <c r="H60" i="5"/>
  <c r="H66" i="5"/>
  <c r="H60" i="12"/>
  <c r="H66" i="12"/>
  <c r="H67" i="17"/>
  <c r="H67" i="7"/>
  <c r="H59" i="15"/>
  <c r="H66" i="2"/>
  <c r="H60" i="2"/>
  <c r="H59" i="16"/>
  <c r="H65" i="16"/>
  <c r="H59" i="13"/>
  <c r="H65" i="13"/>
  <c r="H66" i="13" l="1"/>
  <c r="H61" i="10"/>
  <c r="H60" i="19"/>
  <c r="H67" i="4"/>
  <c r="H68" i="4" s="1"/>
  <c r="H67" i="6"/>
  <c r="H61" i="8"/>
  <c r="H60" i="16"/>
  <c r="H67" i="5"/>
  <c r="H61" i="1"/>
  <c r="H67" i="10"/>
  <c r="H68" i="10" s="1"/>
  <c r="H66" i="23"/>
  <c r="H67" i="23" s="1"/>
  <c r="H61" i="2"/>
  <c r="H62" i="2" s="1"/>
  <c r="H60" i="15"/>
  <c r="H69" i="17"/>
  <c r="H61" i="5"/>
  <c r="H62" i="5" s="1"/>
  <c r="H67" i="1"/>
  <c r="H66" i="19"/>
  <c r="H67" i="19" s="1"/>
  <c r="H67" i="9"/>
  <c r="H68" i="9" s="1"/>
  <c r="H67" i="11"/>
  <c r="H68" i="11" s="1"/>
  <c r="H60" i="23"/>
  <c r="H61" i="23" s="1"/>
  <c r="H66" i="16"/>
  <c r="H66" i="15"/>
  <c r="H61" i="12"/>
  <c r="H61" i="3"/>
  <c r="H60" i="13"/>
  <c r="H61" i="9"/>
  <c r="H62" i="9" s="1"/>
  <c r="H61" i="4"/>
  <c r="H67" i="8"/>
  <c r="H68" i="8" s="1"/>
  <c r="H67" i="2"/>
  <c r="H68" i="2" s="1"/>
  <c r="H68" i="7"/>
  <c r="H67" i="12"/>
  <c r="H68" i="12" s="1"/>
  <c r="H67" i="3"/>
  <c r="H68" i="3" s="1"/>
  <c r="H67" i="14"/>
  <c r="H61" i="6"/>
  <c r="H61" i="11"/>
  <c r="H61" i="14"/>
  <c r="H62" i="7"/>
  <c r="H69" i="7" l="1"/>
  <c r="H70" i="7" s="1"/>
  <c r="H63" i="9"/>
  <c r="H64" i="9" s="1"/>
  <c r="H69" i="19"/>
  <c r="H63" i="5"/>
  <c r="H63" i="2"/>
  <c r="H64" i="2" s="1"/>
  <c r="H69" i="10"/>
  <c r="H70" i="10" s="1"/>
  <c r="H69" i="4"/>
  <c r="H63" i="7"/>
  <c r="H69" i="3"/>
  <c r="H70" i="3" s="1"/>
  <c r="H69" i="12"/>
  <c r="H70" i="12" s="1"/>
  <c r="H69" i="2"/>
  <c r="H69" i="8"/>
  <c r="H62" i="4"/>
  <c r="H62" i="23"/>
  <c r="H63" i="23" s="1"/>
  <c r="H69" i="11"/>
  <c r="H70" i="11" s="1"/>
  <c r="H69" i="9"/>
  <c r="G37" i="24"/>
  <c r="G15" i="28" s="1"/>
  <c r="H69" i="23"/>
  <c r="G30" i="24" s="1"/>
  <c r="H62" i="10"/>
  <c r="H62" i="14"/>
  <c r="H63" i="14" s="1"/>
  <c r="H67" i="16"/>
  <c r="H68" i="1"/>
  <c r="H61" i="15"/>
  <c r="H62" i="8"/>
  <c r="H67" i="13"/>
  <c r="H62" i="11"/>
  <c r="H62" i="6"/>
  <c r="H69" i="14"/>
  <c r="H61" i="13"/>
  <c r="H62" i="3"/>
  <c r="H62" i="12"/>
  <c r="H67" i="15"/>
  <c r="H62" i="1"/>
  <c r="H68" i="5"/>
  <c r="H61" i="16"/>
  <c r="H68" i="6"/>
  <c r="H61" i="19"/>
  <c r="H69" i="5" l="1"/>
  <c r="H70" i="5" s="1"/>
  <c r="G28" i="24"/>
  <c r="G21" i="24"/>
  <c r="H63" i="1"/>
  <c r="H63" i="3"/>
  <c r="H63" i="4"/>
  <c r="H69" i="6"/>
  <c r="H69" i="1"/>
  <c r="H70" i="1" s="1"/>
  <c r="H63" i="12"/>
  <c r="G31" i="24"/>
  <c r="H63" i="6"/>
  <c r="H64" i="6" s="1"/>
  <c r="H63" i="8"/>
  <c r="H63" i="10"/>
  <c r="H62" i="13"/>
  <c r="H63" i="13" s="1"/>
  <c r="H63" i="11"/>
  <c r="H64" i="11" s="1"/>
  <c r="H64" i="7"/>
  <c r="G12" i="24"/>
  <c r="H64" i="5"/>
  <c r="H62" i="19"/>
  <c r="H63" i="19" s="1"/>
  <c r="H62" i="16"/>
  <c r="H63" i="16" s="1"/>
  <c r="H69" i="16"/>
  <c r="G40" i="24" s="1"/>
  <c r="H70" i="9"/>
  <c r="H70" i="8"/>
  <c r="H70" i="2"/>
  <c r="H70" i="4"/>
  <c r="G16" i="24" l="1"/>
  <c r="H69" i="15"/>
  <c r="G15" i="24"/>
  <c r="G17" i="24"/>
  <c r="G23" i="24"/>
  <c r="H64" i="12"/>
  <c r="H70" i="6"/>
  <c r="H64" i="10"/>
  <c r="H64" i="8"/>
  <c r="H69" i="13"/>
  <c r="H64" i="4"/>
  <c r="H63" i="15"/>
  <c r="H64" i="3"/>
  <c r="H64" i="1"/>
  <c r="G11" i="24" l="1"/>
  <c r="G20" i="24"/>
  <c r="G13" i="24"/>
  <c r="G27" i="24"/>
  <c r="G22" i="24"/>
  <c r="G34" i="24"/>
  <c r="G12" i="28" s="1"/>
  <c r="G14" i="24"/>
  <c r="G3" i="28" s="1"/>
  <c r="G24" i="24"/>
  <c r="L42" i="13" l="1"/>
  <c r="N42" i="13" s="1"/>
  <c r="O42" i="13" s="1"/>
  <c r="L42" i="19"/>
  <c r="N42" i="19" s="1"/>
  <c r="O42" i="19" s="1"/>
  <c r="L42" i="15"/>
  <c r="N42" i="15" s="1"/>
  <c r="O42" i="15" s="1"/>
  <c r="L42" i="16"/>
  <c r="N42" i="16" s="1"/>
  <c r="O42" i="16" s="1"/>
  <c r="L42" i="14"/>
  <c r="N42" i="14" s="1"/>
  <c r="O42" i="14" s="1"/>
  <c r="L42" i="23"/>
  <c r="N42" i="23" s="1"/>
  <c r="O42" i="23" s="1"/>
  <c r="L43" i="10" l="1"/>
  <c r="N43" i="10" s="1"/>
  <c r="O43" i="10" s="1"/>
  <c r="L43" i="11"/>
  <c r="N43" i="11" s="1"/>
  <c r="O43" i="11" s="1"/>
  <c r="L43" i="12"/>
  <c r="N43" i="12" s="1"/>
  <c r="O43" i="12" s="1"/>
  <c r="L43" i="9"/>
  <c r="N43" i="9" s="1"/>
  <c r="O43" i="9" s="1"/>
  <c r="L43" i="8"/>
  <c r="N43" i="8" s="1"/>
  <c r="O43" i="8" s="1"/>
  <c r="L42" i="17"/>
  <c r="N42" i="17" s="1"/>
  <c r="O42" i="17" s="1"/>
  <c r="L43" i="2" l="1"/>
  <c r="N43" i="2" s="1"/>
  <c r="O43" i="2" s="1"/>
  <c r="L43" i="5"/>
  <c r="N43" i="5" s="1"/>
  <c r="O43" i="5" s="1"/>
  <c r="L43" i="1"/>
  <c r="N43" i="1" s="1"/>
  <c r="O43" i="1" s="1"/>
  <c r="L43" i="3"/>
  <c r="N43" i="3" s="1"/>
  <c r="O43" i="3" s="1"/>
  <c r="L43" i="6"/>
  <c r="N43" i="6" s="1"/>
  <c r="O43" i="6" s="1"/>
  <c r="L43" i="7"/>
  <c r="N43" i="7" s="1"/>
  <c r="O43" i="7" s="1"/>
  <c r="L43" i="4"/>
  <c r="N43" i="4" s="1"/>
  <c r="O43" i="4" s="1"/>
  <c r="L21" i="12" l="1"/>
  <c r="L21" i="8"/>
  <c r="L21" i="11"/>
  <c r="L21" i="10"/>
  <c r="L21" i="9"/>
  <c r="L21" i="17"/>
  <c r="L21" i="16"/>
  <c r="L21" i="19" l="1"/>
  <c r="L21" i="13"/>
  <c r="N21" i="10"/>
  <c r="O21" i="10" s="1"/>
  <c r="N21" i="16"/>
  <c r="O21" i="16" s="1"/>
  <c r="N21" i="11"/>
  <c r="O21" i="11" s="1"/>
  <c r="N21" i="8"/>
  <c r="O21" i="8" s="1"/>
  <c r="N21" i="17"/>
  <c r="O21" i="17" s="1"/>
  <c r="N21" i="9"/>
  <c r="O21" i="9" s="1"/>
  <c r="N21" i="12"/>
  <c r="O21" i="12" s="1"/>
  <c r="L27" i="17"/>
  <c r="N27" i="17" s="1"/>
  <c r="O27" i="17" s="1"/>
  <c r="L27" i="16"/>
  <c r="N27" i="16" s="1"/>
  <c r="O27" i="16" s="1"/>
  <c r="L37" i="17" l="1"/>
  <c r="L27" i="13"/>
  <c r="N27" i="13" s="1"/>
  <c r="O27" i="13" s="1"/>
  <c r="L27" i="19"/>
  <c r="N27" i="19" s="1"/>
  <c r="O27" i="19" s="1"/>
  <c r="L37" i="16"/>
  <c r="N21" i="13"/>
  <c r="O21" i="13" s="1"/>
  <c r="L21" i="6"/>
  <c r="L21" i="5"/>
  <c r="L21" i="2"/>
  <c r="L21" i="3"/>
  <c r="L21" i="7"/>
  <c r="L21" i="1"/>
  <c r="L21" i="4"/>
  <c r="N21" i="19"/>
  <c r="O21" i="19" s="1"/>
  <c r="L37" i="19" l="1"/>
  <c r="N37" i="19" s="1"/>
  <c r="O37" i="19" s="1"/>
  <c r="K28" i="24" s="1"/>
  <c r="L37" i="13"/>
  <c r="N37" i="13" s="1"/>
  <c r="O37" i="13" s="1"/>
  <c r="K27" i="24" s="1"/>
  <c r="N21" i="1"/>
  <c r="O21" i="1" s="1"/>
  <c r="N21" i="5"/>
  <c r="O21" i="5" s="1"/>
  <c r="L45" i="16"/>
  <c r="N37" i="16"/>
  <c r="O37" i="16" s="1"/>
  <c r="K40" i="24" s="1"/>
  <c r="N21" i="7"/>
  <c r="O21" i="7" s="1"/>
  <c r="N21" i="6"/>
  <c r="O21" i="6" s="1"/>
  <c r="N21" i="3"/>
  <c r="O21" i="3" s="1"/>
  <c r="N21" i="4"/>
  <c r="O21" i="4" s="1"/>
  <c r="N21" i="2"/>
  <c r="O21" i="2" s="1"/>
  <c r="L45" i="17"/>
  <c r="N37" i="17"/>
  <c r="O37" i="17" s="1"/>
  <c r="K37" i="24" s="1"/>
  <c r="K15" i="28" s="1"/>
  <c r="L21" i="15"/>
  <c r="L45" i="19" l="1"/>
  <c r="L48" i="19" s="1"/>
  <c r="L45" i="13"/>
  <c r="L48" i="13" s="1"/>
  <c r="N21" i="15"/>
  <c r="O21" i="15" s="1"/>
  <c r="L27" i="8"/>
  <c r="L27" i="9"/>
  <c r="L27" i="10"/>
  <c r="L27" i="12"/>
  <c r="L27" i="11"/>
  <c r="L21" i="14"/>
  <c r="L21" i="23"/>
  <c r="L48" i="17"/>
  <c r="N45" i="17"/>
  <c r="O45" i="17" s="1"/>
  <c r="L37" i="24" s="1"/>
  <c r="L15" i="28" s="1"/>
  <c r="L48" i="16"/>
  <c r="N45" i="16"/>
  <c r="O45" i="16" s="1"/>
  <c r="L40" i="24" s="1"/>
  <c r="L27" i="15"/>
  <c r="N27" i="15" s="1"/>
  <c r="O27" i="15" s="1"/>
  <c r="N45" i="19" l="1"/>
  <c r="O45" i="19" s="1"/>
  <c r="L28" i="24" s="1"/>
  <c r="N45" i="13"/>
  <c r="O45" i="13" s="1"/>
  <c r="L27" i="24" s="1"/>
  <c r="L27" i="14"/>
  <c r="N27" i="14" s="1"/>
  <c r="O27" i="14" s="1"/>
  <c r="L27" i="23"/>
  <c r="N27" i="23" s="1"/>
  <c r="O27" i="23" s="1"/>
  <c r="L65" i="16"/>
  <c r="L59" i="16"/>
  <c r="N48" i="16"/>
  <c r="O48" i="16" s="1"/>
  <c r="N21" i="14"/>
  <c r="O21" i="14" s="1"/>
  <c r="L37" i="14"/>
  <c r="N27" i="9"/>
  <c r="O27" i="9" s="1"/>
  <c r="L37" i="9"/>
  <c r="L65" i="13"/>
  <c r="L59" i="13"/>
  <c r="N48" i="13"/>
  <c r="O48" i="13" s="1"/>
  <c r="N27" i="11"/>
  <c r="O27" i="11" s="1"/>
  <c r="L37" i="11"/>
  <c r="N27" i="8"/>
  <c r="O27" i="8" s="1"/>
  <c r="L37" i="8"/>
  <c r="N48" i="17"/>
  <c r="O48" i="17" s="1"/>
  <c r="L59" i="17"/>
  <c r="L65" i="17"/>
  <c r="N27" i="12"/>
  <c r="O27" i="12" s="1"/>
  <c r="L37" i="12"/>
  <c r="L37" i="15"/>
  <c r="N21" i="23"/>
  <c r="O21" i="23" s="1"/>
  <c r="N27" i="10"/>
  <c r="O27" i="10" s="1"/>
  <c r="L37" i="10"/>
  <c r="N48" i="19"/>
  <c r="O48" i="19" s="1"/>
  <c r="L59" i="19"/>
  <c r="L65" i="19"/>
  <c r="L37" i="23" l="1"/>
  <c r="L66" i="17"/>
  <c r="N66" i="17" s="1"/>
  <c r="O66" i="17" s="1"/>
  <c r="N65" i="17"/>
  <c r="O65" i="17" s="1"/>
  <c r="L60" i="13"/>
  <c r="N60" i="13" s="1"/>
  <c r="O60" i="13" s="1"/>
  <c r="N59" i="13"/>
  <c r="O59" i="13" s="1"/>
  <c r="L45" i="14"/>
  <c r="N37" i="14"/>
  <c r="O37" i="14" s="1"/>
  <c r="K31" i="24" s="1"/>
  <c r="L66" i="16"/>
  <c r="N66" i="16" s="1"/>
  <c r="O66" i="16" s="1"/>
  <c r="N65" i="16"/>
  <c r="O65" i="16" s="1"/>
  <c r="L46" i="10"/>
  <c r="N37" i="10"/>
  <c r="O37" i="10" s="1"/>
  <c r="K22" i="24" s="1"/>
  <c r="N37" i="15"/>
  <c r="O37" i="15" s="1"/>
  <c r="K34" i="24" s="1"/>
  <c r="K12" i="28" s="1"/>
  <c r="L45" i="15"/>
  <c r="L60" i="17"/>
  <c r="N60" i="17" s="1"/>
  <c r="O60" i="17" s="1"/>
  <c r="N59" i="17"/>
  <c r="O59" i="17" s="1"/>
  <c r="L46" i="11"/>
  <c r="N37" i="11"/>
  <c r="O37" i="11" s="1"/>
  <c r="K23" i="24" s="1"/>
  <c r="L66" i="13"/>
  <c r="N66" i="13" s="1"/>
  <c r="O66" i="13" s="1"/>
  <c r="N65" i="13"/>
  <c r="O65" i="13" s="1"/>
  <c r="L66" i="19"/>
  <c r="N66" i="19" s="1"/>
  <c r="O66" i="19" s="1"/>
  <c r="N65" i="19"/>
  <c r="O65" i="19" s="1"/>
  <c r="L46" i="12"/>
  <c r="N37" i="12"/>
  <c r="O37" i="12" s="1"/>
  <c r="K24" i="24" s="1"/>
  <c r="L46" i="9"/>
  <c r="N37" i="9"/>
  <c r="O37" i="9" s="1"/>
  <c r="K21" i="24" s="1"/>
  <c r="K6" i="28" s="1"/>
  <c r="N59" i="19"/>
  <c r="O59" i="19" s="1"/>
  <c r="L60" i="19"/>
  <c r="N60" i="19" s="1"/>
  <c r="O60" i="19" s="1"/>
  <c r="L45" i="23"/>
  <c r="N37" i="23"/>
  <c r="O37" i="23" s="1"/>
  <c r="K30" i="24" s="1"/>
  <c r="N37" i="8"/>
  <c r="O37" i="8" s="1"/>
  <c r="K20" i="24" s="1"/>
  <c r="L46" i="8"/>
  <c r="L60" i="16"/>
  <c r="N60" i="16" s="1"/>
  <c r="O60" i="16" s="1"/>
  <c r="N59" i="16"/>
  <c r="O59" i="16" s="1"/>
  <c r="L67" i="13" l="1"/>
  <c r="N67" i="13" s="1"/>
  <c r="O67" i="13" s="1"/>
  <c r="L67" i="16"/>
  <c r="N67" i="16" s="1"/>
  <c r="O67" i="16" s="1"/>
  <c r="L27" i="6"/>
  <c r="L27" i="2"/>
  <c r="L27" i="1"/>
  <c r="L27" i="4"/>
  <c r="L27" i="3"/>
  <c r="L27" i="7"/>
  <c r="L27" i="5"/>
  <c r="N46" i="10"/>
  <c r="O46" i="10" s="1"/>
  <c r="L22" i="24" s="1"/>
  <c r="L49" i="10"/>
  <c r="L48" i="23"/>
  <c r="N45" i="23"/>
  <c r="O45" i="23" s="1"/>
  <c r="L30" i="24" s="1"/>
  <c r="N46" i="12"/>
  <c r="O46" i="12" s="1"/>
  <c r="L24" i="24" s="1"/>
  <c r="L49" i="12"/>
  <c r="L49" i="11"/>
  <c r="N46" i="11"/>
  <c r="O46" i="11" s="1"/>
  <c r="L23" i="24" s="1"/>
  <c r="N45" i="15"/>
  <c r="O45" i="15" s="1"/>
  <c r="L34" i="24" s="1"/>
  <c r="L12" i="28" s="1"/>
  <c r="L48" i="15"/>
  <c r="L48" i="14"/>
  <c r="N45" i="14"/>
  <c r="O45" i="14" s="1"/>
  <c r="L31" i="24" s="1"/>
  <c r="L67" i="17"/>
  <c r="N46" i="8"/>
  <c r="O46" i="8" s="1"/>
  <c r="L20" i="24" s="1"/>
  <c r="L49" i="8"/>
  <c r="L61" i="19"/>
  <c r="L67" i="19"/>
  <c r="L61" i="17"/>
  <c r="L61" i="13"/>
  <c r="L61" i="16"/>
  <c r="L49" i="9"/>
  <c r="N46" i="9"/>
  <c r="O46" i="9" s="1"/>
  <c r="L21" i="24" s="1"/>
  <c r="L6" i="28" s="1"/>
  <c r="N68" i="13" l="1"/>
  <c r="O68" i="13" s="1"/>
  <c r="N68" i="16"/>
  <c r="O68" i="16" s="1"/>
  <c r="L69" i="16"/>
  <c r="N61" i="13"/>
  <c r="O61" i="13" s="1"/>
  <c r="L62" i="13"/>
  <c r="N62" i="13" s="1"/>
  <c r="O62" i="13" s="1"/>
  <c r="N49" i="8"/>
  <c r="O49" i="8" s="1"/>
  <c r="L66" i="8"/>
  <c r="L60" i="8"/>
  <c r="L65" i="14"/>
  <c r="L59" i="14"/>
  <c r="N48" i="14"/>
  <c r="O48" i="14" s="1"/>
  <c r="L65" i="15"/>
  <c r="L59" i="15"/>
  <c r="N48" i="15"/>
  <c r="O48" i="15" s="1"/>
  <c r="L69" i="13"/>
  <c r="N27" i="4"/>
  <c r="O27" i="4" s="1"/>
  <c r="L37" i="4"/>
  <c r="N61" i="17"/>
  <c r="O61" i="17" s="1"/>
  <c r="L62" i="17"/>
  <c r="N62" i="17" s="1"/>
  <c r="O62" i="17" s="1"/>
  <c r="N27" i="5"/>
  <c r="O27" i="5" s="1"/>
  <c r="L37" i="5"/>
  <c r="N27" i="1"/>
  <c r="O27" i="1" s="1"/>
  <c r="L37" i="1"/>
  <c r="L60" i="9"/>
  <c r="N49" i="9"/>
  <c r="O49" i="9" s="1"/>
  <c r="L66" i="9"/>
  <c r="N68" i="19"/>
  <c r="O68" i="19" s="1"/>
  <c r="N67" i="19"/>
  <c r="O67" i="19" s="1"/>
  <c r="N68" i="17"/>
  <c r="O68" i="17" s="1"/>
  <c r="N67" i="17"/>
  <c r="O67" i="17" s="1"/>
  <c r="L59" i="23"/>
  <c r="L65" i="23"/>
  <c r="N48" i="23"/>
  <c r="O48" i="23" s="1"/>
  <c r="N27" i="7"/>
  <c r="O27" i="7" s="1"/>
  <c r="L37" i="7"/>
  <c r="N27" i="2"/>
  <c r="O27" i="2" s="1"/>
  <c r="L37" i="2"/>
  <c r="N61" i="16"/>
  <c r="O61" i="16" s="1"/>
  <c r="L62" i="16"/>
  <c r="N62" i="16" s="1"/>
  <c r="O62" i="16" s="1"/>
  <c r="N61" i="19"/>
  <c r="O61" i="19" s="1"/>
  <c r="L62" i="19"/>
  <c r="N62" i="19" s="1"/>
  <c r="O62" i="19" s="1"/>
  <c r="N49" i="11"/>
  <c r="O49" i="11" s="1"/>
  <c r="L66" i="11"/>
  <c r="L60" i="11"/>
  <c r="L60" i="12"/>
  <c r="L66" i="12"/>
  <c r="N49" i="12"/>
  <c r="O49" i="12" s="1"/>
  <c r="L66" i="10"/>
  <c r="L60" i="10"/>
  <c r="N49" i="10"/>
  <c r="O49" i="10" s="1"/>
  <c r="N27" i="3"/>
  <c r="O27" i="3" s="1"/>
  <c r="L37" i="3"/>
  <c r="N27" i="6"/>
  <c r="O27" i="6" s="1"/>
  <c r="L37" i="6"/>
  <c r="I44" i="24" l="1"/>
  <c r="H40" i="24"/>
  <c r="I40" i="24" s="1"/>
  <c r="J40" i="24" s="1"/>
  <c r="N69" i="16"/>
  <c r="O69" i="16" s="1"/>
  <c r="L63" i="17"/>
  <c r="N63" i="17" s="1"/>
  <c r="O63" i="17" s="1"/>
  <c r="L69" i="17"/>
  <c r="N69" i="17" s="1"/>
  <c r="O69" i="17" s="1"/>
  <c r="L63" i="16"/>
  <c r="N63" i="16" s="1"/>
  <c r="O63" i="16" s="1"/>
  <c r="N60" i="10"/>
  <c r="O60" i="10" s="1"/>
  <c r="L61" i="10"/>
  <c r="N61" i="10" s="1"/>
  <c r="O61" i="10" s="1"/>
  <c r="N60" i="12"/>
  <c r="O60" i="12" s="1"/>
  <c r="L61" i="12"/>
  <c r="N61" i="12" s="1"/>
  <c r="O61" i="12" s="1"/>
  <c r="L63" i="19"/>
  <c r="N63" i="19" s="1"/>
  <c r="O63" i="19" s="1"/>
  <c r="N37" i="7"/>
  <c r="O37" i="7" s="1"/>
  <c r="K17" i="24" s="1"/>
  <c r="L46" i="7"/>
  <c r="L60" i="23"/>
  <c r="N60" i="23" s="1"/>
  <c r="O60" i="23" s="1"/>
  <c r="N59" i="23"/>
  <c r="O59" i="23" s="1"/>
  <c r="L69" i="19"/>
  <c r="L46" i="1"/>
  <c r="N37" i="1"/>
  <c r="O37" i="1" s="1"/>
  <c r="K11" i="24" s="1"/>
  <c r="N59" i="14"/>
  <c r="O59" i="14" s="1"/>
  <c r="L60" i="14"/>
  <c r="N60" i="14" s="1"/>
  <c r="O60" i="14" s="1"/>
  <c r="N37" i="3"/>
  <c r="O37" i="3" s="1"/>
  <c r="K13" i="24" s="1"/>
  <c r="L46" i="3"/>
  <c r="N66" i="10"/>
  <c r="O66" i="10" s="1"/>
  <c r="L67" i="10"/>
  <c r="N67" i="10" s="1"/>
  <c r="O67" i="10" s="1"/>
  <c r="L61" i="11"/>
  <c r="N61" i="11" s="1"/>
  <c r="O61" i="11" s="1"/>
  <c r="N60" i="11"/>
  <c r="O60" i="11" s="1"/>
  <c r="N60" i="9"/>
  <c r="O60" i="9" s="1"/>
  <c r="L61" i="9"/>
  <c r="N61" i="9" s="1"/>
  <c r="O61" i="9" s="1"/>
  <c r="N37" i="4"/>
  <c r="O37" i="4" s="1"/>
  <c r="K14" i="24" s="1"/>
  <c r="K3" i="28" s="1"/>
  <c r="L46" i="4"/>
  <c r="L60" i="15"/>
  <c r="N60" i="15" s="1"/>
  <c r="O60" i="15" s="1"/>
  <c r="N59" i="15"/>
  <c r="O59" i="15" s="1"/>
  <c r="N65" i="14"/>
  <c r="O65" i="14" s="1"/>
  <c r="L66" i="14"/>
  <c r="N66" i="14" s="1"/>
  <c r="O66" i="14" s="1"/>
  <c r="L63" i="13"/>
  <c r="N63" i="13" s="1"/>
  <c r="O63" i="13" s="1"/>
  <c r="L67" i="11"/>
  <c r="N67" i="11" s="1"/>
  <c r="O67" i="11" s="1"/>
  <c r="N66" i="11"/>
  <c r="O66" i="11" s="1"/>
  <c r="N37" i="2"/>
  <c r="O37" i="2" s="1"/>
  <c r="K12" i="24" s="1"/>
  <c r="L46" i="2"/>
  <c r="N37" i="5"/>
  <c r="O37" i="5" s="1"/>
  <c r="K15" i="24" s="1"/>
  <c r="L46" i="5"/>
  <c r="L66" i="15"/>
  <c r="N66" i="15" s="1"/>
  <c r="O66" i="15" s="1"/>
  <c r="N65" i="15"/>
  <c r="O65" i="15" s="1"/>
  <c r="L61" i="8"/>
  <c r="N61" i="8" s="1"/>
  <c r="O61" i="8" s="1"/>
  <c r="N60" i="8"/>
  <c r="O60" i="8" s="1"/>
  <c r="L46" i="6"/>
  <c r="N37" i="6"/>
  <c r="O37" i="6" s="1"/>
  <c r="K16" i="24" s="1"/>
  <c r="L67" i="12"/>
  <c r="N67" i="12" s="1"/>
  <c r="O67" i="12" s="1"/>
  <c r="N66" i="12"/>
  <c r="O66" i="12" s="1"/>
  <c r="N65" i="23"/>
  <c r="O65" i="23" s="1"/>
  <c r="L66" i="23"/>
  <c r="N66" i="23" s="1"/>
  <c r="O66" i="23" s="1"/>
  <c r="N66" i="9"/>
  <c r="O66" i="9" s="1"/>
  <c r="L67" i="9"/>
  <c r="N67" i="9" s="1"/>
  <c r="O67" i="9" s="1"/>
  <c r="H27" i="24"/>
  <c r="I27" i="24" s="1"/>
  <c r="J27" i="24" s="1"/>
  <c r="N69" i="13"/>
  <c r="O69" i="13" s="1"/>
  <c r="L67" i="8"/>
  <c r="N67" i="8" s="1"/>
  <c r="O67" i="8" s="1"/>
  <c r="N66" i="8"/>
  <c r="O66" i="8" s="1"/>
  <c r="J44" i="24" l="1"/>
  <c r="J21" i="28" s="1"/>
  <c r="I21" i="28"/>
  <c r="H37" i="24"/>
  <c r="L68" i="8"/>
  <c r="N68" i="8" s="1"/>
  <c r="O68" i="8" s="1"/>
  <c r="L61" i="15"/>
  <c r="N61" i="15" s="1"/>
  <c r="O61" i="15" s="1"/>
  <c r="L67" i="23"/>
  <c r="N68" i="23" s="1"/>
  <c r="O68" i="23" s="1"/>
  <c r="L61" i="14"/>
  <c r="N61" i="14" s="1"/>
  <c r="O61" i="14" s="1"/>
  <c r="L62" i="12"/>
  <c r="N62" i="12" s="1"/>
  <c r="O62" i="12" s="1"/>
  <c r="L61" i="23"/>
  <c r="L62" i="23" s="1"/>
  <c r="N62" i="23" s="1"/>
  <c r="O62" i="23" s="1"/>
  <c r="L62" i="8"/>
  <c r="N62" i="8" s="1"/>
  <c r="O62" i="8" s="1"/>
  <c r="L62" i="11"/>
  <c r="L63" i="11" s="1"/>
  <c r="N63" i="11" s="1"/>
  <c r="O63" i="11" s="1"/>
  <c r="L49" i="5"/>
  <c r="N46" i="5"/>
  <c r="O46" i="5" s="1"/>
  <c r="L15" i="24" s="1"/>
  <c r="L68" i="11"/>
  <c r="L49" i="3"/>
  <c r="N46" i="3"/>
  <c r="O46" i="3" s="1"/>
  <c r="L13" i="24" s="1"/>
  <c r="L68" i="12"/>
  <c r="N46" i="6"/>
  <c r="O46" i="6" s="1"/>
  <c r="L16" i="24" s="1"/>
  <c r="L49" i="6"/>
  <c r="L67" i="15"/>
  <c r="L67" i="14"/>
  <c r="L62" i="9"/>
  <c r="L68" i="10"/>
  <c r="L62" i="10"/>
  <c r="N46" i="2"/>
  <c r="O46" i="2" s="1"/>
  <c r="L12" i="24" s="1"/>
  <c r="L49" i="2"/>
  <c r="L49" i="1"/>
  <c r="N46" i="1"/>
  <c r="O46" i="1" s="1"/>
  <c r="L11" i="24" s="1"/>
  <c r="L68" i="9"/>
  <c r="L49" i="4"/>
  <c r="N46" i="4"/>
  <c r="O46" i="4" s="1"/>
  <c r="L14" i="24" s="1"/>
  <c r="L3" i="28" s="1"/>
  <c r="N69" i="19"/>
  <c r="O69" i="19" s="1"/>
  <c r="H28" i="24"/>
  <c r="I28" i="24" s="1"/>
  <c r="J28" i="24" s="1"/>
  <c r="L49" i="7"/>
  <c r="N46" i="7"/>
  <c r="O46" i="7" s="1"/>
  <c r="L17" i="24" s="1"/>
  <c r="I37" i="24" l="1"/>
  <c r="J37" i="24" s="1"/>
  <c r="J15" i="28" s="1"/>
  <c r="H15" i="28"/>
  <c r="I15" i="28"/>
  <c r="L62" i="14"/>
  <c r="N62" i="14" s="1"/>
  <c r="O62" i="14" s="1"/>
  <c r="L63" i="12"/>
  <c r="N63" i="12" s="1"/>
  <c r="O63" i="12" s="1"/>
  <c r="L69" i="8"/>
  <c r="N69" i="8" s="1"/>
  <c r="O69" i="8" s="1"/>
  <c r="N67" i="23"/>
  <c r="O67" i="23" s="1"/>
  <c r="N61" i="23"/>
  <c r="O61" i="23" s="1"/>
  <c r="N62" i="15"/>
  <c r="O62" i="15" s="1"/>
  <c r="L63" i="8"/>
  <c r="N63" i="8" s="1"/>
  <c r="O63" i="8" s="1"/>
  <c r="N62" i="11"/>
  <c r="O62" i="11" s="1"/>
  <c r="L69" i="23"/>
  <c r="H30" i="24" s="1"/>
  <c r="I30" i="24" s="1"/>
  <c r="J30" i="24" s="1"/>
  <c r="L64" i="11"/>
  <c r="N64" i="11" s="1"/>
  <c r="O64" i="11" s="1"/>
  <c r="N68" i="14"/>
  <c r="O68" i="14" s="1"/>
  <c r="N67" i="14"/>
  <c r="O67" i="14" s="1"/>
  <c r="N68" i="12"/>
  <c r="O68" i="12" s="1"/>
  <c r="L69" i="12"/>
  <c r="N69" i="12" s="1"/>
  <c r="O69" i="12" s="1"/>
  <c r="L60" i="7"/>
  <c r="N49" i="7"/>
  <c r="O49" i="7" s="1"/>
  <c r="L66" i="7"/>
  <c r="L60" i="4"/>
  <c r="L66" i="4"/>
  <c r="N49" i="4"/>
  <c r="O49" i="4" s="1"/>
  <c r="L63" i="10"/>
  <c r="N63" i="10" s="1"/>
  <c r="O63" i="10" s="1"/>
  <c r="N62" i="10"/>
  <c r="O62" i="10" s="1"/>
  <c r="N68" i="15"/>
  <c r="O68" i="15" s="1"/>
  <c r="N67" i="15"/>
  <c r="O67" i="15" s="1"/>
  <c r="L63" i="23"/>
  <c r="N63" i="23" s="1"/>
  <c r="O63" i="23" s="1"/>
  <c r="L66" i="3"/>
  <c r="L60" i="3"/>
  <c r="N49" i="3"/>
  <c r="O49" i="3" s="1"/>
  <c r="N68" i="11"/>
  <c r="O68" i="11" s="1"/>
  <c r="L69" i="11"/>
  <c r="N69" i="11" s="1"/>
  <c r="O69" i="11" s="1"/>
  <c r="L69" i="9"/>
  <c r="N69" i="9" s="1"/>
  <c r="O69" i="9" s="1"/>
  <c r="N68" i="9"/>
  <c r="O68" i="9" s="1"/>
  <c r="N49" i="2"/>
  <c r="O49" i="2" s="1"/>
  <c r="L66" i="2"/>
  <c r="L60" i="2"/>
  <c r="L69" i="10"/>
  <c r="N69" i="10" s="1"/>
  <c r="O69" i="10" s="1"/>
  <c r="N68" i="10"/>
  <c r="O68" i="10" s="1"/>
  <c r="N49" i="6"/>
  <c r="O49" i="6" s="1"/>
  <c r="L66" i="6"/>
  <c r="L60" i="6"/>
  <c r="L60" i="1"/>
  <c r="L66" i="1"/>
  <c r="N49" i="1"/>
  <c r="O49" i="1" s="1"/>
  <c r="L63" i="9"/>
  <c r="N63" i="9" s="1"/>
  <c r="O63" i="9" s="1"/>
  <c r="N62" i="9"/>
  <c r="O62" i="9" s="1"/>
  <c r="L66" i="5"/>
  <c r="L60" i="5"/>
  <c r="N49" i="5"/>
  <c r="O49" i="5" s="1"/>
  <c r="L63" i="14" l="1"/>
  <c r="N63" i="14" s="1"/>
  <c r="O63" i="14" s="1"/>
  <c r="L64" i="12"/>
  <c r="L70" i="8"/>
  <c r="N70" i="8" s="1"/>
  <c r="O70" i="8" s="1"/>
  <c r="L64" i="8"/>
  <c r="H20" i="24" s="1"/>
  <c r="I20" i="24" s="1"/>
  <c r="J20" i="24" s="1"/>
  <c r="L63" i="15"/>
  <c r="N63" i="15" s="1"/>
  <c r="O63" i="15" s="1"/>
  <c r="H23" i="24"/>
  <c r="I23" i="24" s="1"/>
  <c r="J23" i="24" s="1"/>
  <c r="N69" i="23"/>
  <c r="O69" i="23" s="1"/>
  <c r="N64" i="8"/>
  <c r="O64" i="8" s="1"/>
  <c r="L64" i="9"/>
  <c r="H21" i="24" s="1"/>
  <c r="L70" i="9"/>
  <c r="N70" i="9" s="1"/>
  <c r="O70" i="9" s="1"/>
  <c r="L69" i="15"/>
  <c r="H34" i="24" s="1"/>
  <c r="L70" i="11"/>
  <c r="N70" i="11" s="1"/>
  <c r="O70" i="11" s="1"/>
  <c r="N66" i="1"/>
  <c r="O66" i="1" s="1"/>
  <c r="L67" i="1"/>
  <c r="N67" i="1" s="1"/>
  <c r="O67" i="1" s="1"/>
  <c r="L61" i="6"/>
  <c r="N61" i="6" s="1"/>
  <c r="O61" i="6" s="1"/>
  <c r="N60" i="6"/>
  <c r="O60" i="6" s="1"/>
  <c r="N60" i="3"/>
  <c r="O60" i="3" s="1"/>
  <c r="L61" i="3"/>
  <c r="N61" i="3" s="1"/>
  <c r="O61" i="3" s="1"/>
  <c r="L67" i="7"/>
  <c r="N67" i="7" s="1"/>
  <c r="O67" i="7" s="1"/>
  <c r="N66" i="7"/>
  <c r="O66" i="7" s="1"/>
  <c r="L61" i="1"/>
  <c r="N61" i="1" s="1"/>
  <c r="O61" i="1" s="1"/>
  <c r="N60" i="1"/>
  <c r="O60" i="1" s="1"/>
  <c r="L67" i="6"/>
  <c r="N67" i="6" s="1"/>
  <c r="O67" i="6" s="1"/>
  <c r="N66" i="6"/>
  <c r="O66" i="6" s="1"/>
  <c r="N66" i="3"/>
  <c r="O66" i="3" s="1"/>
  <c r="L67" i="3"/>
  <c r="N67" i="3" s="1"/>
  <c r="O67" i="3" s="1"/>
  <c r="N60" i="5"/>
  <c r="O60" i="5" s="1"/>
  <c r="L61" i="5"/>
  <c r="N61" i="5" s="1"/>
  <c r="O61" i="5" s="1"/>
  <c r="H24" i="24"/>
  <c r="I24" i="24" s="1"/>
  <c r="J24" i="24" s="1"/>
  <c r="N64" i="12"/>
  <c r="O64" i="12" s="1"/>
  <c r="L61" i="2"/>
  <c r="N61" i="2" s="1"/>
  <c r="O61" i="2" s="1"/>
  <c r="N60" i="2"/>
  <c r="O60" i="2" s="1"/>
  <c r="L64" i="10"/>
  <c r="L67" i="4"/>
  <c r="N67" i="4" s="1"/>
  <c r="O67" i="4" s="1"/>
  <c r="N66" i="4"/>
  <c r="O66" i="4" s="1"/>
  <c r="N60" i="7"/>
  <c r="O60" i="7" s="1"/>
  <c r="L61" i="7"/>
  <c r="N61" i="7" s="1"/>
  <c r="O61" i="7" s="1"/>
  <c r="L69" i="14"/>
  <c r="N66" i="5"/>
  <c r="O66" i="5" s="1"/>
  <c r="L67" i="5"/>
  <c r="N67" i="5" s="1"/>
  <c r="O67" i="5" s="1"/>
  <c r="L70" i="10"/>
  <c r="N70" i="10" s="1"/>
  <c r="O70" i="10" s="1"/>
  <c r="N66" i="2"/>
  <c r="O66" i="2" s="1"/>
  <c r="L67" i="2"/>
  <c r="N67" i="2" s="1"/>
  <c r="O67" i="2" s="1"/>
  <c r="N60" i="4"/>
  <c r="O60" i="4" s="1"/>
  <c r="L61" i="4"/>
  <c r="N61" i="4" s="1"/>
  <c r="O61" i="4" s="1"/>
  <c r="L70" i="12"/>
  <c r="N70" i="12" s="1"/>
  <c r="O70" i="12" s="1"/>
  <c r="I34" i="24" l="1"/>
  <c r="H12" i="28"/>
  <c r="I21" i="24"/>
  <c r="H6" i="28"/>
  <c r="N69" i="15"/>
  <c r="O69" i="15" s="1"/>
  <c r="N64" i="9"/>
  <c r="O64" i="9" s="1"/>
  <c r="L62" i="2"/>
  <c r="N62" i="2" s="1"/>
  <c r="O62" i="2" s="1"/>
  <c r="L68" i="6"/>
  <c r="L69" i="6" s="1"/>
  <c r="N69" i="6" s="1"/>
  <c r="O69" i="6" s="1"/>
  <c r="L68" i="3"/>
  <c r="N68" i="3" s="1"/>
  <c r="O68" i="3" s="1"/>
  <c r="L68" i="7"/>
  <c r="N68" i="7" s="1"/>
  <c r="O68" i="7" s="1"/>
  <c r="L62" i="5"/>
  <c r="N62" i="5" s="1"/>
  <c r="O62" i="5" s="1"/>
  <c r="L62" i="6"/>
  <c r="L63" i="6" s="1"/>
  <c r="N63" i="6" s="1"/>
  <c r="O63" i="6" s="1"/>
  <c r="L68" i="1"/>
  <c r="N68" i="1" s="1"/>
  <c r="O68" i="1" s="1"/>
  <c r="L62" i="1"/>
  <c r="L63" i="1" s="1"/>
  <c r="N63" i="1" s="1"/>
  <c r="O63" i="1" s="1"/>
  <c r="L62" i="4"/>
  <c r="N62" i="4" s="1"/>
  <c r="O62" i="4" s="1"/>
  <c r="L68" i="4"/>
  <c r="L69" i="4" s="1"/>
  <c r="N69" i="4" s="1"/>
  <c r="O69" i="4" s="1"/>
  <c r="L62" i="3"/>
  <c r="N62" i="3" s="1"/>
  <c r="O62" i="3" s="1"/>
  <c r="H22" i="24"/>
  <c r="I22" i="24" s="1"/>
  <c r="J22" i="24" s="1"/>
  <c r="N64" i="10"/>
  <c r="O64" i="10" s="1"/>
  <c r="N69" i="14"/>
  <c r="O69" i="14" s="1"/>
  <c r="H31" i="24"/>
  <c r="I31" i="24" s="1"/>
  <c r="J31" i="24" s="1"/>
  <c r="L68" i="2"/>
  <c r="L68" i="5"/>
  <c r="L62" i="7"/>
  <c r="N68" i="6" l="1"/>
  <c r="O68" i="6" s="1"/>
  <c r="J34" i="24"/>
  <c r="J12" i="28" s="1"/>
  <c r="I12" i="28"/>
  <c r="J21" i="24"/>
  <c r="J6" i="28" s="1"/>
  <c r="I6" i="28"/>
  <c r="L63" i="2"/>
  <c r="N63" i="2" s="1"/>
  <c r="O63" i="2" s="1"/>
  <c r="L69" i="1"/>
  <c r="N69" i="1" s="1"/>
  <c r="O69" i="1" s="1"/>
  <c r="L69" i="3"/>
  <c r="N69" i="3" s="1"/>
  <c r="O69" i="3" s="1"/>
  <c r="N68" i="4"/>
  <c r="O68" i="4" s="1"/>
  <c r="N62" i="6"/>
  <c r="O62" i="6" s="1"/>
  <c r="L63" i="5"/>
  <c r="N63" i="5" s="1"/>
  <c r="O63" i="5" s="1"/>
  <c r="L63" i="4"/>
  <c r="N63" i="4" s="1"/>
  <c r="O63" i="4" s="1"/>
  <c r="L63" i="3"/>
  <c r="N63" i="3" s="1"/>
  <c r="O63" i="3" s="1"/>
  <c r="L69" i="7"/>
  <c r="N69" i="7" s="1"/>
  <c r="O69" i="7" s="1"/>
  <c r="N62" i="1"/>
  <c r="O62" i="1" s="1"/>
  <c r="L64" i="1"/>
  <c r="H11" i="24" s="1"/>
  <c r="I11" i="24" s="1"/>
  <c r="J11" i="24" s="1"/>
  <c r="N62" i="7"/>
  <c r="O62" i="7" s="1"/>
  <c r="L63" i="7"/>
  <c r="N63" i="7" s="1"/>
  <c r="O63" i="7" s="1"/>
  <c r="L70" i="4"/>
  <c r="N70" i="4" s="1"/>
  <c r="O70" i="4" s="1"/>
  <c r="L64" i="6"/>
  <c r="N68" i="5"/>
  <c r="O68" i="5" s="1"/>
  <c r="L69" i="5"/>
  <c r="N69" i="5" s="1"/>
  <c r="O69" i="5" s="1"/>
  <c r="L70" i="6"/>
  <c r="N70" i="6" s="1"/>
  <c r="O70" i="6" s="1"/>
  <c r="N68" i="2"/>
  <c r="O68" i="2" s="1"/>
  <c r="L69" i="2"/>
  <c r="N69" i="2" s="1"/>
  <c r="O69" i="2" s="1"/>
  <c r="L70" i="1" l="1"/>
  <c r="N70" i="1" s="1"/>
  <c r="O70" i="1" s="1"/>
  <c r="L70" i="3"/>
  <c r="N70" i="3" s="1"/>
  <c r="O70" i="3" s="1"/>
  <c r="L64" i="2"/>
  <c r="N64" i="2" s="1"/>
  <c r="O64" i="2" s="1"/>
  <c r="L64" i="5"/>
  <c r="N64" i="5" s="1"/>
  <c r="O64" i="5" s="1"/>
  <c r="L64" i="4"/>
  <c r="N64" i="4" s="1"/>
  <c r="O64" i="4" s="1"/>
  <c r="L70" i="7"/>
  <c r="N70" i="7" s="1"/>
  <c r="O70" i="7" s="1"/>
  <c r="L64" i="3"/>
  <c r="N64" i="1"/>
  <c r="O64" i="1" s="1"/>
  <c r="L70" i="2"/>
  <c r="N70" i="2" s="1"/>
  <c r="O70" i="2" s="1"/>
  <c r="L64" i="7"/>
  <c r="H12" i="24"/>
  <c r="I12" i="24" s="1"/>
  <c r="J12" i="24" s="1"/>
  <c r="H15" i="24"/>
  <c r="I15" i="24" s="1"/>
  <c r="J15" i="24" s="1"/>
  <c r="L70" i="5"/>
  <c r="N70" i="5" s="1"/>
  <c r="O70" i="5" s="1"/>
  <c r="N64" i="6"/>
  <c r="O64" i="6" s="1"/>
  <c r="H16" i="24"/>
  <c r="I16" i="24" s="1"/>
  <c r="J16" i="24" s="1"/>
  <c r="H14" i="24" l="1"/>
  <c r="H13" i="24"/>
  <c r="I13" i="24" s="1"/>
  <c r="J13" i="24" s="1"/>
  <c r="N64" i="3"/>
  <c r="O64" i="3" s="1"/>
  <c r="N64" i="7"/>
  <c r="O64" i="7" s="1"/>
  <c r="H17" i="24"/>
  <c r="I17" i="24" s="1"/>
  <c r="J17" i="24" s="1"/>
  <c r="I14" i="24" l="1"/>
  <c r="H3" i="28"/>
  <c r="J14" i="24" l="1"/>
  <c r="J3" i="28" s="1"/>
  <c r="I3" i="28"/>
</calcChain>
</file>

<file path=xl/comments1.xml><?xml version="1.0" encoding="utf-8"?>
<comments xmlns="http://schemas.openxmlformats.org/spreadsheetml/2006/main">
  <authors>
    <author>Author</author>
  </authors>
  <commentList>
    <comment ref="B23" authorId="0">
      <text>
        <r>
          <rPr>
            <b/>
            <sz val="10"/>
            <color indexed="81"/>
            <rFont val="Arial"/>
            <family val="2"/>
          </rPr>
          <t>Insert specific service charge rate adders/riders as required</t>
        </r>
      </text>
    </comment>
    <comment ref="B24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25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26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30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1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2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3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4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5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6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8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40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1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2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</commentList>
</comments>
</file>

<file path=xl/comments10.xml><?xml version="1.0" encoding="utf-8"?>
<comments xmlns="http://schemas.openxmlformats.org/spreadsheetml/2006/main">
  <authors>
    <author>Author</author>
  </authors>
  <commentList>
    <comment ref="B22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23" authorId="0">
      <text>
        <r>
          <rPr>
            <b/>
            <sz val="10"/>
            <color indexed="81"/>
            <rFont val="Arial"/>
            <family val="2"/>
          </rPr>
          <t>Insert specific service charge rate adders/riders as required</t>
        </r>
      </text>
    </comment>
    <comment ref="B24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25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26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30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1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2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3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4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5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6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8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40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1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2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</commentList>
</comments>
</file>

<file path=xl/comments11.xml><?xml version="1.0" encoding="utf-8"?>
<comments xmlns="http://schemas.openxmlformats.org/spreadsheetml/2006/main">
  <authors>
    <author>Author</author>
  </authors>
  <commentList>
    <comment ref="B22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23" authorId="0">
      <text>
        <r>
          <rPr>
            <b/>
            <sz val="10"/>
            <color indexed="81"/>
            <rFont val="Arial"/>
            <family val="2"/>
          </rPr>
          <t>Insert specific service charge rate adders/riders as required</t>
        </r>
      </text>
    </comment>
    <comment ref="B24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25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26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30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1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2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3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4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5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6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8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40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1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2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</commentList>
</comments>
</file>

<file path=xl/comments12.xml><?xml version="1.0" encoding="utf-8"?>
<comments xmlns="http://schemas.openxmlformats.org/spreadsheetml/2006/main">
  <authors>
    <author>Author</author>
  </authors>
  <commentList>
    <comment ref="B22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23" authorId="0">
      <text>
        <r>
          <rPr>
            <b/>
            <sz val="10"/>
            <color indexed="81"/>
            <rFont val="Arial"/>
            <family val="2"/>
          </rPr>
          <t>Insert specific service charge rate adders/riders as required</t>
        </r>
      </text>
    </comment>
    <comment ref="B24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25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26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30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1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2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3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4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5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6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8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40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1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2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</commentList>
</comments>
</file>

<file path=xl/comments13.xml><?xml version="1.0" encoding="utf-8"?>
<comments xmlns="http://schemas.openxmlformats.org/spreadsheetml/2006/main">
  <authors>
    <author>Author</author>
  </authors>
  <commentList>
    <comment ref="B22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23" authorId="0">
      <text>
        <r>
          <rPr>
            <b/>
            <sz val="10"/>
            <color indexed="81"/>
            <rFont val="Arial"/>
            <family val="2"/>
          </rPr>
          <t>Insert specific service charge rate adders/riders as required</t>
        </r>
      </text>
    </comment>
    <comment ref="B24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25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26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30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1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2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3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4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5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6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9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0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1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</commentList>
</comments>
</file>

<file path=xl/comments14.xml><?xml version="1.0" encoding="utf-8"?>
<comments xmlns="http://schemas.openxmlformats.org/spreadsheetml/2006/main">
  <authors>
    <author>Author</author>
  </authors>
  <commentList>
    <comment ref="B22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23" authorId="0">
      <text>
        <r>
          <rPr>
            <b/>
            <sz val="10"/>
            <color indexed="81"/>
            <rFont val="Arial"/>
            <family val="2"/>
          </rPr>
          <t>Insert specific service charge rate adders/riders as required</t>
        </r>
      </text>
    </comment>
    <comment ref="B24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30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1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2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3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4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5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6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9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</commentList>
</comments>
</file>

<file path=xl/comments15.xml><?xml version="1.0" encoding="utf-8"?>
<comments xmlns="http://schemas.openxmlformats.org/spreadsheetml/2006/main">
  <authors>
    <author>Author</author>
  </authors>
  <commentList>
    <comment ref="B22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23" authorId="0">
      <text>
        <r>
          <rPr>
            <b/>
            <sz val="10"/>
            <color indexed="81"/>
            <rFont val="Arial"/>
            <family val="2"/>
          </rPr>
          <t>Insert specific service charge rate adders/riders as required</t>
        </r>
      </text>
    </comment>
    <comment ref="B24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30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1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2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3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4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5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6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9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</commentList>
</comments>
</file>

<file path=xl/comments16.xml><?xml version="1.0" encoding="utf-8"?>
<comments xmlns="http://schemas.openxmlformats.org/spreadsheetml/2006/main">
  <authors>
    <author>Author</author>
  </authors>
  <commentList>
    <comment ref="B22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23" authorId="0">
      <text>
        <r>
          <rPr>
            <b/>
            <sz val="10"/>
            <color indexed="81"/>
            <rFont val="Arial"/>
            <family val="2"/>
          </rPr>
          <t>Insert specific service charge rate adders/riders as required</t>
        </r>
      </text>
    </comment>
    <comment ref="B24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25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26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30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1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2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3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4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5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6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9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0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1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</commentList>
</comments>
</file>

<file path=xl/comments17.xml><?xml version="1.0" encoding="utf-8"?>
<comments xmlns="http://schemas.openxmlformats.org/spreadsheetml/2006/main">
  <authors>
    <author>Author</author>
  </authors>
  <commentList>
    <comment ref="B22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23" authorId="0">
      <text>
        <r>
          <rPr>
            <b/>
            <sz val="10"/>
            <color indexed="81"/>
            <rFont val="Arial"/>
            <family val="2"/>
          </rPr>
          <t>Insert specific service charge rate adders/riders as required</t>
        </r>
      </text>
    </comment>
    <comment ref="B24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25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26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30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1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2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3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4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5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6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9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0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1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</commentList>
</comments>
</file>

<file path=xl/comments18.xml><?xml version="1.0" encoding="utf-8"?>
<comments xmlns="http://schemas.openxmlformats.org/spreadsheetml/2006/main">
  <authors>
    <author>Author</author>
  </authors>
  <commentList>
    <comment ref="B22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23" authorId="0">
      <text>
        <r>
          <rPr>
            <b/>
            <sz val="10"/>
            <color indexed="81"/>
            <rFont val="Arial"/>
            <family val="2"/>
          </rPr>
          <t>Insert specific service charge rate adders/riders as required</t>
        </r>
      </text>
    </comment>
    <comment ref="B24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25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26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30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1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2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3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4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5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6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9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0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1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</commentList>
</comments>
</file>

<file path=xl/comments19.xml><?xml version="1.0" encoding="utf-8"?>
<comments xmlns="http://schemas.openxmlformats.org/spreadsheetml/2006/main">
  <authors>
    <author>Author</author>
  </authors>
  <commentList>
    <comment ref="B23" authorId="0">
      <text>
        <r>
          <rPr>
            <b/>
            <sz val="10"/>
            <color indexed="81"/>
            <rFont val="Arial"/>
            <family val="2"/>
          </rPr>
          <t>Insert specific service charge rate adders/riders as required</t>
        </r>
      </text>
    </comment>
    <comment ref="B24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25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26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30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1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2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3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4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5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6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9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0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1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</commentList>
</comments>
</file>

<file path=xl/comments2.xml><?xml version="1.0" encoding="utf-8"?>
<comments xmlns="http://schemas.openxmlformats.org/spreadsheetml/2006/main">
  <authors>
    <author>Author</author>
  </authors>
  <commentList>
    <comment ref="B23" authorId="0">
      <text>
        <r>
          <rPr>
            <b/>
            <sz val="10"/>
            <color indexed="81"/>
            <rFont val="Arial"/>
            <family val="2"/>
          </rPr>
          <t>Insert specific service charge rate adders/riders as required</t>
        </r>
      </text>
    </comment>
    <comment ref="B24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25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26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30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1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2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3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4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5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6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8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40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1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2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</commentList>
</comments>
</file>

<file path=xl/comments20.xml><?xml version="1.0" encoding="utf-8"?>
<comments xmlns="http://schemas.openxmlformats.org/spreadsheetml/2006/main">
  <authors>
    <author>Author</author>
  </authors>
  <commentList>
    <comment ref="B23" authorId="0">
      <text>
        <r>
          <rPr>
            <b/>
            <sz val="10"/>
            <color indexed="81"/>
            <rFont val="Arial"/>
            <family val="2"/>
          </rPr>
          <t>Insert specific service charge rate adders/riders as required</t>
        </r>
      </text>
    </comment>
    <comment ref="B24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25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26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30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1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2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3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4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5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6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9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0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1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</commentList>
</comments>
</file>

<file path=xl/comments21.xml><?xml version="1.0" encoding="utf-8"?>
<comments xmlns="http://schemas.openxmlformats.org/spreadsheetml/2006/main">
  <authors>
    <author>Author</author>
  </authors>
  <commentList>
    <comment ref="B23" authorId="0">
      <text>
        <r>
          <rPr>
            <b/>
            <sz val="10"/>
            <color indexed="81"/>
            <rFont val="Arial"/>
            <family val="2"/>
          </rPr>
          <t>Insert specific service charge rate adders/riders as required</t>
        </r>
      </text>
    </comment>
    <comment ref="B24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25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26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30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1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2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3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4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5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6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9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0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1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</commentList>
</comments>
</file>

<file path=xl/comments22.xml><?xml version="1.0" encoding="utf-8"?>
<comments xmlns="http://schemas.openxmlformats.org/spreadsheetml/2006/main">
  <authors>
    <author>Author</author>
  </authors>
  <commentList>
    <comment ref="B23" authorId="0">
      <text>
        <r>
          <rPr>
            <b/>
            <sz val="10"/>
            <color indexed="81"/>
            <rFont val="Arial"/>
            <family val="2"/>
          </rPr>
          <t>Insert specific service charge rate adders/riders as required</t>
        </r>
      </text>
    </comment>
    <comment ref="B24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25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26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30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1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2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3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4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5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6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9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0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1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</commentList>
</comments>
</file>

<file path=xl/comments3.xml><?xml version="1.0" encoding="utf-8"?>
<comments xmlns="http://schemas.openxmlformats.org/spreadsheetml/2006/main">
  <authors>
    <author>Author</author>
  </authors>
  <commentList>
    <comment ref="B23" authorId="0">
      <text>
        <r>
          <rPr>
            <b/>
            <sz val="10"/>
            <color indexed="81"/>
            <rFont val="Arial"/>
            <family val="2"/>
          </rPr>
          <t>Insert specific service charge rate adders/riders as required</t>
        </r>
      </text>
    </comment>
    <comment ref="B24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25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26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30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1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2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3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4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5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6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8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40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1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2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B23" authorId="0">
      <text>
        <r>
          <rPr>
            <b/>
            <sz val="10"/>
            <color indexed="81"/>
            <rFont val="Arial"/>
            <family val="2"/>
          </rPr>
          <t>Insert specific service charge rate adders/riders as required</t>
        </r>
      </text>
    </comment>
    <comment ref="B24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25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26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30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1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2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3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4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5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6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8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40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1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2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B23" authorId="0">
      <text>
        <r>
          <rPr>
            <b/>
            <sz val="10"/>
            <color indexed="81"/>
            <rFont val="Arial"/>
            <family val="2"/>
          </rPr>
          <t>Insert specific service charge rate adders/riders as required</t>
        </r>
      </text>
    </comment>
    <comment ref="B24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25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26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30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1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2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3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4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5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6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8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40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1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2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</commentList>
</comments>
</file>

<file path=xl/comments6.xml><?xml version="1.0" encoding="utf-8"?>
<comments xmlns="http://schemas.openxmlformats.org/spreadsheetml/2006/main">
  <authors>
    <author>Author</author>
  </authors>
  <commentList>
    <comment ref="B23" authorId="0">
      <text>
        <r>
          <rPr>
            <b/>
            <sz val="10"/>
            <color indexed="81"/>
            <rFont val="Arial"/>
            <family val="2"/>
          </rPr>
          <t>Insert specific service charge rate adders/riders as required</t>
        </r>
      </text>
    </comment>
    <comment ref="B24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25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26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30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1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2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3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4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5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6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8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40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1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2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</commentList>
</comments>
</file>

<file path=xl/comments7.xml><?xml version="1.0" encoding="utf-8"?>
<comments xmlns="http://schemas.openxmlformats.org/spreadsheetml/2006/main">
  <authors>
    <author>Author</author>
  </authors>
  <commentList>
    <comment ref="B23" authorId="0">
      <text>
        <r>
          <rPr>
            <b/>
            <sz val="10"/>
            <color indexed="81"/>
            <rFont val="Arial"/>
            <family val="2"/>
          </rPr>
          <t>Insert specific service charge rate adders/riders as required</t>
        </r>
      </text>
    </comment>
    <comment ref="B24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25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26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30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1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2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3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4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5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6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8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40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1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2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</commentList>
</comments>
</file>

<file path=xl/comments8.xml><?xml version="1.0" encoding="utf-8"?>
<comments xmlns="http://schemas.openxmlformats.org/spreadsheetml/2006/main">
  <authors>
    <author>Author</author>
  </authors>
  <commentList>
    <comment ref="B23" authorId="0">
      <text>
        <r>
          <rPr>
            <b/>
            <sz val="10"/>
            <color indexed="81"/>
            <rFont val="Arial"/>
            <family val="2"/>
          </rPr>
          <t>Insert specific service charge rate adders/riders as required</t>
        </r>
      </text>
    </comment>
    <comment ref="B24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25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26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30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1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2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3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4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5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6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8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40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1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2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</commentList>
</comments>
</file>

<file path=xl/comments9.xml><?xml version="1.0" encoding="utf-8"?>
<comments xmlns="http://schemas.openxmlformats.org/spreadsheetml/2006/main">
  <authors>
    <author>Author</author>
  </authors>
  <commentList>
    <comment ref="B22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23" authorId="0">
      <text>
        <r>
          <rPr>
            <b/>
            <sz val="10"/>
            <color indexed="81"/>
            <rFont val="Arial"/>
            <family val="2"/>
          </rPr>
          <t>Insert specific service charge rate adders/riders as required</t>
        </r>
      </text>
    </comment>
    <comment ref="B24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25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26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30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1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2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3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4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5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6" authorId="0">
      <text>
        <r>
          <rPr>
            <b/>
            <sz val="10"/>
            <color indexed="81"/>
            <rFont val="Arial"/>
            <family val="2"/>
          </rPr>
          <t>Insert specific volumetric rate riders/adders as required (excluding DVA riders)</t>
        </r>
      </text>
    </comment>
    <comment ref="B38" authorId="0">
      <text>
        <r>
          <rPr>
            <b/>
            <sz val="10"/>
            <color indexed="81"/>
            <rFont val="Arial"/>
            <family val="2"/>
          </rPr>
          <t>Insert specific service charge rate adders/riders</t>
        </r>
      </text>
    </comment>
    <comment ref="B40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1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  <comment ref="B42" authorId="0">
      <text>
        <r>
          <rPr>
            <b/>
            <sz val="8"/>
            <color indexed="81"/>
            <rFont val="Tahoma"/>
            <family val="2"/>
          </rPr>
          <t>Insert each specific Deferral/Variance Account Disposition Rate Rider(s) as required</t>
        </r>
      </text>
    </comment>
  </commentList>
</comments>
</file>

<file path=xl/sharedStrings.xml><?xml version="1.0" encoding="utf-8"?>
<sst xmlns="http://schemas.openxmlformats.org/spreadsheetml/2006/main" count="2282" uniqueCount="103">
  <si>
    <t>File Number:</t>
  </si>
  <si>
    <t>Appendix 2-W</t>
  </si>
  <si>
    <t>Bill Impacts</t>
  </si>
  <si>
    <t>Customer Class:</t>
  </si>
  <si>
    <t>TOU / non-TOU:</t>
  </si>
  <si>
    <t>TOU</t>
  </si>
  <si>
    <t>Consumption</t>
  </si>
  <si>
    <t xml:space="preserve"> kWh</t>
  </si>
  <si>
    <t>Current Board-Approved</t>
  </si>
  <si>
    <t>Proposed</t>
  </si>
  <si>
    <t>Impact</t>
  </si>
  <si>
    <t>Charge Unit</t>
  </si>
  <si>
    <t>Rate</t>
  </si>
  <si>
    <t>Volume</t>
  </si>
  <si>
    <t>Charge</t>
  </si>
  <si>
    <t>$ Change</t>
  </si>
  <si>
    <t>% Change</t>
  </si>
  <si>
    <t>($)</t>
  </si>
  <si>
    <t>Monthly Service Charge</t>
  </si>
  <si>
    <t>Distribution Volumetric Rate</t>
  </si>
  <si>
    <t>Smart Meter Disposition Rider</t>
  </si>
  <si>
    <t>LRAM &amp; SSM Rate Rider</t>
  </si>
  <si>
    <t>Sub-Total A (excluding pass through)</t>
  </si>
  <si>
    <t>Deferral/Variance Account Disposition Rate Rider</t>
  </si>
  <si>
    <t>Low Voltage Service Charge</t>
  </si>
  <si>
    <t>Line Losses on Cost of Power</t>
  </si>
  <si>
    <t>Smart Meter Entity Charge</t>
  </si>
  <si>
    <t>Sub-Total B - Distribution (includes Sub-Total A)</t>
  </si>
  <si>
    <t>RTSR - Network</t>
  </si>
  <si>
    <t>RTSR - Line and Transformation Connection</t>
  </si>
  <si>
    <t>Sub-Total C - Delivery (including Sub-Total B)</t>
  </si>
  <si>
    <t>Wholesale Market Service Charge (WMSC)</t>
  </si>
  <si>
    <t>Rural and Remote Rate Protection (RRRP)</t>
  </si>
  <si>
    <t>Standard Supply Service Charge</t>
  </si>
  <si>
    <t>Debt Retirement Charge (DRC)</t>
  </si>
  <si>
    <t>TOU - Off Peak</t>
  </si>
  <si>
    <t>TOU - Mid Peak</t>
  </si>
  <si>
    <t>TOU - On Peak</t>
  </si>
  <si>
    <t>Energy - RPP - Tier 1</t>
  </si>
  <si>
    <t>Energy - RPP - Tier 2</t>
  </si>
  <si>
    <t>Total Bill on TOU (before Taxes)</t>
  </si>
  <si>
    <t>HST</t>
  </si>
  <si>
    <r>
      <t xml:space="preserve">Total Bill </t>
    </r>
    <r>
      <rPr>
        <sz val="10"/>
        <rFont val="Arial"/>
        <family val="2"/>
      </rPr>
      <t>(including HST)</t>
    </r>
  </si>
  <si>
    <r>
      <t xml:space="preserve">Ontario Clean Energy Benefit </t>
    </r>
    <r>
      <rPr>
        <b/>
        <i/>
        <vertAlign val="superscript"/>
        <sz val="10"/>
        <rFont val="Arial"/>
        <family val="2"/>
      </rPr>
      <t>1</t>
    </r>
  </si>
  <si>
    <t>Total Bill on TOU (including OCEB)</t>
  </si>
  <si>
    <t>Total Bill on RPP (before Taxes)</t>
  </si>
  <si>
    <t>Total Bill on RPP (including OCEB)</t>
  </si>
  <si>
    <t>Loss Factor (%)</t>
  </si>
  <si>
    <r>
      <t>1</t>
    </r>
    <r>
      <rPr>
        <sz val="10"/>
        <rFont val="Arial"/>
        <family val="2"/>
      </rPr>
      <t xml:space="preserve"> Applicable to eligible customers only.  Refer to the </t>
    </r>
    <r>
      <rPr>
        <i/>
        <sz val="10"/>
        <rFont val="Arial"/>
        <family val="2"/>
      </rPr>
      <t>Ontario Clean Energy Benefit Act, 2010.</t>
    </r>
  </si>
  <si>
    <t xml:space="preserve">Note that the "Charge $" columns provide breakdowns of the amounts that each bill component contributes to the total monthly bill at the referenced </t>
  </si>
  <si>
    <t>consumption level at existing and proposed rates.</t>
  </si>
  <si>
    <t>Applicants must provide bill impacts for residential at 800 kWh and GS&lt;50kW at 2000 kWh. In addition, their filing must cover the range that is relevant</t>
  </si>
  <si>
    <t>to their service territory, class by class. A general guideline of consumption levels follows:</t>
  </si>
  <si>
    <t>Residential (kWh) - 100, 250, 500, 800, 1000, 1500, 2000</t>
  </si>
  <si>
    <t>GS&lt;50kW (kWh) - 1000, 2000, 5000, 10000, 15000</t>
  </si>
  <si>
    <t>GS&gt;50kW (kW) - 60, 100, 500, 1000</t>
  </si>
  <si>
    <t>Large User - range appropriate for utility</t>
  </si>
  <si>
    <t>Lighting Classes and USL - 150 kWh and 1 kW, range appropriate for utility.</t>
  </si>
  <si>
    <t>Note that cells with the highlighted color shown to the left indicate quantities that are loss adjusted.</t>
  </si>
  <si>
    <t>Residential</t>
  </si>
  <si>
    <t>Monthly</t>
  </si>
  <si>
    <t>per kWh</t>
  </si>
  <si>
    <t>Rate Rider for Disposal of Residual Historical Smart Meter Costs - effective until April 30, 2014</t>
  </si>
  <si>
    <t>Rate Rider for Smart Meter Incremental Revenue Requirement</t>
  </si>
  <si>
    <t>Stranded Meter Rate Rider (SMRR)</t>
  </si>
  <si>
    <t xml:space="preserve">Rate Rider for Application of Tax Change </t>
  </si>
  <si>
    <t>Rate Rider for Accounts 1575 and 1576</t>
  </si>
  <si>
    <t>GS &lt; 50 kW</t>
  </si>
  <si>
    <t>non-TOU</t>
  </si>
  <si>
    <t>kW</t>
  </si>
  <si>
    <t>per kW</t>
  </si>
  <si>
    <t>Large Use</t>
  </si>
  <si>
    <t>Street Lighting</t>
  </si>
  <si>
    <t>Unmetered Scattered Load</t>
  </si>
  <si>
    <t>Rate Rider for Disposition of Global Adjustment Sub-Account(Applicable only for Non-RPP Customers)</t>
  </si>
  <si>
    <t>Sheet:</t>
  </si>
  <si>
    <t>Filed:</t>
  </si>
  <si>
    <t>Rate Class</t>
  </si>
  <si>
    <t>kWh</t>
  </si>
  <si>
    <t># of Connections</t>
  </si>
  <si>
    <t>$ Difference</t>
  </si>
  <si>
    <t>Time-of-Use</t>
  </si>
  <si>
    <t>USL</t>
  </si>
  <si>
    <t>Interrogatory:</t>
  </si>
  <si>
    <t>Energy - RPP - Tier 1 - Set at 600 kWh</t>
  </si>
  <si>
    <t>GS 50-4,999 kW</t>
  </si>
  <si>
    <t>2015 Bill $</t>
  </si>
  <si>
    <t>2016 Bill $</t>
  </si>
  <si>
    <t>Rate Rider for LRAMVA</t>
  </si>
  <si>
    <t>Embedded Distributor</t>
  </si>
  <si>
    <t>Stranded Meter Rate Rider (SMRR) - 3 YR v02</t>
  </si>
  <si>
    <t>GS 50-4999 kW</t>
  </si>
  <si>
    <t>Total Bill Impact %</t>
  </si>
  <si>
    <t xml:space="preserve">Stranded Meter Rate Rider (SMRR) </t>
  </si>
  <si>
    <t>EB-2015-0108</t>
  </si>
  <si>
    <t>Exhibit:</t>
  </si>
  <si>
    <t>Tab:</t>
  </si>
  <si>
    <t>Attachment 8-4</t>
  </si>
  <si>
    <t>COP Spot Price - Apr/15 Navigant</t>
  </si>
  <si>
    <t>Distribution Bill Impact % *</t>
  </si>
  <si>
    <t>Distribution Bill Impact % **</t>
  </si>
  <si>
    <t xml:space="preserve"> ** Includes Pass Through Items</t>
  </si>
  <si>
    <t xml:space="preserve">   * Excludes Pass Through Items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</si>
</sst>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??_-;_-@_-"/>
    <numFmt numFmtId="165" formatCode="_-&quot;$&quot;* #,##0.0000_-;\-&quot;$&quot;* #,##0.0000_-;_-&quot;$&quot;* &quot;-&quot;??_-;_-@_-"/>
    <numFmt numFmtId="166" formatCode="0.000%"/>
    <numFmt numFmtId="167" formatCode="[$-409]mmmm\ d\,\ yyyy;@"/>
    <numFmt numFmtId="168" formatCode="_-&quot;$&quot;* #,##0.00000_-;\-&quot;$&quot;* #,##0.00000_-;_-&quot;$&quot;* &quot;-&quot;??_-;_-@_-"/>
    <numFmt numFmtId="169" formatCode="_(* #,##0_);_(* \(#,##0\);_(* &quot;-&quot;??_);_(@_)"/>
    <numFmt numFmtId="170" formatCode="_(&quot;$&quot;* #,##0.0000_);_(&quot;$&quot;* \(#,##0.0000\);_(&quot;$&quot;* &quot;-&quot;??_);_(@_)"/>
    <numFmt numFmtId="171" formatCode="_(* #,##0.0000_);_(* \(#,##0.0000\);_(* &quot;-&quot;??_);_(@_)"/>
  </numFmts>
  <fonts count="24" x14ac:knownFonts="1">
    <font>
      <sz val="11"/>
      <color theme="1"/>
      <name val="Calibri"/>
      <family val="2"/>
      <scheme val="minor"/>
    </font>
    <font>
      <sz val="16"/>
      <color indexed="12"/>
      <name val="Algerian"/>
      <family val="5"/>
    </font>
    <font>
      <b/>
      <sz val="10"/>
      <name val="Arial"/>
      <family val="2"/>
    </font>
    <font>
      <sz val="8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i/>
      <sz val="10"/>
      <name val="Arial"/>
      <family val="2"/>
    </font>
    <font>
      <b/>
      <i/>
      <vertAlign val="superscript"/>
      <sz val="10"/>
      <name val="Arial"/>
      <family val="2"/>
    </font>
    <font>
      <vertAlign val="superscript"/>
      <sz val="10"/>
      <name val="Arial"/>
      <family val="2"/>
    </font>
    <font>
      <i/>
      <sz val="10"/>
      <name val="Arial"/>
      <family val="2"/>
    </font>
    <font>
      <b/>
      <sz val="10"/>
      <color indexed="81"/>
      <name val="Arial"/>
      <family val="2"/>
    </font>
    <font>
      <b/>
      <sz val="8"/>
      <color indexed="81"/>
      <name val="Tahoma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b/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name val="Calibri"/>
      <family val="2"/>
      <scheme val="minor"/>
    </font>
    <font>
      <sz val="11"/>
      <color rgb="FFFF00FF"/>
      <name val="Calibri"/>
      <family val="2"/>
      <scheme val="minor"/>
    </font>
    <font>
      <i/>
      <sz val="9"/>
      <color theme="1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00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43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7" fillId="0" borderId="0"/>
    <xf numFmtId="9" fontId="15" fillId="0" borderId="0" applyFont="0" applyFill="0" applyBorder="0" applyAlignment="0" applyProtection="0"/>
  </cellStyleXfs>
  <cellXfs count="411">
    <xf numFmtId="0" fontId="0" fillId="0" borderId="0" xfId="0"/>
    <xf numFmtId="0" fontId="1" fillId="2" borderId="0" xfId="0" applyFont="1" applyFill="1" applyAlignment="1" applyProtection="1">
      <alignment vertical="top" wrapText="1"/>
    </xf>
    <xf numFmtId="0" fontId="0" fillId="2" borderId="0" xfId="0" applyFill="1" applyBorder="1" applyProtection="1"/>
    <xf numFmtId="0" fontId="2" fillId="0" borderId="0" xfId="0" applyFont="1"/>
    <xf numFmtId="0" fontId="3" fillId="0" borderId="0" xfId="0" applyFont="1" applyAlignment="1">
      <alignment horizontal="right" vertical="top"/>
    </xf>
    <xf numFmtId="0" fontId="4" fillId="2" borderId="0" xfId="0" applyFont="1" applyFill="1" applyBorder="1" applyAlignment="1" applyProtection="1"/>
    <xf numFmtId="0" fontId="5" fillId="2" borderId="0" xfId="0" applyFont="1" applyFill="1" applyBorder="1" applyAlignment="1" applyProtection="1"/>
    <xf numFmtId="0" fontId="0" fillId="0" borderId="0" xfId="0" applyProtection="1"/>
    <xf numFmtId="0" fontId="2" fillId="0" borderId="0" xfId="0" applyFont="1" applyAlignment="1" applyProtection="1">
      <alignment horizontal="right"/>
    </xf>
    <xf numFmtId="0" fontId="7" fillId="0" borderId="0" xfId="0" applyFont="1" applyAlignment="1" applyProtection="1">
      <alignment horizontal="right"/>
    </xf>
    <xf numFmtId="0" fontId="5" fillId="0" borderId="0" xfId="0" applyFont="1" applyAlignment="1" applyProtection="1">
      <alignment horizontal="center"/>
    </xf>
    <xf numFmtId="0" fontId="8" fillId="3" borderId="0" xfId="0" applyFont="1" applyFill="1" applyAlignment="1" applyProtection="1">
      <alignment horizontal="center"/>
    </xf>
    <xf numFmtId="0" fontId="7" fillId="0" borderId="0" xfId="0" applyFont="1" applyProtection="1"/>
    <xf numFmtId="0" fontId="2" fillId="0" borderId="0" xfId="0" applyFont="1" applyProtection="1"/>
    <xf numFmtId="164" fontId="2" fillId="4" borderId="1" xfId="1" applyNumberFormat="1" applyFont="1" applyFill="1" applyBorder="1" applyProtection="1">
      <protection locked="0"/>
    </xf>
    <xf numFmtId="0" fontId="2" fillId="0" borderId="0" xfId="0" applyFont="1" applyAlignment="1" applyProtection="1"/>
    <xf numFmtId="0" fontId="2" fillId="0" borderId="0" xfId="0" applyFont="1" applyAlignment="1" applyProtection="1">
      <alignment horizontal="center"/>
    </xf>
    <xf numFmtId="0" fontId="2" fillId="0" borderId="2" xfId="0" applyFont="1" applyBorder="1" applyAlignment="1" applyProtection="1">
      <alignment horizontal="center"/>
    </xf>
    <xf numFmtId="0" fontId="2" fillId="0" borderId="3" xfId="0" applyFont="1" applyBorder="1" applyAlignment="1" applyProtection="1">
      <alignment horizontal="center"/>
    </xf>
    <xf numFmtId="0" fontId="2" fillId="0" borderId="4" xfId="0" applyFont="1" applyBorder="1" applyAlignment="1" applyProtection="1">
      <alignment horizontal="center"/>
    </xf>
    <xf numFmtId="0" fontId="2" fillId="0" borderId="5" xfId="0" quotePrefix="1" applyFont="1" applyBorder="1" applyAlignment="1" applyProtection="1">
      <alignment horizontal="center"/>
    </xf>
    <xf numFmtId="0" fontId="2" fillId="0" borderId="6" xfId="0" quotePrefix="1" applyFont="1" applyBorder="1" applyAlignment="1" applyProtection="1">
      <alignment horizontal="center"/>
    </xf>
    <xf numFmtId="0" fontId="0" fillId="0" borderId="0" xfId="0" applyAlignment="1" applyProtection="1">
      <alignment vertical="top"/>
    </xf>
    <xf numFmtId="0" fontId="0" fillId="3" borderId="0" xfId="0" applyFill="1" applyAlignment="1" applyProtection="1">
      <alignment vertical="top"/>
      <protection locked="0"/>
    </xf>
    <xf numFmtId="0" fontId="0" fillId="0" borderId="0" xfId="0" applyFill="1" applyAlignment="1" applyProtection="1">
      <alignment vertical="top"/>
    </xf>
    <xf numFmtId="165" fontId="15" fillId="4" borderId="7" xfId="2" applyNumberFormat="1" applyFont="1" applyFill="1" applyBorder="1" applyAlignment="1" applyProtection="1">
      <alignment vertical="top"/>
      <protection locked="0"/>
    </xf>
    <xf numFmtId="0" fontId="0" fillId="0" borderId="7" xfId="0" applyFill="1" applyBorder="1" applyAlignment="1" applyProtection="1">
      <alignment vertical="center"/>
    </xf>
    <xf numFmtId="44" fontId="15" fillId="0" borderId="3" xfId="2" applyFont="1" applyBorder="1" applyAlignment="1" applyProtection="1">
      <alignment vertical="center"/>
    </xf>
    <xf numFmtId="0" fontId="0" fillId="0" borderId="0" xfId="0" applyAlignment="1" applyProtection="1">
      <alignment vertical="center"/>
    </xf>
    <xf numFmtId="165" fontId="15" fillId="4" borderId="7" xfId="2" applyNumberFormat="1" applyFont="1" applyFill="1" applyBorder="1" applyAlignment="1" applyProtection="1">
      <alignment vertical="center"/>
      <protection locked="0"/>
    </xf>
    <xf numFmtId="0" fontId="0" fillId="0" borderId="3" xfId="0" applyFill="1" applyBorder="1" applyAlignment="1" applyProtection="1">
      <alignment vertical="center"/>
    </xf>
    <xf numFmtId="44" fontId="0" fillId="0" borderId="7" xfId="0" applyNumberFormat="1" applyBorder="1" applyAlignment="1" applyProtection="1">
      <alignment vertical="center"/>
    </xf>
    <xf numFmtId="10" fontId="15" fillId="0" borderId="3" xfId="4" applyNumberFormat="1" applyFont="1" applyBorder="1" applyAlignment="1" applyProtection="1">
      <alignment vertical="center"/>
    </xf>
    <xf numFmtId="0" fontId="0" fillId="4" borderId="0" xfId="0" applyFill="1" applyAlignment="1" applyProtection="1">
      <alignment vertical="top"/>
      <protection locked="0"/>
    </xf>
    <xf numFmtId="0" fontId="0" fillId="0" borderId="0" xfId="0" applyFill="1" applyProtection="1"/>
    <xf numFmtId="0" fontId="2" fillId="5" borderId="8" xfId="0" applyFont="1" applyFill="1" applyBorder="1" applyAlignment="1" applyProtection="1">
      <alignment vertical="top"/>
      <protection locked="0"/>
    </xf>
    <xf numFmtId="0" fontId="0" fillId="5" borderId="9" xfId="0" applyFill="1" applyBorder="1" applyAlignment="1" applyProtection="1">
      <alignment vertical="top"/>
    </xf>
    <xf numFmtId="0" fontId="0" fillId="5" borderId="9" xfId="0" applyFill="1" applyBorder="1" applyAlignment="1" applyProtection="1">
      <alignment vertical="top"/>
      <protection locked="0"/>
    </xf>
    <xf numFmtId="165" fontId="15" fillId="5" borderId="1" xfId="2" applyNumberFormat="1" applyFont="1" applyFill="1" applyBorder="1" applyAlignment="1" applyProtection="1">
      <alignment vertical="top"/>
      <protection locked="0"/>
    </xf>
    <xf numFmtId="0" fontId="0" fillId="5" borderId="1" xfId="0" applyFill="1" applyBorder="1" applyAlignment="1" applyProtection="1">
      <alignment vertical="center"/>
      <protection locked="0"/>
    </xf>
    <xf numFmtId="44" fontId="15" fillId="5" borderId="10" xfId="2" applyFont="1" applyFill="1" applyBorder="1" applyAlignment="1" applyProtection="1">
      <alignment vertical="center"/>
    </xf>
    <xf numFmtId="0" fontId="0" fillId="5" borderId="0" xfId="0" applyFill="1" applyAlignment="1" applyProtection="1">
      <alignment vertical="center"/>
    </xf>
    <xf numFmtId="165" fontId="15" fillId="5" borderId="1" xfId="2" applyNumberFormat="1" applyFont="1" applyFill="1" applyBorder="1" applyAlignment="1" applyProtection="1">
      <alignment vertical="center"/>
      <protection locked="0"/>
    </xf>
    <xf numFmtId="0" fontId="0" fillId="5" borderId="10" xfId="0" applyFill="1" applyBorder="1" applyAlignment="1" applyProtection="1">
      <alignment vertical="center"/>
      <protection locked="0"/>
    </xf>
    <xf numFmtId="44" fontId="2" fillId="5" borderId="1" xfId="0" applyNumberFormat="1" applyFont="1" applyFill="1" applyBorder="1" applyAlignment="1" applyProtection="1">
      <alignment vertical="center"/>
    </xf>
    <xf numFmtId="10" fontId="2" fillId="5" borderId="10" xfId="4" applyNumberFormat="1" applyFont="1" applyFill="1" applyBorder="1" applyAlignment="1" applyProtection="1">
      <alignment vertical="center"/>
    </xf>
    <xf numFmtId="0" fontId="7" fillId="4" borderId="0" xfId="0" applyFont="1" applyFill="1" applyAlignment="1" applyProtection="1">
      <alignment vertical="top" wrapText="1"/>
    </xf>
    <xf numFmtId="0" fontId="0" fillId="0" borderId="11" xfId="0" applyBorder="1" applyAlignment="1" applyProtection="1">
      <alignment vertical="center"/>
    </xf>
    <xf numFmtId="0" fontId="0" fillId="0" borderId="7" xfId="0" applyBorder="1" applyAlignment="1" applyProtection="1">
      <alignment vertical="center"/>
    </xf>
    <xf numFmtId="0" fontId="7" fillId="0" borderId="0" xfId="0" applyFont="1" applyAlignment="1" applyProtection="1">
      <alignment vertical="top"/>
    </xf>
    <xf numFmtId="0" fontId="2" fillId="5" borderId="8" xfId="0" applyFont="1" applyFill="1" applyBorder="1" applyAlignment="1" applyProtection="1">
      <alignment vertical="top" wrapText="1"/>
    </xf>
    <xf numFmtId="0" fontId="0" fillId="5" borderId="9" xfId="0" applyFill="1" applyBorder="1" applyProtection="1"/>
    <xf numFmtId="0" fontId="0" fillId="5" borderId="1" xfId="0" applyFill="1" applyBorder="1" applyProtection="1"/>
    <xf numFmtId="0" fontId="0" fillId="5" borderId="1" xfId="0" applyFill="1" applyBorder="1" applyAlignment="1" applyProtection="1">
      <alignment vertical="center"/>
    </xf>
    <xf numFmtId="44" fontId="2" fillId="5" borderId="10" xfId="0" applyNumberFormat="1" applyFont="1" applyFill="1" applyBorder="1" applyAlignment="1" applyProtection="1">
      <alignment vertical="center"/>
    </xf>
    <xf numFmtId="0" fontId="0" fillId="5" borderId="10" xfId="0" applyFill="1" applyBorder="1" applyAlignment="1" applyProtection="1">
      <alignment vertical="center"/>
    </xf>
    <xf numFmtId="0" fontId="0" fillId="3" borderId="0" xfId="0" applyFill="1" applyAlignment="1" applyProtection="1">
      <alignment vertical="center"/>
      <protection locked="0"/>
    </xf>
    <xf numFmtId="0" fontId="0" fillId="0" borderId="0" xfId="0" applyFill="1" applyAlignment="1" applyProtection="1">
      <alignment vertical="center"/>
    </xf>
    <xf numFmtId="1" fontId="0" fillId="6" borderId="7" xfId="0" applyNumberFormat="1" applyFill="1" applyBorder="1" applyAlignment="1" applyProtection="1">
      <alignment vertical="center"/>
    </xf>
    <xf numFmtId="0" fontId="0" fillId="0" borderId="0" xfId="0" applyAlignment="1" applyProtection="1">
      <alignment vertical="center" wrapText="1"/>
    </xf>
    <xf numFmtId="0" fontId="0" fillId="5" borderId="1" xfId="0" applyFill="1" applyBorder="1" applyAlignment="1" applyProtection="1">
      <alignment vertical="top"/>
    </xf>
    <xf numFmtId="0" fontId="2" fillId="5" borderId="0" xfId="0" applyFont="1" applyFill="1" applyAlignment="1" applyProtection="1">
      <alignment vertical="center"/>
    </xf>
    <xf numFmtId="0" fontId="2" fillId="5" borderId="1" xfId="0" applyFont="1" applyFill="1" applyBorder="1" applyAlignment="1" applyProtection="1">
      <alignment vertical="center"/>
    </xf>
    <xf numFmtId="0" fontId="2" fillId="5" borderId="10" xfId="0" applyFont="1" applyFill="1" applyBorder="1" applyAlignment="1" applyProtection="1">
      <alignment vertical="center"/>
    </xf>
    <xf numFmtId="0" fontId="0" fillId="0" borderId="0" xfId="0" applyAlignment="1" applyProtection="1">
      <alignment vertical="top" wrapText="1"/>
    </xf>
    <xf numFmtId="165" fontId="15" fillId="4" borderId="7" xfId="2" applyNumberFormat="1" applyFill="1" applyBorder="1" applyAlignment="1" applyProtection="1">
      <alignment vertical="top"/>
      <protection locked="0"/>
    </xf>
    <xf numFmtId="44" fontId="15" fillId="0" borderId="3" xfId="2" applyBorder="1" applyAlignment="1" applyProtection="1">
      <alignment vertical="center"/>
    </xf>
    <xf numFmtId="165" fontId="15" fillId="4" borderId="7" xfId="2" applyNumberFormat="1" applyFill="1" applyBorder="1" applyAlignment="1" applyProtection="1">
      <alignment vertical="center"/>
      <protection locked="0"/>
    </xf>
    <xf numFmtId="10" fontId="15" fillId="0" borderId="3" xfId="4" applyNumberFormat="1" applyBorder="1" applyAlignment="1" applyProtection="1">
      <alignment vertical="center"/>
    </xf>
    <xf numFmtId="1" fontId="0" fillId="0" borderId="7" xfId="0" applyNumberFormat="1" applyFill="1" applyBorder="1" applyAlignment="1" applyProtection="1">
      <alignment vertical="center"/>
    </xf>
    <xf numFmtId="1" fontId="0" fillId="0" borderId="3" xfId="0" applyNumberFormat="1" applyFill="1" applyBorder="1" applyAlignment="1" applyProtection="1">
      <alignment vertical="center"/>
    </xf>
    <xf numFmtId="165" fontId="15" fillId="0" borderId="7" xfId="2" applyNumberFormat="1" applyFill="1" applyBorder="1" applyAlignment="1" applyProtection="1">
      <alignment vertical="top"/>
      <protection locked="0"/>
    </xf>
    <xf numFmtId="44" fontId="0" fillId="0" borderId="0" xfId="0" applyNumberFormat="1" applyProtection="1"/>
    <xf numFmtId="0" fontId="7" fillId="0" borderId="0" xfId="3" applyProtection="1"/>
    <xf numFmtId="0" fontId="7" fillId="0" borderId="0" xfId="3" applyFont="1" applyAlignment="1" applyProtection="1">
      <alignment vertical="top"/>
    </xf>
    <xf numFmtId="0" fontId="7" fillId="0" borderId="0" xfId="3" applyAlignment="1" applyProtection="1">
      <alignment vertical="top"/>
    </xf>
    <xf numFmtId="0" fontId="7" fillId="3" borderId="0" xfId="3" applyFill="1" applyAlignment="1" applyProtection="1">
      <alignment vertical="top"/>
      <protection locked="0"/>
    </xf>
    <xf numFmtId="0" fontId="7" fillId="0" borderId="0" xfId="3" applyFill="1" applyAlignment="1" applyProtection="1">
      <alignment vertical="top"/>
    </xf>
    <xf numFmtId="1" fontId="7" fillId="7" borderId="7" xfId="3" applyNumberFormat="1" applyFill="1" applyBorder="1" applyAlignment="1" applyProtection="1">
      <alignment vertical="center"/>
    </xf>
    <xf numFmtId="0" fontId="7" fillId="0" borderId="0" xfId="3" applyAlignment="1" applyProtection="1">
      <alignment vertical="center"/>
    </xf>
    <xf numFmtId="44" fontId="7" fillId="0" borderId="7" xfId="3" applyNumberFormat="1" applyBorder="1" applyAlignment="1" applyProtection="1">
      <alignment vertical="center"/>
    </xf>
    <xf numFmtId="0" fontId="7" fillId="8" borderId="12" xfId="0" applyFont="1" applyFill="1" applyBorder="1" applyProtection="1"/>
    <xf numFmtId="0" fontId="0" fillId="8" borderId="13" xfId="0" applyFill="1" applyBorder="1" applyAlignment="1" applyProtection="1">
      <alignment vertical="top"/>
    </xf>
    <xf numFmtId="0" fontId="0" fillId="8" borderId="13" xfId="0" applyFill="1" applyBorder="1" applyAlignment="1" applyProtection="1">
      <alignment vertical="top"/>
      <protection locked="0"/>
    </xf>
    <xf numFmtId="165" fontId="15" fillId="8" borderId="14" xfId="2" applyNumberFormat="1" applyFill="1" applyBorder="1" applyAlignment="1" applyProtection="1">
      <alignment vertical="top"/>
      <protection locked="0"/>
    </xf>
    <xf numFmtId="0" fontId="0" fillId="8" borderId="15" xfId="0" applyFill="1" applyBorder="1" applyAlignment="1" applyProtection="1">
      <alignment vertical="center"/>
      <protection locked="0"/>
    </xf>
    <xf numFmtId="44" fontId="15" fillId="8" borderId="13" xfId="2" applyFill="1" applyBorder="1" applyAlignment="1" applyProtection="1">
      <alignment vertical="center"/>
    </xf>
    <xf numFmtId="0" fontId="0" fillId="8" borderId="13" xfId="0" applyFill="1" applyBorder="1" applyAlignment="1" applyProtection="1">
      <alignment vertical="center"/>
    </xf>
    <xf numFmtId="0" fontId="0" fillId="8" borderId="14" xfId="0" applyFill="1" applyBorder="1" applyAlignment="1" applyProtection="1">
      <alignment vertical="center"/>
      <protection locked="0"/>
    </xf>
    <xf numFmtId="44" fontId="0" fillId="8" borderId="14" xfId="0" applyNumberFormat="1" applyFill="1" applyBorder="1" applyAlignment="1" applyProtection="1">
      <alignment vertical="center"/>
    </xf>
    <xf numFmtId="10" fontId="15" fillId="8" borderId="16" xfId="4" applyNumberFormat="1" applyFill="1" applyBorder="1" applyAlignment="1" applyProtection="1">
      <alignment vertical="center"/>
    </xf>
    <xf numFmtId="0" fontId="2" fillId="0" borderId="0" xfId="0" applyFont="1" applyFill="1" applyAlignment="1" applyProtection="1">
      <alignment vertical="top"/>
    </xf>
    <xf numFmtId="9" fontId="0" fillId="0" borderId="7" xfId="0" applyNumberFormat="1" applyFill="1" applyBorder="1" applyAlignment="1" applyProtection="1">
      <alignment vertical="top"/>
    </xf>
    <xf numFmtId="9" fontId="0" fillId="0" borderId="0" xfId="0" applyNumberFormat="1" applyFill="1" applyBorder="1" applyAlignment="1" applyProtection="1">
      <alignment vertical="center"/>
    </xf>
    <xf numFmtId="44" fontId="2" fillId="0" borderId="11" xfId="0" applyNumberFormat="1" applyFont="1" applyFill="1" applyBorder="1" applyAlignment="1" applyProtection="1">
      <alignment vertical="center"/>
    </xf>
    <xf numFmtId="0" fontId="2" fillId="0" borderId="7" xfId="0" applyFont="1" applyFill="1" applyBorder="1" applyAlignment="1" applyProtection="1">
      <alignment vertical="center"/>
    </xf>
    <xf numFmtId="9" fontId="2" fillId="0" borderId="7" xfId="0" applyNumberFormat="1" applyFont="1" applyFill="1" applyBorder="1" applyAlignment="1" applyProtection="1">
      <alignment vertical="center"/>
    </xf>
    <xf numFmtId="0" fontId="2" fillId="0" borderId="0" xfId="0" applyFont="1" applyFill="1" applyBorder="1" applyAlignment="1" applyProtection="1">
      <alignment vertical="center"/>
    </xf>
    <xf numFmtId="44" fontId="2" fillId="0" borderId="7" xfId="0" applyNumberFormat="1" applyFont="1" applyFill="1" applyBorder="1" applyAlignment="1" applyProtection="1">
      <alignment vertical="center"/>
    </xf>
    <xf numFmtId="10" fontId="2" fillId="0" borderId="3" xfId="4" applyNumberFormat="1" applyFont="1" applyFill="1" applyBorder="1" applyAlignment="1" applyProtection="1">
      <alignment vertical="center"/>
    </xf>
    <xf numFmtId="0" fontId="7" fillId="0" borderId="0" xfId="0" applyFont="1" applyFill="1" applyAlignment="1" applyProtection="1">
      <alignment horizontal="left" vertical="top" indent="1"/>
    </xf>
    <xf numFmtId="9" fontId="0" fillId="0" borderId="7" xfId="0" applyNumberFormat="1" applyFill="1" applyBorder="1" applyAlignment="1" applyProtection="1">
      <alignment vertical="top"/>
      <protection locked="0"/>
    </xf>
    <xf numFmtId="0" fontId="0" fillId="0" borderId="0" xfId="0" applyFill="1" applyBorder="1" applyAlignment="1" applyProtection="1">
      <alignment vertical="center"/>
    </xf>
    <xf numFmtId="44" fontId="7" fillId="0" borderId="11" xfId="0" applyNumberFormat="1" applyFont="1" applyFill="1" applyBorder="1" applyAlignment="1" applyProtection="1">
      <alignment vertical="center"/>
    </xf>
    <xf numFmtId="0" fontId="7" fillId="0" borderId="7" xfId="0" applyFont="1" applyFill="1" applyBorder="1" applyAlignment="1" applyProtection="1">
      <alignment vertical="center"/>
    </xf>
    <xf numFmtId="9" fontId="7" fillId="0" borderId="7" xfId="0" applyNumberFormat="1" applyFont="1" applyFill="1" applyBorder="1" applyAlignment="1" applyProtection="1">
      <alignment vertical="center"/>
      <protection locked="0"/>
    </xf>
    <xf numFmtId="44" fontId="7" fillId="0" borderId="3" xfId="0" applyNumberFormat="1" applyFont="1" applyFill="1" applyBorder="1" applyAlignment="1" applyProtection="1">
      <alignment vertical="center"/>
    </xf>
    <xf numFmtId="0" fontId="7" fillId="0" borderId="0" xfId="0" applyFont="1" applyFill="1" applyBorder="1" applyAlignment="1" applyProtection="1">
      <alignment vertical="center"/>
    </xf>
    <xf numFmtId="44" fontId="7" fillId="0" borderId="7" xfId="0" applyNumberFormat="1" applyFont="1" applyFill="1" applyBorder="1" applyAlignment="1" applyProtection="1">
      <alignment vertical="center"/>
    </xf>
    <xf numFmtId="10" fontId="7" fillId="0" borderId="3" xfId="4" applyNumberFormat="1" applyFont="1" applyFill="1" applyBorder="1" applyAlignment="1" applyProtection="1">
      <alignment vertical="center"/>
    </xf>
    <xf numFmtId="0" fontId="2" fillId="0" borderId="0" xfId="0" applyFont="1" applyAlignment="1" applyProtection="1">
      <alignment horizontal="left" vertical="top" wrapText="1" indent="1"/>
    </xf>
    <xf numFmtId="0" fontId="0" fillId="0" borderId="7" xfId="0" applyFill="1" applyBorder="1" applyAlignment="1" applyProtection="1">
      <alignment vertical="top"/>
    </xf>
    <xf numFmtId="44" fontId="17" fillId="0" borderId="11" xfId="0" applyNumberFormat="1" applyFont="1" applyFill="1" applyBorder="1" applyAlignment="1" applyProtection="1">
      <alignment vertical="center"/>
    </xf>
    <xf numFmtId="44" fontId="17" fillId="0" borderId="3" xfId="0" applyNumberFormat="1" applyFont="1" applyFill="1" applyBorder="1" applyAlignment="1" applyProtection="1">
      <alignment vertical="center"/>
    </xf>
    <xf numFmtId="44" fontId="17" fillId="0" borderId="7" xfId="0" applyNumberFormat="1" applyFont="1" applyFill="1" applyBorder="1" applyAlignment="1" applyProtection="1">
      <alignment vertical="center"/>
    </xf>
    <xf numFmtId="10" fontId="17" fillId="0" borderId="3" xfId="4" applyNumberFormat="1" applyFont="1" applyFill="1" applyBorder="1" applyAlignment="1" applyProtection="1">
      <alignment vertical="center"/>
    </xf>
    <xf numFmtId="0" fontId="0" fillId="9" borderId="0" xfId="0" applyFill="1" applyAlignment="1" applyProtection="1">
      <alignment vertical="top"/>
    </xf>
    <xf numFmtId="0" fontId="0" fillId="9" borderId="5" xfId="0" applyFill="1" applyBorder="1" applyAlignment="1" applyProtection="1">
      <alignment vertical="top"/>
    </xf>
    <xf numFmtId="0" fontId="0" fillId="9" borderId="17" xfId="0" applyFill="1" applyBorder="1" applyAlignment="1" applyProtection="1">
      <alignment vertical="center"/>
    </xf>
    <xf numFmtId="44" fontId="2" fillId="9" borderId="18" xfId="0" applyNumberFormat="1" applyFont="1" applyFill="1" applyBorder="1" applyAlignment="1" applyProtection="1">
      <alignment vertical="center"/>
    </xf>
    <xf numFmtId="0" fontId="2" fillId="9" borderId="5" xfId="0" applyFont="1" applyFill="1" applyBorder="1" applyAlignment="1" applyProtection="1">
      <alignment vertical="center"/>
    </xf>
    <xf numFmtId="44" fontId="2" fillId="9" borderId="6" xfId="0" applyNumberFormat="1" applyFont="1" applyFill="1" applyBorder="1" applyAlignment="1" applyProtection="1">
      <alignment vertical="center"/>
    </xf>
    <xf numFmtId="0" fontId="2" fillId="9" borderId="17" xfId="0" applyFont="1" applyFill="1" applyBorder="1" applyAlignment="1" applyProtection="1">
      <alignment vertical="center"/>
    </xf>
    <xf numFmtId="44" fontId="2" fillId="9" borderId="5" xfId="0" applyNumberFormat="1" applyFont="1" applyFill="1" applyBorder="1" applyAlignment="1" applyProtection="1">
      <alignment vertical="center"/>
    </xf>
    <xf numFmtId="10" fontId="2" fillId="9" borderId="6" xfId="4" applyNumberFormat="1" applyFont="1" applyFill="1" applyBorder="1" applyAlignment="1" applyProtection="1">
      <alignment vertical="center"/>
    </xf>
    <xf numFmtId="0" fontId="7" fillId="8" borderId="12" xfId="3" applyFont="1" applyFill="1" applyBorder="1" applyProtection="1"/>
    <xf numFmtId="0" fontId="7" fillId="8" borderId="13" xfId="3" applyFill="1" applyBorder="1" applyAlignment="1" applyProtection="1">
      <alignment vertical="top"/>
    </xf>
    <xf numFmtId="0" fontId="7" fillId="8" borderId="13" xfId="3" applyFill="1" applyBorder="1" applyAlignment="1" applyProtection="1">
      <alignment vertical="top"/>
      <protection locked="0"/>
    </xf>
    <xf numFmtId="0" fontId="7" fillId="8" borderId="15" xfId="3" applyFill="1" applyBorder="1" applyAlignment="1" applyProtection="1">
      <alignment vertical="center"/>
      <protection locked="0"/>
    </xf>
    <xf numFmtId="0" fontId="7" fillId="8" borderId="13" xfId="3" applyFill="1" applyBorder="1" applyAlignment="1" applyProtection="1">
      <alignment vertical="center"/>
    </xf>
    <xf numFmtId="0" fontId="7" fillId="8" borderId="14" xfId="3" applyFill="1" applyBorder="1" applyAlignment="1" applyProtection="1">
      <alignment vertical="center"/>
      <protection locked="0"/>
    </xf>
    <xf numFmtId="44" fontId="7" fillId="8" borderId="14" xfId="3" applyNumberFormat="1" applyFill="1" applyBorder="1" applyAlignment="1" applyProtection="1">
      <alignment vertical="center"/>
    </xf>
    <xf numFmtId="0" fontId="2" fillId="0" borderId="0" xfId="3" applyFont="1" applyFill="1" applyAlignment="1" applyProtection="1">
      <alignment vertical="top"/>
    </xf>
    <xf numFmtId="9" fontId="7" fillId="0" borderId="7" xfId="3" applyNumberFormat="1" applyFill="1" applyBorder="1" applyAlignment="1" applyProtection="1">
      <alignment vertical="top"/>
    </xf>
    <xf numFmtId="9" fontId="7" fillId="0" borderId="0" xfId="3" applyNumberFormat="1" applyFill="1" applyBorder="1" applyAlignment="1" applyProtection="1">
      <alignment vertical="center"/>
    </xf>
    <xf numFmtId="44" fontId="2" fillId="0" borderId="11" xfId="3" applyNumberFormat="1" applyFont="1" applyFill="1" applyBorder="1" applyAlignment="1" applyProtection="1">
      <alignment vertical="center"/>
    </xf>
    <xf numFmtId="0" fontId="2" fillId="0" borderId="7" xfId="3" applyFont="1" applyFill="1" applyBorder="1" applyAlignment="1" applyProtection="1">
      <alignment vertical="center"/>
    </xf>
    <xf numFmtId="9" fontId="2" fillId="0" borderId="7" xfId="3" applyNumberFormat="1" applyFont="1" applyFill="1" applyBorder="1" applyAlignment="1" applyProtection="1">
      <alignment vertical="center"/>
    </xf>
    <xf numFmtId="0" fontId="2" fillId="0" borderId="0" xfId="3" applyFont="1" applyFill="1" applyBorder="1" applyAlignment="1" applyProtection="1">
      <alignment vertical="center"/>
    </xf>
    <xf numFmtId="44" fontId="2" fillId="0" borderId="7" xfId="3" applyNumberFormat="1" applyFont="1" applyFill="1" applyBorder="1" applyAlignment="1" applyProtection="1">
      <alignment vertical="center"/>
    </xf>
    <xf numFmtId="0" fontId="7" fillId="0" borderId="0" xfId="3" applyFont="1" applyFill="1" applyAlignment="1" applyProtection="1">
      <alignment horizontal="left" vertical="top" indent="1"/>
    </xf>
    <xf numFmtId="9" fontId="7" fillId="0" borderId="7" xfId="3" applyNumberFormat="1" applyFill="1" applyBorder="1" applyAlignment="1" applyProtection="1">
      <alignment vertical="top"/>
      <protection locked="0"/>
    </xf>
    <xf numFmtId="44" fontId="7" fillId="0" borderId="11" xfId="3" applyNumberFormat="1" applyFont="1" applyFill="1" applyBorder="1" applyAlignment="1" applyProtection="1">
      <alignment vertical="center"/>
    </xf>
    <xf numFmtId="0" fontId="7" fillId="0" borderId="7" xfId="3" applyFont="1" applyFill="1" applyBorder="1" applyAlignment="1" applyProtection="1">
      <alignment vertical="center"/>
    </xf>
    <xf numFmtId="9" fontId="7" fillId="0" borderId="7" xfId="3" applyNumberFormat="1" applyFont="1" applyFill="1" applyBorder="1" applyAlignment="1" applyProtection="1">
      <alignment vertical="top"/>
      <protection locked="0"/>
    </xf>
    <xf numFmtId="9" fontId="7" fillId="0" borderId="7" xfId="3" applyNumberFormat="1" applyFont="1" applyFill="1" applyBorder="1" applyAlignment="1" applyProtection="1">
      <alignment vertical="center"/>
    </xf>
    <xf numFmtId="44" fontId="7" fillId="0" borderId="3" xfId="3" applyNumberFormat="1" applyFont="1" applyFill="1" applyBorder="1" applyAlignment="1" applyProtection="1">
      <alignment vertical="center"/>
    </xf>
    <xf numFmtId="0" fontId="7" fillId="0" borderId="0" xfId="3" applyFont="1" applyFill="1" applyBorder="1" applyAlignment="1" applyProtection="1">
      <alignment vertical="center"/>
    </xf>
    <xf numFmtId="44" fontId="7" fillId="0" borderId="7" xfId="3" applyNumberFormat="1" applyFont="1" applyFill="1" applyBorder="1" applyAlignment="1" applyProtection="1">
      <alignment vertical="center"/>
    </xf>
    <xf numFmtId="0" fontId="2" fillId="0" borderId="0" xfId="3" applyFont="1" applyAlignment="1" applyProtection="1">
      <alignment horizontal="left" vertical="top" wrapText="1" indent="1"/>
    </xf>
    <xf numFmtId="0" fontId="7" fillId="0" borderId="7" xfId="3" applyFill="1" applyBorder="1" applyAlignment="1" applyProtection="1">
      <alignment vertical="top"/>
    </xf>
    <xf numFmtId="0" fontId="7" fillId="0" borderId="0" xfId="3" applyFill="1" applyBorder="1" applyAlignment="1" applyProtection="1">
      <alignment vertical="center"/>
    </xf>
    <xf numFmtId="44" fontId="17" fillId="0" borderId="11" xfId="3" applyNumberFormat="1" applyFont="1" applyFill="1" applyBorder="1" applyAlignment="1" applyProtection="1">
      <alignment vertical="center"/>
    </xf>
    <xf numFmtId="44" fontId="17" fillId="0" borderId="3" xfId="3" applyNumberFormat="1" applyFont="1" applyFill="1" applyBorder="1" applyAlignment="1" applyProtection="1">
      <alignment vertical="center"/>
    </xf>
    <xf numFmtId="44" fontId="17" fillId="0" borderId="7" xfId="3" applyNumberFormat="1" applyFont="1" applyFill="1" applyBorder="1" applyAlignment="1" applyProtection="1">
      <alignment vertical="center"/>
    </xf>
    <xf numFmtId="0" fontId="7" fillId="9" borderId="0" xfId="3" applyFill="1" applyAlignment="1" applyProtection="1">
      <alignment vertical="top"/>
    </xf>
    <xf numFmtId="0" fontId="7" fillId="9" borderId="7" xfId="3" applyFill="1" applyBorder="1" applyAlignment="1" applyProtection="1">
      <alignment vertical="top"/>
    </xf>
    <xf numFmtId="0" fontId="7" fillId="9" borderId="0" xfId="3" applyFill="1" applyBorder="1" applyAlignment="1" applyProtection="1">
      <alignment vertical="center"/>
    </xf>
    <xf numFmtId="44" fontId="2" fillId="9" borderId="11" xfId="3" applyNumberFormat="1" applyFont="1" applyFill="1" applyBorder="1" applyAlignment="1" applyProtection="1">
      <alignment vertical="center"/>
    </xf>
    <xf numFmtId="0" fontId="2" fillId="9" borderId="7" xfId="3" applyFont="1" applyFill="1" applyBorder="1" applyAlignment="1" applyProtection="1">
      <alignment vertical="center"/>
    </xf>
    <xf numFmtId="44" fontId="2" fillId="9" borderId="3" xfId="3" applyNumberFormat="1" applyFont="1" applyFill="1" applyBorder="1" applyAlignment="1" applyProtection="1">
      <alignment vertical="center"/>
    </xf>
    <xf numFmtId="0" fontId="2" fillId="9" borderId="0" xfId="3" applyFont="1" applyFill="1" applyBorder="1" applyAlignment="1" applyProtection="1">
      <alignment vertical="center"/>
    </xf>
    <xf numFmtId="44" fontId="2" fillId="9" borderId="7" xfId="3" applyNumberFormat="1" applyFont="1" applyFill="1" applyBorder="1" applyAlignment="1" applyProtection="1">
      <alignment vertical="center"/>
    </xf>
    <xf numFmtId="10" fontId="2" fillId="9" borderId="3" xfId="4" applyNumberFormat="1" applyFont="1" applyFill="1" applyBorder="1" applyAlignment="1" applyProtection="1">
      <alignment vertical="center"/>
    </xf>
    <xf numFmtId="165" fontId="15" fillId="8" borderId="15" xfId="2" applyNumberFormat="1" applyFill="1" applyBorder="1" applyAlignment="1" applyProtection="1">
      <alignment vertical="top"/>
      <protection locked="0"/>
    </xf>
    <xf numFmtId="0" fontId="7" fillId="8" borderId="13" xfId="3" applyFill="1" applyBorder="1" applyAlignment="1" applyProtection="1">
      <alignment vertical="center"/>
      <protection locked="0"/>
    </xf>
    <xf numFmtId="44" fontId="15" fillId="8" borderId="19" xfId="2" applyFill="1" applyBorder="1" applyAlignment="1" applyProtection="1">
      <alignment vertical="center"/>
    </xf>
    <xf numFmtId="0" fontId="7" fillId="8" borderId="15" xfId="3" applyFill="1" applyBorder="1" applyAlignment="1" applyProtection="1">
      <alignment vertical="center"/>
    </xf>
    <xf numFmtId="44" fontId="15" fillId="8" borderId="14" xfId="2" applyFill="1" applyBorder="1" applyAlignment="1" applyProtection="1">
      <alignment vertical="center"/>
    </xf>
    <xf numFmtId="44" fontId="7" fillId="8" borderId="15" xfId="3" applyNumberFormat="1" applyFill="1" applyBorder="1" applyAlignment="1" applyProtection="1">
      <alignment vertical="center"/>
    </xf>
    <xf numFmtId="10" fontId="15" fillId="4" borderId="1" xfId="4" applyNumberFormat="1" applyFill="1" applyBorder="1" applyProtection="1">
      <protection locked="0"/>
    </xf>
    <xf numFmtId="0" fontId="11" fillId="0" borderId="0" xfId="0" applyFont="1" applyProtection="1"/>
    <xf numFmtId="0" fontId="0" fillId="6" borderId="0" xfId="0" applyFill="1" applyProtection="1"/>
    <xf numFmtId="44" fontId="15" fillId="4" borderId="7" xfId="2" applyNumberFormat="1" applyFont="1" applyFill="1" applyBorder="1" applyAlignment="1" applyProtection="1">
      <alignment vertical="center"/>
      <protection locked="0"/>
    </xf>
    <xf numFmtId="44" fontId="15" fillId="4" borderId="7" xfId="2" applyNumberFormat="1" applyFont="1" applyFill="1" applyBorder="1" applyAlignment="1" applyProtection="1">
      <alignment vertical="top"/>
      <protection locked="0"/>
    </xf>
    <xf numFmtId="0" fontId="0" fillId="4" borderId="0" xfId="0" applyFill="1" applyAlignment="1" applyProtection="1">
      <alignment vertical="top" wrapText="1"/>
    </xf>
    <xf numFmtId="44" fontId="15" fillId="4" borderId="7" xfId="2" applyNumberFormat="1" applyFill="1" applyBorder="1" applyAlignment="1" applyProtection="1">
      <alignment vertical="top"/>
      <protection locked="0"/>
    </xf>
    <xf numFmtId="44" fontId="15" fillId="4" borderId="7" xfId="2" applyNumberFormat="1" applyFill="1" applyBorder="1" applyAlignment="1" applyProtection="1">
      <alignment vertical="center"/>
      <protection locked="0"/>
    </xf>
    <xf numFmtId="44" fontId="15" fillId="7" borderId="7" xfId="2" applyNumberFormat="1" applyFont="1" applyFill="1" applyBorder="1" applyAlignment="1" applyProtection="1">
      <alignment vertical="top"/>
      <protection locked="0"/>
    </xf>
    <xf numFmtId="164" fontId="0" fillId="0" borderId="7" xfId="0" applyNumberFormat="1" applyFill="1" applyBorder="1" applyAlignment="1" applyProtection="1">
      <alignment vertical="center"/>
    </xf>
    <xf numFmtId="0" fontId="7" fillId="10" borderId="0" xfId="3" applyFont="1" applyFill="1" applyAlignment="1" applyProtection="1">
      <alignment vertical="top"/>
    </xf>
    <xf numFmtId="0" fontId="7" fillId="0" borderId="0" xfId="0" applyFont="1" applyFill="1" applyAlignment="1" applyProtection="1">
      <alignment vertical="top"/>
    </xf>
    <xf numFmtId="0" fontId="0" fillId="0" borderId="0" xfId="0" applyFill="1" applyAlignment="1" applyProtection="1">
      <alignment vertical="top"/>
      <protection locked="0"/>
    </xf>
    <xf numFmtId="165" fontId="15" fillId="0" borderId="7" xfId="2" applyNumberFormat="1" applyFont="1" applyFill="1" applyBorder="1" applyAlignment="1" applyProtection="1">
      <alignment vertical="top"/>
      <protection locked="0"/>
    </xf>
    <xf numFmtId="44" fontId="15" fillId="0" borderId="3" xfId="2" applyFont="1" applyFill="1" applyBorder="1" applyAlignment="1" applyProtection="1">
      <alignment vertical="center"/>
    </xf>
    <xf numFmtId="165" fontId="15" fillId="0" borderId="7" xfId="2" applyNumberFormat="1" applyFont="1" applyFill="1" applyBorder="1" applyAlignment="1" applyProtection="1">
      <alignment vertical="center"/>
      <protection locked="0"/>
    </xf>
    <xf numFmtId="44" fontId="0" fillId="0" borderId="7" xfId="0" applyNumberFormat="1" applyFill="1" applyBorder="1" applyAlignment="1" applyProtection="1">
      <alignment vertical="center"/>
    </xf>
    <xf numFmtId="10" fontId="15" fillId="0" borderId="3" xfId="4" applyNumberFormat="1" applyFont="1" applyFill="1" applyBorder="1" applyAlignment="1" applyProtection="1">
      <alignment vertical="center"/>
    </xf>
    <xf numFmtId="44" fontId="15" fillId="0" borderId="3" xfId="2" applyFill="1" applyBorder="1" applyAlignment="1" applyProtection="1">
      <alignment vertical="center"/>
    </xf>
    <xf numFmtId="44" fontId="2" fillId="0" borderId="20" xfId="3" applyNumberFormat="1" applyFont="1" applyFill="1" applyBorder="1" applyAlignment="1" applyProtection="1">
      <alignment vertical="center"/>
    </xf>
    <xf numFmtId="44" fontId="2" fillId="0" borderId="20" xfId="0" applyNumberFormat="1" applyFont="1" applyFill="1" applyBorder="1" applyAlignment="1" applyProtection="1">
      <alignment vertical="center"/>
    </xf>
    <xf numFmtId="0" fontId="3" fillId="0" borderId="0" xfId="0" applyFont="1" applyAlignment="1">
      <alignment vertical="top"/>
    </xf>
    <xf numFmtId="0" fontId="3" fillId="0" borderId="0" xfId="0" applyFont="1" applyFill="1" applyAlignment="1">
      <alignment vertical="top"/>
    </xf>
    <xf numFmtId="0" fontId="3" fillId="0" borderId="0" xfId="0" applyFont="1" applyFill="1" applyBorder="1" applyAlignment="1">
      <alignment vertical="top"/>
    </xf>
    <xf numFmtId="0" fontId="0" fillId="0" borderId="0" xfId="0" applyFill="1"/>
    <xf numFmtId="15" fontId="3" fillId="0" borderId="0" xfId="0" applyNumberFormat="1" applyFont="1" applyFill="1" applyAlignment="1">
      <alignment vertical="top"/>
    </xf>
    <xf numFmtId="0" fontId="7" fillId="0" borderId="22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3" fillId="4" borderId="0" xfId="0" applyFont="1" applyFill="1" applyBorder="1" applyAlignment="1">
      <alignment vertical="top"/>
    </xf>
    <xf numFmtId="0" fontId="3" fillId="4" borderId="0" xfId="0" applyFont="1" applyFill="1" applyAlignment="1">
      <alignment vertical="top"/>
    </xf>
    <xf numFmtId="15" fontId="3" fillId="4" borderId="0" xfId="0" applyNumberFormat="1" applyFont="1" applyFill="1" applyAlignment="1">
      <alignment vertical="top"/>
    </xf>
    <xf numFmtId="168" fontId="15" fillId="4" borderId="7" xfId="2" applyNumberFormat="1" applyFont="1" applyFill="1" applyBorder="1" applyAlignment="1" applyProtection="1">
      <alignment vertical="top"/>
      <protection locked="0"/>
    </xf>
    <xf numFmtId="0" fontId="3" fillId="0" borderId="0" xfId="0" applyFont="1" applyAlignment="1">
      <alignment horizontal="right" vertical="top"/>
    </xf>
    <xf numFmtId="0" fontId="7" fillId="0" borderId="21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19" fillId="0" borderId="0" xfId="0" applyFont="1"/>
    <xf numFmtId="0" fontId="20" fillId="0" borderId="0" xfId="0" applyFont="1"/>
    <xf numFmtId="167" fontId="19" fillId="0" borderId="0" xfId="0" quotePrefix="1" applyNumberFormat="1" applyFont="1"/>
    <xf numFmtId="0" fontId="19" fillId="0" borderId="21" xfId="0" applyFont="1" applyBorder="1"/>
    <xf numFmtId="0" fontId="19" fillId="0" borderId="0" xfId="0" applyFont="1" applyBorder="1"/>
    <xf numFmtId="0" fontId="19" fillId="0" borderId="27" xfId="0" applyFont="1" applyFill="1" applyBorder="1"/>
    <xf numFmtId="0" fontId="19" fillId="0" borderId="0" xfId="0" applyFont="1" applyBorder="1" applyAlignment="1">
      <alignment horizontal="center"/>
    </xf>
    <xf numFmtId="0" fontId="19" fillId="0" borderId="27" xfId="0" applyFont="1" applyBorder="1"/>
    <xf numFmtId="0" fontId="19" fillId="0" borderId="27" xfId="0" applyFont="1" applyFill="1" applyBorder="1" applyAlignment="1">
      <alignment horizontal="center"/>
    </xf>
    <xf numFmtId="43" fontId="19" fillId="0" borderId="0" xfId="1" applyFont="1" applyBorder="1"/>
    <xf numFmtId="43" fontId="19" fillId="0" borderId="27" xfId="1" applyFont="1" applyBorder="1"/>
    <xf numFmtId="10" fontId="19" fillId="0" borderId="27" xfId="4" applyNumberFormat="1" applyFont="1" applyBorder="1"/>
    <xf numFmtId="3" fontId="19" fillId="0" borderId="27" xfId="0" applyNumberFormat="1" applyFont="1" applyFill="1" applyBorder="1" applyAlignment="1">
      <alignment horizontal="center"/>
    </xf>
    <xf numFmtId="0" fontId="19" fillId="0" borderId="22" xfId="0" applyFont="1" applyBorder="1"/>
    <xf numFmtId="0" fontId="19" fillId="0" borderId="17" xfId="0" applyFont="1" applyBorder="1"/>
    <xf numFmtId="3" fontId="19" fillId="0" borderId="29" xfId="0" applyNumberFormat="1" applyFont="1" applyFill="1" applyBorder="1" applyAlignment="1">
      <alignment horizontal="center"/>
    </xf>
    <xf numFmtId="0" fontId="19" fillId="0" borderId="17" xfId="0" applyFont="1" applyBorder="1" applyAlignment="1">
      <alignment horizontal="center"/>
    </xf>
    <xf numFmtId="0" fontId="19" fillId="0" borderId="29" xfId="0" applyFont="1" applyBorder="1"/>
    <xf numFmtId="43" fontId="19" fillId="0" borderId="17" xfId="1" applyFont="1" applyBorder="1"/>
    <xf numFmtId="43" fontId="19" fillId="0" borderId="29" xfId="1" applyFont="1" applyBorder="1"/>
    <xf numFmtId="10" fontId="19" fillId="0" borderId="29" xfId="4" applyNumberFormat="1" applyFont="1" applyBorder="1"/>
    <xf numFmtId="0" fontId="19" fillId="0" borderId="23" xfId="0" applyFont="1" applyBorder="1"/>
    <xf numFmtId="0" fontId="19" fillId="0" borderId="24" xfId="0" applyFont="1" applyBorder="1"/>
    <xf numFmtId="0" fontId="19" fillId="0" borderId="30" xfId="0" applyFont="1" applyFill="1" applyBorder="1" applyAlignment="1">
      <alignment horizontal="center"/>
    </xf>
    <xf numFmtId="0" fontId="19" fillId="0" borderId="24" xfId="0" applyFont="1" applyBorder="1" applyAlignment="1">
      <alignment horizontal="center"/>
    </xf>
    <xf numFmtId="0" fontId="19" fillId="0" borderId="30" xfId="0" applyFont="1" applyBorder="1"/>
    <xf numFmtId="43" fontId="19" fillId="0" borderId="24" xfId="1" applyFont="1" applyBorder="1"/>
    <xf numFmtId="43" fontId="19" fillId="0" borderId="30" xfId="1" applyFont="1" applyBorder="1"/>
    <xf numFmtId="10" fontId="19" fillId="0" borderId="30" xfId="0" applyNumberFormat="1" applyFont="1" applyBorder="1"/>
    <xf numFmtId="3" fontId="19" fillId="0" borderId="29" xfId="0" applyNumberFormat="1" applyFont="1" applyBorder="1" applyAlignment="1">
      <alignment horizontal="center"/>
    </xf>
    <xf numFmtId="0" fontId="19" fillId="0" borderId="30" xfId="0" applyFont="1" applyBorder="1" applyAlignment="1">
      <alignment horizontal="center"/>
    </xf>
    <xf numFmtId="3" fontId="19" fillId="0" borderId="27" xfId="0" applyNumberFormat="1" applyFont="1" applyBorder="1" applyAlignment="1">
      <alignment horizontal="center"/>
    </xf>
    <xf numFmtId="3" fontId="19" fillId="0" borderId="0" xfId="0" applyNumberFormat="1" applyFont="1" applyBorder="1" applyAlignment="1">
      <alignment horizontal="center"/>
    </xf>
    <xf numFmtId="3" fontId="19" fillId="0" borderId="17" xfId="0" applyNumberFormat="1" applyFont="1" applyBorder="1" applyAlignment="1">
      <alignment horizontal="center"/>
    </xf>
    <xf numFmtId="0" fontId="19" fillId="0" borderId="27" xfId="0" applyFont="1" applyBorder="1" applyAlignment="1">
      <alignment horizontal="center"/>
    </xf>
    <xf numFmtId="0" fontId="19" fillId="0" borderId="29" xfId="0" applyFont="1" applyBorder="1" applyAlignment="1">
      <alignment horizontal="center"/>
    </xf>
    <xf numFmtId="0" fontId="19" fillId="0" borderId="25" xfId="0" applyFont="1" applyBorder="1"/>
    <xf numFmtId="0" fontId="19" fillId="0" borderId="26" xfId="0" applyFont="1" applyBorder="1"/>
    <xf numFmtId="0" fontId="19" fillId="0" borderId="31" xfId="0" applyFont="1" applyBorder="1"/>
    <xf numFmtId="0" fontId="19" fillId="12" borderId="27" xfId="0" applyFont="1" applyFill="1" applyBorder="1" applyAlignment="1">
      <alignment horizontal="center"/>
    </xf>
    <xf numFmtId="10" fontId="19" fillId="12" borderId="27" xfId="4" applyNumberFormat="1" applyFont="1" applyFill="1" applyBorder="1"/>
    <xf numFmtId="3" fontId="19" fillId="13" borderId="27" xfId="0" applyNumberFormat="1" applyFont="1" applyFill="1" applyBorder="1" applyAlignment="1">
      <alignment horizontal="center"/>
    </xf>
    <xf numFmtId="3" fontId="19" fillId="11" borderId="27" xfId="0" applyNumberFormat="1" applyFont="1" applyFill="1" applyBorder="1" applyAlignment="1">
      <alignment horizontal="center"/>
    </xf>
    <xf numFmtId="10" fontId="19" fillId="11" borderId="27" xfId="4" applyNumberFormat="1" applyFont="1" applyFill="1" applyBorder="1"/>
    <xf numFmtId="0" fontId="19" fillId="13" borderId="0" xfId="0" applyFont="1" applyFill="1" applyBorder="1" applyAlignment="1">
      <alignment horizontal="center"/>
    </xf>
    <xf numFmtId="10" fontId="19" fillId="13" borderId="27" xfId="4" applyNumberFormat="1" applyFont="1" applyFill="1" applyBorder="1"/>
    <xf numFmtId="3" fontId="19" fillId="14" borderId="27" xfId="0" applyNumberFormat="1" applyFont="1" applyFill="1" applyBorder="1" applyAlignment="1">
      <alignment horizontal="center"/>
    </xf>
    <xf numFmtId="3" fontId="19" fillId="14" borderId="0" xfId="0" applyNumberFormat="1" applyFont="1" applyFill="1" applyBorder="1" applyAlignment="1">
      <alignment horizontal="center"/>
    </xf>
    <xf numFmtId="10" fontId="19" fillId="14" borderId="27" xfId="4" applyNumberFormat="1" applyFont="1" applyFill="1" applyBorder="1"/>
    <xf numFmtId="10" fontId="19" fillId="15" borderId="27" xfId="4" applyNumberFormat="1" applyFont="1" applyFill="1" applyBorder="1"/>
    <xf numFmtId="10" fontId="19" fillId="16" borderId="27" xfId="4" applyNumberFormat="1" applyFont="1" applyFill="1" applyBorder="1"/>
    <xf numFmtId="169" fontId="19" fillId="17" borderId="27" xfId="1" applyNumberFormat="1" applyFont="1" applyFill="1" applyBorder="1" applyAlignment="1">
      <alignment horizontal="center"/>
    </xf>
    <xf numFmtId="169" fontId="19" fillId="17" borderId="0" xfId="1" applyNumberFormat="1" applyFont="1" applyFill="1" applyBorder="1" applyAlignment="1">
      <alignment horizontal="center"/>
    </xf>
    <xf numFmtId="10" fontId="19" fillId="17" borderId="27" xfId="4" applyNumberFormat="1" applyFont="1" applyFill="1" applyBorder="1"/>
    <xf numFmtId="3" fontId="19" fillId="15" borderId="27" xfId="0" applyNumberFormat="1" applyFont="1" applyFill="1" applyBorder="1" applyAlignment="1">
      <alignment horizontal="center"/>
    </xf>
    <xf numFmtId="0" fontId="19" fillId="16" borderId="27" xfId="0" applyFont="1" applyFill="1" applyBorder="1" applyAlignment="1">
      <alignment horizontal="center"/>
    </xf>
    <xf numFmtId="0" fontId="19" fillId="16" borderId="0" xfId="0" applyFont="1" applyFill="1" applyBorder="1" applyAlignment="1">
      <alignment horizontal="center"/>
    </xf>
    <xf numFmtId="164" fontId="0" fillId="0" borderId="3" xfId="0" applyNumberFormat="1" applyFill="1" applyBorder="1" applyAlignment="1" applyProtection="1">
      <alignment vertical="center"/>
    </xf>
    <xf numFmtId="165" fontId="21" fillId="4" borderId="7" xfId="2" applyNumberFormat="1" applyFont="1" applyFill="1" applyBorder="1" applyAlignment="1" applyProtection="1">
      <alignment vertical="center"/>
      <protection locked="0"/>
    </xf>
    <xf numFmtId="43" fontId="2" fillId="4" borderId="1" xfId="1" applyFont="1" applyFill="1" applyBorder="1" applyProtection="1">
      <protection locked="0"/>
    </xf>
    <xf numFmtId="43" fontId="0" fillId="0" borderId="7" xfId="1" applyFont="1" applyFill="1" applyBorder="1" applyAlignment="1" applyProtection="1">
      <alignment vertical="center"/>
    </xf>
    <xf numFmtId="43" fontId="0" fillId="5" borderId="1" xfId="1" applyFont="1" applyFill="1" applyBorder="1" applyAlignment="1" applyProtection="1">
      <alignment vertical="center"/>
      <protection locked="0"/>
    </xf>
    <xf numFmtId="43" fontId="0" fillId="5" borderId="1" xfId="1" applyFont="1" applyFill="1" applyBorder="1" applyAlignment="1" applyProtection="1">
      <alignment vertical="center"/>
    </xf>
    <xf numFmtId="43" fontId="7" fillId="7" borderId="7" xfId="1" applyFont="1" applyFill="1" applyBorder="1" applyAlignment="1" applyProtection="1">
      <alignment vertical="center"/>
    </xf>
    <xf numFmtId="43" fontId="2" fillId="5" borderId="10" xfId="1" applyFont="1" applyFill="1" applyBorder="1" applyAlignment="1" applyProtection="1">
      <alignment vertical="center"/>
    </xf>
    <xf numFmtId="43" fontId="0" fillId="0" borderId="3" xfId="1" applyFont="1" applyFill="1" applyBorder="1" applyAlignment="1" applyProtection="1">
      <alignment vertical="center"/>
    </xf>
    <xf numFmtId="43" fontId="0" fillId="5" borderId="10" xfId="1" applyFont="1" applyFill="1" applyBorder="1" applyAlignment="1" applyProtection="1">
      <alignment vertical="center"/>
      <protection locked="0"/>
    </xf>
    <xf numFmtId="0" fontId="19" fillId="0" borderId="0" xfId="0" applyFont="1" applyFill="1" applyBorder="1" applyAlignment="1">
      <alignment horizontal="center"/>
    </xf>
    <xf numFmtId="10" fontId="19" fillId="0" borderId="27" xfId="4" applyNumberFormat="1" applyFont="1" applyFill="1" applyBorder="1"/>
    <xf numFmtId="0" fontId="7" fillId="0" borderId="21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5" fillId="11" borderId="28" xfId="0" applyFont="1" applyFill="1" applyBorder="1" applyAlignment="1">
      <alignment horizontal="center" vertical="center" wrapText="1"/>
    </xf>
    <xf numFmtId="0" fontId="5" fillId="11" borderId="13" xfId="0" applyFont="1" applyFill="1" applyBorder="1" applyAlignment="1">
      <alignment horizontal="center" vertical="center" wrapText="1"/>
    </xf>
    <xf numFmtId="0" fontId="5" fillId="0" borderId="0" xfId="0" applyFont="1" applyFill="1" applyAlignment="1" applyProtection="1">
      <alignment horizontal="left"/>
    </xf>
    <xf numFmtId="0" fontId="5" fillId="0" borderId="0" xfId="0" applyFont="1" applyFill="1" applyAlignment="1" applyProtection="1">
      <alignment horizontal="center"/>
    </xf>
    <xf numFmtId="0" fontId="16" fillId="0" borderId="0" xfId="0" applyFont="1" applyFill="1" applyProtection="1"/>
    <xf numFmtId="0" fontId="18" fillId="0" borderId="0" xfId="0" applyFont="1" applyFill="1" applyProtection="1"/>
    <xf numFmtId="44" fontId="21" fillId="4" borderId="7" xfId="2" applyNumberFormat="1" applyFont="1" applyFill="1" applyBorder="1" applyAlignment="1" applyProtection="1">
      <alignment vertical="top"/>
      <protection locked="0"/>
    </xf>
    <xf numFmtId="44" fontId="21" fillId="4" borderId="7" xfId="2" applyNumberFormat="1" applyFont="1" applyFill="1" applyBorder="1" applyAlignment="1" applyProtection="1">
      <alignment vertical="center"/>
      <protection locked="0"/>
    </xf>
    <xf numFmtId="165" fontId="21" fillId="4" borderId="7" xfId="2" applyNumberFormat="1" applyFont="1" applyFill="1" applyBorder="1" applyAlignment="1" applyProtection="1">
      <alignment vertical="top"/>
      <protection locked="0"/>
    </xf>
    <xf numFmtId="165" fontId="21" fillId="5" borderId="1" xfId="2" applyNumberFormat="1" applyFont="1" applyFill="1" applyBorder="1" applyAlignment="1" applyProtection="1">
      <alignment vertical="top"/>
      <protection locked="0"/>
    </xf>
    <xf numFmtId="165" fontId="21" fillId="0" borderId="7" xfId="2" applyNumberFormat="1" applyFont="1" applyFill="1" applyBorder="1" applyAlignment="1" applyProtection="1">
      <alignment vertical="top"/>
      <protection locked="0"/>
    </xf>
    <xf numFmtId="0" fontId="21" fillId="5" borderId="1" xfId="0" applyFont="1" applyFill="1" applyBorder="1" applyProtection="1"/>
    <xf numFmtId="0" fontId="21" fillId="5" borderId="1" xfId="0" applyFont="1" applyFill="1" applyBorder="1" applyAlignment="1" applyProtection="1">
      <alignment vertical="center"/>
    </xf>
    <xf numFmtId="1" fontId="21" fillId="0" borderId="7" xfId="0" applyNumberFormat="1" applyFont="1" applyFill="1" applyBorder="1" applyAlignment="1" applyProtection="1">
      <alignment vertical="center"/>
    </xf>
    <xf numFmtId="1" fontId="21" fillId="0" borderId="3" xfId="0" applyNumberFormat="1" applyFont="1" applyFill="1" applyBorder="1" applyAlignment="1" applyProtection="1">
      <alignment vertical="center"/>
    </xf>
    <xf numFmtId="0" fontId="7" fillId="0" borderId="0" xfId="3" applyFont="1" applyFill="1" applyAlignment="1" applyProtection="1">
      <alignment vertical="top"/>
    </xf>
    <xf numFmtId="10" fontId="21" fillId="4" borderId="1" xfId="4" applyNumberFormat="1" applyFont="1" applyFill="1" applyBorder="1" applyProtection="1">
      <protection locked="0"/>
    </xf>
    <xf numFmtId="0" fontId="0" fillId="0" borderId="1" xfId="0" applyFill="1" applyBorder="1" applyAlignment="1" applyProtection="1">
      <alignment vertical="center"/>
    </xf>
    <xf numFmtId="0" fontId="2" fillId="0" borderId="10" xfId="0" applyFont="1" applyFill="1" applyBorder="1" applyAlignment="1" applyProtection="1">
      <alignment vertical="center"/>
    </xf>
    <xf numFmtId="0" fontId="0" fillId="0" borderId="0" xfId="0" applyFill="1" applyAlignment="1" applyProtection="1">
      <alignment vertical="center" wrapText="1"/>
    </xf>
    <xf numFmtId="0" fontId="7" fillId="0" borderId="0" xfId="0" applyFont="1" applyFill="1" applyAlignment="1" applyProtection="1">
      <alignment vertical="top" wrapText="1"/>
    </xf>
    <xf numFmtId="0" fontId="0" fillId="0" borderId="0" xfId="0" applyFill="1" applyAlignment="1" applyProtection="1">
      <alignment vertical="top" wrapText="1"/>
    </xf>
    <xf numFmtId="164" fontId="2" fillId="11" borderId="1" xfId="1" applyNumberFormat="1" applyFont="1" applyFill="1" applyBorder="1" applyProtection="1">
      <protection locked="0"/>
    </xf>
    <xf numFmtId="0" fontId="7" fillId="0" borderId="0" xfId="0" applyFont="1" applyFill="1" applyProtection="1"/>
    <xf numFmtId="0" fontId="7" fillId="0" borderId="12" xfId="0" applyFont="1" applyFill="1" applyBorder="1" applyProtection="1"/>
    <xf numFmtId="0" fontId="0" fillId="0" borderId="13" xfId="0" applyFill="1" applyBorder="1" applyAlignment="1" applyProtection="1">
      <alignment vertical="top"/>
    </xf>
    <xf numFmtId="0" fontId="0" fillId="0" borderId="13" xfId="0" applyFill="1" applyBorder="1" applyAlignment="1" applyProtection="1">
      <alignment vertical="top"/>
      <protection locked="0"/>
    </xf>
    <xf numFmtId="0" fontId="2" fillId="0" borderId="0" xfId="0" applyFont="1" applyFill="1" applyAlignment="1" applyProtection="1">
      <alignment horizontal="left" vertical="top" wrapText="1" indent="1"/>
    </xf>
    <xf numFmtId="0" fontId="0" fillId="5" borderId="1" xfId="0" applyFont="1" applyFill="1" applyBorder="1" applyProtection="1"/>
    <xf numFmtId="168" fontId="21" fillId="4" borderId="7" xfId="2" applyNumberFormat="1" applyFont="1" applyFill="1" applyBorder="1" applyAlignment="1" applyProtection="1">
      <alignment vertical="top"/>
      <protection locked="0"/>
    </xf>
    <xf numFmtId="0" fontId="21" fillId="0" borderId="1" xfId="0" applyFont="1" applyFill="1" applyBorder="1" applyAlignment="1" applyProtection="1">
      <alignment vertical="center"/>
    </xf>
    <xf numFmtId="170" fontId="15" fillId="4" borderId="7" xfId="2" applyNumberFormat="1" applyFont="1" applyFill="1" applyBorder="1" applyAlignment="1" applyProtection="1">
      <alignment vertical="center"/>
      <protection locked="0"/>
    </xf>
    <xf numFmtId="43" fontId="21" fillId="0" borderId="7" xfId="1" applyFont="1" applyFill="1" applyBorder="1" applyAlignment="1" applyProtection="1">
      <alignment vertical="center"/>
    </xf>
    <xf numFmtId="43" fontId="21" fillId="0" borderId="3" xfId="1" applyFont="1" applyFill="1" applyBorder="1" applyAlignment="1" applyProtection="1">
      <alignment vertical="center"/>
    </xf>
    <xf numFmtId="0" fontId="3" fillId="0" borderId="0" xfId="0" applyFont="1" applyAlignment="1">
      <alignment horizontal="right" vertical="top"/>
    </xf>
    <xf numFmtId="0" fontId="5" fillId="11" borderId="13" xfId="0" applyFont="1" applyFill="1" applyBorder="1" applyAlignment="1">
      <alignment horizontal="center" vertical="center" wrapText="1"/>
    </xf>
    <xf numFmtId="0" fontId="19" fillId="0" borderId="0" xfId="0" applyFont="1" applyBorder="1" applyAlignment="1">
      <alignment horizontal="center"/>
    </xf>
    <xf numFmtId="0" fontId="19" fillId="0" borderId="22" xfId="0" applyFont="1" applyFill="1" applyBorder="1"/>
    <xf numFmtId="0" fontId="19" fillId="0" borderId="17" xfId="0" applyFont="1" applyFill="1" applyBorder="1"/>
    <xf numFmtId="0" fontId="19" fillId="0" borderId="17" xfId="0" applyFont="1" applyFill="1" applyBorder="1" applyAlignment="1">
      <alignment horizontal="center"/>
    </xf>
    <xf numFmtId="0" fontId="19" fillId="0" borderId="29" xfId="0" applyFont="1" applyFill="1" applyBorder="1"/>
    <xf numFmtId="43" fontId="19" fillId="0" borderId="17" xfId="1" applyFont="1" applyFill="1" applyBorder="1"/>
    <xf numFmtId="43" fontId="19" fillId="0" borderId="29" xfId="1" applyFont="1" applyFill="1" applyBorder="1"/>
    <xf numFmtId="10" fontId="19" fillId="0" borderId="29" xfId="4" applyNumberFormat="1" applyFont="1" applyFill="1" applyBorder="1"/>
    <xf numFmtId="0" fontId="19" fillId="0" borderId="23" xfId="0" applyFont="1" applyFill="1" applyBorder="1"/>
    <xf numFmtId="0" fontId="19" fillId="0" borderId="24" xfId="0" applyFont="1" applyFill="1" applyBorder="1"/>
    <xf numFmtId="0" fontId="19" fillId="0" borderId="24" xfId="0" applyFont="1" applyFill="1" applyBorder="1" applyAlignment="1">
      <alignment horizontal="center"/>
    </xf>
    <xf numFmtId="0" fontId="19" fillId="0" borderId="30" xfId="0" applyFont="1" applyFill="1" applyBorder="1"/>
    <xf numFmtId="43" fontId="19" fillId="0" borderId="24" xfId="1" applyFont="1" applyFill="1" applyBorder="1"/>
    <xf numFmtId="43" fontId="19" fillId="0" borderId="30" xfId="1" applyFont="1" applyFill="1" applyBorder="1"/>
    <xf numFmtId="10" fontId="19" fillId="0" borderId="30" xfId="0" applyNumberFormat="1" applyFont="1" applyFill="1" applyBorder="1"/>
    <xf numFmtId="3" fontId="19" fillId="0" borderId="17" xfId="0" applyNumberFormat="1" applyFont="1" applyFill="1" applyBorder="1" applyAlignment="1">
      <alignment horizontal="center"/>
    </xf>
    <xf numFmtId="0" fontId="7" fillId="0" borderId="22" xfId="0" applyFont="1" applyFill="1" applyBorder="1" applyAlignment="1">
      <alignment horizontal="center"/>
    </xf>
    <xf numFmtId="0" fontId="7" fillId="0" borderId="17" xfId="0" applyFont="1" applyFill="1" applyBorder="1" applyAlignment="1">
      <alignment horizontal="center"/>
    </xf>
    <xf numFmtId="0" fontId="19" fillId="0" borderId="29" xfId="0" applyFont="1" applyFill="1" applyBorder="1" applyAlignment="1">
      <alignment horizontal="center"/>
    </xf>
    <xf numFmtId="0" fontId="19" fillId="0" borderId="25" xfId="0" applyFont="1" applyFill="1" applyBorder="1"/>
    <xf numFmtId="0" fontId="19" fillId="0" borderId="26" xfId="0" applyFont="1" applyFill="1" applyBorder="1"/>
    <xf numFmtId="0" fontId="19" fillId="0" borderId="31" xfId="0" applyFont="1" applyFill="1" applyBorder="1"/>
    <xf numFmtId="0" fontId="7" fillId="11" borderId="0" xfId="0" applyFont="1" applyFill="1" applyProtection="1"/>
    <xf numFmtId="168" fontId="15" fillId="4" borderId="7" xfId="2" applyNumberFormat="1" applyFill="1" applyBorder="1" applyAlignment="1" applyProtection="1">
      <alignment vertical="top"/>
      <protection locked="0"/>
    </xf>
    <xf numFmtId="168" fontId="21" fillId="4" borderId="7" xfId="2" applyNumberFormat="1" applyFont="1" applyFill="1" applyBorder="1" applyAlignment="1" applyProtection="1">
      <alignment vertical="center"/>
      <protection locked="0"/>
    </xf>
    <xf numFmtId="166" fontId="21" fillId="4" borderId="1" xfId="4" applyNumberFormat="1" applyFont="1" applyFill="1" applyBorder="1" applyProtection="1">
      <protection locked="0"/>
    </xf>
    <xf numFmtId="166" fontId="22" fillId="4" borderId="1" xfId="4" applyNumberFormat="1" applyFont="1" applyFill="1" applyBorder="1" applyProtection="1">
      <protection locked="0"/>
    </xf>
    <xf numFmtId="0" fontId="19" fillId="12" borderId="0" xfId="0" applyFont="1" applyFill="1" applyBorder="1" applyAlignment="1">
      <alignment horizontal="center"/>
    </xf>
    <xf numFmtId="0" fontId="23" fillId="0" borderId="0" xfId="0" applyFont="1"/>
    <xf numFmtId="168" fontId="21" fillId="0" borderId="7" xfId="2" applyNumberFormat="1" applyFont="1" applyFill="1" applyBorder="1" applyAlignment="1" applyProtection="1">
      <alignment vertical="center"/>
      <protection locked="0"/>
    </xf>
    <xf numFmtId="168" fontId="21" fillId="0" borderId="7" xfId="2" applyNumberFormat="1" applyFont="1" applyFill="1" applyBorder="1" applyAlignment="1" applyProtection="1">
      <alignment vertical="top"/>
      <protection locked="0"/>
    </xf>
    <xf numFmtId="0" fontId="19" fillId="12" borderId="27" xfId="0" applyFont="1" applyFill="1" applyBorder="1"/>
    <xf numFmtId="43" fontId="19" fillId="12" borderId="0" xfId="1" applyFont="1" applyFill="1" applyBorder="1"/>
    <xf numFmtId="43" fontId="19" fillId="12" borderId="27" xfId="1" applyFont="1" applyFill="1" applyBorder="1"/>
    <xf numFmtId="0" fontId="19" fillId="11" borderId="0" xfId="0" applyFont="1" applyFill="1" applyBorder="1" applyAlignment="1">
      <alignment horizontal="center"/>
    </xf>
    <xf numFmtId="0" fontId="19" fillId="11" borderId="27" xfId="0" applyFont="1" applyFill="1" applyBorder="1"/>
    <xf numFmtId="43" fontId="19" fillId="11" borderId="0" xfId="1" applyFont="1" applyFill="1" applyBorder="1"/>
    <xf numFmtId="43" fontId="19" fillId="11" borderId="27" xfId="1" applyFont="1" applyFill="1" applyBorder="1"/>
    <xf numFmtId="0" fontId="19" fillId="13" borderId="27" xfId="0" applyFont="1" applyFill="1" applyBorder="1"/>
    <xf numFmtId="43" fontId="19" fillId="13" borderId="0" xfId="1" applyFont="1" applyFill="1" applyBorder="1"/>
    <xf numFmtId="43" fontId="19" fillId="13" borderId="27" xfId="1" applyFont="1" applyFill="1" applyBorder="1"/>
    <xf numFmtId="0" fontId="19" fillId="14" borderId="27" xfId="0" applyFont="1" applyFill="1" applyBorder="1"/>
    <xf numFmtId="43" fontId="19" fillId="14" borderId="0" xfId="1" applyFont="1" applyFill="1" applyBorder="1"/>
    <xf numFmtId="43" fontId="19" fillId="14" borderId="27" xfId="1" applyFont="1" applyFill="1" applyBorder="1"/>
    <xf numFmtId="0" fontId="19" fillId="15" borderId="0" xfId="0" applyFont="1" applyFill="1" applyBorder="1" applyAlignment="1">
      <alignment horizontal="center"/>
    </xf>
    <xf numFmtId="0" fontId="19" fillId="15" borderId="27" xfId="0" applyFont="1" applyFill="1" applyBorder="1" applyAlignment="1">
      <alignment horizontal="center"/>
    </xf>
    <xf numFmtId="43" fontId="19" fillId="15" borderId="0" xfId="1" applyFont="1" applyFill="1" applyBorder="1"/>
    <xf numFmtId="43" fontId="19" fillId="15" borderId="27" xfId="1" applyFont="1" applyFill="1" applyBorder="1"/>
    <xf numFmtId="43" fontId="19" fillId="16" borderId="0" xfId="1" applyFont="1" applyFill="1" applyBorder="1"/>
    <xf numFmtId="43" fontId="19" fillId="16" borderId="27" xfId="1" applyFont="1" applyFill="1" applyBorder="1"/>
    <xf numFmtId="0" fontId="19" fillId="17" borderId="27" xfId="0" applyFont="1" applyFill="1" applyBorder="1" applyAlignment="1">
      <alignment horizontal="center"/>
    </xf>
    <xf numFmtId="43" fontId="19" fillId="17" borderId="0" xfId="1" applyFont="1" applyFill="1" applyBorder="1"/>
    <xf numFmtId="43" fontId="19" fillId="17" borderId="27" xfId="1" applyFont="1" applyFill="1" applyBorder="1"/>
    <xf numFmtId="171" fontId="0" fillId="0" borderId="0" xfId="1" applyNumberFormat="1" applyFont="1" applyProtection="1"/>
    <xf numFmtId="170" fontId="21" fillId="4" borderId="7" xfId="2" applyNumberFormat="1" applyFont="1" applyFill="1" applyBorder="1" applyAlignment="1" applyProtection="1">
      <alignment vertical="center"/>
      <protection locked="0"/>
    </xf>
    <xf numFmtId="0" fontId="6" fillId="0" borderId="0" xfId="0" applyFont="1" applyAlignment="1" applyProtection="1">
      <alignment horizontal="center"/>
    </xf>
    <xf numFmtId="0" fontId="3" fillId="0" borderId="0" xfId="0" applyFont="1" applyAlignment="1">
      <alignment horizontal="right" vertical="top"/>
    </xf>
    <xf numFmtId="0" fontId="3" fillId="4" borderId="0" xfId="0" applyFont="1" applyFill="1" applyBorder="1" applyAlignment="1">
      <alignment horizontal="right" vertical="top"/>
    </xf>
    <xf numFmtId="0" fontId="3" fillId="4" borderId="0" xfId="0" applyFont="1" applyFill="1" applyAlignment="1">
      <alignment horizontal="right" vertical="top"/>
    </xf>
    <xf numFmtId="15" fontId="3" fillId="18" borderId="0" xfId="0" applyNumberFormat="1" applyFont="1" applyFill="1" applyAlignment="1">
      <alignment horizontal="right" vertical="top"/>
    </xf>
    <xf numFmtId="0" fontId="5" fillId="11" borderId="0" xfId="0" applyFont="1" applyFill="1" applyAlignment="1" applyProtection="1">
      <alignment horizontal="left" vertical="center"/>
    </xf>
    <xf numFmtId="0" fontId="2" fillId="0" borderId="8" xfId="0" applyFont="1" applyBorder="1" applyAlignment="1" applyProtection="1">
      <alignment horizontal="center"/>
    </xf>
    <xf numFmtId="0" fontId="2" fillId="0" borderId="9" xfId="0" applyFont="1" applyBorder="1" applyAlignment="1" applyProtection="1">
      <alignment horizontal="center"/>
    </xf>
    <xf numFmtId="0" fontId="2" fillId="0" borderId="10" xfId="0" applyFont="1" applyBorder="1" applyAlignment="1" applyProtection="1">
      <alignment horizontal="center"/>
    </xf>
    <xf numFmtId="0" fontId="2" fillId="9" borderId="0" xfId="3" applyFont="1" applyFill="1" applyAlignment="1" applyProtection="1">
      <alignment horizontal="left" vertical="top" wrapText="1"/>
    </xf>
    <xf numFmtId="0" fontId="2" fillId="0" borderId="0" xfId="0" applyFont="1" applyAlignment="1" applyProtection="1">
      <alignment horizontal="center" wrapText="1"/>
    </xf>
    <xf numFmtId="0" fontId="0" fillId="0" borderId="0" xfId="0" applyAlignment="1">
      <alignment horizontal="center" wrapText="1"/>
    </xf>
    <xf numFmtId="0" fontId="2" fillId="0" borderId="7" xfId="0" applyFont="1" applyFill="1" applyBorder="1" applyAlignment="1" applyProtection="1">
      <alignment horizontal="center" wrapText="1"/>
    </xf>
    <xf numFmtId="0" fontId="0" fillId="0" borderId="5" xfId="0" applyBorder="1" applyAlignment="1">
      <alignment wrapText="1"/>
    </xf>
    <xf numFmtId="0" fontId="2" fillId="0" borderId="3" xfId="0" applyFont="1" applyFill="1" applyBorder="1" applyAlignment="1" applyProtection="1">
      <alignment horizontal="center" wrapText="1"/>
    </xf>
    <xf numFmtId="0" fontId="0" fillId="0" borderId="6" xfId="0" applyBorder="1" applyAlignment="1">
      <alignment wrapText="1"/>
    </xf>
    <xf numFmtId="0" fontId="9" fillId="0" borderId="0" xfId="0" applyFont="1" applyFill="1" applyAlignment="1" applyProtection="1">
      <alignment horizontal="left" vertical="top" wrapText="1" indent="1"/>
    </xf>
    <xf numFmtId="0" fontId="2" fillId="9" borderId="0" xfId="0" applyFont="1" applyFill="1" applyAlignment="1" applyProtection="1">
      <alignment horizontal="left" vertical="top" wrapText="1"/>
    </xf>
    <xf numFmtId="0" fontId="9" fillId="0" borderId="0" xfId="3" applyFont="1" applyAlignment="1" applyProtection="1">
      <alignment horizontal="left" vertical="top" wrapText="1" indent="1"/>
    </xf>
    <xf numFmtId="0" fontId="5" fillId="4" borderId="0" xfId="0" applyFont="1" applyFill="1" applyAlignment="1" applyProtection="1">
      <alignment horizontal="left" vertical="center"/>
    </xf>
    <xf numFmtId="15" fontId="3" fillId="0" borderId="0" xfId="0" applyNumberFormat="1" applyFont="1" applyFill="1" applyAlignment="1">
      <alignment horizontal="right" vertical="top"/>
    </xf>
    <xf numFmtId="0" fontId="9" fillId="0" borderId="0" xfId="0" applyFont="1" applyAlignment="1" applyProtection="1">
      <alignment horizontal="left" vertical="top" wrapText="1" indent="1"/>
    </xf>
    <xf numFmtId="0" fontId="9" fillId="0" borderId="0" xfId="3" applyFont="1" applyFill="1" applyAlignment="1" applyProtection="1">
      <alignment horizontal="left" vertical="top" wrapText="1" indent="1"/>
    </xf>
    <xf numFmtId="0" fontId="7" fillId="17" borderId="21" xfId="0" applyFont="1" applyFill="1" applyBorder="1" applyAlignment="1">
      <alignment horizontal="center"/>
    </xf>
    <xf numFmtId="0" fontId="7" fillId="17" borderId="0" xfId="0" applyFont="1" applyFill="1" applyBorder="1" applyAlignment="1">
      <alignment horizontal="center"/>
    </xf>
    <xf numFmtId="0" fontId="20" fillId="0" borderId="0" xfId="0" applyFont="1" applyAlignment="1">
      <alignment horizontal="right"/>
    </xf>
    <xf numFmtId="0" fontId="5" fillId="11" borderId="12" xfId="0" applyFont="1" applyFill="1" applyBorder="1" applyAlignment="1">
      <alignment horizontal="center" vertical="center" wrapText="1"/>
    </xf>
    <xf numFmtId="0" fontId="5" fillId="11" borderId="13" xfId="0" applyFont="1" applyFill="1" applyBorder="1" applyAlignment="1">
      <alignment horizontal="center" vertical="center" wrapText="1"/>
    </xf>
    <xf numFmtId="0" fontId="19" fillId="12" borderId="21" xfId="0" applyFont="1" applyFill="1" applyBorder="1" applyAlignment="1">
      <alignment horizontal="center"/>
    </xf>
    <xf numFmtId="0" fontId="19" fillId="12" borderId="0" xfId="0" applyFont="1" applyFill="1" applyBorder="1" applyAlignment="1">
      <alignment horizontal="center"/>
    </xf>
    <xf numFmtId="0" fontId="19" fillId="0" borderId="21" xfId="0" applyFont="1" applyBorder="1" applyAlignment="1">
      <alignment horizontal="center"/>
    </xf>
    <xf numFmtId="0" fontId="19" fillId="0" borderId="0" xfId="0" applyFont="1" applyBorder="1" applyAlignment="1">
      <alignment horizontal="center"/>
    </xf>
    <xf numFmtId="0" fontId="7" fillId="11" borderId="21" xfId="0" applyFont="1" applyFill="1" applyBorder="1" applyAlignment="1">
      <alignment horizontal="center"/>
    </xf>
    <xf numFmtId="0" fontId="7" fillId="11" borderId="0" xfId="0" applyFont="1" applyFill="1" applyBorder="1" applyAlignment="1">
      <alignment horizontal="center"/>
    </xf>
    <xf numFmtId="0" fontId="7" fillId="13" borderId="21" xfId="0" applyFont="1" applyFill="1" applyBorder="1" applyAlignment="1">
      <alignment horizontal="center"/>
    </xf>
    <xf numFmtId="0" fontId="7" fillId="13" borderId="0" xfId="0" applyFont="1" applyFill="1" applyBorder="1" applyAlignment="1">
      <alignment horizontal="center"/>
    </xf>
    <xf numFmtId="0" fontId="7" fillId="0" borderId="21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14" borderId="21" xfId="0" applyFont="1" applyFill="1" applyBorder="1" applyAlignment="1">
      <alignment horizontal="center"/>
    </xf>
    <xf numFmtId="0" fontId="7" fillId="14" borderId="0" xfId="0" applyFont="1" applyFill="1" applyBorder="1" applyAlignment="1">
      <alignment horizontal="center"/>
    </xf>
    <xf numFmtId="0" fontId="7" fillId="15" borderId="21" xfId="0" applyFont="1" applyFill="1" applyBorder="1" applyAlignment="1">
      <alignment horizontal="center"/>
    </xf>
    <xf numFmtId="0" fontId="7" fillId="15" borderId="0" xfId="0" applyFont="1" applyFill="1" applyBorder="1" applyAlignment="1">
      <alignment horizontal="center"/>
    </xf>
    <xf numFmtId="0" fontId="7" fillId="16" borderId="21" xfId="0" applyFont="1" applyFill="1" applyBorder="1" applyAlignment="1">
      <alignment horizontal="center"/>
    </xf>
    <xf numFmtId="0" fontId="7" fillId="16" borderId="0" xfId="0" applyFont="1" applyFill="1" applyBorder="1" applyAlignment="1">
      <alignment horizontal="center"/>
    </xf>
  </cellXfs>
  <cellStyles count="5">
    <cellStyle name="Comma" xfId="1" builtinId="3"/>
    <cellStyle name="Currency" xfId="2" builtinId="4"/>
    <cellStyle name="Normal" xfId="0" builtinId="0"/>
    <cellStyle name="Normal 2" xfId="3"/>
    <cellStyle name="Percent" xfId="4" builtinId="5"/>
  </cellStyles>
  <dxfs count="0"/>
  <tableStyles count="0" defaultTableStyle="TableStyleMedium2" defaultPivotStyle="PivotStyleLight16"/>
  <colors>
    <mruColors>
      <color rgb="FFFF00FF"/>
      <color rgb="FFCCCCFF"/>
      <color rgb="FFFFFFCC"/>
      <color rgb="FFCCFFFF"/>
      <color rgb="FFFF99CC"/>
      <color rgb="FF99CCFF"/>
      <color rgb="FFCCECFF"/>
      <color rgb="FFFFCCFF"/>
      <color rgb="FFCCFFCC"/>
      <color rgb="FF00CC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EB%20Rate%20Applications/2014%20COS%20Rate%20Rebasing/New%20Working%20Models%20August%202013/Revised_Filing_Requirements_Chapter2_Appendices_for%20201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DC Info"/>
      <sheetName val="Table of Contents"/>
      <sheetName val="COS Flowchart"/>
      <sheetName val="List of Key References"/>
      <sheetName val="App.2-AA_Capital Projects"/>
      <sheetName val="App.2-AB_Capital Expenditures"/>
      <sheetName val="App.2-BA1_Fix Asset Cont.CGAAP"/>
      <sheetName val="App.2-BA2_Fix Asset Cont.MIFRS"/>
      <sheetName val="Appendix 2-BB Service Life Comp"/>
      <sheetName val="Instruction for App. 2-C MIFRS"/>
      <sheetName val="App.2-CA_CGAAP_DepExp_2011"/>
      <sheetName val="App.2-CB_MIFRS_DepExp_2011"/>
      <sheetName val="App.2-CC_MIFRS_DepExp_2012"/>
      <sheetName val="App.2-CD_MIFRS_DepExp_2013"/>
      <sheetName val="App.2-CE_MIFRS_DepExp_2014"/>
      <sheetName val="App.2-CF_CGAAP_DepExp_2012"/>
      <sheetName val="App.2-CG_MIFRS_DepExp_2012"/>
      <sheetName val="App.2-CH_MIFRS_DepExp_2013"/>
      <sheetName val="App.2-CI_MIFRS_DepExp_2014"/>
      <sheetName val="App.2-CJ_CGAAP_DepExp_2012"/>
      <sheetName val="App.2-CK_CGAAP_DepExp_2013"/>
      <sheetName val="App.2-CL_MIFRS_DepExp_2013"/>
      <sheetName val="App.2-CM_MIFRS_DepExp_2014"/>
      <sheetName val="Instruction for App. 2-C CGAAP"/>
      <sheetName val="App.2-CN_OldCGAAP_DepExp_2012"/>
      <sheetName val="App.2-CO_NewCGAAP_DepExp_2012"/>
      <sheetName val="App.2-CP_NewCGAAP_DepExp_2013"/>
      <sheetName val="App.2-CQ NewCGAAP_DepExp_2014"/>
      <sheetName val="App.2-CR_OldCGAAP_DepExp_2012"/>
      <sheetName val="App.2-CS_OldCGAAP_DepExp_2013"/>
      <sheetName val="App.2-CT_NewCGAAP_DepExp_2013"/>
      <sheetName val="App.2-CU_NewCGAAP_DepExp_2014"/>
      <sheetName val="App.2-CV_USGAAP_DepExp"/>
      <sheetName val="App.2-DA_Overhead"/>
      <sheetName val="App.2-DB_Overhead"/>
      <sheetName val="App.2-EA_PP&amp;E Deferral Account"/>
      <sheetName val="App.2-EB_PP&amp;E Deferral Account"/>
      <sheetName val="App.2-EC_PP&amp;E Deferral Account"/>
      <sheetName val="App.2-ED_Account 1576 (2012)"/>
      <sheetName val="App.2-EE_Account 1576 (2013)"/>
      <sheetName val="App.2-FA Proposed REG Invest."/>
      <sheetName val="App.2-FB Calc of REG Improvemnt"/>
      <sheetName val="App.2-FC Calc of REG Expansion"/>
      <sheetName val="App.2-G SQI"/>
      <sheetName val="App.2-H_Other_Oper_Rev"/>
      <sheetName val="App.2-I LF_CDM_WF"/>
      <sheetName val="App.2-JA_OM&amp;A_Summary_Analys"/>
      <sheetName val="App.2-JB_OM&amp;A_Cost _Drivers"/>
      <sheetName val="App.2-JC_OMA Programs"/>
      <sheetName val="App.2-K_Employee Costs"/>
      <sheetName val="App.2-L_OM&amp;A_per_Cust_FTEE"/>
      <sheetName val="App.2-M_Regulatory_Costs"/>
      <sheetName val="App.2-N_Corp_Cost_Allocation"/>
      <sheetName val="App.2-OA Capital Structure"/>
      <sheetName val="App.2-OB_Debt Instruments"/>
      <sheetName val="App.2-P_Cost_Allocation"/>
      <sheetName val="App.2-Q_Cost of Serv. Emb. Dx"/>
      <sheetName val="App.2-R_Loss Factors"/>
      <sheetName val="App.2-S_Stranded Meters"/>
      <sheetName val="App.2-TA_1592_Tax_Variance"/>
      <sheetName val="App.2-TB_1592_HST-OVAT"/>
      <sheetName val="App.2-U_IFRS Transition Costs"/>
      <sheetName val="App.2-V_Rev_Reconciliation"/>
      <sheetName val="App.2-W_Bill Impacts"/>
      <sheetName val="App.2-YA_MIFRS Summary Impacts"/>
      <sheetName val="App. 2-YB_CGAAP Summary Impacts"/>
      <sheetName val="App. 2-Z_Tariff"/>
      <sheetName val="lists"/>
      <sheetName val="lists2"/>
      <sheetName val="Sheet19"/>
    </sheetNames>
    <sheetDataSet>
      <sheetData sheetId="0" refreshError="1">
        <row r="16">
          <cell r="E16" t="str">
            <v>EB-2013-0116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4.xml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5.xml"/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6.xml"/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7.xml"/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8.xml"/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9.xml"/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20.xml"/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21.xml"/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2.xml"/><Relationship Id="rId2" Type="http://schemas.openxmlformats.org/officeDocument/2006/relationships/vmlDrawing" Target="../drawings/vmlDrawing22.v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T89"/>
  <sheetViews>
    <sheetView showGridLines="0" topLeftCell="A13" workbookViewId="0">
      <selection activeCell="J21" sqref="J21:J29"/>
    </sheetView>
  </sheetViews>
  <sheetFormatPr defaultColWidth="9.140625" defaultRowHeight="15" x14ac:dyDescent="0.25"/>
  <cols>
    <col min="1" max="1" width="2.140625" style="7" customWidth="1"/>
    <col min="2" max="2" width="44.5703125" style="7" customWidth="1"/>
    <col min="3" max="3" width="1.28515625" style="7" customWidth="1"/>
    <col min="4" max="4" width="11.28515625" style="7" customWidth="1"/>
    <col min="5" max="5" width="1.28515625" style="7" customWidth="1"/>
    <col min="6" max="6" width="12.28515625" style="7" customWidth="1"/>
    <col min="7" max="7" width="8.5703125" style="7" customWidth="1"/>
    <col min="8" max="8" width="9.7109375" style="7" customWidth="1"/>
    <col min="9" max="9" width="2.85546875" style="7" customWidth="1"/>
    <col min="10" max="10" width="12.140625" style="7" customWidth="1"/>
    <col min="11" max="11" width="8.5703125" style="7" customWidth="1"/>
    <col min="12" max="12" width="9.7109375" style="7" customWidth="1"/>
    <col min="13" max="13" width="2.85546875" style="7" customWidth="1"/>
    <col min="14" max="14" width="11.5703125" style="7" customWidth="1"/>
    <col min="15" max="15" width="10.85546875" style="7" bestFit="1" customWidth="1"/>
    <col min="16" max="16" width="6.42578125" style="7" customWidth="1"/>
    <col min="17" max="19" width="9.140625" style="7"/>
    <col min="20" max="20" width="9.140625" style="7" customWidth="1"/>
    <col min="21" max="16384" width="9.140625" style="7"/>
  </cols>
  <sheetData>
    <row r="1" spans="1:20" s="2" customFormat="1" ht="15" customHeigh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3" t="s">
        <v>0</v>
      </c>
      <c r="N1" s="368" t="s">
        <v>94</v>
      </c>
      <c r="O1" s="368"/>
      <c r="T1" s="2">
        <v>1</v>
      </c>
    </row>
    <row r="2" spans="1:20" s="2" customFormat="1" ht="15" customHeight="1" x14ac:dyDescent="0.3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3" t="s">
        <v>95</v>
      </c>
      <c r="N2" s="369">
        <v>8</v>
      </c>
      <c r="O2" s="369"/>
    </row>
    <row r="3" spans="1:20" s="2" customFormat="1" ht="15" customHeight="1" x14ac:dyDescent="0.3">
      <c r="C3" s="6"/>
      <c r="D3" s="6"/>
      <c r="E3" s="6"/>
      <c r="L3" s="3" t="s">
        <v>96</v>
      </c>
      <c r="N3" s="370" t="s">
        <v>97</v>
      </c>
      <c r="O3" s="370"/>
    </row>
    <row r="4" spans="1:20" s="2" customFormat="1" ht="15" customHeight="1" x14ac:dyDescent="0.3">
      <c r="L4" s="3"/>
      <c r="N4" s="4"/>
      <c r="O4"/>
    </row>
    <row r="5" spans="1:20" s="2" customFormat="1" ht="14.45" x14ac:dyDescent="0.3">
      <c r="L5" s="3" t="s">
        <v>76</v>
      </c>
      <c r="N5" s="371">
        <v>42124</v>
      </c>
      <c r="O5" s="371"/>
    </row>
    <row r="6" spans="1:20" s="2" customFormat="1" ht="15" customHeight="1" x14ac:dyDescent="0.3">
      <c r="N6" s="7"/>
      <c r="O6"/>
      <c r="P6"/>
    </row>
    <row r="7" spans="1:20" ht="15" customHeight="1" x14ac:dyDescent="0.3">
      <c r="L7"/>
      <c r="M7"/>
      <c r="N7"/>
      <c r="O7"/>
      <c r="P7"/>
    </row>
    <row r="8" spans="1:20" ht="18.75" customHeight="1" x14ac:dyDescent="0.3">
      <c r="B8" s="367" t="s">
        <v>1</v>
      </c>
      <c r="C8" s="367"/>
      <c r="D8" s="367"/>
      <c r="E8" s="367"/>
      <c r="F8" s="367"/>
      <c r="G8" s="367"/>
      <c r="H8" s="367"/>
      <c r="I8" s="367"/>
      <c r="J8" s="367"/>
      <c r="K8" s="367"/>
      <c r="L8" s="367"/>
      <c r="M8" s="367"/>
      <c r="N8" s="367"/>
      <c r="O8" s="367"/>
      <c r="P8"/>
    </row>
    <row r="9" spans="1:20" ht="18.75" customHeight="1" x14ac:dyDescent="0.3">
      <c r="B9" s="367" t="s">
        <v>2</v>
      </c>
      <c r="C9" s="367"/>
      <c r="D9" s="367"/>
      <c r="E9" s="367"/>
      <c r="F9" s="367"/>
      <c r="G9" s="367"/>
      <c r="H9" s="367"/>
      <c r="I9" s="367"/>
      <c r="J9" s="367"/>
      <c r="K9" s="367"/>
      <c r="L9" s="367"/>
      <c r="M9" s="367"/>
      <c r="N9" s="367"/>
      <c r="O9" s="367"/>
      <c r="P9"/>
    </row>
    <row r="10" spans="1:20" ht="7.5" customHeight="1" x14ac:dyDescent="0.3">
      <c r="L10"/>
      <c r="M10"/>
      <c r="N10"/>
      <c r="O10"/>
      <c r="P10"/>
    </row>
    <row r="11" spans="1:20" ht="7.5" customHeight="1" x14ac:dyDescent="0.3">
      <c r="L11"/>
      <c r="M11"/>
      <c r="N11"/>
      <c r="O11"/>
      <c r="P11"/>
    </row>
    <row r="12" spans="1:20" ht="15.6" x14ac:dyDescent="0.3">
      <c r="B12" s="8" t="s">
        <v>3</v>
      </c>
      <c r="D12" s="372" t="s">
        <v>59</v>
      </c>
      <c r="E12" s="372"/>
      <c r="F12" s="372"/>
      <c r="G12" s="372"/>
      <c r="H12" s="372"/>
      <c r="I12" s="372"/>
      <c r="J12" s="372"/>
      <c r="K12" s="372"/>
      <c r="L12" s="372"/>
      <c r="M12" s="372"/>
      <c r="N12" s="372"/>
      <c r="O12" s="372"/>
    </row>
    <row r="13" spans="1:20" ht="7.5" customHeight="1" x14ac:dyDescent="0.3">
      <c r="B13" s="9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</row>
    <row r="14" spans="1:20" ht="15.6" x14ac:dyDescent="0.3">
      <c r="B14" s="8" t="s">
        <v>4</v>
      </c>
      <c r="D14" s="11" t="s">
        <v>5</v>
      </c>
      <c r="E14" s="10"/>
      <c r="F14" s="10"/>
      <c r="G14" s="10"/>
      <c r="H14" s="10"/>
      <c r="I14" s="10"/>
      <c r="J14" s="278"/>
      <c r="K14" s="279"/>
      <c r="L14" s="279"/>
      <c r="M14" s="279"/>
      <c r="N14" s="10"/>
      <c r="O14" s="10"/>
    </row>
    <row r="15" spans="1:20" ht="15.6" x14ac:dyDescent="0.3">
      <c r="B15" s="9"/>
      <c r="D15" s="10"/>
      <c r="E15" s="10"/>
      <c r="F15" s="10"/>
      <c r="G15" s="10"/>
      <c r="H15" s="10"/>
      <c r="I15" s="10"/>
      <c r="J15" s="278"/>
      <c r="K15" s="279"/>
      <c r="L15" s="279"/>
      <c r="M15" s="279"/>
      <c r="N15" s="10"/>
      <c r="O15" s="10"/>
    </row>
    <row r="16" spans="1:20" ht="14.45" x14ac:dyDescent="0.3">
      <c r="B16" s="12"/>
      <c r="D16" s="13" t="s">
        <v>6</v>
      </c>
      <c r="E16" s="13"/>
      <c r="F16" s="298">
        <v>100</v>
      </c>
      <c r="G16" s="13" t="s">
        <v>7</v>
      </c>
      <c r="J16" s="280"/>
      <c r="K16" s="34"/>
      <c r="L16" s="34"/>
      <c r="M16" s="34"/>
    </row>
    <row r="17" spans="2:15" ht="14.45" x14ac:dyDescent="0.3">
      <c r="B17" s="12"/>
      <c r="F17" s="281"/>
      <c r="G17" s="34"/>
      <c r="H17" s="34"/>
      <c r="J17" s="281"/>
      <c r="K17" s="34"/>
      <c r="L17" s="34"/>
      <c r="M17" s="34"/>
    </row>
    <row r="18" spans="2:15" ht="14.45" x14ac:dyDescent="0.3">
      <c r="B18" s="12"/>
      <c r="D18" s="15"/>
      <c r="E18" s="15"/>
      <c r="F18" s="373" t="s">
        <v>8</v>
      </c>
      <c r="G18" s="374"/>
      <c r="H18" s="375"/>
      <c r="J18" s="373" t="s">
        <v>9</v>
      </c>
      <c r="K18" s="374"/>
      <c r="L18" s="375"/>
      <c r="N18" s="373" t="s">
        <v>10</v>
      </c>
      <c r="O18" s="375"/>
    </row>
    <row r="19" spans="2:15" x14ac:dyDescent="0.25">
      <c r="B19" s="12"/>
      <c r="D19" s="377" t="s">
        <v>11</v>
      </c>
      <c r="E19" s="16"/>
      <c r="F19" s="17" t="s">
        <v>12</v>
      </c>
      <c r="G19" s="17" t="s">
        <v>13</v>
      </c>
      <c r="H19" s="18" t="s">
        <v>14</v>
      </c>
      <c r="J19" s="17" t="s">
        <v>12</v>
      </c>
      <c r="K19" s="19" t="s">
        <v>13</v>
      </c>
      <c r="L19" s="18" t="s">
        <v>14</v>
      </c>
      <c r="N19" s="379" t="s">
        <v>15</v>
      </c>
      <c r="O19" s="381" t="s">
        <v>16</v>
      </c>
    </row>
    <row r="20" spans="2:15" x14ac:dyDescent="0.25">
      <c r="B20" s="12"/>
      <c r="D20" s="378"/>
      <c r="E20" s="16"/>
      <c r="F20" s="20" t="s">
        <v>17</v>
      </c>
      <c r="G20" s="20"/>
      <c r="H20" s="21" t="s">
        <v>17</v>
      </c>
      <c r="J20" s="20" t="s">
        <v>17</v>
      </c>
      <c r="K20" s="21"/>
      <c r="L20" s="21" t="s">
        <v>17</v>
      </c>
      <c r="N20" s="380"/>
      <c r="O20" s="382"/>
    </row>
    <row r="21" spans="2:15" ht="22.5" customHeight="1" x14ac:dyDescent="0.25">
      <c r="B21" s="22" t="s">
        <v>18</v>
      </c>
      <c r="C21" s="22"/>
      <c r="D21" s="23" t="s">
        <v>60</v>
      </c>
      <c r="E21" s="24"/>
      <c r="F21" s="174">
        <v>15.2</v>
      </c>
      <c r="G21" s="26">
        <v>1</v>
      </c>
      <c r="H21" s="27">
        <f>G21*F21</f>
        <v>15.2</v>
      </c>
      <c r="I21" s="28"/>
      <c r="J21" s="283">
        <v>19.87</v>
      </c>
      <c r="K21" s="30">
        <v>1</v>
      </c>
      <c r="L21" s="27">
        <f>K21*J21</f>
        <v>19.87</v>
      </c>
      <c r="M21" s="28"/>
      <c r="N21" s="31">
        <f>L21-H21</f>
        <v>4.6700000000000017</v>
      </c>
      <c r="O21" s="32">
        <f>IF((H21)=0,"",(N21/H21))</f>
        <v>0.30723684210526331</v>
      </c>
    </row>
    <row r="22" spans="2:15" ht="36.75" customHeight="1" x14ac:dyDescent="0.3">
      <c r="B22" s="64" t="s">
        <v>62</v>
      </c>
      <c r="C22" s="22"/>
      <c r="D22" s="56" t="s">
        <v>60</v>
      </c>
      <c r="E22" s="24"/>
      <c r="F22" s="173">
        <v>0</v>
      </c>
      <c r="G22" s="26">
        <v>1</v>
      </c>
      <c r="H22" s="27">
        <f t="shared" ref="H22:H36" si="0">G22*F22</f>
        <v>0</v>
      </c>
      <c r="I22" s="28"/>
      <c r="J22" s="263"/>
      <c r="K22" s="30">
        <v>1</v>
      </c>
      <c r="L22" s="27">
        <f>K22*J22</f>
        <v>0</v>
      </c>
      <c r="M22" s="28"/>
      <c r="N22" s="31">
        <f>L22-H22</f>
        <v>0</v>
      </c>
      <c r="O22" s="32" t="str">
        <f>IF((H22)=0,"",(N22/H22))</f>
        <v/>
      </c>
    </row>
    <row r="23" spans="2:15" ht="36.75" customHeight="1" x14ac:dyDescent="0.3">
      <c r="B23" s="297" t="s">
        <v>63</v>
      </c>
      <c r="C23" s="22"/>
      <c r="D23" s="56" t="s">
        <v>60</v>
      </c>
      <c r="E23" s="57"/>
      <c r="F23" s="173">
        <v>2.11</v>
      </c>
      <c r="G23" s="26">
        <v>1</v>
      </c>
      <c r="H23" s="27">
        <f t="shared" si="0"/>
        <v>2.11</v>
      </c>
      <c r="I23" s="28"/>
      <c r="J23" s="263"/>
      <c r="K23" s="30">
        <v>1</v>
      </c>
      <c r="L23" s="27">
        <f t="shared" ref="L23:L36" si="1">K23*J23</f>
        <v>0</v>
      </c>
      <c r="M23" s="28"/>
      <c r="N23" s="31">
        <f t="shared" ref="N23:N37" si="2">L23-H23</f>
        <v>-2.11</v>
      </c>
      <c r="O23" s="32">
        <f t="shared" ref="O23:O37" si="3">IF((H23)=0,"",(N23/H23))</f>
        <v>-1</v>
      </c>
    </row>
    <row r="24" spans="2:15" ht="14.45" x14ac:dyDescent="0.3">
      <c r="B24" s="297" t="s">
        <v>93</v>
      </c>
      <c r="C24" s="22"/>
      <c r="D24" s="23" t="s">
        <v>60</v>
      </c>
      <c r="E24" s="24"/>
      <c r="F24" s="25"/>
      <c r="G24" s="26">
        <v>1</v>
      </c>
      <c r="H24" s="27">
        <f t="shared" si="0"/>
        <v>0</v>
      </c>
      <c r="I24" s="28"/>
      <c r="J24" s="283">
        <v>0.5751915487210707</v>
      </c>
      <c r="K24" s="30">
        <v>1</v>
      </c>
      <c r="L24" s="27">
        <f t="shared" si="1"/>
        <v>0.5751915487210707</v>
      </c>
      <c r="M24" s="28"/>
      <c r="N24" s="31">
        <f t="shared" si="2"/>
        <v>0.5751915487210707</v>
      </c>
      <c r="O24" s="32" t="str">
        <f t="shared" si="3"/>
        <v/>
      </c>
    </row>
    <row r="25" spans="2:15" ht="14.45" x14ac:dyDescent="0.3">
      <c r="B25" s="296" t="s">
        <v>65</v>
      </c>
      <c r="C25" s="22"/>
      <c r="D25" s="23" t="s">
        <v>61</v>
      </c>
      <c r="E25" s="24"/>
      <c r="F25" s="25">
        <v>-1E-4</v>
      </c>
      <c r="G25" s="26">
        <f>$F$16</f>
        <v>100</v>
      </c>
      <c r="H25" s="27">
        <f t="shared" si="0"/>
        <v>-0.01</v>
      </c>
      <c r="I25" s="28"/>
      <c r="J25" s="263">
        <v>-1E-4</v>
      </c>
      <c r="K25" s="26">
        <f>$F$16</f>
        <v>100</v>
      </c>
      <c r="L25" s="27">
        <f t="shared" si="1"/>
        <v>-0.01</v>
      </c>
      <c r="M25" s="28"/>
      <c r="N25" s="31">
        <f t="shared" si="2"/>
        <v>0</v>
      </c>
      <c r="O25" s="32">
        <f t="shared" si="3"/>
        <v>0</v>
      </c>
    </row>
    <row r="26" spans="2:15" x14ac:dyDescent="0.25">
      <c r="B26" s="296" t="s">
        <v>66</v>
      </c>
      <c r="C26" s="22"/>
      <c r="D26" s="23" t="s">
        <v>61</v>
      </c>
      <c r="E26" s="24"/>
      <c r="F26" s="25"/>
      <c r="G26" s="26">
        <f>$F$16</f>
        <v>100</v>
      </c>
      <c r="H26" s="27">
        <f t="shared" si="0"/>
        <v>0</v>
      </c>
      <c r="I26" s="28"/>
      <c r="J26" s="263">
        <v>-1.6000000000000001E-3</v>
      </c>
      <c r="K26" s="26">
        <f>$F$16</f>
        <v>100</v>
      </c>
      <c r="L26" s="27">
        <f t="shared" si="1"/>
        <v>-0.16</v>
      </c>
      <c r="M26" s="28"/>
      <c r="N26" s="31">
        <f t="shared" si="2"/>
        <v>-0.16</v>
      </c>
      <c r="O26" s="32" t="str">
        <f t="shared" si="3"/>
        <v/>
      </c>
    </row>
    <row r="27" spans="2:15" x14ac:dyDescent="0.25">
      <c r="B27" s="22" t="s">
        <v>19</v>
      </c>
      <c r="C27" s="22"/>
      <c r="D27" s="23" t="s">
        <v>61</v>
      </c>
      <c r="E27" s="24"/>
      <c r="F27" s="25">
        <v>1.9199999999999998E-2</v>
      </c>
      <c r="G27" s="26">
        <f>$F$16</f>
        <v>100</v>
      </c>
      <c r="H27" s="27">
        <f t="shared" si="0"/>
        <v>1.92</v>
      </c>
      <c r="I27" s="28"/>
      <c r="J27" s="263">
        <v>1.55E-2</v>
      </c>
      <c r="K27" s="26">
        <f>$F$16</f>
        <v>100</v>
      </c>
      <c r="L27" s="27">
        <f t="shared" si="1"/>
        <v>1.55</v>
      </c>
      <c r="M27" s="28"/>
      <c r="N27" s="31">
        <f t="shared" si="2"/>
        <v>-0.36999999999999988</v>
      </c>
      <c r="O27" s="32">
        <f t="shared" si="3"/>
        <v>-0.19270833333333329</v>
      </c>
    </row>
    <row r="28" spans="2:15" x14ac:dyDescent="0.25">
      <c r="B28" s="22" t="s">
        <v>20</v>
      </c>
      <c r="C28" s="22"/>
      <c r="D28" s="23"/>
      <c r="E28" s="24"/>
      <c r="F28" s="25"/>
      <c r="G28" s="26">
        <f>$F$16</f>
        <v>100</v>
      </c>
      <c r="H28" s="27">
        <f t="shared" si="0"/>
        <v>0</v>
      </c>
      <c r="I28" s="28"/>
      <c r="J28" s="29"/>
      <c r="K28" s="26">
        <f t="shared" ref="K28:K36" si="4">$F$16</f>
        <v>100</v>
      </c>
      <c r="L28" s="27">
        <f t="shared" si="1"/>
        <v>0</v>
      </c>
      <c r="M28" s="28"/>
      <c r="N28" s="31">
        <f t="shared" si="2"/>
        <v>0</v>
      </c>
      <c r="O28" s="32" t="str">
        <f t="shared" si="3"/>
        <v/>
      </c>
    </row>
    <row r="29" spans="2:15" x14ac:dyDescent="0.25">
      <c r="B29" s="22" t="s">
        <v>21</v>
      </c>
      <c r="C29" s="22"/>
      <c r="D29" s="23" t="s">
        <v>61</v>
      </c>
      <c r="E29" s="24"/>
      <c r="F29" s="25"/>
      <c r="G29" s="26">
        <f>$F$16</f>
        <v>100</v>
      </c>
      <c r="H29" s="27">
        <f t="shared" si="0"/>
        <v>0</v>
      </c>
      <c r="I29" s="28"/>
      <c r="J29" s="29">
        <v>2.0000000000000001E-4</v>
      </c>
      <c r="K29" s="26">
        <f t="shared" si="4"/>
        <v>100</v>
      </c>
      <c r="L29" s="27">
        <f t="shared" si="1"/>
        <v>0.02</v>
      </c>
      <c r="M29" s="28"/>
      <c r="N29" s="31">
        <f t="shared" si="2"/>
        <v>0.02</v>
      </c>
      <c r="O29" s="32" t="str">
        <f t="shared" si="3"/>
        <v/>
      </c>
    </row>
    <row r="30" spans="2:15" x14ac:dyDescent="0.25">
      <c r="B30" s="33"/>
      <c r="C30" s="22"/>
      <c r="D30" s="23"/>
      <c r="E30" s="24"/>
      <c r="F30" s="25"/>
      <c r="G30" s="26">
        <f t="shared" ref="G30:G36" si="5">$F$16</f>
        <v>100</v>
      </c>
      <c r="H30" s="27">
        <f t="shared" si="0"/>
        <v>0</v>
      </c>
      <c r="I30" s="28"/>
      <c r="J30" s="29"/>
      <c r="K30" s="26">
        <f t="shared" si="4"/>
        <v>100</v>
      </c>
      <c r="L30" s="27">
        <f t="shared" si="1"/>
        <v>0</v>
      </c>
      <c r="M30" s="28"/>
      <c r="N30" s="31">
        <f t="shared" si="2"/>
        <v>0</v>
      </c>
      <c r="O30" s="32" t="str">
        <f t="shared" si="3"/>
        <v/>
      </c>
    </row>
    <row r="31" spans="2:15" x14ac:dyDescent="0.25">
      <c r="B31" s="33"/>
      <c r="C31" s="22"/>
      <c r="D31" s="23"/>
      <c r="E31" s="24"/>
      <c r="F31" s="25"/>
      <c r="G31" s="26">
        <f t="shared" si="5"/>
        <v>100</v>
      </c>
      <c r="H31" s="27">
        <f t="shared" si="0"/>
        <v>0</v>
      </c>
      <c r="I31" s="28"/>
      <c r="J31" s="29"/>
      <c r="K31" s="26">
        <f t="shared" si="4"/>
        <v>100</v>
      </c>
      <c r="L31" s="27">
        <f t="shared" si="1"/>
        <v>0</v>
      </c>
      <c r="M31" s="28"/>
      <c r="N31" s="31">
        <f t="shared" si="2"/>
        <v>0</v>
      </c>
      <c r="O31" s="32" t="str">
        <f t="shared" si="3"/>
        <v/>
      </c>
    </row>
    <row r="32" spans="2:15" x14ac:dyDescent="0.25">
      <c r="B32" s="33"/>
      <c r="C32" s="22"/>
      <c r="D32" s="23"/>
      <c r="E32" s="24"/>
      <c r="F32" s="25"/>
      <c r="G32" s="26">
        <f t="shared" si="5"/>
        <v>100</v>
      </c>
      <c r="H32" s="27">
        <f t="shared" si="0"/>
        <v>0</v>
      </c>
      <c r="I32" s="28"/>
      <c r="J32" s="29"/>
      <c r="K32" s="26">
        <f t="shared" si="4"/>
        <v>100</v>
      </c>
      <c r="L32" s="27">
        <f t="shared" si="1"/>
        <v>0</v>
      </c>
      <c r="M32" s="28"/>
      <c r="N32" s="31">
        <f t="shared" si="2"/>
        <v>0</v>
      </c>
      <c r="O32" s="32" t="str">
        <f t="shared" si="3"/>
        <v/>
      </c>
    </row>
    <row r="33" spans="2:15" x14ac:dyDescent="0.25">
      <c r="B33" s="33"/>
      <c r="C33" s="22"/>
      <c r="D33" s="23"/>
      <c r="E33" s="24"/>
      <c r="F33" s="25"/>
      <c r="G33" s="26">
        <f t="shared" si="5"/>
        <v>100</v>
      </c>
      <c r="H33" s="27">
        <f t="shared" si="0"/>
        <v>0</v>
      </c>
      <c r="I33" s="28"/>
      <c r="J33" s="29"/>
      <c r="K33" s="26">
        <f t="shared" si="4"/>
        <v>100</v>
      </c>
      <c r="L33" s="27">
        <f t="shared" si="1"/>
        <v>0</v>
      </c>
      <c r="M33" s="28"/>
      <c r="N33" s="31">
        <f t="shared" si="2"/>
        <v>0</v>
      </c>
      <c r="O33" s="32" t="str">
        <f t="shared" si="3"/>
        <v/>
      </c>
    </row>
    <row r="34" spans="2:15" x14ac:dyDescent="0.25">
      <c r="B34" s="33"/>
      <c r="C34" s="22"/>
      <c r="D34" s="23"/>
      <c r="E34" s="24"/>
      <c r="F34" s="25"/>
      <c r="G34" s="26">
        <f t="shared" si="5"/>
        <v>100</v>
      </c>
      <c r="H34" s="27">
        <f t="shared" si="0"/>
        <v>0</v>
      </c>
      <c r="I34" s="28"/>
      <c r="J34" s="29"/>
      <c r="K34" s="26">
        <f t="shared" si="4"/>
        <v>100</v>
      </c>
      <c r="L34" s="27">
        <f t="shared" si="1"/>
        <v>0</v>
      </c>
      <c r="M34" s="28"/>
      <c r="N34" s="31">
        <f t="shared" si="2"/>
        <v>0</v>
      </c>
      <c r="O34" s="32" t="str">
        <f t="shared" si="3"/>
        <v/>
      </c>
    </row>
    <row r="35" spans="2:15" x14ac:dyDescent="0.25">
      <c r="B35" s="33"/>
      <c r="C35" s="22"/>
      <c r="D35" s="23"/>
      <c r="E35" s="24"/>
      <c r="F35" s="25"/>
      <c r="G35" s="26">
        <f t="shared" si="5"/>
        <v>100</v>
      </c>
      <c r="H35" s="27">
        <f t="shared" si="0"/>
        <v>0</v>
      </c>
      <c r="I35" s="28"/>
      <c r="J35" s="29"/>
      <c r="K35" s="26">
        <f t="shared" si="4"/>
        <v>100</v>
      </c>
      <c r="L35" s="27">
        <f t="shared" si="1"/>
        <v>0</v>
      </c>
      <c r="M35" s="28"/>
      <c r="N35" s="31">
        <f t="shared" si="2"/>
        <v>0</v>
      </c>
      <c r="O35" s="32" t="str">
        <f t="shared" si="3"/>
        <v/>
      </c>
    </row>
    <row r="36" spans="2:15" x14ac:dyDescent="0.25">
      <c r="B36" s="33"/>
      <c r="C36" s="22"/>
      <c r="D36" s="23"/>
      <c r="E36" s="24"/>
      <c r="F36" s="25"/>
      <c r="G36" s="26">
        <f t="shared" si="5"/>
        <v>100</v>
      </c>
      <c r="H36" s="27">
        <f t="shared" si="0"/>
        <v>0</v>
      </c>
      <c r="I36" s="28"/>
      <c r="J36" s="29"/>
      <c r="K36" s="26">
        <f t="shared" si="4"/>
        <v>100</v>
      </c>
      <c r="L36" s="27">
        <f t="shared" si="1"/>
        <v>0</v>
      </c>
      <c r="M36" s="28"/>
      <c r="N36" s="31">
        <f t="shared" si="2"/>
        <v>0</v>
      </c>
      <c r="O36" s="32" t="str">
        <f t="shared" si="3"/>
        <v/>
      </c>
    </row>
    <row r="37" spans="2:15" s="34" customFormat="1" x14ac:dyDescent="0.25">
      <c r="B37" s="35" t="s">
        <v>22</v>
      </c>
      <c r="C37" s="36"/>
      <c r="D37" s="37"/>
      <c r="E37" s="36"/>
      <c r="F37" s="38"/>
      <c r="G37" s="39"/>
      <c r="H37" s="40">
        <f>SUM(H21:H36)</f>
        <v>19.22</v>
      </c>
      <c r="I37" s="41"/>
      <c r="J37" s="42"/>
      <c r="K37" s="43"/>
      <c r="L37" s="40">
        <f>SUM(L21:L36)</f>
        <v>21.845191548721072</v>
      </c>
      <c r="M37" s="41"/>
      <c r="N37" s="44">
        <f t="shared" si="2"/>
        <v>2.6251915487210731</v>
      </c>
      <c r="O37" s="45">
        <f t="shared" si="3"/>
        <v>0.13658644894490496</v>
      </c>
    </row>
    <row r="38" spans="2:15" x14ac:dyDescent="0.25">
      <c r="B38" s="175"/>
      <c r="C38" s="22"/>
      <c r="D38" s="56" t="s">
        <v>60</v>
      </c>
      <c r="E38" s="24"/>
      <c r="F38" s="25"/>
      <c r="G38" s="26">
        <v>1</v>
      </c>
      <c r="H38" s="27">
        <f>G38*F38</f>
        <v>0</v>
      </c>
      <c r="I38" s="28"/>
      <c r="J38" s="173"/>
      <c r="K38" s="30">
        <v>1</v>
      </c>
      <c r="L38" s="27">
        <f>K38*J38</f>
        <v>0</v>
      </c>
      <c r="M38" s="28"/>
      <c r="N38" s="31">
        <f>L38-H38</f>
        <v>0</v>
      </c>
      <c r="O38" s="32" t="str">
        <f>IF((H38)=0,"",(N38/H38))</f>
        <v/>
      </c>
    </row>
    <row r="39" spans="2:15" x14ac:dyDescent="0.25">
      <c r="B39" s="296" t="s">
        <v>23</v>
      </c>
      <c r="C39" s="22"/>
      <c r="D39" s="56" t="s">
        <v>61</v>
      </c>
      <c r="E39" s="57"/>
      <c r="F39" s="29">
        <v>-1.4E-3</v>
      </c>
      <c r="G39" s="26">
        <f>$F$16</f>
        <v>100</v>
      </c>
      <c r="H39" s="27">
        <f t="shared" ref="H39:H45" si="6">G39*F39</f>
        <v>-0.13999999999999999</v>
      </c>
      <c r="I39" s="28"/>
      <c r="J39" s="263">
        <f>0.0016-0.0014</f>
        <v>2.0000000000000009E-4</v>
      </c>
      <c r="K39" s="26">
        <f>$F$16</f>
        <v>100</v>
      </c>
      <c r="L39" s="27">
        <f t="shared" ref="L39:L45" si="7">K39*J39</f>
        <v>2.0000000000000011E-2</v>
      </c>
      <c r="M39" s="28"/>
      <c r="N39" s="31">
        <f t="shared" ref="N39:N45" si="8">L39-H39</f>
        <v>0.16</v>
      </c>
      <c r="O39" s="32">
        <f t="shared" ref="O39:O44" si="9">IF((H39)=0,"",(N39/H39))</f>
        <v>-1.142857142857143</v>
      </c>
    </row>
    <row r="40" spans="2:15" x14ac:dyDescent="0.25">
      <c r="B40" s="46"/>
      <c r="C40" s="22"/>
      <c r="D40" s="23" t="s">
        <v>61</v>
      </c>
      <c r="E40" s="24"/>
      <c r="F40" s="25"/>
      <c r="G40" s="26">
        <f>$F$16</f>
        <v>100</v>
      </c>
      <c r="H40" s="27">
        <f t="shared" si="6"/>
        <v>0</v>
      </c>
      <c r="I40" s="47"/>
      <c r="J40" s="29"/>
      <c r="K40" s="26">
        <f>$F$16</f>
        <v>100</v>
      </c>
      <c r="L40" s="27">
        <f t="shared" si="7"/>
        <v>0</v>
      </c>
      <c r="M40" s="48"/>
      <c r="N40" s="31">
        <f t="shared" si="8"/>
        <v>0</v>
      </c>
      <c r="O40" s="32" t="str">
        <f t="shared" si="9"/>
        <v/>
      </c>
    </row>
    <row r="41" spans="2:15" x14ac:dyDescent="0.25">
      <c r="B41" s="46"/>
      <c r="C41" s="22"/>
      <c r="D41" s="23" t="s">
        <v>61</v>
      </c>
      <c r="E41" s="24"/>
      <c r="F41" s="25"/>
      <c r="G41" s="26">
        <f>$F$16</f>
        <v>100</v>
      </c>
      <c r="H41" s="27">
        <f t="shared" si="6"/>
        <v>0</v>
      </c>
      <c r="I41" s="47"/>
      <c r="J41" s="29"/>
      <c r="K41" s="26">
        <f>$F$16</f>
        <v>100</v>
      </c>
      <c r="L41" s="27">
        <f t="shared" si="7"/>
        <v>0</v>
      </c>
      <c r="M41" s="48"/>
      <c r="N41" s="31">
        <f t="shared" si="8"/>
        <v>0</v>
      </c>
      <c r="O41" s="32" t="str">
        <f t="shared" si="9"/>
        <v/>
      </c>
    </row>
    <row r="42" spans="2:15" x14ac:dyDescent="0.25">
      <c r="B42" s="46"/>
      <c r="C42" s="22"/>
      <c r="D42" s="23"/>
      <c r="E42" s="24"/>
      <c r="F42" s="25"/>
      <c r="G42" s="26">
        <f>$F$16</f>
        <v>100</v>
      </c>
      <c r="H42" s="27">
        <f t="shared" si="6"/>
        <v>0</v>
      </c>
      <c r="I42" s="47"/>
      <c r="J42" s="29"/>
      <c r="K42" s="26">
        <f>$F$16</f>
        <v>100</v>
      </c>
      <c r="L42" s="27">
        <f t="shared" si="7"/>
        <v>0</v>
      </c>
      <c r="M42" s="48"/>
      <c r="N42" s="31">
        <f t="shared" si="8"/>
        <v>0</v>
      </c>
      <c r="O42" s="32" t="str">
        <f t="shared" si="9"/>
        <v/>
      </c>
    </row>
    <row r="43" spans="2:15" x14ac:dyDescent="0.25">
      <c r="B43" s="49" t="s">
        <v>24</v>
      </c>
      <c r="C43" s="22"/>
      <c r="D43" s="23" t="s">
        <v>61</v>
      </c>
      <c r="E43" s="24"/>
      <c r="F43" s="25">
        <v>1E-4</v>
      </c>
      <c r="G43" s="26">
        <f>$F$16</f>
        <v>100</v>
      </c>
      <c r="H43" s="27">
        <f t="shared" si="6"/>
        <v>0.01</v>
      </c>
      <c r="I43" s="28"/>
      <c r="J43" s="29">
        <v>2.0000000000000001E-4</v>
      </c>
      <c r="K43" s="26">
        <f>$F$16</f>
        <v>100</v>
      </c>
      <c r="L43" s="27">
        <f t="shared" si="7"/>
        <v>0.02</v>
      </c>
      <c r="M43" s="28"/>
      <c r="N43" s="31">
        <f t="shared" si="8"/>
        <v>0.01</v>
      </c>
      <c r="O43" s="32">
        <f t="shared" si="9"/>
        <v>1</v>
      </c>
    </row>
    <row r="44" spans="2:15" s="34" customFormat="1" x14ac:dyDescent="0.25">
      <c r="B44" s="181" t="s">
        <v>25</v>
      </c>
      <c r="C44" s="24"/>
      <c r="D44" s="182" t="s">
        <v>61</v>
      </c>
      <c r="E44" s="24"/>
      <c r="F44" s="183">
        <f>IF(ISBLANK(D14)=TRUE, 0, IF(D14="TOU", 0.64*$F$54+0.18*$F$55+0.18*$F$56, IF(AND(D14="non-TOU", G58&gt;0), F58,F57)))</f>
        <v>9.5000000000000001E-2</v>
      </c>
      <c r="G44" s="26">
        <f>$F$16*(1+$F$73)-$F$16</f>
        <v>4.039999999999992</v>
      </c>
      <c r="H44" s="184">
        <f t="shared" si="6"/>
        <v>0.38379999999999925</v>
      </c>
      <c r="I44" s="57"/>
      <c r="J44" s="185">
        <f>0.64*$F$54+0.18*$F$55+0.18*$F$56</f>
        <v>9.5000000000000001E-2</v>
      </c>
      <c r="K44" s="26">
        <f>$F$16*(1+$J$73)-$F$16</f>
        <v>3.6200000000000045</v>
      </c>
      <c r="L44" s="184">
        <f t="shared" si="7"/>
        <v>0.34390000000000043</v>
      </c>
      <c r="M44" s="57"/>
      <c r="N44" s="186">
        <f t="shared" si="8"/>
        <v>-3.9899999999998825E-2</v>
      </c>
      <c r="O44" s="187">
        <f t="shared" si="9"/>
        <v>-0.1039603960396011</v>
      </c>
    </row>
    <row r="45" spans="2:15" x14ac:dyDescent="0.25">
      <c r="B45" s="49" t="s">
        <v>26</v>
      </c>
      <c r="C45" s="22"/>
      <c r="D45" s="23" t="s">
        <v>60</v>
      </c>
      <c r="E45" s="24"/>
      <c r="F45" s="174">
        <v>0.79</v>
      </c>
      <c r="G45" s="26">
        <v>1</v>
      </c>
      <c r="H45" s="27">
        <f t="shared" si="6"/>
        <v>0.79</v>
      </c>
      <c r="I45" s="28"/>
      <c r="J45" s="174">
        <v>0.79</v>
      </c>
      <c r="K45" s="26">
        <v>1</v>
      </c>
      <c r="L45" s="27">
        <f t="shared" si="7"/>
        <v>0.79</v>
      </c>
      <c r="M45" s="28"/>
      <c r="N45" s="31">
        <f t="shared" si="8"/>
        <v>0</v>
      </c>
      <c r="O45" s="32"/>
    </row>
    <row r="46" spans="2:15" ht="25.5" x14ac:dyDescent="0.25">
      <c r="B46" s="50" t="s">
        <v>27</v>
      </c>
      <c r="C46" s="51"/>
      <c r="D46" s="51"/>
      <c r="E46" s="51"/>
      <c r="F46" s="52"/>
      <c r="G46" s="53"/>
      <c r="H46" s="54">
        <f>SUM(H38:H45)+H37</f>
        <v>20.263799999999996</v>
      </c>
      <c r="I46" s="41"/>
      <c r="J46" s="53"/>
      <c r="K46" s="55"/>
      <c r="L46" s="54">
        <f>SUM(L38:L45)+L37</f>
        <v>23.019091548721072</v>
      </c>
      <c r="M46" s="41"/>
      <c r="N46" s="44">
        <f t="shared" ref="N46:N64" si="10">L46-H46</f>
        <v>2.7552915487210754</v>
      </c>
      <c r="O46" s="45">
        <f t="shared" ref="O46:O64" si="11">IF((H46)=0,"",(N46/H46))</f>
        <v>0.13597111838456144</v>
      </c>
    </row>
    <row r="47" spans="2:15" x14ac:dyDescent="0.25">
      <c r="B47" s="57" t="s">
        <v>28</v>
      </c>
      <c r="C47" s="28"/>
      <c r="D47" s="56" t="s">
        <v>61</v>
      </c>
      <c r="E47" s="57"/>
      <c r="F47" s="263">
        <v>7.6E-3</v>
      </c>
      <c r="G47" s="69">
        <f>F16*(1+F73)</f>
        <v>104.03999999999999</v>
      </c>
      <c r="H47" s="27">
        <f>G47*F47</f>
        <v>0.79070399999999996</v>
      </c>
      <c r="I47" s="28"/>
      <c r="J47" s="263">
        <v>7.4000000000000003E-3</v>
      </c>
      <c r="K47" s="70">
        <f>F16*(1+J73)</f>
        <v>103.62</v>
      </c>
      <c r="L47" s="27">
        <f>K47*J47</f>
        <v>0.76678800000000003</v>
      </c>
      <c r="M47" s="28"/>
      <c r="N47" s="31">
        <f t="shared" si="10"/>
        <v>-2.3915999999999937E-2</v>
      </c>
      <c r="O47" s="32">
        <f t="shared" si="11"/>
        <v>-3.0246463910641577E-2</v>
      </c>
    </row>
    <row r="48" spans="2:15" x14ac:dyDescent="0.25">
      <c r="B48" s="295" t="s">
        <v>29</v>
      </c>
      <c r="C48" s="28"/>
      <c r="D48" s="56" t="s">
        <v>61</v>
      </c>
      <c r="E48" s="57"/>
      <c r="F48" s="263">
        <v>2.3E-3</v>
      </c>
      <c r="G48" s="69">
        <f>G47</f>
        <v>104.03999999999999</v>
      </c>
      <c r="H48" s="27">
        <f>G48*F48</f>
        <v>0.23929199999999998</v>
      </c>
      <c r="I48" s="28"/>
      <c r="J48" s="263">
        <v>2.3E-3</v>
      </c>
      <c r="K48" s="70">
        <f>K47</f>
        <v>103.62</v>
      </c>
      <c r="L48" s="27">
        <f>K48*J48</f>
        <v>0.23832600000000001</v>
      </c>
      <c r="M48" s="28"/>
      <c r="N48" s="31">
        <f t="shared" si="10"/>
        <v>-9.6599999999996689E-4</v>
      </c>
      <c r="O48" s="32">
        <f t="shared" si="11"/>
        <v>-4.0369088811994004E-3</v>
      </c>
    </row>
    <row r="49" spans="2:19" x14ac:dyDescent="0.25">
      <c r="B49" s="50" t="s">
        <v>30</v>
      </c>
      <c r="C49" s="36"/>
      <c r="D49" s="36"/>
      <c r="E49" s="36"/>
      <c r="F49" s="60"/>
      <c r="G49" s="60"/>
      <c r="H49" s="54">
        <f>SUM(H46:H48)</f>
        <v>21.293795999999997</v>
      </c>
      <c r="I49" s="61"/>
      <c r="J49" s="62"/>
      <c r="K49" s="62"/>
      <c r="L49" s="54">
        <f>SUM(L46:L48)</f>
        <v>24.024205548721071</v>
      </c>
      <c r="M49" s="61"/>
      <c r="N49" s="44">
        <f t="shared" si="10"/>
        <v>2.7304095487210738</v>
      </c>
      <c r="O49" s="45">
        <f t="shared" si="11"/>
        <v>0.12822558968448247</v>
      </c>
    </row>
    <row r="50" spans="2:19" x14ac:dyDescent="0.25">
      <c r="B50" s="64" t="s">
        <v>31</v>
      </c>
      <c r="C50" s="22"/>
      <c r="D50" s="23" t="s">
        <v>61</v>
      </c>
      <c r="E50" s="24"/>
      <c r="F50" s="65">
        <v>4.4000000000000003E-3</v>
      </c>
      <c r="G50" s="69">
        <f>G48</f>
        <v>104.03999999999999</v>
      </c>
      <c r="H50" s="66">
        <f t="shared" ref="H50:H56" si="12">G50*F50</f>
        <v>0.45777600000000002</v>
      </c>
      <c r="I50" s="28"/>
      <c r="J50" s="67">
        <v>4.4000000000000003E-3</v>
      </c>
      <c r="K50" s="70">
        <f>K48</f>
        <v>103.62</v>
      </c>
      <c r="L50" s="66">
        <f t="shared" ref="L50:L56" si="13">K50*J50</f>
        <v>0.45592800000000006</v>
      </c>
      <c r="M50" s="28"/>
      <c r="N50" s="31">
        <f t="shared" si="10"/>
        <v>-1.8479999999999608E-3</v>
      </c>
      <c r="O50" s="68">
        <f t="shared" si="11"/>
        <v>-4.0369088811994525E-3</v>
      </c>
    </row>
    <row r="51" spans="2:19" x14ac:dyDescent="0.25">
      <c r="B51" s="64" t="s">
        <v>32</v>
      </c>
      <c r="C51" s="22"/>
      <c r="D51" s="23" t="s">
        <v>61</v>
      </c>
      <c r="E51" s="24"/>
      <c r="F51" s="65">
        <v>1.2999999999999999E-3</v>
      </c>
      <c r="G51" s="69">
        <f>G48</f>
        <v>104.03999999999999</v>
      </c>
      <c r="H51" s="66">
        <f t="shared" si="12"/>
        <v>0.13525199999999998</v>
      </c>
      <c r="I51" s="28"/>
      <c r="J51" s="65">
        <v>1.2999999999999999E-3</v>
      </c>
      <c r="K51" s="70">
        <f>K48</f>
        <v>103.62</v>
      </c>
      <c r="L51" s="66">
        <f t="shared" si="13"/>
        <v>0.13470599999999999</v>
      </c>
      <c r="M51" s="28"/>
      <c r="N51" s="31">
        <f t="shared" si="10"/>
        <v>-5.4599999999999094E-4</v>
      </c>
      <c r="O51" s="68">
        <f t="shared" si="11"/>
        <v>-4.0369088811994724E-3</v>
      </c>
    </row>
    <row r="52" spans="2:19" x14ac:dyDescent="0.25">
      <c r="B52" s="22" t="s">
        <v>33</v>
      </c>
      <c r="C52" s="22"/>
      <c r="D52" s="23" t="s">
        <v>60</v>
      </c>
      <c r="E52" s="24"/>
      <c r="F52" s="176">
        <v>0.25</v>
      </c>
      <c r="G52" s="26">
        <v>1</v>
      </c>
      <c r="H52" s="66">
        <f t="shared" si="12"/>
        <v>0.25</v>
      </c>
      <c r="I52" s="28"/>
      <c r="J52" s="177">
        <v>0.25</v>
      </c>
      <c r="K52" s="30">
        <v>1</v>
      </c>
      <c r="L52" s="66">
        <f t="shared" si="13"/>
        <v>0.25</v>
      </c>
      <c r="M52" s="28"/>
      <c r="N52" s="31">
        <f t="shared" si="10"/>
        <v>0</v>
      </c>
      <c r="O52" s="68">
        <f t="shared" si="11"/>
        <v>0</v>
      </c>
    </row>
    <row r="53" spans="2:19" x14ac:dyDescent="0.25">
      <c r="B53" s="24" t="s">
        <v>34</v>
      </c>
      <c r="C53" s="24"/>
      <c r="D53" s="23" t="s">
        <v>61</v>
      </c>
      <c r="E53" s="24"/>
      <c r="F53" s="65">
        <v>7.0000000000000001E-3</v>
      </c>
      <c r="G53" s="69">
        <f>F16</f>
        <v>100</v>
      </c>
      <c r="H53" s="66">
        <f t="shared" si="12"/>
        <v>0.70000000000000007</v>
      </c>
      <c r="I53" s="28"/>
      <c r="J53" s="67">
        <f>0.007</f>
        <v>7.0000000000000001E-3</v>
      </c>
      <c r="K53" s="70">
        <f>F16</f>
        <v>100</v>
      </c>
      <c r="L53" s="66">
        <f t="shared" si="13"/>
        <v>0.70000000000000007</v>
      </c>
      <c r="M53" s="28"/>
      <c r="N53" s="31">
        <f t="shared" si="10"/>
        <v>0</v>
      </c>
      <c r="O53" s="68">
        <f t="shared" si="11"/>
        <v>0</v>
      </c>
    </row>
    <row r="54" spans="2:19" x14ac:dyDescent="0.25">
      <c r="B54" s="181" t="s">
        <v>35</v>
      </c>
      <c r="C54" s="22"/>
      <c r="D54" s="23" t="s">
        <v>61</v>
      </c>
      <c r="E54" s="24"/>
      <c r="F54" s="65">
        <v>7.6999999999999999E-2</v>
      </c>
      <c r="G54" s="69">
        <f>0.64*$F$16</f>
        <v>64</v>
      </c>
      <c r="H54" s="66">
        <f t="shared" si="12"/>
        <v>4.9279999999999999</v>
      </c>
      <c r="I54" s="28"/>
      <c r="J54" s="284">
        <f>+F54</f>
        <v>7.6999999999999999E-2</v>
      </c>
      <c r="K54" s="69">
        <f>G54</f>
        <v>64</v>
      </c>
      <c r="L54" s="66">
        <f t="shared" si="13"/>
        <v>4.9279999999999999</v>
      </c>
      <c r="M54" s="28"/>
      <c r="N54" s="31">
        <f t="shared" si="10"/>
        <v>0</v>
      </c>
      <c r="O54" s="68">
        <f t="shared" si="11"/>
        <v>0</v>
      </c>
      <c r="S54" s="72"/>
    </row>
    <row r="55" spans="2:19" x14ac:dyDescent="0.25">
      <c r="B55" s="49" t="s">
        <v>36</v>
      </c>
      <c r="C55" s="22"/>
      <c r="D55" s="23" t="s">
        <v>61</v>
      </c>
      <c r="E55" s="24"/>
      <c r="F55" s="65">
        <v>0.114</v>
      </c>
      <c r="G55" s="69">
        <f>0.18*$F$16</f>
        <v>18</v>
      </c>
      <c r="H55" s="66">
        <f t="shared" si="12"/>
        <v>2.052</v>
      </c>
      <c r="I55" s="28"/>
      <c r="J55" s="284">
        <f>+F55</f>
        <v>0.114</v>
      </c>
      <c r="K55" s="69">
        <f>G55</f>
        <v>18</v>
      </c>
      <c r="L55" s="66">
        <f t="shared" si="13"/>
        <v>2.052</v>
      </c>
      <c r="M55" s="28"/>
      <c r="N55" s="31">
        <f t="shared" si="10"/>
        <v>0</v>
      </c>
      <c r="O55" s="68">
        <f t="shared" si="11"/>
        <v>0</v>
      </c>
      <c r="S55" s="72"/>
    </row>
    <row r="56" spans="2:19" x14ac:dyDescent="0.25">
      <c r="B56" s="12" t="s">
        <v>37</v>
      </c>
      <c r="C56" s="22"/>
      <c r="D56" s="23" t="s">
        <v>61</v>
      </c>
      <c r="E56" s="24"/>
      <c r="F56" s="65">
        <v>0.14000000000000001</v>
      </c>
      <c r="G56" s="69">
        <f>0.18*$F$16</f>
        <v>18</v>
      </c>
      <c r="H56" s="66">
        <f t="shared" si="12"/>
        <v>2.5200000000000005</v>
      </c>
      <c r="I56" s="28"/>
      <c r="J56" s="284">
        <f>+F56</f>
        <v>0.14000000000000001</v>
      </c>
      <c r="K56" s="69">
        <f>G56</f>
        <v>18</v>
      </c>
      <c r="L56" s="66">
        <f t="shared" si="13"/>
        <v>2.5200000000000005</v>
      </c>
      <c r="M56" s="28"/>
      <c r="N56" s="31">
        <f t="shared" si="10"/>
        <v>0</v>
      </c>
      <c r="O56" s="68">
        <f t="shared" si="11"/>
        <v>0</v>
      </c>
      <c r="S56" s="72"/>
    </row>
    <row r="57" spans="2:19" s="73" customFormat="1" x14ac:dyDescent="0.2">
      <c r="B57" s="291" t="s">
        <v>84</v>
      </c>
      <c r="C57" s="75"/>
      <c r="D57" s="76" t="s">
        <v>61</v>
      </c>
      <c r="E57" s="77"/>
      <c r="F57" s="65">
        <v>8.7999999999999995E-2</v>
      </c>
      <c r="G57" s="78">
        <f>IF(AND($T$1=1, F16&gt;=600), 600, IF(AND($T$1=1, AND(F16&lt;600, F16&gt;=0)), F16, IF(AND($T$1=2, F16&gt;=1000), 1000, IF(AND($T$1=2, AND(F16&lt;1000, F16&gt;=0)), F16))))</f>
        <v>100</v>
      </c>
      <c r="H57" s="66">
        <f>G57*F57</f>
        <v>8.7999999999999989</v>
      </c>
      <c r="I57" s="79"/>
      <c r="J57" s="284">
        <f>+F57</f>
        <v>8.7999999999999995E-2</v>
      </c>
      <c r="K57" s="78">
        <f>G57</f>
        <v>100</v>
      </c>
      <c r="L57" s="66">
        <f>K57*J57</f>
        <v>8.7999999999999989</v>
      </c>
      <c r="M57" s="79"/>
      <c r="N57" s="80">
        <f t="shared" si="10"/>
        <v>0</v>
      </c>
      <c r="O57" s="68">
        <f t="shared" si="11"/>
        <v>0</v>
      </c>
    </row>
    <row r="58" spans="2:19" s="73" customFormat="1" ht="15.75" thickBot="1" x14ac:dyDescent="0.25">
      <c r="B58" s="74" t="s">
        <v>39</v>
      </c>
      <c r="C58" s="75"/>
      <c r="D58" s="76" t="s">
        <v>61</v>
      </c>
      <c r="E58" s="77"/>
      <c r="F58" s="65">
        <v>0.10299999999999999</v>
      </c>
      <c r="G58" s="78">
        <f>IF(AND($T$1=1, F16&gt;=600), F16-600, IF(AND($T$1=1, AND(F16&lt;600, F16&gt;=0)), 0, IF(AND($T$1=2, F16&gt;=1000), F16-1000, IF(AND($T$1=2, AND(F16&lt;1000, F16&gt;=0)), 0))))</f>
        <v>0</v>
      </c>
      <c r="H58" s="66">
        <f>G58*F58</f>
        <v>0</v>
      </c>
      <c r="I58" s="79"/>
      <c r="J58" s="284">
        <f>+F58</f>
        <v>0.10299999999999999</v>
      </c>
      <c r="K58" s="78">
        <f>G58</f>
        <v>0</v>
      </c>
      <c r="L58" s="66">
        <f>K58*J58</f>
        <v>0</v>
      </c>
      <c r="M58" s="79"/>
      <c r="N58" s="80">
        <f t="shared" si="10"/>
        <v>0</v>
      </c>
      <c r="O58" s="68" t="str">
        <f t="shared" si="11"/>
        <v/>
      </c>
    </row>
    <row r="59" spans="2:19" ht="8.25" customHeight="1" thickBot="1" x14ac:dyDescent="0.3">
      <c r="B59" s="81"/>
      <c r="C59" s="82"/>
      <c r="D59" s="83"/>
      <c r="E59" s="82"/>
      <c r="F59" s="84"/>
      <c r="G59" s="85"/>
      <c r="H59" s="86"/>
      <c r="I59" s="87"/>
      <c r="J59" s="84"/>
      <c r="K59" s="88"/>
      <c r="L59" s="86"/>
      <c r="M59" s="87"/>
      <c r="N59" s="89"/>
      <c r="O59" s="90"/>
    </row>
    <row r="60" spans="2:19" x14ac:dyDescent="0.25">
      <c r="B60" s="91" t="s">
        <v>40</v>
      </c>
      <c r="C60" s="22"/>
      <c r="D60" s="22"/>
      <c r="E60" s="22"/>
      <c r="F60" s="92"/>
      <c r="G60" s="93"/>
      <c r="H60" s="94">
        <f>SUM(H50:H56,H49)</f>
        <v>32.336823999999993</v>
      </c>
      <c r="I60" s="95"/>
      <c r="J60" s="96"/>
      <c r="K60" s="96"/>
      <c r="L60" s="190">
        <f>SUM(L50:L56,L49)</f>
        <v>35.064839548721068</v>
      </c>
      <c r="M60" s="97"/>
      <c r="N60" s="98">
        <f>L60-H60</f>
        <v>2.7280155487210749</v>
      </c>
      <c r="O60" s="99">
        <f>IF((H60)=0,"",(N60/H60))</f>
        <v>8.4362507236983922E-2</v>
      </c>
      <c r="S60" s="72"/>
    </row>
    <row r="61" spans="2:19" x14ac:dyDescent="0.25">
      <c r="B61" s="100" t="s">
        <v>41</v>
      </c>
      <c r="C61" s="22"/>
      <c r="D61" s="22"/>
      <c r="E61" s="22"/>
      <c r="F61" s="101">
        <v>0.13</v>
      </c>
      <c r="G61" s="102"/>
      <c r="H61" s="103">
        <f>H60*F61</f>
        <v>4.2037871199999994</v>
      </c>
      <c r="I61" s="104"/>
      <c r="J61" s="105">
        <v>0.13</v>
      </c>
      <c r="K61" s="104"/>
      <c r="L61" s="106">
        <f>L60*J61</f>
        <v>4.5584291413337388</v>
      </c>
      <c r="M61" s="107"/>
      <c r="N61" s="108">
        <f t="shared" si="10"/>
        <v>0.35464202133373934</v>
      </c>
      <c r="O61" s="109">
        <f t="shared" si="11"/>
        <v>8.4362507236983825E-2</v>
      </c>
      <c r="S61" s="72"/>
    </row>
    <row r="62" spans="2:19" x14ac:dyDescent="0.25">
      <c r="B62" s="110" t="s">
        <v>42</v>
      </c>
      <c r="C62" s="22"/>
      <c r="D62" s="22"/>
      <c r="E62" s="22"/>
      <c r="F62" s="111"/>
      <c r="G62" s="102"/>
      <c r="H62" s="103">
        <f>H60+H61</f>
        <v>36.540611119999994</v>
      </c>
      <c r="I62" s="104"/>
      <c r="J62" s="104"/>
      <c r="K62" s="104"/>
      <c r="L62" s="106">
        <f>L60+L61</f>
        <v>39.623268690054807</v>
      </c>
      <c r="M62" s="107"/>
      <c r="N62" s="108">
        <f t="shared" si="10"/>
        <v>3.0826575700548133</v>
      </c>
      <c r="O62" s="109">
        <f t="shared" si="11"/>
        <v>8.436250723698388E-2</v>
      </c>
      <c r="S62" s="72"/>
    </row>
    <row r="63" spans="2:19" ht="15.75" customHeight="1" x14ac:dyDescent="0.25">
      <c r="B63" s="383" t="s">
        <v>43</v>
      </c>
      <c r="C63" s="383"/>
      <c r="D63" s="383"/>
      <c r="E63" s="22"/>
      <c r="F63" s="111"/>
      <c r="G63" s="102"/>
      <c r="H63" s="112">
        <f>ROUND(-H62*10%,2)</f>
        <v>-3.65</v>
      </c>
      <c r="I63" s="104"/>
      <c r="J63" s="104"/>
      <c r="K63" s="104"/>
      <c r="L63" s="113">
        <f>ROUND(-L62*10%,2)</f>
        <v>-3.96</v>
      </c>
      <c r="M63" s="107"/>
      <c r="N63" s="114">
        <f t="shared" si="10"/>
        <v>-0.31000000000000005</v>
      </c>
      <c r="O63" s="115">
        <f t="shared" si="11"/>
        <v>8.493150684931508E-2</v>
      </c>
    </row>
    <row r="64" spans="2:19" ht="15.75" thickBot="1" x14ac:dyDescent="0.3">
      <c r="B64" s="384" t="s">
        <v>44</v>
      </c>
      <c r="C64" s="384"/>
      <c r="D64" s="384"/>
      <c r="E64" s="116"/>
      <c r="F64" s="117"/>
      <c r="G64" s="118"/>
      <c r="H64" s="119">
        <f>H62+H63</f>
        <v>32.890611119999996</v>
      </c>
      <c r="I64" s="120"/>
      <c r="J64" s="120"/>
      <c r="K64" s="120"/>
      <c r="L64" s="121">
        <f>L62+L63</f>
        <v>35.663268690054807</v>
      </c>
      <c r="M64" s="122"/>
      <c r="N64" s="123">
        <f t="shared" si="10"/>
        <v>2.7726575700548111</v>
      </c>
      <c r="O64" s="124">
        <f t="shared" si="11"/>
        <v>8.4299363120341184E-2</v>
      </c>
    </row>
    <row r="65" spans="1:15" s="73" customFormat="1" ht="8.25" customHeight="1" thickBot="1" x14ac:dyDescent="0.25">
      <c r="B65" s="125"/>
      <c r="C65" s="126"/>
      <c r="D65" s="127"/>
      <c r="E65" s="126"/>
      <c r="F65" s="84"/>
      <c r="G65" s="128"/>
      <c r="H65" s="86"/>
      <c r="I65" s="129"/>
      <c r="J65" s="84"/>
      <c r="K65" s="130"/>
      <c r="L65" s="86"/>
      <c r="M65" s="129"/>
      <c r="N65" s="131"/>
      <c r="O65" s="90"/>
    </row>
    <row r="66" spans="1:15" s="73" customFormat="1" ht="12.75" x14ac:dyDescent="0.2">
      <c r="B66" s="132" t="s">
        <v>45</v>
      </c>
      <c r="C66" s="75"/>
      <c r="D66" s="75"/>
      <c r="E66" s="75"/>
      <c r="F66" s="133"/>
      <c r="G66" s="134"/>
      <c r="H66" s="135">
        <f>SUM(H57:H58,H49,H50:H53)</f>
        <v>31.636823999999997</v>
      </c>
      <c r="I66" s="136"/>
      <c r="J66" s="137"/>
      <c r="K66" s="137"/>
      <c r="L66" s="189">
        <f>SUM(L57:L58,L49,L50:L53)</f>
        <v>34.364839548721072</v>
      </c>
      <c r="M66" s="138"/>
      <c r="N66" s="139">
        <f>L66-H66</f>
        <v>2.7280155487210749</v>
      </c>
      <c r="O66" s="99">
        <f>IF((H66)=0,"",(N66/H66))</f>
        <v>8.6229121757641511E-2</v>
      </c>
    </row>
    <row r="67" spans="1:15" s="73" customFormat="1" ht="12.75" x14ac:dyDescent="0.2">
      <c r="B67" s="140" t="s">
        <v>41</v>
      </c>
      <c r="C67" s="75"/>
      <c r="D67" s="75"/>
      <c r="E67" s="75"/>
      <c r="F67" s="141">
        <v>0.13</v>
      </c>
      <c r="G67" s="134"/>
      <c r="H67" s="142">
        <f>H66*F67</f>
        <v>4.1127871200000001</v>
      </c>
      <c r="I67" s="143"/>
      <c r="J67" s="144">
        <v>0.13</v>
      </c>
      <c r="K67" s="145"/>
      <c r="L67" s="146">
        <f>L66*J67</f>
        <v>4.4674291413337395</v>
      </c>
      <c r="M67" s="147"/>
      <c r="N67" s="148">
        <f>L67-H67</f>
        <v>0.35464202133373934</v>
      </c>
      <c r="O67" s="109">
        <f>IF((H67)=0,"",(N67/H67))</f>
        <v>8.62291217576414E-2</v>
      </c>
    </row>
    <row r="68" spans="1:15" s="73" customFormat="1" ht="12.75" x14ac:dyDescent="0.2">
      <c r="B68" s="149" t="s">
        <v>42</v>
      </c>
      <c r="C68" s="75"/>
      <c r="D68" s="75"/>
      <c r="E68" s="75"/>
      <c r="F68" s="150"/>
      <c r="G68" s="151"/>
      <c r="H68" s="142">
        <f>H66+H67</f>
        <v>35.749611119999997</v>
      </c>
      <c r="I68" s="143"/>
      <c r="J68" s="143"/>
      <c r="K68" s="143"/>
      <c r="L68" s="146">
        <f>L66+L67</f>
        <v>38.832268690054811</v>
      </c>
      <c r="M68" s="147"/>
      <c r="N68" s="148">
        <f>L68-H68</f>
        <v>3.0826575700548133</v>
      </c>
      <c r="O68" s="109">
        <f>IF((H68)=0,"",(N68/H68))</f>
        <v>8.6229121757641469E-2</v>
      </c>
    </row>
    <row r="69" spans="1:15" s="73" customFormat="1" ht="15.75" customHeight="1" x14ac:dyDescent="0.2">
      <c r="B69" s="385" t="s">
        <v>43</v>
      </c>
      <c r="C69" s="385"/>
      <c r="D69" s="385"/>
      <c r="E69" s="75"/>
      <c r="F69" s="150"/>
      <c r="G69" s="151"/>
      <c r="H69" s="152">
        <f>ROUND(-H68*10%,2)</f>
        <v>-3.57</v>
      </c>
      <c r="I69" s="143"/>
      <c r="J69" s="143"/>
      <c r="K69" s="143"/>
      <c r="L69" s="153">
        <f>ROUND(-L68*10%,2)</f>
        <v>-3.88</v>
      </c>
      <c r="M69" s="147"/>
      <c r="N69" s="154">
        <f>L69-H69</f>
        <v>-0.31000000000000005</v>
      </c>
      <c r="O69" s="115">
        <f>IF((H69)=0,"",(N69/H69))</f>
        <v>8.6834733893557448E-2</v>
      </c>
    </row>
    <row r="70" spans="1:15" s="73" customFormat="1" ht="13.5" thickBot="1" x14ac:dyDescent="0.25">
      <c r="B70" s="376" t="s">
        <v>46</v>
      </c>
      <c r="C70" s="376"/>
      <c r="D70" s="376"/>
      <c r="E70" s="155"/>
      <c r="F70" s="156"/>
      <c r="G70" s="157"/>
      <c r="H70" s="158">
        <f>SUM(H68:H69)</f>
        <v>32.179611119999997</v>
      </c>
      <c r="I70" s="159"/>
      <c r="J70" s="159"/>
      <c r="K70" s="159"/>
      <c r="L70" s="160">
        <f>SUM(L68:L69)</f>
        <v>34.952268690054808</v>
      </c>
      <c r="M70" s="161"/>
      <c r="N70" s="162">
        <f>L70-H70</f>
        <v>2.7726575700548111</v>
      </c>
      <c r="O70" s="163">
        <f>IF((H70)=0,"",(N70/H70))</f>
        <v>8.6161935261286376E-2</v>
      </c>
    </row>
    <row r="71" spans="1:15" s="73" customFormat="1" ht="8.25" customHeight="1" thickBot="1" x14ac:dyDescent="0.25">
      <c r="B71" s="125"/>
      <c r="C71" s="126"/>
      <c r="D71" s="127"/>
      <c r="E71" s="126"/>
      <c r="F71" s="164"/>
      <c r="G71" s="165"/>
      <c r="H71" s="166"/>
      <c r="I71" s="167"/>
      <c r="J71" s="164"/>
      <c r="K71" s="128"/>
      <c r="L71" s="168"/>
      <c r="M71" s="129"/>
      <c r="N71" s="169"/>
      <c r="O71" s="90"/>
    </row>
    <row r="72" spans="1:15" ht="10.5" customHeight="1" x14ac:dyDescent="0.25">
      <c r="L72" s="72"/>
    </row>
    <row r="73" spans="1:15" x14ac:dyDescent="0.25">
      <c r="B73" s="13" t="s">
        <v>47</v>
      </c>
      <c r="F73" s="170">
        <v>4.0399999999999998E-2</v>
      </c>
      <c r="J73" s="170">
        <v>3.6200000000000003E-2</v>
      </c>
    </row>
    <row r="74" spans="1:15" ht="10.5" customHeight="1" x14ac:dyDescent="0.25"/>
    <row r="75" spans="1:15" x14ac:dyDescent="0.25">
      <c r="A75" s="171" t="s">
        <v>48</v>
      </c>
    </row>
    <row r="76" spans="1:15" ht="10.5" customHeight="1" x14ac:dyDescent="0.25"/>
    <row r="77" spans="1:15" x14ac:dyDescent="0.25">
      <c r="A77" s="7" t="s">
        <v>49</v>
      </c>
    </row>
    <row r="78" spans="1:15" x14ac:dyDescent="0.25">
      <c r="A78" s="7" t="s">
        <v>50</v>
      </c>
    </row>
    <row r="80" spans="1:15" x14ac:dyDescent="0.25">
      <c r="A80" s="12" t="s">
        <v>51</v>
      </c>
    </row>
    <row r="81" spans="1:2" x14ac:dyDescent="0.25">
      <c r="A81" s="12" t="s">
        <v>52</v>
      </c>
    </row>
    <row r="83" spans="1:2" x14ac:dyDescent="0.25">
      <c r="A83" s="7" t="s">
        <v>53</v>
      </c>
    </row>
    <row r="84" spans="1:2" x14ac:dyDescent="0.25">
      <c r="A84" s="7" t="s">
        <v>54</v>
      </c>
    </row>
    <row r="85" spans="1:2" x14ac:dyDescent="0.25">
      <c r="A85" s="7" t="s">
        <v>55</v>
      </c>
    </row>
    <row r="86" spans="1:2" x14ac:dyDescent="0.25">
      <c r="A86" s="7" t="s">
        <v>56</v>
      </c>
    </row>
    <row r="87" spans="1:2" x14ac:dyDescent="0.25">
      <c r="A87" s="7" t="s">
        <v>57</v>
      </c>
    </row>
    <row r="89" spans="1:2" x14ac:dyDescent="0.25">
      <c r="A89" s="172"/>
      <c r="B89" s="7" t="s">
        <v>58</v>
      </c>
    </row>
  </sheetData>
  <mergeCells count="17">
    <mergeCell ref="D12:O12"/>
    <mergeCell ref="F18:H18"/>
    <mergeCell ref="J18:L18"/>
    <mergeCell ref="N18:O18"/>
    <mergeCell ref="B70:D70"/>
    <mergeCell ref="D19:D20"/>
    <mergeCell ref="N19:N20"/>
    <mergeCell ref="O19:O20"/>
    <mergeCell ref="B63:D63"/>
    <mergeCell ref="B64:D64"/>
    <mergeCell ref="B69:D69"/>
    <mergeCell ref="B9:O9"/>
    <mergeCell ref="N1:O1"/>
    <mergeCell ref="N2:O2"/>
    <mergeCell ref="N3:O3"/>
    <mergeCell ref="N5:O5"/>
    <mergeCell ref="B8:O8"/>
  </mergeCells>
  <dataValidations count="4">
    <dataValidation type="list" allowBlank="1" showInputMessage="1" showErrorMessage="1" sqref="D14">
      <formula1>"TOU, non-TOU"</formula1>
    </dataValidation>
    <dataValidation type="list" allowBlank="1" showInputMessage="1" showErrorMessage="1" sqref="E71 E65 E57:E58">
      <formula1>#REF!</formula1>
    </dataValidation>
    <dataValidation type="list" allowBlank="1" showInputMessage="1" showErrorMessage="1" prompt="Select Charge Unit - monthly, per kWh, per kW" sqref="D47:D48 D65 D71 D50:D59 D38:D45 D21:D36">
      <formula1>"Monthly, per kWh, per kW"</formula1>
    </dataValidation>
    <dataValidation type="list" allowBlank="1" showInputMessage="1" showErrorMessage="1" sqref="E47:E48 E50:E56 E59 E38:E45 E21:E36">
      <formula1>#REF!</formula1>
    </dataValidation>
  </dataValidations>
  <pageMargins left="0.7" right="0.7" top="0.75" bottom="0.75" header="0.3" footer="0.3"/>
  <pageSetup scale="60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T89"/>
  <sheetViews>
    <sheetView showGridLines="0" topLeftCell="A9" zoomScaleNormal="100" workbookViewId="0">
      <selection activeCell="F37" sqref="F37"/>
    </sheetView>
  </sheetViews>
  <sheetFormatPr defaultColWidth="9.140625" defaultRowHeight="15" x14ac:dyDescent="0.25"/>
  <cols>
    <col min="1" max="1" width="2.140625" style="7" customWidth="1"/>
    <col min="2" max="2" width="44.5703125" style="7" customWidth="1"/>
    <col min="3" max="3" width="1.28515625" style="7" customWidth="1"/>
    <col min="4" max="4" width="11.28515625" style="7" customWidth="1"/>
    <col min="5" max="5" width="1.28515625" style="7" customWidth="1"/>
    <col min="6" max="6" width="12.28515625" style="7" customWidth="1"/>
    <col min="7" max="7" width="8.5703125" style="7" customWidth="1"/>
    <col min="8" max="8" width="9.7109375" style="7" customWidth="1"/>
    <col min="9" max="9" width="2.85546875" style="7" customWidth="1"/>
    <col min="10" max="10" width="12.140625" style="7" customWidth="1"/>
    <col min="11" max="11" width="8.5703125" style="7" customWidth="1"/>
    <col min="12" max="12" width="9.7109375" style="7" customWidth="1"/>
    <col min="13" max="13" width="2.85546875" style="7" customWidth="1"/>
    <col min="14" max="14" width="12.7109375" style="7" bestFit="1" customWidth="1"/>
    <col min="15" max="15" width="10.85546875" style="7" bestFit="1" customWidth="1"/>
    <col min="16" max="16" width="10.5703125" style="7" customWidth="1"/>
    <col min="17" max="19" width="9.140625" style="7"/>
    <col min="20" max="20" width="9.140625" style="7" customWidth="1"/>
    <col min="21" max="16384" width="9.140625" style="7"/>
  </cols>
  <sheetData>
    <row r="1" spans="1:20" s="2" customFormat="1" ht="15" customHeigh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3" t="s">
        <v>0</v>
      </c>
      <c r="N1" s="368" t="s">
        <v>94</v>
      </c>
      <c r="O1" s="368"/>
      <c r="P1" s="192"/>
      <c r="T1" s="2">
        <v>1</v>
      </c>
    </row>
    <row r="2" spans="1:20" s="2" customFormat="1" ht="15" customHeight="1" x14ac:dyDescent="0.3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3" t="s">
        <v>95</v>
      </c>
      <c r="N2" s="369">
        <v>8</v>
      </c>
      <c r="O2" s="369"/>
      <c r="P2" s="193"/>
    </row>
    <row r="3" spans="1:20" s="2" customFormat="1" ht="15" customHeight="1" x14ac:dyDescent="0.3">
      <c r="C3" s="6"/>
      <c r="D3" s="6"/>
      <c r="E3" s="6"/>
      <c r="L3" s="3" t="s">
        <v>96</v>
      </c>
      <c r="N3" s="370" t="s">
        <v>97</v>
      </c>
      <c r="O3" s="370"/>
      <c r="P3" s="192"/>
    </row>
    <row r="4" spans="1:20" s="2" customFormat="1" ht="9" customHeight="1" x14ac:dyDescent="0.3">
      <c r="L4" s="3"/>
      <c r="N4" s="310"/>
      <c r="O4"/>
      <c r="P4" s="194"/>
    </row>
    <row r="5" spans="1:20" s="2" customFormat="1" ht="14.45" x14ac:dyDescent="0.3">
      <c r="L5" s="3" t="s">
        <v>76</v>
      </c>
      <c r="N5" s="387">
        <v>42124</v>
      </c>
      <c r="O5" s="387"/>
      <c r="P5" s="195"/>
    </row>
    <row r="6" spans="1:20" s="2" customFormat="1" ht="15" customHeight="1" x14ac:dyDescent="0.3">
      <c r="N6" s="7"/>
      <c r="O6"/>
      <c r="P6"/>
    </row>
    <row r="7" spans="1:20" ht="7.5" customHeight="1" x14ac:dyDescent="0.3">
      <c r="L7"/>
      <c r="M7"/>
      <c r="N7"/>
      <c r="O7"/>
      <c r="P7"/>
    </row>
    <row r="8" spans="1:20" ht="18.75" customHeight="1" x14ac:dyDescent="0.3">
      <c r="B8" s="367" t="s">
        <v>1</v>
      </c>
      <c r="C8" s="367"/>
      <c r="D8" s="367"/>
      <c r="E8" s="367"/>
      <c r="F8" s="367"/>
      <c r="G8" s="367"/>
      <c r="H8" s="367"/>
      <c r="I8" s="367"/>
      <c r="J8" s="367"/>
      <c r="K8" s="367"/>
      <c r="L8" s="367"/>
      <c r="M8" s="367"/>
      <c r="N8" s="367"/>
      <c r="O8" s="367"/>
      <c r="P8"/>
    </row>
    <row r="9" spans="1:20" ht="18.75" customHeight="1" x14ac:dyDescent="0.3">
      <c r="B9" s="367" t="s">
        <v>2</v>
      </c>
      <c r="C9" s="367"/>
      <c r="D9" s="367"/>
      <c r="E9" s="367"/>
      <c r="F9" s="367"/>
      <c r="G9" s="367"/>
      <c r="H9" s="367"/>
      <c r="I9" s="367"/>
      <c r="J9" s="367"/>
      <c r="K9" s="367"/>
      <c r="L9" s="367"/>
      <c r="M9" s="367"/>
      <c r="N9" s="367"/>
      <c r="O9" s="367"/>
      <c r="P9"/>
    </row>
    <row r="10" spans="1:20" ht="7.5" customHeight="1" x14ac:dyDescent="0.3">
      <c r="L10"/>
      <c r="M10"/>
      <c r="N10"/>
      <c r="O10"/>
      <c r="P10"/>
    </row>
    <row r="11" spans="1:20" ht="7.5" customHeight="1" x14ac:dyDescent="0.3">
      <c r="L11"/>
      <c r="M11"/>
      <c r="N11"/>
      <c r="O11"/>
      <c r="P11"/>
    </row>
    <row r="12" spans="1:20" ht="15.6" x14ac:dyDescent="0.3">
      <c r="B12" s="8" t="s">
        <v>3</v>
      </c>
      <c r="D12" s="386" t="s">
        <v>67</v>
      </c>
      <c r="E12" s="386"/>
      <c r="F12" s="386"/>
      <c r="G12" s="386"/>
      <c r="H12" s="386"/>
      <c r="I12" s="386"/>
      <c r="J12" s="386"/>
      <c r="K12" s="386"/>
      <c r="L12" s="386"/>
      <c r="M12" s="386"/>
      <c r="N12" s="386"/>
      <c r="O12" s="386"/>
    </row>
    <row r="13" spans="1:20" ht="7.5" customHeight="1" x14ac:dyDescent="0.3">
      <c r="B13" s="9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</row>
    <row r="14" spans="1:20" ht="15.6" x14ac:dyDescent="0.3">
      <c r="B14" s="8" t="s">
        <v>4</v>
      </c>
      <c r="D14" s="11" t="s">
        <v>5</v>
      </c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</row>
    <row r="15" spans="1:20" ht="15.6" x14ac:dyDescent="0.3">
      <c r="B15" s="9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</row>
    <row r="16" spans="1:20" ht="14.45" x14ac:dyDescent="0.3">
      <c r="B16" s="12"/>
      <c r="D16" s="13" t="s">
        <v>6</v>
      </c>
      <c r="E16" s="13"/>
      <c r="F16" s="14">
        <v>5000</v>
      </c>
      <c r="G16" s="13" t="s">
        <v>7</v>
      </c>
    </row>
    <row r="17" spans="2:15" ht="14.45" x14ac:dyDescent="0.3">
      <c r="B17" s="12"/>
    </row>
    <row r="18" spans="2:15" ht="14.45" x14ac:dyDescent="0.3">
      <c r="B18" s="12"/>
      <c r="D18" s="15"/>
      <c r="E18" s="15"/>
      <c r="F18" s="373" t="s">
        <v>8</v>
      </c>
      <c r="G18" s="374"/>
      <c r="H18" s="375"/>
      <c r="J18" s="373" t="s">
        <v>9</v>
      </c>
      <c r="K18" s="374"/>
      <c r="L18" s="375"/>
      <c r="N18" s="373" t="s">
        <v>10</v>
      </c>
      <c r="O18" s="375"/>
    </row>
    <row r="19" spans="2:15" x14ac:dyDescent="0.25">
      <c r="B19" s="12"/>
      <c r="D19" s="377" t="s">
        <v>11</v>
      </c>
      <c r="E19" s="16"/>
      <c r="F19" s="17" t="s">
        <v>12</v>
      </c>
      <c r="G19" s="17" t="s">
        <v>13</v>
      </c>
      <c r="H19" s="18" t="s">
        <v>14</v>
      </c>
      <c r="J19" s="17" t="s">
        <v>12</v>
      </c>
      <c r="K19" s="19" t="s">
        <v>13</v>
      </c>
      <c r="L19" s="18" t="s">
        <v>14</v>
      </c>
      <c r="N19" s="379" t="s">
        <v>15</v>
      </c>
      <c r="O19" s="381" t="s">
        <v>16</v>
      </c>
    </row>
    <row r="20" spans="2:15" x14ac:dyDescent="0.25">
      <c r="B20" s="12"/>
      <c r="D20" s="378"/>
      <c r="E20" s="16"/>
      <c r="F20" s="20" t="s">
        <v>17</v>
      </c>
      <c r="G20" s="20"/>
      <c r="H20" s="21" t="s">
        <v>17</v>
      </c>
      <c r="J20" s="20" t="s">
        <v>17</v>
      </c>
      <c r="K20" s="21"/>
      <c r="L20" s="21" t="s">
        <v>17</v>
      </c>
      <c r="N20" s="380"/>
      <c r="O20" s="382"/>
    </row>
    <row r="21" spans="2:15" ht="22.5" customHeight="1" x14ac:dyDescent="0.3">
      <c r="B21" s="22" t="s">
        <v>18</v>
      </c>
      <c r="C21" s="22"/>
      <c r="D21" s="23" t="s">
        <v>60</v>
      </c>
      <c r="E21" s="24"/>
      <c r="F21" s="174">
        <f>+'GS&lt;50 (1,000kWh)'!$F$21</f>
        <v>31.96</v>
      </c>
      <c r="G21" s="26">
        <v>1</v>
      </c>
      <c r="H21" s="27">
        <f>G21*F21</f>
        <v>31.96</v>
      </c>
      <c r="I21" s="28"/>
      <c r="J21" s="173">
        <f>+'GS&lt;50 (1,000kWh)'!$J$21</f>
        <v>31.96</v>
      </c>
      <c r="K21" s="30">
        <v>1</v>
      </c>
      <c r="L21" s="27">
        <f>K21*J21</f>
        <v>31.96</v>
      </c>
      <c r="M21" s="28"/>
      <c r="N21" s="31">
        <f>L21-H21</f>
        <v>0</v>
      </c>
      <c r="O21" s="32">
        <f>IF((H21)=0,"",(N21/H21))</f>
        <v>0</v>
      </c>
    </row>
    <row r="22" spans="2:15" ht="36.75" customHeight="1" x14ac:dyDescent="0.3">
      <c r="B22" s="296" t="s">
        <v>88</v>
      </c>
      <c r="C22" s="22"/>
      <c r="D22" s="56" t="s">
        <v>61</v>
      </c>
      <c r="E22" s="24"/>
      <c r="F22" s="173"/>
      <c r="G22" s="26">
        <f>$F$16</f>
        <v>5000</v>
      </c>
      <c r="H22" s="27">
        <f t="shared" ref="H22:H36" si="0">G22*F22</f>
        <v>0</v>
      </c>
      <c r="I22" s="28"/>
      <c r="J22" s="29">
        <f>+'GS&lt;50 (1,000kWh)'!$J$22</f>
        <v>8.9999999999999998E-4</v>
      </c>
      <c r="K22" s="26">
        <f>$F$16</f>
        <v>5000</v>
      </c>
      <c r="L22" s="27">
        <f>K22*J22</f>
        <v>4.5</v>
      </c>
      <c r="M22" s="28"/>
      <c r="N22" s="31">
        <f>L22-H22</f>
        <v>4.5</v>
      </c>
      <c r="O22" s="32" t="str">
        <f>IF((H22)=0,"",(N22/H22))</f>
        <v/>
      </c>
    </row>
    <row r="23" spans="2:15" ht="36.75" customHeight="1" x14ac:dyDescent="0.3">
      <c r="B23" s="297" t="s">
        <v>63</v>
      </c>
      <c r="C23" s="22"/>
      <c r="D23" s="56" t="s">
        <v>60</v>
      </c>
      <c r="E23" s="57"/>
      <c r="F23" s="173">
        <f>+'GS&lt;50 (1,000kWh)'!$F$23</f>
        <v>5.51</v>
      </c>
      <c r="G23" s="26">
        <v>1</v>
      </c>
      <c r="H23" s="27">
        <f t="shared" si="0"/>
        <v>5.51</v>
      </c>
      <c r="I23" s="28"/>
      <c r="J23" s="29"/>
      <c r="K23" s="30">
        <v>1</v>
      </c>
      <c r="L23" s="27">
        <f t="shared" ref="L23:L36" si="1">K23*J23</f>
        <v>0</v>
      </c>
      <c r="M23" s="28"/>
      <c r="N23" s="31">
        <f t="shared" ref="N23:N64" si="2">L23-H23</f>
        <v>-5.51</v>
      </c>
      <c r="O23" s="32">
        <f t="shared" ref="O23:O44" si="3">IF((H23)=0,"",(N23/H23))</f>
        <v>-1</v>
      </c>
    </row>
    <row r="24" spans="2:15" ht="14.45" x14ac:dyDescent="0.3">
      <c r="B24" s="297" t="s">
        <v>64</v>
      </c>
      <c r="C24" s="22"/>
      <c r="D24" s="23" t="s">
        <v>60</v>
      </c>
      <c r="E24" s="24"/>
      <c r="F24" s="25"/>
      <c r="G24" s="26">
        <v>1</v>
      </c>
      <c r="H24" s="27">
        <f t="shared" si="0"/>
        <v>0</v>
      </c>
      <c r="I24" s="28"/>
      <c r="J24" s="173">
        <f>+'GS&lt;50 (1,000kWh)'!$J$24</f>
        <v>1.3841528645202816</v>
      </c>
      <c r="K24" s="30">
        <v>1</v>
      </c>
      <c r="L24" s="27">
        <f t="shared" si="1"/>
        <v>1.3841528645202816</v>
      </c>
      <c r="M24" s="28"/>
      <c r="N24" s="31">
        <f t="shared" si="2"/>
        <v>1.3841528645202816</v>
      </c>
      <c r="O24" s="32" t="str">
        <f t="shared" si="3"/>
        <v/>
      </c>
    </row>
    <row r="25" spans="2:15" ht="14.45" x14ac:dyDescent="0.3">
      <c r="B25" s="296" t="s">
        <v>65</v>
      </c>
      <c r="C25" s="22"/>
      <c r="D25" s="23" t="s">
        <v>61</v>
      </c>
      <c r="E25" s="24"/>
      <c r="F25" s="201">
        <f>+'GS&lt;50 (1,000kWh)'!$F$25</f>
        <v>-5.0000000000000002E-5</v>
      </c>
      <c r="G25" s="26">
        <f>$F$16</f>
        <v>5000</v>
      </c>
      <c r="H25" s="27">
        <f t="shared" si="0"/>
        <v>-0.25</v>
      </c>
      <c r="I25" s="28"/>
      <c r="J25" s="29">
        <f>+'GS&lt;50 (1,000kWh)'!$J$25</f>
        <v>-5.0000000000000002E-5</v>
      </c>
      <c r="K25" s="26">
        <f>$F$16</f>
        <v>5000</v>
      </c>
      <c r="L25" s="27">
        <f t="shared" si="1"/>
        <v>-0.25</v>
      </c>
      <c r="M25" s="28"/>
      <c r="N25" s="31">
        <f t="shared" si="2"/>
        <v>0</v>
      </c>
      <c r="O25" s="32">
        <f t="shared" si="3"/>
        <v>0</v>
      </c>
    </row>
    <row r="26" spans="2:15" ht="14.45" x14ac:dyDescent="0.3">
      <c r="B26" s="296" t="s">
        <v>66</v>
      </c>
      <c r="C26" s="22"/>
      <c r="D26" s="23" t="s">
        <v>61</v>
      </c>
      <c r="E26" s="24"/>
      <c r="F26" s="25"/>
      <c r="G26" s="26">
        <f>$F$16</f>
        <v>5000</v>
      </c>
      <c r="H26" s="27">
        <f t="shared" si="0"/>
        <v>0</v>
      </c>
      <c r="I26" s="28"/>
      <c r="J26" s="263">
        <f>+'GS&lt;50 (1,000kWh)'!$J$26</f>
        <v>-1.6000000000000001E-3</v>
      </c>
      <c r="K26" s="26">
        <f>$F$16</f>
        <v>5000</v>
      </c>
      <c r="L26" s="27">
        <f t="shared" si="1"/>
        <v>-8</v>
      </c>
      <c r="M26" s="28"/>
      <c r="N26" s="31">
        <f t="shared" si="2"/>
        <v>-8</v>
      </c>
      <c r="O26" s="32" t="str">
        <f t="shared" si="3"/>
        <v/>
      </c>
    </row>
    <row r="27" spans="2:15" x14ac:dyDescent="0.25">
      <c r="B27" s="24" t="s">
        <v>19</v>
      </c>
      <c r="C27" s="22"/>
      <c r="D27" s="23" t="s">
        <v>61</v>
      </c>
      <c r="E27" s="24"/>
      <c r="F27" s="25">
        <f>+'GS&lt;50 (1,000kWh)'!$F$27</f>
        <v>1.43E-2</v>
      </c>
      <c r="G27" s="26">
        <f>$F$16</f>
        <v>5000</v>
      </c>
      <c r="H27" s="27">
        <f t="shared" si="0"/>
        <v>71.5</v>
      </c>
      <c r="I27" s="28"/>
      <c r="J27" s="29">
        <f>+'GS&lt;50 (1,000kWh)'!$J$27</f>
        <v>1.61E-2</v>
      </c>
      <c r="K27" s="26">
        <f>$F$16</f>
        <v>5000</v>
      </c>
      <c r="L27" s="27">
        <f t="shared" si="1"/>
        <v>80.5</v>
      </c>
      <c r="M27" s="28"/>
      <c r="N27" s="31">
        <f t="shared" si="2"/>
        <v>9</v>
      </c>
      <c r="O27" s="32">
        <f t="shared" si="3"/>
        <v>0.12587412587412589</v>
      </c>
    </row>
    <row r="28" spans="2:15" x14ac:dyDescent="0.25">
      <c r="B28" s="24" t="s">
        <v>20</v>
      </c>
      <c r="C28" s="22"/>
      <c r="D28" s="23"/>
      <c r="E28" s="24"/>
      <c r="F28" s="25"/>
      <c r="G28" s="26">
        <f>$F$16</f>
        <v>5000</v>
      </c>
      <c r="H28" s="27">
        <f t="shared" si="0"/>
        <v>0</v>
      </c>
      <c r="I28" s="28"/>
      <c r="J28" s="29"/>
      <c r="K28" s="26">
        <f t="shared" ref="K28:K36" si="4">$F$16</f>
        <v>5000</v>
      </c>
      <c r="L28" s="27">
        <f t="shared" si="1"/>
        <v>0</v>
      </c>
      <c r="M28" s="28"/>
      <c r="N28" s="31">
        <f t="shared" si="2"/>
        <v>0</v>
      </c>
      <c r="O28" s="32" t="str">
        <f t="shared" si="3"/>
        <v/>
      </c>
    </row>
    <row r="29" spans="2:15" x14ac:dyDescent="0.25">
      <c r="B29" s="24" t="s">
        <v>21</v>
      </c>
      <c r="C29" s="22"/>
      <c r="D29" s="23"/>
      <c r="E29" s="24"/>
      <c r="F29" s="25"/>
      <c r="G29" s="26">
        <f>$F$16</f>
        <v>5000</v>
      </c>
      <c r="H29" s="27">
        <f t="shared" si="0"/>
        <v>0</v>
      </c>
      <c r="I29" s="28"/>
      <c r="J29" s="29"/>
      <c r="K29" s="26">
        <f t="shared" si="4"/>
        <v>5000</v>
      </c>
      <c r="L29" s="27">
        <f t="shared" si="1"/>
        <v>0</v>
      </c>
      <c r="M29" s="28"/>
      <c r="N29" s="31">
        <f t="shared" si="2"/>
        <v>0</v>
      </c>
      <c r="O29" s="32" t="str">
        <f t="shared" si="3"/>
        <v/>
      </c>
    </row>
    <row r="30" spans="2:15" x14ac:dyDescent="0.25">
      <c r="B30" s="182"/>
      <c r="C30" s="22"/>
      <c r="D30" s="23"/>
      <c r="E30" s="24"/>
      <c r="F30" s="25"/>
      <c r="G30" s="26">
        <f t="shared" ref="G30:G36" si="5">$F$16</f>
        <v>5000</v>
      </c>
      <c r="H30" s="27">
        <f t="shared" si="0"/>
        <v>0</v>
      </c>
      <c r="I30" s="28"/>
      <c r="J30" s="29"/>
      <c r="K30" s="26">
        <f t="shared" si="4"/>
        <v>5000</v>
      </c>
      <c r="L30" s="27">
        <f t="shared" si="1"/>
        <v>0</v>
      </c>
      <c r="M30" s="28"/>
      <c r="N30" s="31">
        <f t="shared" si="2"/>
        <v>0</v>
      </c>
      <c r="O30" s="32" t="str">
        <f t="shared" si="3"/>
        <v/>
      </c>
    </row>
    <row r="31" spans="2:15" x14ac:dyDescent="0.25">
      <c r="B31" s="182"/>
      <c r="C31" s="22"/>
      <c r="D31" s="23"/>
      <c r="E31" s="24"/>
      <c r="F31" s="25"/>
      <c r="G31" s="26">
        <f t="shared" si="5"/>
        <v>5000</v>
      </c>
      <c r="H31" s="27">
        <f t="shared" si="0"/>
        <v>0</v>
      </c>
      <c r="I31" s="28"/>
      <c r="J31" s="29"/>
      <c r="K31" s="26">
        <f t="shared" si="4"/>
        <v>5000</v>
      </c>
      <c r="L31" s="27">
        <f t="shared" si="1"/>
        <v>0</v>
      </c>
      <c r="M31" s="28"/>
      <c r="N31" s="31">
        <f t="shared" si="2"/>
        <v>0</v>
      </c>
      <c r="O31" s="32" t="str">
        <f t="shared" si="3"/>
        <v/>
      </c>
    </row>
    <row r="32" spans="2:15" x14ac:dyDescent="0.25">
      <c r="B32" s="182"/>
      <c r="C32" s="22"/>
      <c r="D32" s="23"/>
      <c r="E32" s="24"/>
      <c r="F32" s="25"/>
      <c r="G32" s="26">
        <f t="shared" si="5"/>
        <v>5000</v>
      </c>
      <c r="H32" s="27">
        <f t="shared" si="0"/>
        <v>0</v>
      </c>
      <c r="I32" s="28"/>
      <c r="J32" s="29"/>
      <c r="K32" s="26">
        <f t="shared" si="4"/>
        <v>5000</v>
      </c>
      <c r="L32" s="27">
        <f t="shared" si="1"/>
        <v>0</v>
      </c>
      <c r="M32" s="28"/>
      <c r="N32" s="31">
        <f t="shared" si="2"/>
        <v>0</v>
      </c>
      <c r="O32" s="32" t="str">
        <f t="shared" si="3"/>
        <v/>
      </c>
    </row>
    <row r="33" spans="2:15" x14ac:dyDescent="0.25">
      <c r="B33" s="182"/>
      <c r="C33" s="22"/>
      <c r="D33" s="23"/>
      <c r="E33" s="24"/>
      <c r="F33" s="25"/>
      <c r="G33" s="26">
        <f t="shared" si="5"/>
        <v>5000</v>
      </c>
      <c r="H33" s="27">
        <f t="shared" si="0"/>
        <v>0</v>
      </c>
      <c r="I33" s="28"/>
      <c r="J33" s="29"/>
      <c r="K33" s="26">
        <f t="shared" si="4"/>
        <v>5000</v>
      </c>
      <c r="L33" s="27">
        <f t="shared" si="1"/>
        <v>0</v>
      </c>
      <c r="M33" s="28"/>
      <c r="N33" s="31">
        <f t="shared" si="2"/>
        <v>0</v>
      </c>
      <c r="O33" s="32" t="str">
        <f t="shared" si="3"/>
        <v/>
      </c>
    </row>
    <row r="34" spans="2:15" x14ac:dyDescent="0.25">
      <c r="B34" s="182"/>
      <c r="C34" s="22"/>
      <c r="D34" s="23"/>
      <c r="E34" s="24"/>
      <c r="F34" s="25"/>
      <c r="G34" s="26">
        <f t="shared" si="5"/>
        <v>5000</v>
      </c>
      <c r="H34" s="27">
        <f t="shared" si="0"/>
        <v>0</v>
      </c>
      <c r="I34" s="28"/>
      <c r="J34" s="29"/>
      <c r="K34" s="26">
        <f t="shared" si="4"/>
        <v>5000</v>
      </c>
      <c r="L34" s="27">
        <f t="shared" si="1"/>
        <v>0</v>
      </c>
      <c r="M34" s="28"/>
      <c r="N34" s="31">
        <f t="shared" si="2"/>
        <v>0</v>
      </c>
      <c r="O34" s="32" t="str">
        <f t="shared" si="3"/>
        <v/>
      </c>
    </row>
    <row r="35" spans="2:15" x14ac:dyDescent="0.25">
      <c r="B35" s="182"/>
      <c r="C35" s="22"/>
      <c r="D35" s="23"/>
      <c r="E35" s="24"/>
      <c r="F35" s="25"/>
      <c r="G35" s="26">
        <f t="shared" si="5"/>
        <v>5000</v>
      </c>
      <c r="H35" s="27">
        <f t="shared" si="0"/>
        <v>0</v>
      </c>
      <c r="I35" s="28"/>
      <c r="J35" s="29"/>
      <c r="K35" s="26">
        <f t="shared" si="4"/>
        <v>5000</v>
      </c>
      <c r="L35" s="27">
        <f t="shared" si="1"/>
        <v>0</v>
      </c>
      <c r="M35" s="28"/>
      <c r="N35" s="31">
        <f t="shared" si="2"/>
        <v>0</v>
      </c>
      <c r="O35" s="32" t="str">
        <f t="shared" si="3"/>
        <v/>
      </c>
    </row>
    <row r="36" spans="2:15" x14ac:dyDescent="0.25">
      <c r="B36" s="182"/>
      <c r="C36" s="22"/>
      <c r="D36" s="23"/>
      <c r="E36" s="24"/>
      <c r="F36" s="25"/>
      <c r="G36" s="26">
        <f t="shared" si="5"/>
        <v>5000</v>
      </c>
      <c r="H36" s="27">
        <f t="shared" si="0"/>
        <v>0</v>
      </c>
      <c r="I36" s="28"/>
      <c r="J36" s="29"/>
      <c r="K36" s="26">
        <f t="shared" si="4"/>
        <v>5000</v>
      </c>
      <c r="L36" s="27">
        <f t="shared" si="1"/>
        <v>0</v>
      </c>
      <c r="M36" s="28"/>
      <c r="N36" s="31">
        <f t="shared" si="2"/>
        <v>0</v>
      </c>
      <c r="O36" s="32" t="str">
        <f t="shared" si="3"/>
        <v/>
      </c>
    </row>
    <row r="37" spans="2:15" s="34" customFormat="1" x14ac:dyDescent="0.25">
      <c r="B37" s="35" t="s">
        <v>22</v>
      </c>
      <c r="C37" s="36"/>
      <c r="D37" s="37"/>
      <c r="E37" s="36"/>
      <c r="F37" s="38"/>
      <c r="G37" s="39"/>
      <c r="H37" s="40">
        <f>SUM(H21:H36)</f>
        <v>108.72</v>
      </c>
      <c r="I37" s="41"/>
      <c r="J37" s="42"/>
      <c r="K37" s="43"/>
      <c r="L37" s="40">
        <f>SUM(L21:L36)</f>
        <v>110.09415286452028</v>
      </c>
      <c r="M37" s="41"/>
      <c r="N37" s="44">
        <f t="shared" si="2"/>
        <v>1.3741528645202834</v>
      </c>
      <c r="O37" s="45">
        <f t="shared" si="3"/>
        <v>1.2639375133556691E-2</v>
      </c>
    </row>
    <row r="38" spans="2:15" x14ac:dyDescent="0.25">
      <c r="B38" s="297"/>
      <c r="C38" s="22"/>
      <c r="D38" s="56" t="s">
        <v>60</v>
      </c>
      <c r="E38" s="24"/>
      <c r="F38" s="25"/>
      <c r="G38" s="26">
        <v>1</v>
      </c>
      <c r="H38" s="27">
        <f>G38*F38</f>
        <v>0</v>
      </c>
      <c r="I38" s="28"/>
      <c r="J38" s="173"/>
      <c r="K38" s="30">
        <v>1</v>
      </c>
      <c r="L38" s="27">
        <f>K38*J38</f>
        <v>0</v>
      </c>
      <c r="M38" s="28"/>
      <c r="N38" s="31">
        <f>L38-H38</f>
        <v>0</v>
      </c>
      <c r="O38" s="32" t="str">
        <f>IF((H38)=0,"",(N38/H38))</f>
        <v/>
      </c>
    </row>
    <row r="39" spans="2:15" x14ac:dyDescent="0.25">
      <c r="B39" s="296" t="s">
        <v>23</v>
      </c>
      <c r="C39" s="22"/>
      <c r="D39" s="56" t="s">
        <v>61</v>
      </c>
      <c r="E39" s="57"/>
      <c r="F39" s="29">
        <f>+'GS&lt;50 (1,000kWh)'!$F$39</f>
        <v>-1.4E-3</v>
      </c>
      <c r="G39" s="26">
        <f>$F$16</f>
        <v>5000</v>
      </c>
      <c r="H39" s="27">
        <f t="shared" ref="H39:H45" si="6">G39*F39</f>
        <v>-7</v>
      </c>
      <c r="I39" s="28"/>
      <c r="J39" s="263">
        <f>+'GS&lt;50 (1,000kWh)'!$J$39</f>
        <v>2.9999999999999992E-4</v>
      </c>
      <c r="K39" s="26">
        <f>$F$16</f>
        <v>5000</v>
      </c>
      <c r="L39" s="27">
        <f t="shared" ref="L39:L45" si="7">K39*J39</f>
        <v>1.4999999999999996</v>
      </c>
      <c r="M39" s="28"/>
      <c r="N39" s="31">
        <f t="shared" si="2"/>
        <v>8.5</v>
      </c>
      <c r="O39" s="32">
        <f t="shared" si="3"/>
        <v>-1.2142857142857142</v>
      </c>
    </row>
    <row r="40" spans="2:15" x14ac:dyDescent="0.25">
      <c r="B40" s="296"/>
      <c r="C40" s="22"/>
      <c r="D40" s="23" t="s">
        <v>61</v>
      </c>
      <c r="E40" s="24"/>
      <c r="F40" s="25"/>
      <c r="G40" s="26">
        <f>$F$16</f>
        <v>5000</v>
      </c>
      <c r="H40" s="27">
        <f t="shared" si="6"/>
        <v>0</v>
      </c>
      <c r="I40" s="47"/>
      <c r="J40" s="29"/>
      <c r="K40" s="26">
        <f>$F$16</f>
        <v>5000</v>
      </c>
      <c r="L40" s="27">
        <f t="shared" si="7"/>
        <v>0</v>
      </c>
      <c r="M40" s="48"/>
      <c r="N40" s="31">
        <f t="shared" si="2"/>
        <v>0</v>
      </c>
      <c r="O40" s="32" t="str">
        <f t="shared" si="3"/>
        <v/>
      </c>
    </row>
    <row r="41" spans="2:15" x14ac:dyDescent="0.25">
      <c r="B41" s="46"/>
      <c r="C41" s="22"/>
      <c r="D41" s="23" t="s">
        <v>61</v>
      </c>
      <c r="E41" s="24"/>
      <c r="F41" s="25"/>
      <c r="G41" s="26">
        <f>$F$16</f>
        <v>5000</v>
      </c>
      <c r="H41" s="27">
        <f t="shared" si="6"/>
        <v>0</v>
      </c>
      <c r="I41" s="47"/>
      <c r="J41" s="29"/>
      <c r="K41" s="26">
        <f>$F$16</f>
        <v>5000</v>
      </c>
      <c r="L41" s="27">
        <f t="shared" si="7"/>
        <v>0</v>
      </c>
      <c r="M41" s="48"/>
      <c r="N41" s="31">
        <f t="shared" si="2"/>
        <v>0</v>
      </c>
      <c r="O41" s="32" t="str">
        <f t="shared" si="3"/>
        <v/>
      </c>
    </row>
    <row r="42" spans="2:15" x14ac:dyDescent="0.25">
      <c r="B42" s="46"/>
      <c r="C42" s="22"/>
      <c r="D42" s="23"/>
      <c r="E42" s="24"/>
      <c r="F42" s="25"/>
      <c r="G42" s="26">
        <f>$F$16</f>
        <v>5000</v>
      </c>
      <c r="H42" s="27">
        <f t="shared" si="6"/>
        <v>0</v>
      </c>
      <c r="I42" s="47"/>
      <c r="J42" s="29"/>
      <c r="K42" s="26">
        <f>$F$16</f>
        <v>5000</v>
      </c>
      <c r="L42" s="27">
        <f t="shared" si="7"/>
        <v>0</v>
      </c>
      <c r="M42" s="48"/>
      <c r="N42" s="31">
        <f t="shared" si="2"/>
        <v>0</v>
      </c>
      <c r="O42" s="32" t="str">
        <f t="shared" si="3"/>
        <v/>
      </c>
    </row>
    <row r="43" spans="2:15" x14ac:dyDescent="0.25">
      <c r="B43" s="49" t="s">
        <v>24</v>
      </c>
      <c r="C43" s="22"/>
      <c r="D43" s="23" t="s">
        <v>61</v>
      </c>
      <c r="E43" s="24"/>
      <c r="F43" s="25">
        <f>+'GS&lt;50 (1,000kWh)'!$F$43</f>
        <v>1E-4</v>
      </c>
      <c r="G43" s="26">
        <f>$F$16</f>
        <v>5000</v>
      </c>
      <c r="H43" s="27">
        <f t="shared" si="6"/>
        <v>0.5</v>
      </c>
      <c r="I43" s="28"/>
      <c r="J43" s="29">
        <f>+'GS&lt;50 (1,000kWh)'!$J$43</f>
        <v>2.0000000000000001E-4</v>
      </c>
      <c r="K43" s="26">
        <f>$F$16</f>
        <v>5000</v>
      </c>
      <c r="L43" s="27">
        <f t="shared" si="7"/>
        <v>1</v>
      </c>
      <c r="M43" s="28"/>
      <c r="N43" s="31">
        <f t="shared" si="2"/>
        <v>0.5</v>
      </c>
      <c r="O43" s="32">
        <f t="shared" si="3"/>
        <v>1</v>
      </c>
    </row>
    <row r="44" spans="2:15" s="34" customFormat="1" x14ac:dyDescent="0.25">
      <c r="B44" s="181" t="s">
        <v>25</v>
      </c>
      <c r="C44" s="24"/>
      <c r="D44" s="182" t="s">
        <v>61</v>
      </c>
      <c r="E44" s="24"/>
      <c r="F44" s="183">
        <f>IF(ISBLANK(D14)=TRUE, 0, IF(D14="TOU", 0.64*$F$54+0.18*$F$55+0.18*$F$56, IF(AND(D14="non-TOU", G58&gt;0), F58,F57)))</f>
        <v>9.5000000000000001E-2</v>
      </c>
      <c r="G44" s="26">
        <f>$F$16*(1+$F$73)-$F$16</f>
        <v>202</v>
      </c>
      <c r="H44" s="184">
        <f t="shared" si="6"/>
        <v>19.190000000000001</v>
      </c>
      <c r="I44" s="57"/>
      <c r="J44" s="185">
        <f>0.64*$F$54+0.18*$F$55+0.18*$F$56</f>
        <v>9.5000000000000001E-2</v>
      </c>
      <c r="K44" s="26">
        <f>$F$16*(1+$J$73)-$F$16</f>
        <v>181</v>
      </c>
      <c r="L44" s="184">
        <f t="shared" si="7"/>
        <v>17.195</v>
      </c>
      <c r="M44" s="57"/>
      <c r="N44" s="186">
        <f t="shared" si="2"/>
        <v>-1.995000000000001</v>
      </c>
      <c r="O44" s="187">
        <f t="shared" si="3"/>
        <v>-0.10396039603960401</v>
      </c>
    </row>
    <row r="45" spans="2:15" ht="14.45" x14ac:dyDescent="0.3">
      <c r="B45" s="49" t="s">
        <v>26</v>
      </c>
      <c r="C45" s="22"/>
      <c r="D45" s="23" t="s">
        <v>60</v>
      </c>
      <c r="E45" s="24"/>
      <c r="F45" s="174">
        <f>+'GS&lt;50 (1,000kWh)'!$F$45</f>
        <v>0.79</v>
      </c>
      <c r="G45" s="26">
        <v>1</v>
      </c>
      <c r="H45" s="27">
        <f t="shared" si="6"/>
        <v>0.79</v>
      </c>
      <c r="I45" s="28"/>
      <c r="J45" s="174">
        <f>+'GS&lt;50 (1,000kWh)'!$J$45</f>
        <v>0.79</v>
      </c>
      <c r="K45" s="26">
        <v>1</v>
      </c>
      <c r="L45" s="27">
        <f t="shared" si="7"/>
        <v>0.79</v>
      </c>
      <c r="M45" s="28"/>
      <c r="N45" s="31">
        <f t="shared" si="2"/>
        <v>0</v>
      </c>
      <c r="O45" s="32"/>
    </row>
    <row r="46" spans="2:15" ht="14.45" x14ac:dyDescent="0.3">
      <c r="B46" s="50" t="s">
        <v>27</v>
      </c>
      <c r="C46" s="51"/>
      <c r="D46" s="51"/>
      <c r="E46" s="51"/>
      <c r="F46" s="52"/>
      <c r="G46" s="53"/>
      <c r="H46" s="54">
        <f>SUM(H38:H45)+H37</f>
        <v>122.2</v>
      </c>
      <c r="I46" s="41"/>
      <c r="J46" s="53"/>
      <c r="K46" s="55"/>
      <c r="L46" s="54">
        <f>SUM(L38:L45)+L37</f>
        <v>130.57915286452027</v>
      </c>
      <c r="M46" s="41"/>
      <c r="N46" s="44">
        <f t="shared" si="2"/>
        <v>8.3791528645202646</v>
      </c>
      <c r="O46" s="45">
        <f t="shared" ref="O46:O64" si="8">IF((H46)=0,"",(N46/H46))</f>
        <v>6.8569172377416235E-2</v>
      </c>
    </row>
    <row r="47" spans="2:15" ht="14.45" x14ac:dyDescent="0.3">
      <c r="B47" s="28" t="s">
        <v>28</v>
      </c>
      <c r="C47" s="28"/>
      <c r="D47" s="56" t="s">
        <v>61</v>
      </c>
      <c r="E47" s="57"/>
      <c r="F47" s="29">
        <f>+'GS&lt;50 (1,000kWh)'!$F$47</f>
        <v>6.8999999999999999E-3</v>
      </c>
      <c r="G47" s="69">
        <f>F16*(1+F73)</f>
        <v>5202</v>
      </c>
      <c r="H47" s="27">
        <f>G47*F47</f>
        <v>35.893799999999999</v>
      </c>
      <c r="I47" s="28"/>
      <c r="J47" s="263">
        <f>+'GS&lt;50 (1,000kWh)'!$J$47</f>
        <v>6.7000000000000002E-3</v>
      </c>
      <c r="K47" s="70">
        <f>F16*(1+J73)</f>
        <v>5181</v>
      </c>
      <c r="L47" s="27">
        <f>K47*J47</f>
        <v>34.712699999999998</v>
      </c>
      <c r="M47" s="28"/>
      <c r="N47" s="31">
        <f t="shared" si="2"/>
        <v>-1.1811000000000007</v>
      </c>
      <c r="O47" s="32">
        <f t="shared" si="8"/>
        <v>-3.2905404275947396E-2</v>
      </c>
    </row>
    <row r="48" spans="2:15" ht="14.45" x14ac:dyDescent="0.3">
      <c r="B48" s="59" t="s">
        <v>29</v>
      </c>
      <c r="C48" s="28"/>
      <c r="D48" s="56" t="s">
        <v>61</v>
      </c>
      <c r="E48" s="57"/>
      <c r="F48" s="29">
        <f>+'GS&lt;50 (1,000kWh)'!$F$48</f>
        <v>2.0999999999999999E-3</v>
      </c>
      <c r="G48" s="69">
        <f>G47</f>
        <v>5202</v>
      </c>
      <c r="H48" s="27">
        <f>G48*F48</f>
        <v>10.924199999999999</v>
      </c>
      <c r="I48" s="28"/>
      <c r="J48" s="263">
        <f>+'GS&lt;50 (1,000kWh)'!$J$48</f>
        <v>2.0999999999999999E-3</v>
      </c>
      <c r="K48" s="70">
        <f>K47</f>
        <v>5181</v>
      </c>
      <c r="L48" s="27">
        <f>K48*J48</f>
        <v>10.880099999999999</v>
      </c>
      <c r="M48" s="28"/>
      <c r="N48" s="31">
        <f t="shared" si="2"/>
        <v>-4.410000000000025E-2</v>
      </c>
      <c r="O48" s="32">
        <f t="shared" si="8"/>
        <v>-4.0369088811995617E-3</v>
      </c>
    </row>
    <row r="49" spans="2:19" x14ac:dyDescent="0.25">
      <c r="B49" s="50" t="s">
        <v>30</v>
      </c>
      <c r="C49" s="36"/>
      <c r="D49" s="36"/>
      <c r="E49" s="36"/>
      <c r="F49" s="60"/>
      <c r="G49" s="53"/>
      <c r="H49" s="54">
        <f>SUM(H46:H48)</f>
        <v>169.01799999999997</v>
      </c>
      <c r="I49" s="61"/>
      <c r="J49" s="62"/>
      <c r="K49" s="63"/>
      <c r="L49" s="54">
        <f>SUM(L46:L48)</f>
        <v>176.17195286452025</v>
      </c>
      <c r="M49" s="61"/>
      <c r="N49" s="44">
        <f t="shared" si="2"/>
        <v>7.1539528645202779</v>
      </c>
      <c r="O49" s="45">
        <f t="shared" si="8"/>
        <v>4.2326573882783367E-2</v>
      </c>
    </row>
    <row r="50" spans="2:19" x14ac:dyDescent="0.25">
      <c r="B50" s="64" t="s">
        <v>31</v>
      </c>
      <c r="C50" s="22"/>
      <c r="D50" s="23" t="s">
        <v>61</v>
      </c>
      <c r="E50" s="24"/>
      <c r="F50" s="65">
        <f>+'GS&lt;50 (1,000kWh)'!$F$50</f>
        <v>4.4000000000000003E-3</v>
      </c>
      <c r="G50" s="69">
        <f>G48</f>
        <v>5202</v>
      </c>
      <c r="H50" s="66">
        <f t="shared" ref="H50:H56" si="9">G50*F50</f>
        <v>22.8888</v>
      </c>
      <c r="I50" s="28"/>
      <c r="J50" s="263">
        <f>+'GS&lt;50 (1,000kWh)'!$J$50</f>
        <v>4.4000000000000003E-3</v>
      </c>
      <c r="K50" s="70">
        <f>K48</f>
        <v>5181</v>
      </c>
      <c r="L50" s="66">
        <f t="shared" ref="L50:L56" si="10">K50*J50</f>
        <v>22.796400000000002</v>
      </c>
      <c r="M50" s="28"/>
      <c r="N50" s="31">
        <f t="shared" si="2"/>
        <v>-9.2399999999997817E-2</v>
      </c>
      <c r="O50" s="68">
        <f t="shared" si="8"/>
        <v>-4.0369088811994429E-3</v>
      </c>
    </row>
    <row r="51" spans="2:19" x14ac:dyDescent="0.25">
      <c r="B51" s="64" t="s">
        <v>32</v>
      </c>
      <c r="C51" s="22"/>
      <c r="D51" s="23" t="s">
        <v>61</v>
      </c>
      <c r="E51" s="24"/>
      <c r="F51" s="65">
        <f>+'GS&lt;50 (1,000kWh)'!$F$51</f>
        <v>1.2999999999999999E-3</v>
      </c>
      <c r="G51" s="69">
        <f>G48</f>
        <v>5202</v>
      </c>
      <c r="H51" s="66">
        <f t="shared" si="9"/>
        <v>6.7625999999999999</v>
      </c>
      <c r="I51" s="28"/>
      <c r="J51" s="263">
        <f>+'GS&lt;50 (1,000kWh)'!$J$51</f>
        <v>1.2999999999999999E-3</v>
      </c>
      <c r="K51" s="70">
        <f>K48</f>
        <v>5181</v>
      </c>
      <c r="L51" s="66">
        <f t="shared" si="10"/>
        <v>6.7352999999999996</v>
      </c>
      <c r="M51" s="28"/>
      <c r="N51" s="31">
        <f t="shared" si="2"/>
        <v>-2.7300000000000324E-2</v>
      </c>
      <c r="O51" s="68">
        <f t="shared" si="8"/>
        <v>-4.0369088811995869E-3</v>
      </c>
    </row>
    <row r="52" spans="2:19" x14ac:dyDescent="0.25">
      <c r="B52" s="22" t="s">
        <v>33</v>
      </c>
      <c r="C52" s="22"/>
      <c r="D52" s="23" t="s">
        <v>60</v>
      </c>
      <c r="E52" s="24"/>
      <c r="F52" s="176">
        <f>+'GS&lt;50 (1,000kWh)'!$F$52</f>
        <v>0.25</v>
      </c>
      <c r="G52" s="26">
        <v>1</v>
      </c>
      <c r="H52" s="66">
        <f t="shared" si="9"/>
        <v>0.25</v>
      </c>
      <c r="I52" s="28"/>
      <c r="J52" s="283">
        <f>+'GS&lt;50 (1,000kWh)'!$J$52</f>
        <v>0.25</v>
      </c>
      <c r="K52" s="30">
        <v>1</v>
      </c>
      <c r="L52" s="66">
        <f t="shared" si="10"/>
        <v>0.25</v>
      </c>
      <c r="M52" s="28"/>
      <c r="N52" s="31">
        <f t="shared" si="2"/>
        <v>0</v>
      </c>
      <c r="O52" s="68">
        <f t="shared" si="8"/>
        <v>0</v>
      </c>
    </row>
    <row r="53" spans="2:19" x14ac:dyDescent="0.25">
      <c r="B53" s="22" t="s">
        <v>34</v>
      </c>
      <c r="C53" s="22"/>
      <c r="D53" s="23" t="s">
        <v>61</v>
      </c>
      <c r="E53" s="24"/>
      <c r="F53" s="65">
        <f>+'GS&lt;50 (1,000kWh)'!$F$53</f>
        <v>7.0000000000000001E-3</v>
      </c>
      <c r="G53" s="69">
        <f>F16</f>
        <v>5000</v>
      </c>
      <c r="H53" s="66">
        <f t="shared" si="9"/>
        <v>35</v>
      </c>
      <c r="I53" s="28"/>
      <c r="J53" s="263">
        <f>+'GS&lt;50 (1,000kWh)'!$J$53</f>
        <v>7.0000000000000001E-3</v>
      </c>
      <c r="K53" s="70">
        <f>F16</f>
        <v>5000</v>
      </c>
      <c r="L53" s="66">
        <f t="shared" si="10"/>
        <v>35</v>
      </c>
      <c r="M53" s="28"/>
      <c r="N53" s="31">
        <f t="shared" si="2"/>
        <v>0</v>
      </c>
      <c r="O53" s="68">
        <f t="shared" si="8"/>
        <v>0</v>
      </c>
    </row>
    <row r="54" spans="2:19" x14ac:dyDescent="0.25">
      <c r="B54" s="49" t="s">
        <v>35</v>
      </c>
      <c r="C54" s="22"/>
      <c r="D54" s="23" t="s">
        <v>61</v>
      </c>
      <c r="E54" s="24"/>
      <c r="F54" s="65">
        <f>+'GS&lt;50 (1,000kWh)'!$F$54</f>
        <v>7.6999999999999999E-2</v>
      </c>
      <c r="G54" s="69">
        <f>0.64*$F$16</f>
        <v>3200</v>
      </c>
      <c r="H54" s="66">
        <f t="shared" si="9"/>
        <v>246.4</v>
      </c>
      <c r="I54" s="28"/>
      <c r="J54" s="263">
        <f>+'GS&lt;50 (1,000kWh)'!$J$54</f>
        <v>7.6999999999999999E-2</v>
      </c>
      <c r="K54" s="69">
        <f>G54</f>
        <v>3200</v>
      </c>
      <c r="L54" s="66">
        <f t="shared" si="10"/>
        <v>246.4</v>
      </c>
      <c r="M54" s="28"/>
      <c r="N54" s="31">
        <f t="shared" si="2"/>
        <v>0</v>
      </c>
      <c r="O54" s="68">
        <f t="shared" si="8"/>
        <v>0</v>
      </c>
      <c r="S54" s="72"/>
    </row>
    <row r="55" spans="2:19" x14ac:dyDescent="0.25">
      <c r="B55" s="49" t="s">
        <v>36</v>
      </c>
      <c r="C55" s="22"/>
      <c r="D55" s="23" t="s">
        <v>61</v>
      </c>
      <c r="E55" s="24"/>
      <c r="F55" s="65">
        <f>+'GS&lt;50 (1,000kWh)'!$F$55</f>
        <v>0.114</v>
      </c>
      <c r="G55" s="69">
        <f>0.18*$F$16</f>
        <v>900</v>
      </c>
      <c r="H55" s="66">
        <f t="shared" si="9"/>
        <v>102.60000000000001</v>
      </c>
      <c r="I55" s="28"/>
      <c r="J55" s="263">
        <f>+'GS&lt;50 (1,000kWh)'!$J$55</f>
        <v>0.114</v>
      </c>
      <c r="K55" s="69">
        <f>G55</f>
        <v>900</v>
      </c>
      <c r="L55" s="66">
        <f t="shared" si="10"/>
        <v>102.60000000000001</v>
      </c>
      <c r="M55" s="28"/>
      <c r="N55" s="31">
        <f t="shared" si="2"/>
        <v>0</v>
      </c>
      <c r="O55" s="68">
        <f t="shared" si="8"/>
        <v>0</v>
      </c>
      <c r="S55" s="72"/>
    </row>
    <row r="56" spans="2:19" x14ac:dyDescent="0.25">
      <c r="B56" s="12" t="s">
        <v>37</v>
      </c>
      <c r="C56" s="22"/>
      <c r="D56" s="23" t="s">
        <v>61</v>
      </c>
      <c r="E56" s="24"/>
      <c r="F56" s="65">
        <f>+'GS&lt;50 (1,000kWh)'!$F$56</f>
        <v>0.14000000000000001</v>
      </c>
      <c r="G56" s="69">
        <f>0.18*$F$16</f>
        <v>900</v>
      </c>
      <c r="H56" s="66">
        <f t="shared" si="9"/>
        <v>126.00000000000001</v>
      </c>
      <c r="I56" s="28"/>
      <c r="J56" s="263">
        <f>+'GS&lt;50 (1,000kWh)'!$J$56</f>
        <v>0.14000000000000001</v>
      </c>
      <c r="K56" s="69">
        <f>G56</f>
        <v>900</v>
      </c>
      <c r="L56" s="66">
        <f t="shared" si="10"/>
        <v>126.00000000000001</v>
      </c>
      <c r="M56" s="28"/>
      <c r="N56" s="31">
        <f t="shared" si="2"/>
        <v>0</v>
      </c>
      <c r="O56" s="68">
        <f t="shared" si="8"/>
        <v>0</v>
      </c>
      <c r="S56" s="72"/>
    </row>
    <row r="57" spans="2:19" s="73" customFormat="1" x14ac:dyDescent="0.2">
      <c r="B57" s="74" t="s">
        <v>38</v>
      </c>
      <c r="C57" s="75"/>
      <c r="D57" s="76" t="s">
        <v>61</v>
      </c>
      <c r="E57" s="77"/>
      <c r="F57" s="65">
        <f>+'GS&lt;50 (1,000kWh)'!$F$57</f>
        <v>8.7999999999999995E-2</v>
      </c>
      <c r="G57" s="78">
        <f>IF(AND($T$1=1, F16&gt;=600), 600, IF(AND($T$1=1, AND(F16&lt;600, F16&gt;=0)), F16, IF(AND($T$1=2, F16&gt;=1000), 1000, IF(AND($T$1=2, AND(F16&lt;1000, F16&gt;=0)), F16))))</f>
        <v>600</v>
      </c>
      <c r="H57" s="66">
        <f>G57*F57</f>
        <v>52.8</v>
      </c>
      <c r="I57" s="79"/>
      <c r="J57" s="263">
        <f>+'GS&lt;50 (1,000kWh)'!$J$57</f>
        <v>8.7999999999999995E-2</v>
      </c>
      <c r="K57" s="78">
        <f>G57</f>
        <v>600</v>
      </c>
      <c r="L57" s="66">
        <f>K57*J57</f>
        <v>52.8</v>
      </c>
      <c r="M57" s="79"/>
      <c r="N57" s="80">
        <f t="shared" si="2"/>
        <v>0</v>
      </c>
      <c r="O57" s="68">
        <f t="shared" si="8"/>
        <v>0</v>
      </c>
    </row>
    <row r="58" spans="2:19" s="73" customFormat="1" ht="15.75" thickBot="1" x14ac:dyDescent="0.25">
      <c r="B58" s="74" t="s">
        <v>39</v>
      </c>
      <c r="C58" s="75"/>
      <c r="D58" s="76" t="s">
        <v>61</v>
      </c>
      <c r="E58" s="77"/>
      <c r="F58" s="65">
        <f>+'GS&lt;50 (1,000kWh)'!$F$58</f>
        <v>0.10299999999999999</v>
      </c>
      <c r="G58" s="78">
        <f>IF(AND($T$1=1, F16&gt;=600), F16-600, IF(AND($T$1=1, AND(F16&lt;600, F16&gt;=0)), 0, IF(AND($T$1=2, F16&gt;=1000), F16-1000, IF(AND($T$1=2, AND(F16&lt;1000, F16&gt;=0)), 0))))</f>
        <v>4400</v>
      </c>
      <c r="H58" s="66">
        <f>G58*F58</f>
        <v>453.2</v>
      </c>
      <c r="I58" s="79"/>
      <c r="J58" s="263">
        <f>+'GS&lt;50 (1,000kWh)'!$J$58</f>
        <v>0.10299999999999999</v>
      </c>
      <c r="K58" s="78">
        <f>G58</f>
        <v>4400</v>
      </c>
      <c r="L58" s="66">
        <f>K58*J58</f>
        <v>453.2</v>
      </c>
      <c r="M58" s="79"/>
      <c r="N58" s="80">
        <f t="shared" si="2"/>
        <v>0</v>
      </c>
      <c r="O58" s="68">
        <f t="shared" si="8"/>
        <v>0</v>
      </c>
    </row>
    <row r="59" spans="2:19" ht="8.25" customHeight="1" thickBot="1" x14ac:dyDescent="0.3">
      <c r="B59" s="81"/>
      <c r="C59" s="82"/>
      <c r="D59" s="83"/>
      <c r="E59" s="82"/>
      <c r="F59" s="84"/>
      <c r="G59" s="85"/>
      <c r="H59" s="86"/>
      <c r="I59" s="87"/>
      <c r="J59" s="84"/>
      <c r="K59" s="88"/>
      <c r="L59" s="86"/>
      <c r="M59" s="87"/>
      <c r="N59" s="89"/>
      <c r="O59" s="90"/>
    </row>
    <row r="60" spans="2:19" x14ac:dyDescent="0.25">
      <c r="B60" s="91" t="s">
        <v>40</v>
      </c>
      <c r="C60" s="22"/>
      <c r="D60" s="22"/>
      <c r="E60" s="22"/>
      <c r="F60" s="92"/>
      <c r="G60" s="93"/>
      <c r="H60" s="94">
        <f>SUM(H50:H56,H49)</f>
        <v>708.9194</v>
      </c>
      <c r="I60" s="95"/>
      <c r="J60" s="96"/>
      <c r="K60" s="96"/>
      <c r="L60" s="190">
        <f>SUM(L50:L56,L49)</f>
        <v>715.95365286452022</v>
      </c>
      <c r="M60" s="97"/>
      <c r="N60" s="98">
        <f>L60-H60</f>
        <v>7.0342528645202265</v>
      </c>
      <c r="O60" s="99">
        <f>IF((H60)=0,"",(N60/H60))</f>
        <v>9.9225001664790483E-3</v>
      </c>
      <c r="S60" s="72"/>
    </row>
    <row r="61" spans="2:19" x14ac:dyDescent="0.25">
      <c r="B61" s="100" t="s">
        <v>41</v>
      </c>
      <c r="C61" s="22"/>
      <c r="D61" s="22"/>
      <c r="E61" s="22"/>
      <c r="F61" s="101">
        <v>0.13</v>
      </c>
      <c r="G61" s="102"/>
      <c r="H61" s="103">
        <f>H60*F61</f>
        <v>92.15952200000001</v>
      </c>
      <c r="I61" s="104"/>
      <c r="J61" s="105">
        <v>0.13</v>
      </c>
      <c r="K61" s="104"/>
      <c r="L61" s="106">
        <f>L60*J61</f>
        <v>93.073974872387637</v>
      </c>
      <c r="M61" s="107"/>
      <c r="N61" s="108">
        <f t="shared" si="2"/>
        <v>0.91445287238762774</v>
      </c>
      <c r="O61" s="109">
        <f t="shared" si="8"/>
        <v>9.9225001664790275E-3</v>
      </c>
      <c r="S61" s="72"/>
    </row>
    <row r="62" spans="2:19" x14ac:dyDescent="0.25">
      <c r="B62" s="110" t="s">
        <v>42</v>
      </c>
      <c r="C62" s="22"/>
      <c r="D62" s="22"/>
      <c r="E62" s="22"/>
      <c r="F62" s="111"/>
      <c r="G62" s="102"/>
      <c r="H62" s="103">
        <f>H60+H61</f>
        <v>801.07892200000003</v>
      </c>
      <c r="I62" s="104"/>
      <c r="J62" s="104"/>
      <c r="K62" s="104"/>
      <c r="L62" s="106">
        <f>L60+L61</f>
        <v>809.0276277369079</v>
      </c>
      <c r="M62" s="107"/>
      <c r="N62" s="108">
        <f t="shared" si="2"/>
        <v>7.9487057369078684</v>
      </c>
      <c r="O62" s="109">
        <f t="shared" si="8"/>
        <v>9.9225001664790622E-3</v>
      </c>
      <c r="S62" s="72"/>
    </row>
    <row r="63" spans="2:19" ht="15.75" customHeight="1" x14ac:dyDescent="0.25">
      <c r="B63" s="388" t="s">
        <v>43</v>
      </c>
      <c r="C63" s="388"/>
      <c r="D63" s="388"/>
      <c r="E63" s="22"/>
      <c r="F63" s="111"/>
      <c r="G63" s="102"/>
      <c r="H63" s="112">
        <f>ROUND(-H62*10%,2)</f>
        <v>-80.11</v>
      </c>
      <c r="I63" s="104"/>
      <c r="J63" s="104"/>
      <c r="K63" s="104"/>
      <c r="L63" s="113">
        <f>ROUND(-L62*10%,2)</f>
        <v>-80.900000000000006</v>
      </c>
      <c r="M63" s="107"/>
      <c r="N63" s="114">
        <f t="shared" si="2"/>
        <v>-0.79000000000000625</v>
      </c>
      <c r="O63" s="115">
        <f t="shared" si="8"/>
        <v>9.8614405192860594E-3</v>
      </c>
    </row>
    <row r="64" spans="2:19" ht="15.75" thickBot="1" x14ac:dyDescent="0.3">
      <c r="B64" s="384" t="s">
        <v>44</v>
      </c>
      <c r="C64" s="384"/>
      <c r="D64" s="384"/>
      <c r="E64" s="116"/>
      <c r="F64" s="117"/>
      <c r="G64" s="118"/>
      <c r="H64" s="119">
        <f>H62+H63</f>
        <v>720.96892200000002</v>
      </c>
      <c r="I64" s="120"/>
      <c r="J64" s="120"/>
      <c r="K64" s="120"/>
      <c r="L64" s="121">
        <f>L62+L63</f>
        <v>728.12762773690793</v>
      </c>
      <c r="M64" s="122"/>
      <c r="N64" s="123">
        <f t="shared" si="2"/>
        <v>7.1587057369079048</v>
      </c>
      <c r="O64" s="124">
        <f t="shared" si="8"/>
        <v>9.929284770069333E-3</v>
      </c>
    </row>
    <row r="65" spans="1:15" s="73" customFormat="1" ht="8.25" customHeight="1" thickBot="1" x14ac:dyDescent="0.25">
      <c r="B65" s="125"/>
      <c r="C65" s="126"/>
      <c r="D65" s="127"/>
      <c r="E65" s="126"/>
      <c r="F65" s="84"/>
      <c r="G65" s="128"/>
      <c r="H65" s="86"/>
      <c r="I65" s="129"/>
      <c r="J65" s="84"/>
      <c r="K65" s="130"/>
      <c r="L65" s="86"/>
      <c r="M65" s="129"/>
      <c r="N65" s="131"/>
      <c r="O65" s="90"/>
    </row>
    <row r="66" spans="1:15" s="73" customFormat="1" ht="12.75" x14ac:dyDescent="0.2">
      <c r="B66" s="132" t="s">
        <v>45</v>
      </c>
      <c r="C66" s="75"/>
      <c r="D66" s="75"/>
      <c r="E66" s="75"/>
      <c r="F66" s="133"/>
      <c r="G66" s="134"/>
      <c r="H66" s="135">
        <f>SUM(H57:H58,H49,H50:H53)</f>
        <v>739.9194</v>
      </c>
      <c r="I66" s="136"/>
      <c r="J66" s="137"/>
      <c r="K66" s="137"/>
      <c r="L66" s="189">
        <f>SUM(L57:L58,L49,L50:L53)</f>
        <v>746.95365286452022</v>
      </c>
      <c r="M66" s="138"/>
      <c r="N66" s="139">
        <f>L66-H66</f>
        <v>7.0342528645202265</v>
      </c>
      <c r="O66" s="99">
        <f>IF((H66)=0,"",(N66/H66))</f>
        <v>9.5067825826978276E-3</v>
      </c>
    </row>
    <row r="67" spans="1:15" s="73" customFormat="1" ht="12.75" x14ac:dyDescent="0.2">
      <c r="B67" s="140" t="s">
        <v>41</v>
      </c>
      <c r="C67" s="75"/>
      <c r="D67" s="75"/>
      <c r="E67" s="75"/>
      <c r="F67" s="141">
        <v>0.13</v>
      </c>
      <c r="G67" s="134"/>
      <c r="H67" s="142">
        <f>H66*F67</f>
        <v>96.189521999999997</v>
      </c>
      <c r="I67" s="143"/>
      <c r="J67" s="144">
        <v>0.13</v>
      </c>
      <c r="K67" s="145"/>
      <c r="L67" s="146">
        <f>L66*J67</f>
        <v>97.103974872387639</v>
      </c>
      <c r="M67" s="147"/>
      <c r="N67" s="148">
        <f>L67-H67</f>
        <v>0.91445287238764195</v>
      </c>
      <c r="O67" s="109">
        <f>IF((H67)=0,"",(N67/H67))</f>
        <v>9.5067825826979577E-3</v>
      </c>
    </row>
    <row r="68" spans="1:15" s="73" customFormat="1" ht="12.75" x14ac:dyDescent="0.2">
      <c r="B68" s="149" t="s">
        <v>42</v>
      </c>
      <c r="C68" s="75"/>
      <c r="D68" s="75"/>
      <c r="E68" s="75"/>
      <c r="F68" s="150"/>
      <c r="G68" s="151"/>
      <c r="H68" s="142">
        <f>H66+H67</f>
        <v>836.10892200000001</v>
      </c>
      <c r="I68" s="143"/>
      <c r="J68" s="143"/>
      <c r="K68" s="143"/>
      <c r="L68" s="146">
        <f>L66+L67</f>
        <v>844.05762773690788</v>
      </c>
      <c r="M68" s="147"/>
      <c r="N68" s="148">
        <f>L68-H68</f>
        <v>7.9487057369078684</v>
      </c>
      <c r="O68" s="109">
        <f>IF((H68)=0,"",(N68/H68))</f>
        <v>9.5067825826978414E-3</v>
      </c>
    </row>
    <row r="69" spans="1:15" s="73" customFormat="1" ht="15.75" customHeight="1" x14ac:dyDescent="0.2">
      <c r="B69" s="385" t="s">
        <v>43</v>
      </c>
      <c r="C69" s="385"/>
      <c r="D69" s="385"/>
      <c r="E69" s="75"/>
      <c r="F69" s="150"/>
      <c r="G69" s="151"/>
      <c r="H69" s="152">
        <f>ROUND(-H68*10%,2)</f>
        <v>-83.61</v>
      </c>
      <c r="I69" s="143"/>
      <c r="J69" s="143"/>
      <c r="K69" s="143"/>
      <c r="L69" s="153">
        <f>ROUND(-L68*10%,2)</f>
        <v>-84.41</v>
      </c>
      <c r="M69" s="147"/>
      <c r="N69" s="154">
        <f>L69-H69</f>
        <v>-0.79999999999999716</v>
      </c>
      <c r="O69" s="115">
        <f>IF((H69)=0,"",(N69/H69))</f>
        <v>9.5682334648965091E-3</v>
      </c>
    </row>
    <row r="70" spans="1:15" s="73" customFormat="1" ht="13.5" thickBot="1" x14ac:dyDescent="0.25">
      <c r="B70" s="376" t="s">
        <v>46</v>
      </c>
      <c r="C70" s="376"/>
      <c r="D70" s="376"/>
      <c r="E70" s="155"/>
      <c r="F70" s="156"/>
      <c r="G70" s="157"/>
      <c r="H70" s="158">
        <f>SUM(H68:H69)</f>
        <v>752.49892199999999</v>
      </c>
      <c r="I70" s="159"/>
      <c r="J70" s="159"/>
      <c r="K70" s="159"/>
      <c r="L70" s="160">
        <f>SUM(L68:L69)</f>
        <v>759.64762773690791</v>
      </c>
      <c r="M70" s="161"/>
      <c r="N70" s="162">
        <f>L70-H70</f>
        <v>7.1487057369079139</v>
      </c>
      <c r="O70" s="163">
        <f>IF((H70)=0,"",(N70/H70))</f>
        <v>9.4999547878527255E-3</v>
      </c>
    </row>
    <row r="71" spans="1:15" s="73" customFormat="1" ht="8.25" customHeight="1" thickBot="1" x14ac:dyDescent="0.25">
      <c r="B71" s="125"/>
      <c r="C71" s="126"/>
      <c r="D71" s="127"/>
      <c r="E71" s="126"/>
      <c r="F71" s="164"/>
      <c r="G71" s="165"/>
      <c r="H71" s="166"/>
      <c r="I71" s="167"/>
      <c r="J71" s="164"/>
      <c r="K71" s="128"/>
      <c r="L71" s="168"/>
      <c r="M71" s="129"/>
      <c r="N71" s="169"/>
      <c r="O71" s="90"/>
    </row>
    <row r="72" spans="1:15" ht="10.5" customHeight="1" x14ac:dyDescent="0.25">
      <c r="L72" s="72"/>
    </row>
    <row r="73" spans="1:15" x14ac:dyDescent="0.25">
      <c r="B73" s="13" t="s">
        <v>47</v>
      </c>
      <c r="F73" s="170">
        <f>+'Res (100kWh)'!$F$73</f>
        <v>4.0399999999999998E-2</v>
      </c>
      <c r="J73" s="170">
        <f>+'Res (100kWh)'!$J$73</f>
        <v>3.6200000000000003E-2</v>
      </c>
    </row>
    <row r="74" spans="1:15" ht="10.5" customHeight="1" x14ac:dyDescent="0.25"/>
    <row r="75" spans="1:15" x14ac:dyDescent="0.25">
      <c r="A75" s="171" t="s">
        <v>48</v>
      </c>
    </row>
    <row r="76" spans="1:15" ht="10.5" customHeight="1" x14ac:dyDescent="0.25"/>
    <row r="77" spans="1:15" x14ac:dyDescent="0.25">
      <c r="A77" s="7" t="s">
        <v>49</v>
      </c>
    </row>
    <row r="78" spans="1:15" x14ac:dyDescent="0.25">
      <c r="A78" s="7" t="s">
        <v>50</v>
      </c>
    </row>
    <row r="80" spans="1:15" x14ac:dyDescent="0.25">
      <c r="A80" s="12" t="s">
        <v>51</v>
      </c>
    </row>
    <row r="81" spans="1:2" x14ac:dyDescent="0.25">
      <c r="A81" s="12" t="s">
        <v>52</v>
      </c>
    </row>
    <row r="83" spans="1:2" x14ac:dyDescent="0.25">
      <c r="A83" s="7" t="s">
        <v>53</v>
      </c>
    </row>
    <row r="84" spans="1:2" x14ac:dyDescent="0.25">
      <c r="A84" s="7" t="s">
        <v>54</v>
      </c>
    </row>
    <row r="85" spans="1:2" x14ac:dyDescent="0.25">
      <c r="A85" s="7" t="s">
        <v>55</v>
      </c>
    </row>
    <row r="86" spans="1:2" x14ac:dyDescent="0.25">
      <c r="A86" s="7" t="s">
        <v>56</v>
      </c>
    </row>
    <row r="87" spans="1:2" x14ac:dyDescent="0.25">
      <c r="A87" s="7" t="s">
        <v>57</v>
      </c>
    </row>
    <row r="89" spans="1:2" x14ac:dyDescent="0.25">
      <c r="A89" s="172"/>
      <c r="B89" s="7" t="s">
        <v>58</v>
      </c>
    </row>
  </sheetData>
  <mergeCells count="17">
    <mergeCell ref="B70:D70"/>
    <mergeCell ref="D19:D20"/>
    <mergeCell ref="N19:N20"/>
    <mergeCell ref="O19:O20"/>
    <mergeCell ref="B63:D63"/>
    <mergeCell ref="B64:D64"/>
    <mergeCell ref="B69:D69"/>
    <mergeCell ref="D12:O12"/>
    <mergeCell ref="F18:H18"/>
    <mergeCell ref="N1:O1"/>
    <mergeCell ref="N2:O2"/>
    <mergeCell ref="N5:O5"/>
    <mergeCell ref="B8:O8"/>
    <mergeCell ref="B9:O9"/>
    <mergeCell ref="J18:L18"/>
    <mergeCell ref="N18:O18"/>
    <mergeCell ref="N3:O3"/>
  </mergeCells>
  <dataValidations count="4">
    <dataValidation type="list" allowBlank="1" showInputMessage="1" showErrorMessage="1" sqref="E47:E48 E50:E56 E59 E38:E45 E21:E36">
      <formula1>#REF!</formula1>
    </dataValidation>
    <dataValidation type="list" allowBlank="1" showInputMessage="1" showErrorMessage="1" prompt="Select Charge Unit - monthly, per kWh, per kW" sqref="D47:D48 D65 D71 D50:D59 D38:D45 D21:D36">
      <formula1>"Monthly, per kWh, per kW"</formula1>
    </dataValidation>
    <dataValidation type="list" allowBlank="1" showInputMessage="1" showErrorMessage="1" sqref="E71 E65 E57:E58">
      <formula1>#REF!</formula1>
    </dataValidation>
    <dataValidation type="list" allowBlank="1" showInputMessage="1" showErrorMessage="1" sqref="D14">
      <formula1>"TOU, non-TOU"</formula1>
    </dataValidation>
  </dataValidations>
  <pageMargins left="0.7" right="0.7" top="0.75" bottom="0.75" header="0.3" footer="0.3"/>
  <pageSetup scale="60" orientation="portrait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T89"/>
  <sheetViews>
    <sheetView showGridLines="0" topLeftCell="A15" zoomScaleNormal="100" workbookViewId="0">
      <selection activeCell="F37" sqref="F37"/>
    </sheetView>
  </sheetViews>
  <sheetFormatPr defaultColWidth="9.140625" defaultRowHeight="15" x14ac:dyDescent="0.25"/>
  <cols>
    <col min="1" max="1" width="2.140625" style="7" customWidth="1"/>
    <col min="2" max="2" width="44.5703125" style="7" customWidth="1"/>
    <col min="3" max="3" width="1.28515625" style="7" customWidth="1"/>
    <col min="4" max="4" width="11.28515625" style="7" customWidth="1"/>
    <col min="5" max="5" width="1.28515625" style="7" customWidth="1"/>
    <col min="6" max="6" width="12.28515625" style="7" customWidth="1"/>
    <col min="7" max="7" width="8.5703125" style="7" customWidth="1"/>
    <col min="8" max="8" width="10.28515625" style="7" bestFit="1" customWidth="1"/>
    <col min="9" max="9" width="2.85546875" style="7" customWidth="1"/>
    <col min="10" max="10" width="12.140625" style="7" customWidth="1"/>
    <col min="11" max="11" width="8.5703125" style="7" customWidth="1"/>
    <col min="12" max="12" width="10.28515625" style="7" bestFit="1" customWidth="1"/>
    <col min="13" max="13" width="2.85546875" style="7" customWidth="1"/>
    <col min="14" max="14" width="12.7109375" style="7" bestFit="1" customWidth="1"/>
    <col min="15" max="15" width="10.85546875" style="7" bestFit="1" customWidth="1"/>
    <col min="16" max="16" width="11.42578125" style="7" customWidth="1"/>
    <col min="17" max="19" width="9.140625" style="7"/>
    <col min="20" max="20" width="9.140625" style="7" customWidth="1"/>
    <col min="21" max="16384" width="9.140625" style="7"/>
  </cols>
  <sheetData>
    <row r="1" spans="1:20" s="2" customFormat="1" ht="15" customHeigh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3" t="s">
        <v>0</v>
      </c>
      <c r="N1" s="368" t="s">
        <v>94</v>
      </c>
      <c r="O1" s="368"/>
      <c r="P1" s="192"/>
      <c r="T1" s="2">
        <v>1</v>
      </c>
    </row>
    <row r="2" spans="1:20" s="2" customFormat="1" ht="15" customHeight="1" x14ac:dyDescent="0.3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3" t="s">
        <v>95</v>
      </c>
      <c r="N2" s="369">
        <v>8</v>
      </c>
      <c r="O2" s="369"/>
      <c r="P2" s="193"/>
    </row>
    <row r="3" spans="1:20" s="2" customFormat="1" ht="15" customHeight="1" x14ac:dyDescent="0.3">
      <c r="C3" s="6"/>
      <c r="D3" s="6"/>
      <c r="E3" s="6"/>
      <c r="L3" s="3" t="s">
        <v>96</v>
      </c>
      <c r="N3" s="370" t="s">
        <v>97</v>
      </c>
      <c r="O3" s="370"/>
      <c r="P3" s="192"/>
    </row>
    <row r="4" spans="1:20" s="2" customFormat="1" ht="9" customHeight="1" x14ac:dyDescent="0.3">
      <c r="L4" s="3"/>
      <c r="N4" s="310"/>
      <c r="O4"/>
      <c r="P4" s="194"/>
    </row>
    <row r="5" spans="1:20" s="2" customFormat="1" ht="14.45" x14ac:dyDescent="0.3">
      <c r="L5" s="3" t="s">
        <v>76</v>
      </c>
      <c r="N5" s="387">
        <v>42124</v>
      </c>
      <c r="O5" s="387"/>
      <c r="P5" s="195"/>
    </row>
    <row r="6" spans="1:20" s="2" customFormat="1" ht="15" customHeight="1" x14ac:dyDescent="0.3">
      <c r="N6" s="7"/>
      <c r="O6"/>
      <c r="P6"/>
    </row>
    <row r="7" spans="1:20" ht="7.5" customHeight="1" x14ac:dyDescent="0.3">
      <c r="L7"/>
      <c r="M7"/>
      <c r="N7"/>
      <c r="O7"/>
      <c r="P7"/>
    </row>
    <row r="8" spans="1:20" ht="18.75" customHeight="1" x14ac:dyDescent="0.3">
      <c r="B8" s="367" t="s">
        <v>1</v>
      </c>
      <c r="C8" s="367"/>
      <c r="D8" s="367"/>
      <c r="E8" s="367"/>
      <c r="F8" s="367"/>
      <c r="G8" s="367"/>
      <c r="H8" s="367"/>
      <c r="I8" s="367"/>
      <c r="J8" s="367"/>
      <c r="K8" s="367"/>
      <c r="L8" s="367"/>
      <c r="M8" s="367"/>
      <c r="N8" s="367"/>
      <c r="O8" s="367"/>
      <c r="P8"/>
    </row>
    <row r="9" spans="1:20" ht="18.75" customHeight="1" x14ac:dyDescent="0.3">
      <c r="B9" s="367" t="s">
        <v>2</v>
      </c>
      <c r="C9" s="367"/>
      <c r="D9" s="367"/>
      <c r="E9" s="367"/>
      <c r="F9" s="367"/>
      <c r="G9" s="367"/>
      <c r="H9" s="367"/>
      <c r="I9" s="367"/>
      <c r="J9" s="367"/>
      <c r="K9" s="367"/>
      <c r="L9" s="367"/>
      <c r="M9" s="367"/>
      <c r="N9" s="367"/>
      <c r="O9" s="367"/>
      <c r="P9"/>
    </row>
    <row r="10" spans="1:20" ht="7.5" customHeight="1" x14ac:dyDescent="0.3">
      <c r="L10"/>
      <c r="M10"/>
      <c r="N10"/>
      <c r="O10"/>
      <c r="P10"/>
    </row>
    <row r="11" spans="1:20" ht="7.5" customHeight="1" x14ac:dyDescent="0.3">
      <c r="L11"/>
      <c r="M11"/>
      <c r="N11"/>
      <c r="O11"/>
      <c r="P11"/>
    </row>
    <row r="12" spans="1:20" ht="15.6" x14ac:dyDescent="0.3">
      <c r="B12" s="8" t="s">
        <v>3</v>
      </c>
      <c r="D12" s="386" t="s">
        <v>67</v>
      </c>
      <c r="E12" s="386"/>
      <c r="F12" s="386"/>
      <c r="G12" s="386"/>
      <c r="H12" s="386"/>
      <c r="I12" s="386"/>
      <c r="J12" s="386"/>
      <c r="K12" s="386"/>
      <c r="L12" s="386"/>
      <c r="M12" s="386"/>
      <c r="N12" s="386"/>
      <c r="O12" s="386"/>
    </row>
    <row r="13" spans="1:20" ht="7.5" customHeight="1" x14ac:dyDescent="0.3">
      <c r="B13" s="9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</row>
    <row r="14" spans="1:20" ht="15.6" x14ac:dyDescent="0.3">
      <c r="B14" s="8" t="s">
        <v>4</v>
      </c>
      <c r="D14" s="11" t="s">
        <v>5</v>
      </c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</row>
    <row r="15" spans="1:20" ht="15.6" x14ac:dyDescent="0.3">
      <c r="B15" s="9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</row>
    <row r="16" spans="1:20" ht="14.45" x14ac:dyDescent="0.3">
      <c r="B16" s="12"/>
      <c r="D16" s="13" t="s">
        <v>6</v>
      </c>
      <c r="E16" s="13"/>
      <c r="F16" s="14">
        <v>10000</v>
      </c>
      <c r="G16" s="13" t="s">
        <v>7</v>
      </c>
    </row>
    <row r="17" spans="2:15" ht="14.45" x14ac:dyDescent="0.3">
      <c r="B17" s="12"/>
    </row>
    <row r="18" spans="2:15" ht="14.45" x14ac:dyDescent="0.3">
      <c r="B18" s="12"/>
      <c r="D18" s="15"/>
      <c r="E18" s="15"/>
      <c r="F18" s="373" t="s">
        <v>8</v>
      </c>
      <c r="G18" s="374"/>
      <c r="H18" s="375"/>
      <c r="J18" s="373" t="s">
        <v>9</v>
      </c>
      <c r="K18" s="374"/>
      <c r="L18" s="375"/>
      <c r="N18" s="373" t="s">
        <v>10</v>
      </c>
      <c r="O18" s="375"/>
    </row>
    <row r="19" spans="2:15" x14ac:dyDescent="0.25">
      <c r="B19" s="12"/>
      <c r="D19" s="377" t="s">
        <v>11</v>
      </c>
      <c r="E19" s="16"/>
      <c r="F19" s="17" t="s">
        <v>12</v>
      </c>
      <c r="G19" s="17" t="s">
        <v>13</v>
      </c>
      <c r="H19" s="18" t="s">
        <v>14</v>
      </c>
      <c r="J19" s="17" t="s">
        <v>12</v>
      </c>
      <c r="K19" s="19" t="s">
        <v>13</v>
      </c>
      <c r="L19" s="18" t="s">
        <v>14</v>
      </c>
      <c r="N19" s="379" t="s">
        <v>15</v>
      </c>
      <c r="O19" s="381" t="s">
        <v>16</v>
      </c>
    </row>
    <row r="20" spans="2:15" x14ac:dyDescent="0.25">
      <c r="B20" s="12"/>
      <c r="D20" s="378"/>
      <c r="E20" s="16"/>
      <c r="F20" s="20" t="s">
        <v>17</v>
      </c>
      <c r="G20" s="20"/>
      <c r="H20" s="21" t="s">
        <v>17</v>
      </c>
      <c r="J20" s="20" t="s">
        <v>17</v>
      </c>
      <c r="K20" s="21"/>
      <c r="L20" s="21" t="s">
        <v>17</v>
      </c>
      <c r="N20" s="380"/>
      <c r="O20" s="382"/>
    </row>
    <row r="21" spans="2:15" ht="22.5" customHeight="1" x14ac:dyDescent="0.3">
      <c r="B21" s="22" t="s">
        <v>18</v>
      </c>
      <c r="C21" s="22"/>
      <c r="D21" s="23" t="s">
        <v>60</v>
      </c>
      <c r="E21" s="24"/>
      <c r="F21" s="174">
        <f>+'GS&lt;50 (1,000kWh)'!$F$21</f>
        <v>31.96</v>
      </c>
      <c r="G21" s="26">
        <v>1</v>
      </c>
      <c r="H21" s="27">
        <f>G21*F21</f>
        <v>31.96</v>
      </c>
      <c r="I21" s="28"/>
      <c r="J21" s="173">
        <f>+'GS&lt;50 (1,000kWh)'!$J$21</f>
        <v>31.96</v>
      </c>
      <c r="K21" s="30">
        <v>1</v>
      </c>
      <c r="L21" s="27">
        <f>K21*J21</f>
        <v>31.96</v>
      </c>
      <c r="M21" s="28"/>
      <c r="N21" s="31">
        <f>L21-H21</f>
        <v>0</v>
      </c>
      <c r="O21" s="32">
        <f>IF((H21)=0,"",(N21/H21))</f>
        <v>0</v>
      </c>
    </row>
    <row r="22" spans="2:15" ht="36.75" customHeight="1" x14ac:dyDescent="0.3">
      <c r="B22" s="296" t="s">
        <v>88</v>
      </c>
      <c r="C22" s="22"/>
      <c r="D22" s="56" t="s">
        <v>61</v>
      </c>
      <c r="E22" s="24"/>
      <c r="F22" s="173"/>
      <c r="G22" s="26">
        <f>$F$16</f>
        <v>10000</v>
      </c>
      <c r="H22" s="27">
        <f t="shared" ref="H22:H36" si="0">G22*F22</f>
        <v>0</v>
      </c>
      <c r="I22" s="28"/>
      <c r="J22" s="29">
        <f>+'GS&lt;50 (1,000kWh)'!$J$22</f>
        <v>8.9999999999999998E-4</v>
      </c>
      <c r="K22" s="26">
        <f>$F$16</f>
        <v>10000</v>
      </c>
      <c r="L22" s="27">
        <f>K22*J22</f>
        <v>9</v>
      </c>
      <c r="M22" s="28"/>
      <c r="N22" s="31">
        <f>L22-H22</f>
        <v>9</v>
      </c>
      <c r="O22" s="32" t="str">
        <f>IF((H22)=0,"",(N22/H22))</f>
        <v/>
      </c>
    </row>
    <row r="23" spans="2:15" ht="36.75" customHeight="1" x14ac:dyDescent="0.3">
      <c r="B23" s="297" t="s">
        <v>63</v>
      </c>
      <c r="C23" s="22"/>
      <c r="D23" s="56" t="s">
        <v>60</v>
      </c>
      <c r="E23" s="57"/>
      <c r="F23" s="173">
        <f>+'GS&lt;50 (1,000kWh)'!$F$23</f>
        <v>5.51</v>
      </c>
      <c r="G23" s="26">
        <v>1</v>
      </c>
      <c r="H23" s="27">
        <f t="shared" si="0"/>
        <v>5.51</v>
      </c>
      <c r="I23" s="28"/>
      <c r="J23" s="29"/>
      <c r="K23" s="30">
        <v>1</v>
      </c>
      <c r="L23" s="27">
        <f t="shared" ref="L23:L36" si="1">K23*J23</f>
        <v>0</v>
      </c>
      <c r="M23" s="28"/>
      <c r="N23" s="31">
        <f t="shared" ref="N23:N64" si="2">L23-H23</f>
        <v>-5.51</v>
      </c>
      <c r="O23" s="32">
        <f t="shared" ref="O23:O44" si="3">IF((H23)=0,"",(N23/H23))</f>
        <v>-1</v>
      </c>
    </row>
    <row r="24" spans="2:15" ht="14.45" x14ac:dyDescent="0.3">
      <c r="B24" s="297" t="s">
        <v>64</v>
      </c>
      <c r="C24" s="22"/>
      <c r="D24" s="23" t="s">
        <v>60</v>
      </c>
      <c r="E24" s="24"/>
      <c r="F24" s="25"/>
      <c r="G24" s="26">
        <v>1</v>
      </c>
      <c r="H24" s="27">
        <f t="shared" si="0"/>
        <v>0</v>
      </c>
      <c r="I24" s="28"/>
      <c r="J24" s="173">
        <f>+'GS&lt;50 (1,000kWh)'!$J$24</f>
        <v>1.3841528645202816</v>
      </c>
      <c r="K24" s="30">
        <v>1</v>
      </c>
      <c r="L24" s="27">
        <f t="shared" si="1"/>
        <v>1.3841528645202816</v>
      </c>
      <c r="M24" s="28"/>
      <c r="N24" s="31">
        <f t="shared" si="2"/>
        <v>1.3841528645202816</v>
      </c>
      <c r="O24" s="32" t="str">
        <f t="shared" si="3"/>
        <v/>
      </c>
    </row>
    <row r="25" spans="2:15" ht="14.45" x14ac:dyDescent="0.3">
      <c r="B25" s="296" t="s">
        <v>65</v>
      </c>
      <c r="C25" s="22"/>
      <c r="D25" s="23" t="s">
        <v>61</v>
      </c>
      <c r="E25" s="24"/>
      <c r="F25" s="201">
        <f>+'GS&lt;50 (1,000kWh)'!$F$25</f>
        <v>-5.0000000000000002E-5</v>
      </c>
      <c r="G25" s="26">
        <f>$F$16</f>
        <v>10000</v>
      </c>
      <c r="H25" s="27">
        <f t="shared" si="0"/>
        <v>-0.5</v>
      </c>
      <c r="I25" s="28"/>
      <c r="J25" s="29">
        <f>+'GS&lt;50 (1,000kWh)'!$J$25</f>
        <v>-5.0000000000000002E-5</v>
      </c>
      <c r="K25" s="26">
        <f>$F$16</f>
        <v>10000</v>
      </c>
      <c r="L25" s="27">
        <f t="shared" si="1"/>
        <v>-0.5</v>
      </c>
      <c r="M25" s="28"/>
      <c r="N25" s="31">
        <f t="shared" si="2"/>
        <v>0</v>
      </c>
      <c r="O25" s="32">
        <f t="shared" si="3"/>
        <v>0</v>
      </c>
    </row>
    <row r="26" spans="2:15" ht="14.45" x14ac:dyDescent="0.3">
      <c r="B26" s="296" t="s">
        <v>66</v>
      </c>
      <c r="C26" s="22"/>
      <c r="D26" s="23" t="s">
        <v>61</v>
      </c>
      <c r="E26" s="24"/>
      <c r="F26" s="25"/>
      <c r="G26" s="26">
        <f>$F$16</f>
        <v>10000</v>
      </c>
      <c r="H26" s="27">
        <f t="shared" si="0"/>
        <v>0</v>
      </c>
      <c r="I26" s="28"/>
      <c r="J26" s="263">
        <f>+'GS&lt;50 (1,000kWh)'!$J$26</f>
        <v>-1.6000000000000001E-3</v>
      </c>
      <c r="K26" s="26">
        <f>$F$16</f>
        <v>10000</v>
      </c>
      <c r="L26" s="27">
        <f t="shared" si="1"/>
        <v>-16</v>
      </c>
      <c r="M26" s="28"/>
      <c r="N26" s="31">
        <f t="shared" si="2"/>
        <v>-16</v>
      </c>
      <c r="O26" s="32" t="str">
        <f t="shared" si="3"/>
        <v/>
      </c>
    </row>
    <row r="27" spans="2:15" x14ac:dyDescent="0.25">
      <c r="B27" s="22" t="s">
        <v>19</v>
      </c>
      <c r="C27" s="22"/>
      <c r="D27" s="23" t="s">
        <v>61</v>
      </c>
      <c r="E27" s="24"/>
      <c r="F27" s="25">
        <f>+'GS&lt;50 (1,000kWh)'!$F$27</f>
        <v>1.43E-2</v>
      </c>
      <c r="G27" s="26">
        <f>$F$16</f>
        <v>10000</v>
      </c>
      <c r="H27" s="27">
        <f t="shared" si="0"/>
        <v>143</v>
      </c>
      <c r="I27" s="28"/>
      <c r="J27" s="29">
        <f>+'GS&lt;50 (1,000kWh)'!$J$27</f>
        <v>1.61E-2</v>
      </c>
      <c r="K27" s="26">
        <f>$F$16</f>
        <v>10000</v>
      </c>
      <c r="L27" s="27">
        <f t="shared" si="1"/>
        <v>161</v>
      </c>
      <c r="M27" s="28"/>
      <c r="N27" s="31">
        <f t="shared" si="2"/>
        <v>18</v>
      </c>
      <c r="O27" s="32">
        <f t="shared" si="3"/>
        <v>0.12587412587412589</v>
      </c>
    </row>
    <row r="28" spans="2:15" x14ac:dyDescent="0.25">
      <c r="B28" s="22" t="s">
        <v>20</v>
      </c>
      <c r="C28" s="22"/>
      <c r="D28" s="23"/>
      <c r="E28" s="24"/>
      <c r="F28" s="25"/>
      <c r="G28" s="26">
        <f>$F$16</f>
        <v>10000</v>
      </c>
      <c r="H28" s="27">
        <f t="shared" si="0"/>
        <v>0</v>
      </c>
      <c r="I28" s="28"/>
      <c r="J28" s="29"/>
      <c r="K28" s="26">
        <f t="shared" ref="K28:K36" si="4">$F$16</f>
        <v>10000</v>
      </c>
      <c r="L28" s="27">
        <f t="shared" si="1"/>
        <v>0</v>
      </c>
      <c r="M28" s="28"/>
      <c r="N28" s="31">
        <f t="shared" si="2"/>
        <v>0</v>
      </c>
      <c r="O28" s="32" t="str">
        <f t="shared" si="3"/>
        <v/>
      </c>
    </row>
    <row r="29" spans="2:15" x14ac:dyDescent="0.25">
      <c r="B29" s="22" t="s">
        <v>21</v>
      </c>
      <c r="C29" s="22"/>
      <c r="D29" s="23"/>
      <c r="E29" s="24"/>
      <c r="F29" s="25"/>
      <c r="G29" s="26">
        <f>$F$16</f>
        <v>10000</v>
      </c>
      <c r="H29" s="27">
        <f t="shared" si="0"/>
        <v>0</v>
      </c>
      <c r="I29" s="28"/>
      <c r="J29" s="29"/>
      <c r="K29" s="26">
        <f t="shared" si="4"/>
        <v>10000</v>
      </c>
      <c r="L29" s="27">
        <f t="shared" si="1"/>
        <v>0</v>
      </c>
      <c r="M29" s="28"/>
      <c r="N29" s="31">
        <f t="shared" si="2"/>
        <v>0</v>
      </c>
      <c r="O29" s="32" t="str">
        <f t="shared" si="3"/>
        <v/>
      </c>
    </row>
    <row r="30" spans="2:15" x14ac:dyDescent="0.25">
      <c r="B30" s="33"/>
      <c r="C30" s="22"/>
      <c r="D30" s="23"/>
      <c r="E30" s="24"/>
      <c r="F30" s="25"/>
      <c r="G30" s="26">
        <f t="shared" ref="G30:G36" si="5">$F$16</f>
        <v>10000</v>
      </c>
      <c r="H30" s="27">
        <f t="shared" si="0"/>
        <v>0</v>
      </c>
      <c r="I30" s="28"/>
      <c r="J30" s="29"/>
      <c r="K30" s="26">
        <f t="shared" si="4"/>
        <v>10000</v>
      </c>
      <c r="L30" s="27">
        <f t="shared" si="1"/>
        <v>0</v>
      </c>
      <c r="M30" s="28"/>
      <c r="N30" s="31">
        <f t="shared" si="2"/>
        <v>0</v>
      </c>
      <c r="O30" s="32" t="str">
        <f t="shared" si="3"/>
        <v/>
      </c>
    </row>
    <row r="31" spans="2:15" x14ac:dyDescent="0.25">
      <c r="B31" s="33"/>
      <c r="C31" s="22"/>
      <c r="D31" s="23"/>
      <c r="E31" s="24"/>
      <c r="F31" s="25"/>
      <c r="G31" s="26">
        <f t="shared" si="5"/>
        <v>10000</v>
      </c>
      <c r="H31" s="27">
        <f t="shared" si="0"/>
        <v>0</v>
      </c>
      <c r="I31" s="28"/>
      <c r="J31" s="29"/>
      <c r="K31" s="26">
        <f t="shared" si="4"/>
        <v>10000</v>
      </c>
      <c r="L31" s="27">
        <f t="shared" si="1"/>
        <v>0</v>
      </c>
      <c r="M31" s="28"/>
      <c r="N31" s="31">
        <f t="shared" si="2"/>
        <v>0</v>
      </c>
      <c r="O31" s="32" t="str">
        <f t="shared" si="3"/>
        <v/>
      </c>
    </row>
    <row r="32" spans="2:15" x14ac:dyDescent="0.25">
      <c r="B32" s="33"/>
      <c r="C32" s="22"/>
      <c r="D32" s="23"/>
      <c r="E32" s="24"/>
      <c r="F32" s="25"/>
      <c r="G32" s="26">
        <f t="shared" si="5"/>
        <v>10000</v>
      </c>
      <c r="H32" s="27">
        <f t="shared" si="0"/>
        <v>0</v>
      </c>
      <c r="I32" s="28"/>
      <c r="J32" s="29"/>
      <c r="K32" s="26">
        <f t="shared" si="4"/>
        <v>10000</v>
      </c>
      <c r="L32" s="27">
        <f t="shared" si="1"/>
        <v>0</v>
      </c>
      <c r="M32" s="28"/>
      <c r="N32" s="31">
        <f t="shared" si="2"/>
        <v>0</v>
      </c>
      <c r="O32" s="32" t="str">
        <f t="shared" si="3"/>
        <v/>
      </c>
    </row>
    <row r="33" spans="2:15" x14ac:dyDescent="0.25">
      <c r="B33" s="33"/>
      <c r="C33" s="22"/>
      <c r="D33" s="23"/>
      <c r="E33" s="24"/>
      <c r="F33" s="25"/>
      <c r="G33" s="26">
        <f t="shared" si="5"/>
        <v>10000</v>
      </c>
      <c r="H33" s="27">
        <f t="shared" si="0"/>
        <v>0</v>
      </c>
      <c r="I33" s="28"/>
      <c r="J33" s="29"/>
      <c r="K33" s="26">
        <f t="shared" si="4"/>
        <v>10000</v>
      </c>
      <c r="L33" s="27">
        <f t="shared" si="1"/>
        <v>0</v>
      </c>
      <c r="M33" s="28"/>
      <c r="N33" s="31">
        <f t="shared" si="2"/>
        <v>0</v>
      </c>
      <c r="O33" s="32" t="str">
        <f t="shared" si="3"/>
        <v/>
      </c>
    </row>
    <row r="34" spans="2:15" x14ac:dyDescent="0.25">
      <c r="B34" s="33"/>
      <c r="C34" s="22"/>
      <c r="D34" s="23"/>
      <c r="E34" s="24"/>
      <c r="F34" s="25"/>
      <c r="G34" s="26">
        <f t="shared" si="5"/>
        <v>10000</v>
      </c>
      <c r="H34" s="27">
        <f t="shared" si="0"/>
        <v>0</v>
      </c>
      <c r="I34" s="28"/>
      <c r="J34" s="29"/>
      <c r="K34" s="26">
        <f t="shared" si="4"/>
        <v>10000</v>
      </c>
      <c r="L34" s="27">
        <f t="shared" si="1"/>
        <v>0</v>
      </c>
      <c r="M34" s="28"/>
      <c r="N34" s="31">
        <f t="shared" si="2"/>
        <v>0</v>
      </c>
      <c r="O34" s="32" t="str">
        <f t="shared" si="3"/>
        <v/>
      </c>
    </row>
    <row r="35" spans="2:15" x14ac:dyDescent="0.25">
      <c r="B35" s="33"/>
      <c r="C35" s="22"/>
      <c r="D35" s="23"/>
      <c r="E35" s="24"/>
      <c r="F35" s="25"/>
      <c r="G35" s="26">
        <f t="shared" si="5"/>
        <v>10000</v>
      </c>
      <c r="H35" s="27">
        <f t="shared" si="0"/>
        <v>0</v>
      </c>
      <c r="I35" s="28"/>
      <c r="J35" s="29"/>
      <c r="K35" s="26">
        <f t="shared" si="4"/>
        <v>10000</v>
      </c>
      <c r="L35" s="27">
        <f t="shared" si="1"/>
        <v>0</v>
      </c>
      <c r="M35" s="28"/>
      <c r="N35" s="31">
        <f t="shared" si="2"/>
        <v>0</v>
      </c>
      <c r="O35" s="32" t="str">
        <f t="shared" si="3"/>
        <v/>
      </c>
    </row>
    <row r="36" spans="2:15" x14ac:dyDescent="0.25">
      <c r="B36" s="33"/>
      <c r="C36" s="22"/>
      <c r="D36" s="23"/>
      <c r="E36" s="24"/>
      <c r="F36" s="25"/>
      <c r="G36" s="26">
        <f t="shared" si="5"/>
        <v>10000</v>
      </c>
      <c r="H36" s="27">
        <f t="shared" si="0"/>
        <v>0</v>
      </c>
      <c r="I36" s="28"/>
      <c r="J36" s="29"/>
      <c r="K36" s="26">
        <f t="shared" si="4"/>
        <v>10000</v>
      </c>
      <c r="L36" s="27">
        <f t="shared" si="1"/>
        <v>0</v>
      </c>
      <c r="M36" s="28"/>
      <c r="N36" s="31">
        <f t="shared" si="2"/>
        <v>0</v>
      </c>
      <c r="O36" s="32" t="str">
        <f t="shared" si="3"/>
        <v/>
      </c>
    </row>
    <row r="37" spans="2:15" s="34" customFormat="1" x14ac:dyDescent="0.25">
      <c r="B37" s="35" t="s">
        <v>22</v>
      </c>
      <c r="C37" s="36"/>
      <c r="D37" s="37"/>
      <c r="E37" s="36"/>
      <c r="F37" s="38"/>
      <c r="G37" s="39"/>
      <c r="H37" s="40">
        <f>SUM(H21:H36)</f>
        <v>179.97</v>
      </c>
      <c r="I37" s="41"/>
      <c r="J37" s="42"/>
      <c r="K37" s="43"/>
      <c r="L37" s="40">
        <f>SUM(L21:L36)</f>
        <v>186.84415286452028</v>
      </c>
      <c r="M37" s="41"/>
      <c r="N37" s="44">
        <f t="shared" si="2"/>
        <v>6.8741528645202834</v>
      </c>
      <c r="O37" s="45">
        <f t="shared" si="3"/>
        <v>3.8196104153582724E-2</v>
      </c>
    </row>
    <row r="38" spans="2:15" x14ac:dyDescent="0.25">
      <c r="B38" s="175"/>
      <c r="C38" s="22"/>
      <c r="D38" s="56" t="s">
        <v>60</v>
      </c>
      <c r="E38" s="24"/>
      <c r="F38" s="25"/>
      <c r="G38" s="26">
        <v>1</v>
      </c>
      <c r="H38" s="27">
        <f>G38*F38</f>
        <v>0</v>
      </c>
      <c r="I38" s="28"/>
      <c r="J38" s="173"/>
      <c r="K38" s="30">
        <v>1</v>
      </c>
      <c r="L38" s="27">
        <f>K38*J38</f>
        <v>0</v>
      </c>
      <c r="M38" s="28"/>
      <c r="N38" s="31">
        <f>L38-H38</f>
        <v>0</v>
      </c>
      <c r="O38" s="32" t="str">
        <f>IF((H38)=0,"",(N38/H38))</f>
        <v/>
      </c>
    </row>
    <row r="39" spans="2:15" x14ac:dyDescent="0.25">
      <c r="B39" s="296" t="s">
        <v>23</v>
      </c>
      <c r="C39" s="22"/>
      <c r="D39" s="56" t="s">
        <v>61</v>
      </c>
      <c r="E39" s="57"/>
      <c r="F39" s="29">
        <f>+'GS&lt;50 (1,000kWh)'!$F$39</f>
        <v>-1.4E-3</v>
      </c>
      <c r="G39" s="26">
        <f>$F$16</f>
        <v>10000</v>
      </c>
      <c r="H39" s="27">
        <f t="shared" ref="H39:H45" si="6">G39*F39</f>
        <v>-14</v>
      </c>
      <c r="I39" s="28"/>
      <c r="J39" s="263">
        <f>+'GS&lt;50 (1,000kWh)'!$J$39</f>
        <v>2.9999999999999992E-4</v>
      </c>
      <c r="K39" s="26">
        <f>$F$16</f>
        <v>10000</v>
      </c>
      <c r="L39" s="27">
        <f t="shared" ref="L39:L45" si="7">K39*J39</f>
        <v>2.9999999999999991</v>
      </c>
      <c r="M39" s="28"/>
      <c r="N39" s="31">
        <f t="shared" si="2"/>
        <v>17</v>
      </c>
      <c r="O39" s="32">
        <f t="shared" si="3"/>
        <v>-1.2142857142857142</v>
      </c>
    </row>
    <row r="40" spans="2:15" x14ac:dyDescent="0.25">
      <c r="B40" s="296"/>
      <c r="C40" s="22"/>
      <c r="D40" s="23" t="s">
        <v>61</v>
      </c>
      <c r="E40" s="24"/>
      <c r="F40" s="25"/>
      <c r="G40" s="26">
        <f>$F$16</f>
        <v>10000</v>
      </c>
      <c r="H40" s="27">
        <f t="shared" si="6"/>
        <v>0</v>
      </c>
      <c r="I40" s="47"/>
      <c r="J40" s="29"/>
      <c r="K40" s="26">
        <f>$F$16</f>
        <v>10000</v>
      </c>
      <c r="L40" s="27">
        <f t="shared" si="7"/>
        <v>0</v>
      </c>
      <c r="M40" s="48"/>
      <c r="N40" s="31">
        <f t="shared" si="2"/>
        <v>0</v>
      </c>
      <c r="O40" s="32" t="str">
        <f t="shared" si="3"/>
        <v/>
      </c>
    </row>
    <row r="41" spans="2:15" x14ac:dyDescent="0.25">
      <c r="B41" s="46"/>
      <c r="C41" s="22"/>
      <c r="D41" s="23" t="s">
        <v>61</v>
      </c>
      <c r="E41" s="24"/>
      <c r="F41" s="25"/>
      <c r="G41" s="26">
        <f>$F$16</f>
        <v>10000</v>
      </c>
      <c r="H41" s="27">
        <f t="shared" si="6"/>
        <v>0</v>
      </c>
      <c r="I41" s="47"/>
      <c r="J41" s="29"/>
      <c r="K41" s="26">
        <f>$F$16</f>
        <v>10000</v>
      </c>
      <c r="L41" s="27">
        <f t="shared" si="7"/>
        <v>0</v>
      </c>
      <c r="M41" s="48"/>
      <c r="N41" s="31">
        <f t="shared" si="2"/>
        <v>0</v>
      </c>
      <c r="O41" s="32" t="str">
        <f t="shared" si="3"/>
        <v/>
      </c>
    </row>
    <row r="42" spans="2:15" x14ac:dyDescent="0.25">
      <c r="B42" s="46"/>
      <c r="C42" s="22"/>
      <c r="D42" s="23"/>
      <c r="E42" s="24"/>
      <c r="F42" s="25"/>
      <c r="G42" s="26">
        <f>$F$16</f>
        <v>10000</v>
      </c>
      <c r="H42" s="27">
        <f t="shared" si="6"/>
        <v>0</v>
      </c>
      <c r="I42" s="47"/>
      <c r="J42" s="29"/>
      <c r="K42" s="26">
        <f>$F$16</f>
        <v>10000</v>
      </c>
      <c r="L42" s="27">
        <f t="shared" si="7"/>
        <v>0</v>
      </c>
      <c r="M42" s="48"/>
      <c r="N42" s="31">
        <f t="shared" si="2"/>
        <v>0</v>
      </c>
      <c r="O42" s="32" t="str">
        <f t="shared" si="3"/>
        <v/>
      </c>
    </row>
    <row r="43" spans="2:15" x14ac:dyDescent="0.25">
      <c r="B43" s="49" t="s">
        <v>24</v>
      </c>
      <c r="C43" s="22"/>
      <c r="D43" s="23" t="s">
        <v>61</v>
      </c>
      <c r="E43" s="24"/>
      <c r="F43" s="25">
        <f>+'GS&lt;50 (1,000kWh)'!$F$43</f>
        <v>1E-4</v>
      </c>
      <c r="G43" s="26">
        <f>$F$16</f>
        <v>10000</v>
      </c>
      <c r="H43" s="27">
        <f t="shared" si="6"/>
        <v>1</v>
      </c>
      <c r="I43" s="28"/>
      <c r="J43" s="29">
        <f>+'GS&lt;50 (1,000kWh)'!$J$43</f>
        <v>2.0000000000000001E-4</v>
      </c>
      <c r="K43" s="26">
        <f>$F$16</f>
        <v>10000</v>
      </c>
      <c r="L43" s="27">
        <f t="shared" si="7"/>
        <v>2</v>
      </c>
      <c r="M43" s="28"/>
      <c r="N43" s="31">
        <f t="shared" si="2"/>
        <v>1</v>
      </c>
      <c r="O43" s="32">
        <f t="shared" si="3"/>
        <v>1</v>
      </c>
    </row>
    <row r="44" spans="2:15" s="34" customFormat="1" x14ac:dyDescent="0.25">
      <c r="B44" s="181" t="s">
        <v>25</v>
      </c>
      <c r="C44" s="24"/>
      <c r="D44" s="182" t="s">
        <v>61</v>
      </c>
      <c r="E44" s="24"/>
      <c r="F44" s="183">
        <f>IF(ISBLANK(D14)=TRUE, 0, IF(D14="TOU", 0.64*$F$54+0.18*$F$55+0.18*$F$56, IF(AND(D14="non-TOU", G58&gt;0), F58,F57)))</f>
        <v>9.5000000000000001E-2</v>
      </c>
      <c r="G44" s="26">
        <f>$F$16*(1+$F$73)-$F$16</f>
        <v>404</v>
      </c>
      <c r="H44" s="184">
        <f t="shared" si="6"/>
        <v>38.380000000000003</v>
      </c>
      <c r="I44" s="57"/>
      <c r="J44" s="185">
        <f>0.64*$F$54+0.18*$F$55+0.18*$F$56</f>
        <v>9.5000000000000001E-2</v>
      </c>
      <c r="K44" s="26">
        <f>$F$16*(1+$J$73)-$F$16</f>
        <v>362</v>
      </c>
      <c r="L44" s="184">
        <f t="shared" si="7"/>
        <v>34.39</v>
      </c>
      <c r="M44" s="57"/>
      <c r="N44" s="186">
        <f t="shared" si="2"/>
        <v>-3.990000000000002</v>
      </c>
      <c r="O44" s="187">
        <f t="shared" si="3"/>
        <v>-0.10396039603960401</v>
      </c>
    </row>
    <row r="45" spans="2:15" ht="14.45" x14ac:dyDescent="0.3">
      <c r="B45" s="49" t="s">
        <v>26</v>
      </c>
      <c r="C45" s="22"/>
      <c r="D45" s="23" t="s">
        <v>60</v>
      </c>
      <c r="E45" s="24"/>
      <c r="F45" s="174">
        <f>+'GS&lt;50 (1,000kWh)'!$F$45</f>
        <v>0.79</v>
      </c>
      <c r="G45" s="26">
        <v>1</v>
      </c>
      <c r="H45" s="27">
        <f t="shared" si="6"/>
        <v>0.79</v>
      </c>
      <c r="I45" s="28"/>
      <c r="J45" s="174">
        <f>+'GS&lt;50 (1,000kWh)'!$J$45</f>
        <v>0.79</v>
      </c>
      <c r="K45" s="26">
        <v>1</v>
      </c>
      <c r="L45" s="27">
        <f t="shared" si="7"/>
        <v>0.79</v>
      </c>
      <c r="M45" s="28"/>
      <c r="N45" s="31">
        <f t="shared" si="2"/>
        <v>0</v>
      </c>
      <c r="O45" s="32"/>
    </row>
    <row r="46" spans="2:15" ht="14.45" x14ac:dyDescent="0.3">
      <c r="B46" s="50" t="s">
        <v>27</v>
      </c>
      <c r="C46" s="51"/>
      <c r="D46" s="51"/>
      <c r="E46" s="51"/>
      <c r="F46" s="52"/>
      <c r="G46" s="53"/>
      <c r="H46" s="54">
        <f>SUM(H38:H45)+H37</f>
        <v>206.14</v>
      </c>
      <c r="I46" s="41"/>
      <c r="J46" s="53"/>
      <c r="K46" s="55"/>
      <c r="L46" s="54">
        <f>SUM(L38:L45)+L37</f>
        <v>227.02415286452029</v>
      </c>
      <c r="M46" s="41"/>
      <c r="N46" s="44">
        <f t="shared" si="2"/>
        <v>20.884152864520303</v>
      </c>
      <c r="O46" s="45">
        <f t="shared" ref="O46:O64" si="8">IF((H46)=0,"",(N46/H46))</f>
        <v>0.10131053102027895</v>
      </c>
    </row>
    <row r="47" spans="2:15" ht="14.45" x14ac:dyDescent="0.3">
      <c r="B47" s="28" t="s">
        <v>28</v>
      </c>
      <c r="C47" s="28"/>
      <c r="D47" s="56" t="s">
        <v>61</v>
      </c>
      <c r="E47" s="57"/>
      <c r="F47" s="29">
        <f>+'GS&lt;50 (1,000kWh)'!$F$47</f>
        <v>6.8999999999999999E-3</v>
      </c>
      <c r="G47" s="69">
        <f>F16*(1+F73)</f>
        <v>10404</v>
      </c>
      <c r="H47" s="27">
        <f>G47*F47</f>
        <v>71.787599999999998</v>
      </c>
      <c r="I47" s="28"/>
      <c r="J47" s="263">
        <f>+'GS&lt;50 (1,000kWh)'!$J$47</f>
        <v>6.7000000000000002E-3</v>
      </c>
      <c r="K47" s="70">
        <f>F16*(1+J73)</f>
        <v>10362</v>
      </c>
      <c r="L47" s="27">
        <f>K47*J47</f>
        <v>69.425399999999996</v>
      </c>
      <c r="M47" s="28"/>
      <c r="N47" s="31">
        <f t="shared" si="2"/>
        <v>-2.3622000000000014</v>
      </c>
      <c r="O47" s="32">
        <f t="shared" si="8"/>
        <v>-3.2905404275947396E-2</v>
      </c>
    </row>
    <row r="48" spans="2:15" ht="14.45" x14ac:dyDescent="0.3">
      <c r="B48" s="59" t="s">
        <v>29</v>
      </c>
      <c r="C48" s="28"/>
      <c r="D48" s="56" t="s">
        <v>61</v>
      </c>
      <c r="E48" s="57"/>
      <c r="F48" s="29">
        <f>+'GS&lt;50 (1,000kWh)'!$F$48</f>
        <v>2.0999999999999999E-3</v>
      </c>
      <c r="G48" s="69">
        <f>G47</f>
        <v>10404</v>
      </c>
      <c r="H48" s="27">
        <f>G48*F48</f>
        <v>21.848399999999998</v>
      </c>
      <c r="I48" s="28"/>
      <c r="J48" s="263">
        <f>+'GS&lt;50 (1,000kWh)'!$J$48</f>
        <v>2.0999999999999999E-3</v>
      </c>
      <c r="K48" s="70">
        <f>K47</f>
        <v>10362</v>
      </c>
      <c r="L48" s="27">
        <f>K48*J48</f>
        <v>21.760199999999998</v>
      </c>
      <c r="M48" s="28"/>
      <c r="N48" s="31">
        <f t="shared" si="2"/>
        <v>-8.82000000000005E-2</v>
      </c>
      <c r="O48" s="32">
        <f t="shared" si="8"/>
        <v>-4.0369088811995617E-3</v>
      </c>
    </row>
    <row r="49" spans="2:19" ht="14.45" x14ac:dyDescent="0.3">
      <c r="B49" s="50" t="s">
        <v>30</v>
      </c>
      <c r="C49" s="36"/>
      <c r="D49" s="36"/>
      <c r="E49" s="36"/>
      <c r="F49" s="60"/>
      <c r="G49" s="53"/>
      <c r="H49" s="54">
        <f>SUM(H46:H48)</f>
        <v>299.77599999999995</v>
      </c>
      <c r="I49" s="61"/>
      <c r="J49" s="62"/>
      <c r="K49" s="63"/>
      <c r="L49" s="54">
        <f>SUM(L46:L48)</f>
        <v>318.20975286452028</v>
      </c>
      <c r="M49" s="61"/>
      <c r="N49" s="44">
        <f t="shared" si="2"/>
        <v>18.433752864520329</v>
      </c>
      <c r="O49" s="45">
        <f t="shared" si="8"/>
        <v>6.1491756726757087E-2</v>
      </c>
    </row>
    <row r="50" spans="2:19" ht="14.45" x14ac:dyDescent="0.3">
      <c r="B50" s="64" t="s">
        <v>31</v>
      </c>
      <c r="C50" s="22"/>
      <c r="D50" s="23" t="s">
        <v>61</v>
      </c>
      <c r="E50" s="24"/>
      <c r="F50" s="65">
        <f>+'GS&lt;50 (1,000kWh)'!$F$50</f>
        <v>4.4000000000000003E-3</v>
      </c>
      <c r="G50" s="69">
        <f>G48</f>
        <v>10404</v>
      </c>
      <c r="H50" s="66">
        <f t="shared" ref="H50:H56" si="9">G50*F50</f>
        <v>45.7776</v>
      </c>
      <c r="I50" s="28"/>
      <c r="J50" s="263">
        <f>+'GS&lt;50 (1,000kWh)'!$J$50</f>
        <v>4.4000000000000003E-3</v>
      </c>
      <c r="K50" s="70">
        <f>K48</f>
        <v>10362</v>
      </c>
      <c r="L50" s="66">
        <f t="shared" ref="L50:L56" si="10">K50*J50</f>
        <v>45.592800000000004</v>
      </c>
      <c r="M50" s="28"/>
      <c r="N50" s="31">
        <f t="shared" si="2"/>
        <v>-0.18479999999999563</v>
      </c>
      <c r="O50" s="68">
        <f t="shared" si="8"/>
        <v>-4.0369088811994429E-3</v>
      </c>
    </row>
    <row r="51" spans="2:19" ht="14.45" x14ac:dyDescent="0.3">
      <c r="B51" s="64" t="s">
        <v>32</v>
      </c>
      <c r="C51" s="22"/>
      <c r="D51" s="23" t="s">
        <v>61</v>
      </c>
      <c r="E51" s="24"/>
      <c r="F51" s="65">
        <f>+'GS&lt;50 (1,000kWh)'!$F$51</f>
        <v>1.2999999999999999E-3</v>
      </c>
      <c r="G51" s="69">
        <f>G48</f>
        <v>10404</v>
      </c>
      <c r="H51" s="66">
        <f t="shared" si="9"/>
        <v>13.5252</v>
      </c>
      <c r="I51" s="28"/>
      <c r="J51" s="263">
        <f>+'GS&lt;50 (1,000kWh)'!$J$51</f>
        <v>1.2999999999999999E-3</v>
      </c>
      <c r="K51" s="70">
        <f>K48</f>
        <v>10362</v>
      </c>
      <c r="L51" s="66">
        <f t="shared" si="10"/>
        <v>13.470599999999999</v>
      </c>
      <c r="M51" s="28"/>
      <c r="N51" s="31">
        <f t="shared" si="2"/>
        <v>-5.4600000000000648E-2</v>
      </c>
      <c r="O51" s="68">
        <f t="shared" si="8"/>
        <v>-4.0369088811995869E-3</v>
      </c>
    </row>
    <row r="52" spans="2:19" ht="14.45" x14ac:dyDescent="0.3">
      <c r="B52" s="22" t="s">
        <v>33</v>
      </c>
      <c r="C52" s="22"/>
      <c r="D52" s="23" t="s">
        <v>60</v>
      </c>
      <c r="E52" s="24"/>
      <c r="F52" s="176">
        <f>+'GS&lt;50 (1,000kWh)'!$F$52</f>
        <v>0.25</v>
      </c>
      <c r="G52" s="26">
        <v>1</v>
      </c>
      <c r="H52" s="66">
        <f t="shared" si="9"/>
        <v>0.25</v>
      </c>
      <c r="I52" s="28"/>
      <c r="J52" s="283">
        <f>+'GS&lt;50 (1,000kWh)'!$J$52</f>
        <v>0.25</v>
      </c>
      <c r="K52" s="30">
        <v>1</v>
      </c>
      <c r="L52" s="66">
        <f t="shared" si="10"/>
        <v>0.25</v>
      </c>
      <c r="M52" s="28"/>
      <c r="N52" s="31">
        <f t="shared" si="2"/>
        <v>0</v>
      </c>
      <c r="O52" s="68">
        <f t="shared" si="8"/>
        <v>0</v>
      </c>
    </row>
    <row r="53" spans="2:19" ht="14.45" x14ac:dyDescent="0.3">
      <c r="B53" s="22" t="s">
        <v>34</v>
      </c>
      <c r="C53" s="22"/>
      <c r="D53" s="23" t="s">
        <v>61</v>
      </c>
      <c r="E53" s="24"/>
      <c r="F53" s="65">
        <f>+'GS&lt;50 (1,000kWh)'!$F$53</f>
        <v>7.0000000000000001E-3</v>
      </c>
      <c r="G53" s="69">
        <f>F16</f>
        <v>10000</v>
      </c>
      <c r="H53" s="66">
        <f t="shared" si="9"/>
        <v>70</v>
      </c>
      <c r="I53" s="28"/>
      <c r="J53" s="263">
        <f>+'GS&lt;50 (1,000kWh)'!$J$53</f>
        <v>7.0000000000000001E-3</v>
      </c>
      <c r="K53" s="70">
        <f>F16</f>
        <v>10000</v>
      </c>
      <c r="L53" s="66">
        <f t="shared" si="10"/>
        <v>70</v>
      </c>
      <c r="M53" s="28"/>
      <c r="N53" s="31">
        <f t="shared" si="2"/>
        <v>0</v>
      </c>
      <c r="O53" s="68">
        <f t="shared" si="8"/>
        <v>0</v>
      </c>
    </row>
    <row r="54" spans="2:19" x14ac:dyDescent="0.25">
      <c r="B54" s="49" t="s">
        <v>35</v>
      </c>
      <c r="C54" s="22"/>
      <c r="D54" s="23" t="s">
        <v>61</v>
      </c>
      <c r="E54" s="24"/>
      <c r="F54" s="65">
        <f>+'GS&lt;50 (1,000kWh)'!$F$54</f>
        <v>7.6999999999999999E-2</v>
      </c>
      <c r="G54" s="69">
        <f>0.64*$F$16</f>
        <v>6400</v>
      </c>
      <c r="H54" s="66">
        <f t="shared" si="9"/>
        <v>492.8</v>
      </c>
      <c r="I54" s="28"/>
      <c r="J54" s="263">
        <f>+'GS&lt;50 (1,000kWh)'!$J$54</f>
        <v>7.6999999999999999E-2</v>
      </c>
      <c r="K54" s="69">
        <f>G54</f>
        <v>6400</v>
      </c>
      <c r="L54" s="66">
        <f t="shared" si="10"/>
        <v>492.8</v>
      </c>
      <c r="M54" s="28"/>
      <c r="N54" s="31">
        <f t="shared" si="2"/>
        <v>0</v>
      </c>
      <c r="O54" s="68">
        <f t="shared" si="8"/>
        <v>0</v>
      </c>
      <c r="S54" s="72"/>
    </row>
    <row r="55" spans="2:19" x14ac:dyDescent="0.25">
      <c r="B55" s="49" t="s">
        <v>36</v>
      </c>
      <c r="C55" s="22"/>
      <c r="D55" s="23" t="s">
        <v>61</v>
      </c>
      <c r="E55" s="24"/>
      <c r="F55" s="65">
        <f>+'GS&lt;50 (1,000kWh)'!$F$55</f>
        <v>0.114</v>
      </c>
      <c r="G55" s="69">
        <f>0.18*$F$16</f>
        <v>1800</v>
      </c>
      <c r="H55" s="66">
        <f t="shared" si="9"/>
        <v>205.20000000000002</v>
      </c>
      <c r="I55" s="28"/>
      <c r="J55" s="263">
        <f>+'GS&lt;50 (1,000kWh)'!$J$55</f>
        <v>0.114</v>
      </c>
      <c r="K55" s="69">
        <f>G55</f>
        <v>1800</v>
      </c>
      <c r="L55" s="66">
        <f t="shared" si="10"/>
        <v>205.20000000000002</v>
      </c>
      <c r="M55" s="28"/>
      <c r="N55" s="31">
        <f t="shared" si="2"/>
        <v>0</v>
      </c>
      <c r="O55" s="68">
        <f t="shared" si="8"/>
        <v>0</v>
      </c>
      <c r="S55" s="72"/>
    </row>
    <row r="56" spans="2:19" x14ac:dyDescent="0.25">
      <c r="B56" s="12" t="s">
        <v>37</v>
      </c>
      <c r="C56" s="22"/>
      <c r="D56" s="23" t="s">
        <v>61</v>
      </c>
      <c r="E56" s="24"/>
      <c r="F56" s="65">
        <f>+'GS&lt;50 (1,000kWh)'!$F$56</f>
        <v>0.14000000000000001</v>
      </c>
      <c r="G56" s="69">
        <f>0.18*$F$16</f>
        <v>1800</v>
      </c>
      <c r="H56" s="66">
        <f t="shared" si="9"/>
        <v>252.00000000000003</v>
      </c>
      <c r="I56" s="28"/>
      <c r="J56" s="263">
        <f>+'GS&lt;50 (1,000kWh)'!$J$56</f>
        <v>0.14000000000000001</v>
      </c>
      <c r="K56" s="69">
        <f>G56</f>
        <v>1800</v>
      </c>
      <c r="L56" s="66">
        <f t="shared" si="10"/>
        <v>252.00000000000003</v>
      </c>
      <c r="M56" s="28"/>
      <c r="N56" s="31">
        <f t="shared" si="2"/>
        <v>0</v>
      </c>
      <c r="O56" s="68">
        <f t="shared" si="8"/>
        <v>0</v>
      </c>
      <c r="S56" s="72"/>
    </row>
    <row r="57" spans="2:19" s="73" customFormat="1" x14ac:dyDescent="0.2">
      <c r="B57" s="74" t="s">
        <v>38</v>
      </c>
      <c r="C57" s="75"/>
      <c r="D57" s="76" t="s">
        <v>61</v>
      </c>
      <c r="E57" s="77"/>
      <c r="F57" s="65">
        <f>+'GS&lt;50 (1,000kWh)'!$F$57</f>
        <v>8.7999999999999995E-2</v>
      </c>
      <c r="G57" s="78">
        <f>IF(AND($T$1=1, F16&gt;=600), 600, IF(AND($T$1=1, AND(F16&lt;600, F16&gt;=0)), F16, IF(AND($T$1=2, F16&gt;=1000), 1000, IF(AND($T$1=2, AND(F16&lt;1000, F16&gt;=0)), F16))))</f>
        <v>600</v>
      </c>
      <c r="H57" s="66">
        <f>G57*F57</f>
        <v>52.8</v>
      </c>
      <c r="I57" s="79"/>
      <c r="J57" s="263">
        <f>+'GS&lt;50 (1,000kWh)'!$J$57</f>
        <v>8.7999999999999995E-2</v>
      </c>
      <c r="K57" s="78">
        <f>G57</f>
        <v>600</v>
      </c>
      <c r="L57" s="66">
        <f>K57*J57</f>
        <v>52.8</v>
      </c>
      <c r="M57" s="79"/>
      <c r="N57" s="80">
        <f t="shared" si="2"/>
        <v>0</v>
      </c>
      <c r="O57" s="68">
        <f t="shared" si="8"/>
        <v>0</v>
      </c>
    </row>
    <row r="58" spans="2:19" s="73" customFormat="1" ht="15.75" thickBot="1" x14ac:dyDescent="0.25">
      <c r="B58" s="74" t="s">
        <v>39</v>
      </c>
      <c r="C58" s="75"/>
      <c r="D58" s="76" t="s">
        <v>61</v>
      </c>
      <c r="E58" s="77"/>
      <c r="F58" s="65">
        <f>+'GS&lt;50 (1,000kWh)'!$F$58</f>
        <v>0.10299999999999999</v>
      </c>
      <c r="G58" s="78">
        <f>IF(AND($T$1=1, F16&gt;=600), F16-600, IF(AND($T$1=1, AND(F16&lt;600, F16&gt;=0)), 0, IF(AND($T$1=2, F16&gt;=1000), F16-1000, IF(AND($T$1=2, AND(F16&lt;1000, F16&gt;=0)), 0))))</f>
        <v>9400</v>
      </c>
      <c r="H58" s="66">
        <f>G58*F58</f>
        <v>968.19999999999993</v>
      </c>
      <c r="I58" s="79"/>
      <c r="J58" s="263">
        <f>+'GS&lt;50 (1,000kWh)'!$J$58</f>
        <v>0.10299999999999999</v>
      </c>
      <c r="K58" s="78">
        <f>G58</f>
        <v>9400</v>
      </c>
      <c r="L58" s="66">
        <f>K58*J58</f>
        <v>968.19999999999993</v>
      </c>
      <c r="M58" s="79"/>
      <c r="N58" s="80">
        <f t="shared" si="2"/>
        <v>0</v>
      </c>
      <c r="O58" s="68">
        <f t="shared" si="8"/>
        <v>0</v>
      </c>
    </row>
    <row r="59" spans="2:19" ht="8.25" customHeight="1" thickBot="1" x14ac:dyDescent="0.3">
      <c r="B59" s="81"/>
      <c r="C59" s="82"/>
      <c r="D59" s="83"/>
      <c r="E59" s="82"/>
      <c r="F59" s="84"/>
      <c r="G59" s="85"/>
      <c r="H59" s="86"/>
      <c r="I59" s="87"/>
      <c r="J59" s="84"/>
      <c r="K59" s="88"/>
      <c r="L59" s="86"/>
      <c r="M59" s="87"/>
      <c r="N59" s="89"/>
      <c r="O59" s="90"/>
    </row>
    <row r="60" spans="2:19" x14ac:dyDescent="0.25">
      <c r="B60" s="91" t="s">
        <v>40</v>
      </c>
      <c r="C60" s="22"/>
      <c r="D60" s="22"/>
      <c r="E60" s="22"/>
      <c r="F60" s="92"/>
      <c r="G60" s="93"/>
      <c r="H60" s="94">
        <f>SUM(H50:H56,H49)</f>
        <v>1379.3288000000002</v>
      </c>
      <c r="I60" s="95"/>
      <c r="J60" s="96"/>
      <c r="K60" s="96"/>
      <c r="L60" s="190">
        <f>SUM(L50:L56,L49)</f>
        <v>1397.5231528645204</v>
      </c>
      <c r="M60" s="97"/>
      <c r="N60" s="98">
        <f>L60-H60</f>
        <v>18.19435286452017</v>
      </c>
      <c r="O60" s="99">
        <f>IF((H60)=0,"",(N60/H60))</f>
        <v>1.3190729334818621E-2</v>
      </c>
      <c r="S60" s="72"/>
    </row>
    <row r="61" spans="2:19" x14ac:dyDescent="0.25">
      <c r="B61" s="100" t="s">
        <v>41</v>
      </c>
      <c r="C61" s="22"/>
      <c r="D61" s="22"/>
      <c r="E61" s="22"/>
      <c r="F61" s="101">
        <v>0.13</v>
      </c>
      <c r="G61" s="102"/>
      <c r="H61" s="103">
        <f>H60*F61</f>
        <v>179.31274400000004</v>
      </c>
      <c r="I61" s="104"/>
      <c r="J61" s="105">
        <v>0.13</v>
      </c>
      <c r="K61" s="104"/>
      <c r="L61" s="106">
        <f>L60*J61</f>
        <v>181.67800987238766</v>
      </c>
      <c r="M61" s="107"/>
      <c r="N61" s="108">
        <f t="shared" si="2"/>
        <v>2.3652658723876243</v>
      </c>
      <c r="O61" s="109">
        <f t="shared" si="8"/>
        <v>1.3190729334818633E-2</v>
      </c>
      <c r="S61" s="72"/>
    </row>
    <row r="62" spans="2:19" x14ac:dyDescent="0.25">
      <c r="B62" s="110" t="s">
        <v>42</v>
      </c>
      <c r="C62" s="22"/>
      <c r="D62" s="22"/>
      <c r="E62" s="22"/>
      <c r="F62" s="111"/>
      <c r="G62" s="102"/>
      <c r="H62" s="103">
        <f>H60+H61</f>
        <v>1558.6415440000003</v>
      </c>
      <c r="I62" s="104"/>
      <c r="J62" s="104"/>
      <c r="K62" s="104"/>
      <c r="L62" s="106">
        <f>L60+L61</f>
        <v>1579.2011627369081</v>
      </c>
      <c r="M62" s="107"/>
      <c r="N62" s="108">
        <f t="shared" si="2"/>
        <v>20.559618736907851</v>
      </c>
      <c r="O62" s="109">
        <f t="shared" si="8"/>
        <v>1.3190729334818659E-2</v>
      </c>
      <c r="S62" s="72"/>
    </row>
    <row r="63" spans="2:19" ht="15.75" customHeight="1" x14ac:dyDescent="0.25">
      <c r="B63" s="388" t="s">
        <v>43</v>
      </c>
      <c r="C63" s="388"/>
      <c r="D63" s="388"/>
      <c r="E63" s="22"/>
      <c r="F63" s="111"/>
      <c r="G63" s="102"/>
      <c r="H63" s="112">
        <f>ROUND(-H62*10%,2)</f>
        <v>-155.86000000000001</v>
      </c>
      <c r="I63" s="104"/>
      <c r="J63" s="104"/>
      <c r="K63" s="104"/>
      <c r="L63" s="113">
        <f>ROUND(-L62*10%,2)</f>
        <v>-157.91999999999999</v>
      </c>
      <c r="M63" s="107"/>
      <c r="N63" s="114">
        <f t="shared" si="2"/>
        <v>-2.0599999999999739</v>
      </c>
      <c r="O63" s="115">
        <f t="shared" si="8"/>
        <v>1.3216989606056549E-2</v>
      </c>
    </row>
    <row r="64" spans="2:19" ht="15.75" thickBot="1" x14ac:dyDescent="0.3">
      <c r="B64" s="384" t="s">
        <v>44</v>
      </c>
      <c r="C64" s="384"/>
      <c r="D64" s="384"/>
      <c r="E64" s="116"/>
      <c r="F64" s="117"/>
      <c r="G64" s="118"/>
      <c r="H64" s="119">
        <f>H62+H63</f>
        <v>1402.7815440000004</v>
      </c>
      <c r="I64" s="120"/>
      <c r="J64" s="120"/>
      <c r="K64" s="120"/>
      <c r="L64" s="121">
        <f>L62+L63</f>
        <v>1421.2811627369081</v>
      </c>
      <c r="M64" s="122"/>
      <c r="N64" s="123">
        <f t="shared" si="2"/>
        <v>18.499618736907678</v>
      </c>
      <c r="O64" s="124">
        <f t="shared" si="8"/>
        <v>1.3187811613315375E-2</v>
      </c>
    </row>
    <row r="65" spans="1:15" s="73" customFormat="1" ht="8.25" customHeight="1" thickBot="1" x14ac:dyDescent="0.25">
      <c r="B65" s="125"/>
      <c r="C65" s="126"/>
      <c r="D65" s="127"/>
      <c r="E65" s="126"/>
      <c r="F65" s="84"/>
      <c r="G65" s="128"/>
      <c r="H65" s="86"/>
      <c r="I65" s="129"/>
      <c r="J65" s="84"/>
      <c r="K65" s="130"/>
      <c r="L65" s="86"/>
      <c r="M65" s="129"/>
      <c r="N65" s="131"/>
      <c r="O65" s="90"/>
    </row>
    <row r="66" spans="1:15" s="73" customFormat="1" ht="12.75" x14ac:dyDescent="0.2">
      <c r="B66" s="132" t="s">
        <v>45</v>
      </c>
      <c r="C66" s="75"/>
      <c r="D66" s="75"/>
      <c r="E66" s="75"/>
      <c r="F66" s="133"/>
      <c r="G66" s="134"/>
      <c r="H66" s="135">
        <f>SUM(H57:H58,H49,H50:H53)</f>
        <v>1450.3287999999998</v>
      </c>
      <c r="I66" s="136"/>
      <c r="J66" s="137"/>
      <c r="K66" s="137"/>
      <c r="L66" s="189">
        <f>SUM(L57:L58,L49,L50:L53)</f>
        <v>1468.5231528645202</v>
      </c>
      <c r="M66" s="138"/>
      <c r="N66" s="139">
        <f>L66-H66</f>
        <v>18.194352864520397</v>
      </c>
      <c r="O66" s="99">
        <f>IF((H66)=0,"",(N66/H66))</f>
        <v>1.2544984878270637E-2</v>
      </c>
    </row>
    <row r="67" spans="1:15" s="73" customFormat="1" ht="12.75" x14ac:dyDescent="0.2">
      <c r="B67" s="140" t="s">
        <v>41</v>
      </c>
      <c r="C67" s="75"/>
      <c r="D67" s="75"/>
      <c r="E67" s="75"/>
      <c r="F67" s="141">
        <v>0.13</v>
      </c>
      <c r="G67" s="134"/>
      <c r="H67" s="142">
        <f>H66*F67</f>
        <v>188.54274399999997</v>
      </c>
      <c r="I67" s="143"/>
      <c r="J67" s="144">
        <v>0.13</v>
      </c>
      <c r="K67" s="145"/>
      <c r="L67" s="146">
        <f>L66*J67</f>
        <v>190.90800987238762</v>
      </c>
      <c r="M67" s="147"/>
      <c r="N67" s="148">
        <f>L67-H67</f>
        <v>2.3652658723876527</v>
      </c>
      <c r="O67" s="109">
        <f>IF((H67)=0,"",(N67/H67))</f>
        <v>1.2544984878270644E-2</v>
      </c>
    </row>
    <row r="68" spans="1:15" s="73" customFormat="1" ht="12.75" x14ac:dyDescent="0.2">
      <c r="B68" s="149" t="s">
        <v>42</v>
      </c>
      <c r="C68" s="75"/>
      <c r="D68" s="75"/>
      <c r="E68" s="75"/>
      <c r="F68" s="150"/>
      <c r="G68" s="151"/>
      <c r="H68" s="142">
        <f>H66+H67</f>
        <v>1638.8715439999996</v>
      </c>
      <c r="I68" s="143"/>
      <c r="J68" s="143"/>
      <c r="K68" s="143"/>
      <c r="L68" s="146">
        <f>L66+L67</f>
        <v>1659.4311627369077</v>
      </c>
      <c r="M68" s="147"/>
      <c r="N68" s="148">
        <f>L68-H68</f>
        <v>20.559618736908078</v>
      </c>
      <c r="O68" s="109">
        <f>IF((H68)=0,"",(N68/H68))</f>
        <v>1.2544984878270656E-2</v>
      </c>
    </row>
    <row r="69" spans="1:15" s="73" customFormat="1" ht="15.75" customHeight="1" x14ac:dyDescent="0.2">
      <c r="B69" s="385" t="s">
        <v>43</v>
      </c>
      <c r="C69" s="385"/>
      <c r="D69" s="385"/>
      <c r="E69" s="75"/>
      <c r="F69" s="150"/>
      <c r="G69" s="151"/>
      <c r="H69" s="152">
        <f>ROUND(-H68*10%,2)</f>
        <v>-163.89</v>
      </c>
      <c r="I69" s="143"/>
      <c r="J69" s="143"/>
      <c r="K69" s="143"/>
      <c r="L69" s="153">
        <f>ROUND(-L68*10%,2)</f>
        <v>-165.94</v>
      </c>
      <c r="M69" s="147"/>
      <c r="N69" s="154">
        <f>L69-H69</f>
        <v>-2.0500000000000114</v>
      </c>
      <c r="O69" s="115">
        <f>IF((H69)=0,"",(N69/H69))</f>
        <v>1.2508389773628724E-2</v>
      </c>
    </row>
    <row r="70" spans="1:15" s="73" customFormat="1" ht="13.5" thickBot="1" x14ac:dyDescent="0.25">
      <c r="B70" s="376" t="s">
        <v>46</v>
      </c>
      <c r="C70" s="376"/>
      <c r="D70" s="376"/>
      <c r="E70" s="155"/>
      <c r="F70" s="156"/>
      <c r="G70" s="157"/>
      <c r="H70" s="158">
        <f>SUM(H68:H69)</f>
        <v>1474.9815439999998</v>
      </c>
      <c r="I70" s="159"/>
      <c r="J70" s="159"/>
      <c r="K70" s="159"/>
      <c r="L70" s="160">
        <f>SUM(L68:L69)</f>
        <v>1493.4911627369077</v>
      </c>
      <c r="M70" s="161"/>
      <c r="N70" s="162">
        <f>L70-H70</f>
        <v>18.509618736907896</v>
      </c>
      <c r="O70" s="163">
        <f>IF((H70)=0,"",(N70/H70))</f>
        <v>1.254905107945398E-2</v>
      </c>
    </row>
    <row r="71" spans="1:15" s="73" customFormat="1" ht="8.25" customHeight="1" thickBot="1" x14ac:dyDescent="0.25">
      <c r="B71" s="125"/>
      <c r="C71" s="126"/>
      <c r="D71" s="127"/>
      <c r="E71" s="126"/>
      <c r="F71" s="164"/>
      <c r="G71" s="165"/>
      <c r="H71" s="166"/>
      <c r="I71" s="167"/>
      <c r="J71" s="164"/>
      <c r="K71" s="128"/>
      <c r="L71" s="168"/>
      <c r="M71" s="129"/>
      <c r="N71" s="169"/>
      <c r="O71" s="90"/>
    </row>
    <row r="72" spans="1:15" ht="10.5" customHeight="1" x14ac:dyDescent="0.25">
      <c r="L72" s="72"/>
    </row>
    <row r="73" spans="1:15" x14ac:dyDescent="0.25">
      <c r="B73" s="13" t="s">
        <v>47</v>
      </c>
      <c r="F73" s="170">
        <f>+'Res (100kWh)'!$F$73</f>
        <v>4.0399999999999998E-2</v>
      </c>
      <c r="J73" s="170">
        <f>+'Res (100kWh)'!$J$73</f>
        <v>3.6200000000000003E-2</v>
      </c>
    </row>
    <row r="74" spans="1:15" ht="10.5" customHeight="1" x14ac:dyDescent="0.25"/>
    <row r="75" spans="1:15" x14ac:dyDescent="0.25">
      <c r="A75" s="171" t="s">
        <v>48</v>
      </c>
    </row>
    <row r="76" spans="1:15" ht="10.5" customHeight="1" x14ac:dyDescent="0.25"/>
    <row r="77" spans="1:15" x14ac:dyDescent="0.25">
      <c r="A77" s="7" t="s">
        <v>49</v>
      </c>
    </row>
    <row r="78" spans="1:15" x14ac:dyDescent="0.25">
      <c r="A78" s="7" t="s">
        <v>50</v>
      </c>
    </row>
    <row r="80" spans="1:15" x14ac:dyDescent="0.25">
      <c r="A80" s="12" t="s">
        <v>51</v>
      </c>
    </row>
    <row r="81" spans="1:2" x14ac:dyDescent="0.25">
      <c r="A81" s="12" t="s">
        <v>52</v>
      </c>
    </row>
    <row r="83" spans="1:2" x14ac:dyDescent="0.25">
      <c r="A83" s="7" t="s">
        <v>53</v>
      </c>
    </row>
    <row r="84" spans="1:2" x14ac:dyDescent="0.25">
      <c r="A84" s="7" t="s">
        <v>54</v>
      </c>
    </row>
    <row r="85" spans="1:2" x14ac:dyDescent="0.25">
      <c r="A85" s="7" t="s">
        <v>55</v>
      </c>
    </row>
    <row r="86" spans="1:2" x14ac:dyDescent="0.25">
      <c r="A86" s="7" t="s">
        <v>56</v>
      </c>
    </row>
    <row r="87" spans="1:2" x14ac:dyDescent="0.25">
      <c r="A87" s="7" t="s">
        <v>57</v>
      </c>
    </row>
    <row r="89" spans="1:2" x14ac:dyDescent="0.25">
      <c r="A89" s="172"/>
      <c r="B89" s="7" t="s">
        <v>58</v>
      </c>
    </row>
  </sheetData>
  <mergeCells count="17">
    <mergeCell ref="B70:D70"/>
    <mergeCell ref="D19:D20"/>
    <mergeCell ref="N19:N20"/>
    <mergeCell ref="O19:O20"/>
    <mergeCell ref="B63:D63"/>
    <mergeCell ref="B64:D64"/>
    <mergeCell ref="B69:D69"/>
    <mergeCell ref="D12:O12"/>
    <mergeCell ref="F18:H18"/>
    <mergeCell ref="N1:O1"/>
    <mergeCell ref="N2:O2"/>
    <mergeCell ref="N5:O5"/>
    <mergeCell ref="B8:O8"/>
    <mergeCell ref="B9:O9"/>
    <mergeCell ref="J18:L18"/>
    <mergeCell ref="N18:O18"/>
    <mergeCell ref="N3:O3"/>
  </mergeCells>
  <dataValidations count="4">
    <dataValidation type="list" allowBlank="1" showInputMessage="1" showErrorMessage="1" sqref="D14">
      <formula1>"TOU, non-TOU"</formula1>
    </dataValidation>
    <dataValidation type="list" allowBlank="1" showInputMessage="1" showErrorMessage="1" sqref="E71 E65 E57:E58">
      <formula1>#REF!</formula1>
    </dataValidation>
    <dataValidation type="list" allowBlank="1" showInputMessage="1" showErrorMessage="1" prompt="Select Charge Unit - monthly, per kWh, per kW" sqref="D47:D48 D65 D71 D50:D59 D38:D45 D21:D36">
      <formula1>"Monthly, per kWh, per kW"</formula1>
    </dataValidation>
    <dataValidation type="list" allowBlank="1" showInputMessage="1" showErrorMessage="1" sqref="E47:E48 E50:E56 E59 E38:E45 E21:E36">
      <formula1>#REF!</formula1>
    </dataValidation>
  </dataValidations>
  <pageMargins left="0.7" right="0.7" top="0.75" bottom="0.75" header="0.3" footer="0.3"/>
  <pageSetup scale="60" orientation="portrait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T89"/>
  <sheetViews>
    <sheetView showGridLines="0" topLeftCell="A15" zoomScaleNormal="100" workbookViewId="0">
      <selection activeCell="F37" sqref="F37"/>
    </sheetView>
  </sheetViews>
  <sheetFormatPr defaultColWidth="9.140625" defaultRowHeight="15" x14ac:dyDescent="0.25"/>
  <cols>
    <col min="1" max="1" width="2.140625" style="7" customWidth="1"/>
    <col min="2" max="2" width="44.5703125" style="7" customWidth="1"/>
    <col min="3" max="3" width="1.28515625" style="7" customWidth="1"/>
    <col min="4" max="4" width="11.28515625" style="7" customWidth="1"/>
    <col min="5" max="5" width="1.28515625" style="7" customWidth="1"/>
    <col min="6" max="6" width="12.28515625" style="7" customWidth="1"/>
    <col min="7" max="7" width="8.5703125" style="7" customWidth="1"/>
    <col min="8" max="8" width="10.5703125" style="7" bestFit="1" customWidth="1"/>
    <col min="9" max="9" width="2.85546875" style="7" customWidth="1"/>
    <col min="10" max="10" width="12.140625" style="7" customWidth="1"/>
    <col min="11" max="11" width="8.5703125" style="7" customWidth="1"/>
    <col min="12" max="12" width="10.5703125" style="7" bestFit="1" customWidth="1"/>
    <col min="13" max="13" width="2.85546875" style="7" customWidth="1"/>
    <col min="14" max="14" width="12.7109375" style="7" bestFit="1" customWidth="1"/>
    <col min="15" max="15" width="10.85546875" style="7" bestFit="1" customWidth="1"/>
    <col min="16" max="16" width="11.28515625" style="7" customWidth="1"/>
    <col min="17" max="19" width="9.140625" style="7"/>
    <col min="20" max="20" width="9.140625" style="7" customWidth="1"/>
    <col min="21" max="16384" width="9.140625" style="7"/>
  </cols>
  <sheetData>
    <row r="1" spans="1:20" s="2" customFormat="1" ht="15" customHeigh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3" t="s">
        <v>0</v>
      </c>
      <c r="N1" s="368" t="s">
        <v>94</v>
      </c>
      <c r="O1" s="368"/>
      <c r="P1" s="192"/>
      <c r="T1" s="2">
        <v>1</v>
      </c>
    </row>
    <row r="2" spans="1:20" s="2" customFormat="1" ht="15" customHeight="1" x14ac:dyDescent="0.3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3" t="s">
        <v>95</v>
      </c>
      <c r="N2" s="369">
        <v>8</v>
      </c>
      <c r="O2" s="369"/>
      <c r="P2" s="193"/>
    </row>
    <row r="3" spans="1:20" s="2" customFormat="1" ht="15" customHeight="1" x14ac:dyDescent="0.3">
      <c r="C3" s="6"/>
      <c r="D3" s="6"/>
      <c r="E3" s="6"/>
      <c r="L3" s="3" t="s">
        <v>96</v>
      </c>
      <c r="N3" s="370" t="s">
        <v>97</v>
      </c>
      <c r="O3" s="370"/>
      <c r="P3" s="192"/>
    </row>
    <row r="4" spans="1:20" s="2" customFormat="1" ht="9" customHeight="1" x14ac:dyDescent="0.3">
      <c r="L4" s="3"/>
      <c r="N4" s="310"/>
      <c r="O4"/>
      <c r="P4" s="194"/>
    </row>
    <row r="5" spans="1:20" s="2" customFormat="1" ht="14.45" x14ac:dyDescent="0.3">
      <c r="L5" s="3" t="s">
        <v>76</v>
      </c>
      <c r="N5" s="387">
        <v>42124</v>
      </c>
      <c r="O5" s="387"/>
      <c r="P5" s="195"/>
    </row>
    <row r="6" spans="1:20" s="2" customFormat="1" ht="15" customHeight="1" x14ac:dyDescent="0.3">
      <c r="N6" s="7"/>
      <c r="O6"/>
      <c r="P6" s="194"/>
    </row>
    <row r="7" spans="1:20" ht="7.5" customHeight="1" x14ac:dyDescent="0.3">
      <c r="L7"/>
      <c r="M7"/>
      <c r="N7"/>
      <c r="O7"/>
      <c r="P7"/>
    </row>
    <row r="8" spans="1:20" ht="18.75" customHeight="1" x14ac:dyDescent="0.3">
      <c r="B8" s="367" t="s">
        <v>1</v>
      </c>
      <c r="C8" s="367"/>
      <c r="D8" s="367"/>
      <c r="E8" s="367"/>
      <c r="F8" s="367"/>
      <c r="G8" s="367"/>
      <c r="H8" s="367"/>
      <c r="I8" s="367"/>
      <c r="J8" s="367"/>
      <c r="K8" s="367"/>
      <c r="L8" s="367"/>
      <c r="M8" s="367"/>
      <c r="N8" s="367"/>
      <c r="O8" s="367"/>
      <c r="P8"/>
    </row>
    <row r="9" spans="1:20" ht="18.75" customHeight="1" x14ac:dyDescent="0.3">
      <c r="B9" s="367" t="s">
        <v>2</v>
      </c>
      <c r="C9" s="367"/>
      <c r="D9" s="367"/>
      <c r="E9" s="367"/>
      <c r="F9" s="367"/>
      <c r="G9" s="367"/>
      <c r="H9" s="367"/>
      <c r="I9" s="367"/>
      <c r="J9" s="367"/>
      <c r="K9" s="367"/>
      <c r="L9" s="367"/>
      <c r="M9" s="367"/>
      <c r="N9" s="367"/>
      <c r="O9" s="367"/>
      <c r="P9"/>
    </row>
    <row r="10" spans="1:20" ht="7.5" customHeight="1" x14ac:dyDescent="0.3">
      <c r="L10"/>
      <c r="M10"/>
      <c r="N10"/>
      <c r="O10"/>
      <c r="P10"/>
    </row>
    <row r="11" spans="1:20" ht="7.5" customHeight="1" x14ac:dyDescent="0.3">
      <c r="L11"/>
      <c r="M11"/>
      <c r="N11"/>
      <c r="O11"/>
      <c r="P11"/>
    </row>
    <row r="12" spans="1:20" ht="15.6" x14ac:dyDescent="0.3">
      <c r="B12" s="8" t="s">
        <v>3</v>
      </c>
      <c r="D12" s="386" t="s">
        <v>67</v>
      </c>
      <c r="E12" s="386"/>
      <c r="F12" s="386"/>
      <c r="G12" s="386"/>
      <c r="H12" s="386"/>
      <c r="I12" s="386"/>
      <c r="J12" s="386"/>
      <c r="K12" s="386"/>
      <c r="L12" s="386"/>
      <c r="M12" s="386"/>
      <c r="N12" s="386"/>
      <c r="O12" s="386"/>
    </row>
    <row r="13" spans="1:20" ht="7.5" customHeight="1" x14ac:dyDescent="0.3">
      <c r="B13" s="9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</row>
    <row r="14" spans="1:20" ht="15.6" x14ac:dyDescent="0.3">
      <c r="B14" s="8" t="s">
        <v>4</v>
      </c>
      <c r="D14" s="11" t="s">
        <v>5</v>
      </c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</row>
    <row r="15" spans="1:20" ht="15.6" x14ac:dyDescent="0.3">
      <c r="B15" s="9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</row>
    <row r="16" spans="1:20" ht="14.45" x14ac:dyDescent="0.3">
      <c r="B16" s="12"/>
      <c r="D16" s="13" t="s">
        <v>6</v>
      </c>
      <c r="E16" s="13"/>
      <c r="F16" s="14">
        <v>15000</v>
      </c>
      <c r="G16" s="13" t="s">
        <v>7</v>
      </c>
    </row>
    <row r="17" spans="2:15" ht="14.45" x14ac:dyDescent="0.3">
      <c r="B17" s="12"/>
    </row>
    <row r="18" spans="2:15" ht="14.45" x14ac:dyDescent="0.3">
      <c r="B18" s="12"/>
      <c r="D18" s="15"/>
      <c r="E18" s="15"/>
      <c r="F18" s="373" t="s">
        <v>8</v>
      </c>
      <c r="G18" s="374"/>
      <c r="H18" s="375"/>
      <c r="J18" s="373" t="s">
        <v>9</v>
      </c>
      <c r="K18" s="374"/>
      <c r="L18" s="375"/>
      <c r="N18" s="373" t="s">
        <v>10</v>
      </c>
      <c r="O18" s="375"/>
    </row>
    <row r="19" spans="2:15" x14ac:dyDescent="0.25">
      <c r="B19" s="12"/>
      <c r="D19" s="377" t="s">
        <v>11</v>
      </c>
      <c r="E19" s="16"/>
      <c r="F19" s="17" t="s">
        <v>12</v>
      </c>
      <c r="G19" s="17" t="s">
        <v>13</v>
      </c>
      <c r="H19" s="18" t="s">
        <v>14</v>
      </c>
      <c r="J19" s="17" t="s">
        <v>12</v>
      </c>
      <c r="K19" s="19" t="s">
        <v>13</v>
      </c>
      <c r="L19" s="18" t="s">
        <v>14</v>
      </c>
      <c r="N19" s="379" t="s">
        <v>15</v>
      </c>
      <c r="O19" s="381" t="s">
        <v>16</v>
      </c>
    </row>
    <row r="20" spans="2:15" x14ac:dyDescent="0.25">
      <c r="B20" s="12"/>
      <c r="D20" s="378"/>
      <c r="E20" s="16"/>
      <c r="F20" s="20" t="s">
        <v>17</v>
      </c>
      <c r="G20" s="20"/>
      <c r="H20" s="21" t="s">
        <v>17</v>
      </c>
      <c r="J20" s="20" t="s">
        <v>17</v>
      </c>
      <c r="K20" s="21"/>
      <c r="L20" s="21" t="s">
        <v>17</v>
      </c>
      <c r="N20" s="380"/>
      <c r="O20" s="382"/>
    </row>
    <row r="21" spans="2:15" ht="22.5" customHeight="1" x14ac:dyDescent="0.3">
      <c r="B21" s="22" t="s">
        <v>18</v>
      </c>
      <c r="C21" s="22"/>
      <c r="D21" s="23" t="s">
        <v>60</v>
      </c>
      <c r="E21" s="24"/>
      <c r="F21" s="174">
        <f>+'GS&lt;50 (1,000kWh)'!$F$21</f>
        <v>31.96</v>
      </c>
      <c r="G21" s="26">
        <v>1</v>
      </c>
      <c r="H21" s="27">
        <f>G21*F21</f>
        <v>31.96</v>
      </c>
      <c r="I21" s="28"/>
      <c r="J21" s="173">
        <f>+'GS&lt;50 (1,000kWh)'!$J$21</f>
        <v>31.96</v>
      </c>
      <c r="K21" s="30">
        <v>1</v>
      </c>
      <c r="L21" s="27">
        <f>K21*J21</f>
        <v>31.96</v>
      </c>
      <c r="M21" s="28"/>
      <c r="N21" s="31">
        <f>L21-H21</f>
        <v>0</v>
      </c>
      <c r="O21" s="32">
        <f>IF((H21)=0,"",(N21/H21))</f>
        <v>0</v>
      </c>
    </row>
    <row r="22" spans="2:15" ht="36.75" customHeight="1" x14ac:dyDescent="0.3">
      <c r="B22" s="296" t="s">
        <v>88</v>
      </c>
      <c r="C22" s="22"/>
      <c r="D22" s="56" t="s">
        <v>61</v>
      </c>
      <c r="E22" s="24"/>
      <c r="F22" s="173"/>
      <c r="G22" s="26">
        <f>$F$16</f>
        <v>15000</v>
      </c>
      <c r="H22" s="27">
        <f t="shared" ref="H22:H36" si="0">G22*F22</f>
        <v>0</v>
      </c>
      <c r="I22" s="28"/>
      <c r="J22" s="29">
        <f>+'GS&lt;50 (1,000kWh)'!$J$22</f>
        <v>8.9999999999999998E-4</v>
      </c>
      <c r="K22" s="26">
        <f>$F$16</f>
        <v>15000</v>
      </c>
      <c r="L22" s="27">
        <f>K22*J22</f>
        <v>13.5</v>
      </c>
      <c r="M22" s="28"/>
      <c r="N22" s="31">
        <f>L22-H22</f>
        <v>13.5</v>
      </c>
      <c r="O22" s="32" t="str">
        <f>IF((H22)=0,"",(N22/H22))</f>
        <v/>
      </c>
    </row>
    <row r="23" spans="2:15" ht="36.75" customHeight="1" x14ac:dyDescent="0.3">
      <c r="B23" s="297" t="s">
        <v>63</v>
      </c>
      <c r="C23" s="22"/>
      <c r="D23" s="56" t="s">
        <v>60</v>
      </c>
      <c r="E23" s="57"/>
      <c r="F23" s="173">
        <f>+'GS&lt;50 (1,000kWh)'!$F$23</f>
        <v>5.51</v>
      </c>
      <c r="G23" s="26">
        <v>1</v>
      </c>
      <c r="H23" s="27">
        <f t="shared" si="0"/>
        <v>5.51</v>
      </c>
      <c r="I23" s="28"/>
      <c r="J23" s="29"/>
      <c r="K23" s="30">
        <v>1</v>
      </c>
      <c r="L23" s="27">
        <f t="shared" ref="L23:L36" si="1">K23*J23</f>
        <v>0</v>
      </c>
      <c r="M23" s="28"/>
      <c r="N23" s="31">
        <f t="shared" ref="N23:N64" si="2">L23-H23</f>
        <v>-5.51</v>
      </c>
      <c r="O23" s="32">
        <f t="shared" ref="O23:O44" si="3">IF((H23)=0,"",(N23/H23))</f>
        <v>-1</v>
      </c>
    </row>
    <row r="24" spans="2:15" ht="14.45" x14ac:dyDescent="0.3">
      <c r="B24" s="297" t="s">
        <v>64</v>
      </c>
      <c r="C24" s="22"/>
      <c r="D24" s="23" t="s">
        <v>60</v>
      </c>
      <c r="E24" s="24"/>
      <c r="F24" s="25"/>
      <c r="G24" s="26">
        <v>1</v>
      </c>
      <c r="H24" s="27">
        <f t="shared" si="0"/>
        <v>0</v>
      </c>
      <c r="I24" s="28"/>
      <c r="J24" s="173">
        <f>+'GS&lt;50 (1,000kWh)'!$J$24</f>
        <v>1.3841528645202816</v>
      </c>
      <c r="K24" s="30">
        <v>1</v>
      </c>
      <c r="L24" s="27">
        <f t="shared" si="1"/>
        <v>1.3841528645202816</v>
      </c>
      <c r="M24" s="28"/>
      <c r="N24" s="31">
        <f t="shared" si="2"/>
        <v>1.3841528645202816</v>
      </c>
      <c r="O24" s="32" t="str">
        <f t="shared" si="3"/>
        <v/>
      </c>
    </row>
    <row r="25" spans="2:15" ht="14.45" x14ac:dyDescent="0.3">
      <c r="B25" s="296" t="s">
        <v>65</v>
      </c>
      <c r="C25" s="22"/>
      <c r="D25" s="23" t="s">
        <v>61</v>
      </c>
      <c r="E25" s="24"/>
      <c r="F25" s="201">
        <f>+'GS&lt;50 (1,000kWh)'!$F$25</f>
        <v>-5.0000000000000002E-5</v>
      </c>
      <c r="G25" s="26">
        <f>$F$16</f>
        <v>15000</v>
      </c>
      <c r="H25" s="27">
        <f t="shared" si="0"/>
        <v>-0.75</v>
      </c>
      <c r="I25" s="28"/>
      <c r="J25" s="29">
        <f>+'GS&lt;50 (1,000kWh)'!$J$25</f>
        <v>-5.0000000000000002E-5</v>
      </c>
      <c r="K25" s="26">
        <f>$F$16</f>
        <v>15000</v>
      </c>
      <c r="L25" s="27">
        <f t="shared" si="1"/>
        <v>-0.75</v>
      </c>
      <c r="M25" s="28"/>
      <c r="N25" s="31">
        <f t="shared" si="2"/>
        <v>0</v>
      </c>
      <c r="O25" s="32">
        <f t="shared" si="3"/>
        <v>0</v>
      </c>
    </row>
    <row r="26" spans="2:15" ht="14.45" x14ac:dyDescent="0.3">
      <c r="B26" s="296" t="s">
        <v>66</v>
      </c>
      <c r="C26" s="22"/>
      <c r="D26" s="23" t="s">
        <v>61</v>
      </c>
      <c r="E26" s="24"/>
      <c r="F26" s="25"/>
      <c r="G26" s="26">
        <f>$F$16</f>
        <v>15000</v>
      </c>
      <c r="H26" s="27">
        <f t="shared" si="0"/>
        <v>0</v>
      </c>
      <c r="I26" s="28"/>
      <c r="J26" s="263">
        <f>+'GS&lt;50 (1,000kWh)'!$J$26</f>
        <v>-1.6000000000000001E-3</v>
      </c>
      <c r="K26" s="26">
        <f>$F$16</f>
        <v>15000</v>
      </c>
      <c r="L26" s="27">
        <f t="shared" si="1"/>
        <v>-24</v>
      </c>
      <c r="M26" s="28"/>
      <c r="N26" s="31">
        <f t="shared" si="2"/>
        <v>-24</v>
      </c>
      <c r="O26" s="32" t="str">
        <f t="shared" si="3"/>
        <v/>
      </c>
    </row>
    <row r="27" spans="2:15" x14ac:dyDescent="0.25">
      <c r="B27" s="22" t="s">
        <v>19</v>
      </c>
      <c r="C27" s="22"/>
      <c r="D27" s="23" t="s">
        <v>61</v>
      </c>
      <c r="E27" s="24"/>
      <c r="F27" s="25">
        <f>+'GS&lt;50 (1,000kWh)'!$F$27</f>
        <v>1.43E-2</v>
      </c>
      <c r="G27" s="26">
        <f>$F$16</f>
        <v>15000</v>
      </c>
      <c r="H27" s="27">
        <f t="shared" si="0"/>
        <v>214.5</v>
      </c>
      <c r="I27" s="28"/>
      <c r="J27" s="29">
        <f>+'GS&lt;50 (1,000kWh)'!$J$27</f>
        <v>1.61E-2</v>
      </c>
      <c r="K27" s="26">
        <f>$F$16</f>
        <v>15000</v>
      </c>
      <c r="L27" s="27">
        <f t="shared" si="1"/>
        <v>241.5</v>
      </c>
      <c r="M27" s="28"/>
      <c r="N27" s="31">
        <f t="shared" si="2"/>
        <v>27</v>
      </c>
      <c r="O27" s="32">
        <f t="shared" si="3"/>
        <v>0.12587412587412589</v>
      </c>
    </row>
    <row r="28" spans="2:15" x14ac:dyDescent="0.25">
      <c r="B28" s="22" t="s">
        <v>20</v>
      </c>
      <c r="C28" s="22"/>
      <c r="D28" s="23"/>
      <c r="E28" s="24"/>
      <c r="F28" s="25"/>
      <c r="G28" s="26">
        <f>$F$16</f>
        <v>15000</v>
      </c>
      <c r="H28" s="27">
        <f t="shared" si="0"/>
        <v>0</v>
      </c>
      <c r="I28" s="28"/>
      <c r="J28" s="29"/>
      <c r="K28" s="26">
        <f t="shared" ref="K28:K36" si="4">$F$16</f>
        <v>15000</v>
      </c>
      <c r="L28" s="27">
        <f t="shared" si="1"/>
        <v>0</v>
      </c>
      <c r="M28" s="28"/>
      <c r="N28" s="31">
        <f t="shared" si="2"/>
        <v>0</v>
      </c>
      <c r="O28" s="32" t="str">
        <f t="shared" si="3"/>
        <v/>
      </c>
    </row>
    <row r="29" spans="2:15" x14ac:dyDescent="0.25">
      <c r="B29" s="22" t="s">
        <v>21</v>
      </c>
      <c r="C29" s="22"/>
      <c r="D29" s="23"/>
      <c r="E29" s="24"/>
      <c r="F29" s="25"/>
      <c r="G29" s="26">
        <f>$F$16</f>
        <v>15000</v>
      </c>
      <c r="H29" s="27">
        <f t="shared" si="0"/>
        <v>0</v>
      </c>
      <c r="I29" s="28"/>
      <c r="J29" s="29"/>
      <c r="K29" s="26">
        <f t="shared" si="4"/>
        <v>15000</v>
      </c>
      <c r="L29" s="27">
        <f t="shared" si="1"/>
        <v>0</v>
      </c>
      <c r="M29" s="28"/>
      <c r="N29" s="31">
        <f t="shared" si="2"/>
        <v>0</v>
      </c>
      <c r="O29" s="32" t="str">
        <f t="shared" si="3"/>
        <v/>
      </c>
    </row>
    <row r="30" spans="2:15" x14ac:dyDescent="0.25">
      <c r="B30" s="33"/>
      <c r="C30" s="22"/>
      <c r="D30" s="23"/>
      <c r="E30" s="24"/>
      <c r="F30" s="25"/>
      <c r="G30" s="26">
        <f t="shared" ref="G30:G36" si="5">$F$16</f>
        <v>15000</v>
      </c>
      <c r="H30" s="27">
        <f t="shared" si="0"/>
        <v>0</v>
      </c>
      <c r="I30" s="28"/>
      <c r="J30" s="29"/>
      <c r="K30" s="26">
        <f t="shared" si="4"/>
        <v>15000</v>
      </c>
      <c r="L30" s="27">
        <f t="shared" si="1"/>
        <v>0</v>
      </c>
      <c r="M30" s="28"/>
      <c r="N30" s="31">
        <f t="shared" si="2"/>
        <v>0</v>
      </c>
      <c r="O30" s="32" t="str">
        <f t="shared" si="3"/>
        <v/>
      </c>
    </row>
    <row r="31" spans="2:15" x14ac:dyDescent="0.25">
      <c r="B31" s="33"/>
      <c r="C31" s="22"/>
      <c r="D31" s="23"/>
      <c r="E31" s="24"/>
      <c r="F31" s="25"/>
      <c r="G31" s="26">
        <f t="shared" si="5"/>
        <v>15000</v>
      </c>
      <c r="H31" s="27">
        <f t="shared" si="0"/>
        <v>0</v>
      </c>
      <c r="I31" s="28"/>
      <c r="J31" s="29"/>
      <c r="K31" s="26">
        <f t="shared" si="4"/>
        <v>15000</v>
      </c>
      <c r="L31" s="27">
        <f t="shared" si="1"/>
        <v>0</v>
      </c>
      <c r="M31" s="28"/>
      <c r="N31" s="31">
        <f t="shared" si="2"/>
        <v>0</v>
      </c>
      <c r="O31" s="32" t="str">
        <f t="shared" si="3"/>
        <v/>
      </c>
    </row>
    <row r="32" spans="2:15" x14ac:dyDescent="0.25">
      <c r="B32" s="33"/>
      <c r="C32" s="22"/>
      <c r="D32" s="23"/>
      <c r="E32" s="24"/>
      <c r="F32" s="25"/>
      <c r="G32" s="26">
        <f t="shared" si="5"/>
        <v>15000</v>
      </c>
      <c r="H32" s="27">
        <f t="shared" si="0"/>
        <v>0</v>
      </c>
      <c r="I32" s="28"/>
      <c r="J32" s="29"/>
      <c r="K32" s="26">
        <f t="shared" si="4"/>
        <v>15000</v>
      </c>
      <c r="L32" s="27">
        <f t="shared" si="1"/>
        <v>0</v>
      </c>
      <c r="M32" s="28"/>
      <c r="N32" s="31">
        <f t="shared" si="2"/>
        <v>0</v>
      </c>
      <c r="O32" s="32" t="str">
        <f t="shared" si="3"/>
        <v/>
      </c>
    </row>
    <row r="33" spans="2:15" x14ac:dyDescent="0.25">
      <c r="B33" s="33"/>
      <c r="C33" s="22"/>
      <c r="D33" s="23"/>
      <c r="E33" s="24"/>
      <c r="F33" s="25"/>
      <c r="G33" s="26">
        <f t="shared" si="5"/>
        <v>15000</v>
      </c>
      <c r="H33" s="27">
        <f t="shared" si="0"/>
        <v>0</v>
      </c>
      <c r="I33" s="28"/>
      <c r="J33" s="29"/>
      <c r="K33" s="26">
        <f t="shared" si="4"/>
        <v>15000</v>
      </c>
      <c r="L33" s="27">
        <f t="shared" si="1"/>
        <v>0</v>
      </c>
      <c r="M33" s="28"/>
      <c r="N33" s="31">
        <f t="shared" si="2"/>
        <v>0</v>
      </c>
      <c r="O33" s="32" t="str">
        <f t="shared" si="3"/>
        <v/>
      </c>
    </row>
    <row r="34" spans="2:15" x14ac:dyDescent="0.25">
      <c r="B34" s="33"/>
      <c r="C34" s="22"/>
      <c r="D34" s="23"/>
      <c r="E34" s="24"/>
      <c r="F34" s="25"/>
      <c r="G34" s="26">
        <f t="shared" si="5"/>
        <v>15000</v>
      </c>
      <c r="H34" s="27">
        <f t="shared" si="0"/>
        <v>0</v>
      </c>
      <c r="I34" s="28"/>
      <c r="J34" s="29"/>
      <c r="K34" s="26">
        <f t="shared" si="4"/>
        <v>15000</v>
      </c>
      <c r="L34" s="27">
        <f t="shared" si="1"/>
        <v>0</v>
      </c>
      <c r="M34" s="28"/>
      <c r="N34" s="31">
        <f t="shared" si="2"/>
        <v>0</v>
      </c>
      <c r="O34" s="32" t="str">
        <f t="shared" si="3"/>
        <v/>
      </c>
    </row>
    <row r="35" spans="2:15" x14ac:dyDescent="0.25">
      <c r="B35" s="33"/>
      <c r="C35" s="22"/>
      <c r="D35" s="23"/>
      <c r="E35" s="24"/>
      <c r="F35" s="25"/>
      <c r="G35" s="26">
        <f t="shared" si="5"/>
        <v>15000</v>
      </c>
      <c r="H35" s="27">
        <f t="shared" si="0"/>
        <v>0</v>
      </c>
      <c r="I35" s="28"/>
      <c r="J35" s="29"/>
      <c r="K35" s="26">
        <f t="shared" si="4"/>
        <v>15000</v>
      </c>
      <c r="L35" s="27">
        <f t="shared" si="1"/>
        <v>0</v>
      </c>
      <c r="M35" s="28"/>
      <c r="N35" s="31">
        <f t="shared" si="2"/>
        <v>0</v>
      </c>
      <c r="O35" s="32" t="str">
        <f t="shared" si="3"/>
        <v/>
      </c>
    </row>
    <row r="36" spans="2:15" x14ac:dyDescent="0.25">
      <c r="B36" s="33"/>
      <c r="C36" s="22"/>
      <c r="D36" s="23"/>
      <c r="E36" s="24"/>
      <c r="F36" s="25"/>
      <c r="G36" s="26">
        <f t="shared" si="5"/>
        <v>15000</v>
      </c>
      <c r="H36" s="27">
        <f t="shared" si="0"/>
        <v>0</v>
      </c>
      <c r="I36" s="28"/>
      <c r="J36" s="29"/>
      <c r="K36" s="26">
        <f t="shared" si="4"/>
        <v>15000</v>
      </c>
      <c r="L36" s="27">
        <f t="shared" si="1"/>
        <v>0</v>
      </c>
      <c r="M36" s="28"/>
      <c r="N36" s="31">
        <f t="shared" si="2"/>
        <v>0</v>
      </c>
      <c r="O36" s="32" t="str">
        <f t="shared" si="3"/>
        <v/>
      </c>
    </row>
    <row r="37" spans="2:15" s="34" customFormat="1" x14ac:dyDescent="0.25">
      <c r="B37" s="35" t="s">
        <v>22</v>
      </c>
      <c r="C37" s="36"/>
      <c r="D37" s="37"/>
      <c r="E37" s="36"/>
      <c r="F37" s="38"/>
      <c r="G37" s="39"/>
      <c r="H37" s="40">
        <f>SUM(H21:H36)</f>
        <v>251.22</v>
      </c>
      <c r="I37" s="41"/>
      <c r="J37" s="42"/>
      <c r="K37" s="43"/>
      <c r="L37" s="40">
        <f>SUM(L21:L36)</f>
        <v>263.59415286452031</v>
      </c>
      <c r="M37" s="41"/>
      <c r="N37" s="44">
        <f t="shared" si="2"/>
        <v>12.374152864520312</v>
      </c>
      <c r="O37" s="45">
        <f t="shared" si="3"/>
        <v>4.9256241001991531E-2</v>
      </c>
    </row>
    <row r="38" spans="2:15" x14ac:dyDescent="0.25">
      <c r="B38" s="175"/>
      <c r="C38" s="22"/>
      <c r="D38" s="56" t="s">
        <v>60</v>
      </c>
      <c r="E38" s="24"/>
      <c r="F38" s="25"/>
      <c r="G38" s="26">
        <v>1</v>
      </c>
      <c r="H38" s="27">
        <f>G38*F38</f>
        <v>0</v>
      </c>
      <c r="I38" s="28"/>
      <c r="J38" s="173"/>
      <c r="K38" s="30">
        <v>1</v>
      </c>
      <c r="L38" s="27">
        <f>K38*J38</f>
        <v>0</v>
      </c>
      <c r="M38" s="28"/>
      <c r="N38" s="31">
        <f>L38-H38</f>
        <v>0</v>
      </c>
      <c r="O38" s="32" t="str">
        <f>IF((H38)=0,"",(N38/H38))</f>
        <v/>
      </c>
    </row>
    <row r="39" spans="2:15" x14ac:dyDescent="0.25">
      <c r="B39" s="296" t="s">
        <v>23</v>
      </c>
      <c r="C39" s="22"/>
      <c r="D39" s="56" t="s">
        <v>61</v>
      </c>
      <c r="E39" s="57"/>
      <c r="F39" s="29">
        <f>+'GS&lt;50 (1,000kWh)'!$F$39</f>
        <v>-1.4E-3</v>
      </c>
      <c r="G39" s="26">
        <f>$F$16</f>
        <v>15000</v>
      </c>
      <c r="H39" s="27">
        <f t="shared" ref="H39:H45" si="6">G39*F39</f>
        <v>-21</v>
      </c>
      <c r="I39" s="28"/>
      <c r="J39" s="263">
        <f>+'GS&lt;50 (1,000kWh)'!$J$39</f>
        <v>2.9999999999999992E-4</v>
      </c>
      <c r="K39" s="26">
        <f>$F$16</f>
        <v>15000</v>
      </c>
      <c r="L39" s="27">
        <f t="shared" ref="L39:L45" si="7">K39*J39</f>
        <v>4.4999999999999991</v>
      </c>
      <c r="M39" s="28"/>
      <c r="N39" s="31">
        <f t="shared" si="2"/>
        <v>25.5</v>
      </c>
      <c r="O39" s="32">
        <f t="shared" si="3"/>
        <v>-1.2142857142857142</v>
      </c>
    </row>
    <row r="40" spans="2:15" x14ac:dyDescent="0.25">
      <c r="B40" s="296"/>
      <c r="C40" s="22"/>
      <c r="D40" s="23" t="s">
        <v>61</v>
      </c>
      <c r="E40" s="24"/>
      <c r="F40" s="25"/>
      <c r="G40" s="26">
        <f>$F$16</f>
        <v>15000</v>
      </c>
      <c r="H40" s="27">
        <f t="shared" si="6"/>
        <v>0</v>
      </c>
      <c r="I40" s="47"/>
      <c r="J40" s="29"/>
      <c r="K40" s="26">
        <f>$F$16</f>
        <v>15000</v>
      </c>
      <c r="L40" s="27">
        <f t="shared" si="7"/>
        <v>0</v>
      </c>
      <c r="M40" s="48"/>
      <c r="N40" s="31">
        <f t="shared" si="2"/>
        <v>0</v>
      </c>
      <c r="O40" s="32" t="str">
        <f t="shared" si="3"/>
        <v/>
      </c>
    </row>
    <row r="41" spans="2:15" x14ac:dyDescent="0.25">
      <c r="B41" s="46"/>
      <c r="C41" s="22"/>
      <c r="D41" s="23" t="s">
        <v>61</v>
      </c>
      <c r="E41" s="24"/>
      <c r="F41" s="25"/>
      <c r="G41" s="26">
        <f>$F$16</f>
        <v>15000</v>
      </c>
      <c r="H41" s="27">
        <f t="shared" si="6"/>
        <v>0</v>
      </c>
      <c r="I41" s="47"/>
      <c r="J41" s="29"/>
      <c r="K41" s="26">
        <f>$F$16</f>
        <v>15000</v>
      </c>
      <c r="L41" s="27">
        <f t="shared" si="7"/>
        <v>0</v>
      </c>
      <c r="M41" s="48"/>
      <c r="N41" s="31">
        <f t="shared" si="2"/>
        <v>0</v>
      </c>
      <c r="O41" s="32" t="str">
        <f t="shared" si="3"/>
        <v/>
      </c>
    </row>
    <row r="42" spans="2:15" x14ac:dyDescent="0.25">
      <c r="B42" s="46"/>
      <c r="C42" s="22"/>
      <c r="D42" s="23"/>
      <c r="E42" s="24"/>
      <c r="F42" s="25"/>
      <c r="G42" s="26">
        <f>$F$16</f>
        <v>15000</v>
      </c>
      <c r="H42" s="27">
        <f t="shared" si="6"/>
        <v>0</v>
      </c>
      <c r="I42" s="47"/>
      <c r="J42" s="29"/>
      <c r="K42" s="26">
        <f>$F$16</f>
        <v>15000</v>
      </c>
      <c r="L42" s="27">
        <f t="shared" si="7"/>
        <v>0</v>
      </c>
      <c r="M42" s="48"/>
      <c r="N42" s="31">
        <f t="shared" si="2"/>
        <v>0</v>
      </c>
      <c r="O42" s="32" t="str">
        <f t="shared" si="3"/>
        <v/>
      </c>
    </row>
    <row r="43" spans="2:15" x14ac:dyDescent="0.25">
      <c r="B43" s="49" t="s">
        <v>24</v>
      </c>
      <c r="C43" s="22"/>
      <c r="D43" s="23" t="s">
        <v>61</v>
      </c>
      <c r="E43" s="24"/>
      <c r="F43" s="25">
        <f>+'GS&lt;50 (1,000kWh)'!$F$43</f>
        <v>1E-4</v>
      </c>
      <c r="G43" s="26">
        <f>$F$16</f>
        <v>15000</v>
      </c>
      <c r="H43" s="27">
        <f t="shared" si="6"/>
        <v>1.5</v>
      </c>
      <c r="I43" s="28"/>
      <c r="J43" s="29">
        <f>+'GS&lt;50 (1,000kWh)'!$J$43</f>
        <v>2.0000000000000001E-4</v>
      </c>
      <c r="K43" s="26">
        <f>$F$16</f>
        <v>15000</v>
      </c>
      <c r="L43" s="27">
        <f t="shared" si="7"/>
        <v>3</v>
      </c>
      <c r="M43" s="28"/>
      <c r="N43" s="31">
        <f t="shared" si="2"/>
        <v>1.5</v>
      </c>
      <c r="O43" s="32">
        <f t="shared" si="3"/>
        <v>1</v>
      </c>
    </row>
    <row r="44" spans="2:15" s="34" customFormat="1" x14ac:dyDescent="0.25">
      <c r="B44" s="181" t="s">
        <v>25</v>
      </c>
      <c r="C44" s="24"/>
      <c r="D44" s="182" t="s">
        <v>61</v>
      </c>
      <c r="E44" s="24"/>
      <c r="F44" s="183">
        <f>IF(ISBLANK(D14)=TRUE, 0, IF(D14="TOU", 0.64*$F$54+0.18*$F$55+0.18*$F$56, IF(AND(D14="non-TOU", G58&gt;0), F58,F57)))</f>
        <v>9.5000000000000001E-2</v>
      </c>
      <c r="G44" s="26">
        <f>$F$16*(1+$F$73)-$F$16</f>
        <v>606</v>
      </c>
      <c r="H44" s="184">
        <f t="shared" si="6"/>
        <v>57.57</v>
      </c>
      <c r="I44" s="57"/>
      <c r="J44" s="185">
        <f>0.64*$F$54+0.18*$F$55+0.18*$F$56</f>
        <v>9.5000000000000001E-2</v>
      </c>
      <c r="K44" s="26">
        <f>$F$16*(1+$J$73)-$F$16</f>
        <v>543</v>
      </c>
      <c r="L44" s="184">
        <f t="shared" si="7"/>
        <v>51.585000000000001</v>
      </c>
      <c r="M44" s="57"/>
      <c r="N44" s="186">
        <f t="shared" si="2"/>
        <v>-5.9849999999999994</v>
      </c>
      <c r="O44" s="187">
        <f t="shared" si="3"/>
        <v>-0.10396039603960396</v>
      </c>
    </row>
    <row r="45" spans="2:15" ht="14.45" x14ac:dyDescent="0.3">
      <c r="B45" s="49" t="s">
        <v>26</v>
      </c>
      <c r="C45" s="22"/>
      <c r="D45" s="23" t="s">
        <v>60</v>
      </c>
      <c r="E45" s="24"/>
      <c r="F45" s="174">
        <f>+'GS&lt;50 (1,000kWh)'!$F$45</f>
        <v>0.79</v>
      </c>
      <c r="G45" s="26">
        <v>1</v>
      </c>
      <c r="H45" s="27">
        <f t="shared" si="6"/>
        <v>0.79</v>
      </c>
      <c r="I45" s="28"/>
      <c r="J45" s="174">
        <f>+'GS&lt;50 (1,000kWh)'!$J$45</f>
        <v>0.79</v>
      </c>
      <c r="K45" s="26">
        <v>1</v>
      </c>
      <c r="L45" s="27">
        <f t="shared" si="7"/>
        <v>0.79</v>
      </c>
      <c r="M45" s="28"/>
      <c r="N45" s="31">
        <f t="shared" si="2"/>
        <v>0</v>
      </c>
      <c r="O45" s="32"/>
    </row>
    <row r="46" spans="2:15" ht="14.45" x14ac:dyDescent="0.3">
      <c r="B46" s="50" t="s">
        <v>27</v>
      </c>
      <c r="C46" s="51"/>
      <c r="D46" s="51"/>
      <c r="E46" s="51"/>
      <c r="F46" s="52"/>
      <c r="G46" s="53"/>
      <c r="H46" s="54">
        <f>SUM(H38:H45)+H37</f>
        <v>290.08</v>
      </c>
      <c r="I46" s="41"/>
      <c r="J46" s="53"/>
      <c r="K46" s="55"/>
      <c r="L46" s="54">
        <f>SUM(L38:L45)+L37</f>
        <v>323.46915286452031</v>
      </c>
      <c r="M46" s="41"/>
      <c r="N46" s="44">
        <f t="shared" si="2"/>
        <v>33.389152864520327</v>
      </c>
      <c r="O46" s="45">
        <f t="shared" ref="O46:O64" si="8">IF((H46)=0,"",(N46/H46))</f>
        <v>0.11510325725496529</v>
      </c>
    </row>
    <row r="47" spans="2:15" ht="14.45" x14ac:dyDescent="0.3">
      <c r="B47" s="28" t="s">
        <v>28</v>
      </c>
      <c r="C47" s="28"/>
      <c r="D47" s="56" t="s">
        <v>61</v>
      </c>
      <c r="E47" s="57"/>
      <c r="F47" s="29">
        <f>+'GS&lt;50 (1,000kWh)'!$F$47</f>
        <v>6.8999999999999999E-3</v>
      </c>
      <c r="G47" s="69">
        <f>F16*(1+F73)</f>
        <v>15606</v>
      </c>
      <c r="H47" s="27">
        <f>G47*F47</f>
        <v>107.6814</v>
      </c>
      <c r="I47" s="28"/>
      <c r="J47" s="263">
        <f>+'GS&lt;50 (1,000kWh)'!$J$47</f>
        <v>6.7000000000000002E-3</v>
      </c>
      <c r="K47" s="70">
        <f>F16*(1+J73)</f>
        <v>15543</v>
      </c>
      <c r="L47" s="27">
        <f>K47*J47</f>
        <v>104.13810000000001</v>
      </c>
      <c r="M47" s="28"/>
      <c r="N47" s="31">
        <f t="shared" si="2"/>
        <v>-3.5432999999999879</v>
      </c>
      <c r="O47" s="32">
        <f t="shared" si="8"/>
        <v>-3.2905404275947264E-2</v>
      </c>
    </row>
    <row r="48" spans="2:15" ht="14.45" x14ac:dyDescent="0.3">
      <c r="B48" s="59" t="s">
        <v>29</v>
      </c>
      <c r="C48" s="28"/>
      <c r="D48" s="56" t="s">
        <v>61</v>
      </c>
      <c r="E48" s="57"/>
      <c r="F48" s="29">
        <f>+'GS&lt;50 (1,000kWh)'!$F$48</f>
        <v>2.0999999999999999E-3</v>
      </c>
      <c r="G48" s="69">
        <f>G47</f>
        <v>15606</v>
      </c>
      <c r="H48" s="27">
        <f>G48*F48</f>
        <v>32.772599999999997</v>
      </c>
      <c r="I48" s="28"/>
      <c r="J48" s="263">
        <f>+'GS&lt;50 (1,000kWh)'!$J$48</f>
        <v>2.0999999999999999E-3</v>
      </c>
      <c r="K48" s="70">
        <f>K47</f>
        <v>15543</v>
      </c>
      <c r="L48" s="27">
        <f>K48*J48</f>
        <v>32.640299999999996</v>
      </c>
      <c r="M48" s="28"/>
      <c r="N48" s="31">
        <f t="shared" si="2"/>
        <v>-0.13230000000000075</v>
      </c>
      <c r="O48" s="32">
        <f t="shared" si="8"/>
        <v>-4.0369088811995617E-3</v>
      </c>
    </row>
    <row r="49" spans="2:19" ht="14.45" x14ac:dyDescent="0.3">
      <c r="B49" s="50" t="s">
        <v>30</v>
      </c>
      <c r="C49" s="36"/>
      <c r="D49" s="36"/>
      <c r="E49" s="36"/>
      <c r="F49" s="60"/>
      <c r="G49" s="53"/>
      <c r="H49" s="54">
        <f>SUM(H46:H48)</f>
        <v>430.53399999999999</v>
      </c>
      <c r="I49" s="61"/>
      <c r="J49" s="62"/>
      <c r="K49" s="63"/>
      <c r="L49" s="54">
        <f>SUM(L46:L48)</f>
        <v>460.24755286452034</v>
      </c>
      <c r="M49" s="61"/>
      <c r="N49" s="44">
        <f t="shared" si="2"/>
        <v>29.713552864520352</v>
      </c>
      <c r="O49" s="45">
        <f t="shared" si="8"/>
        <v>6.901557801363041E-2</v>
      </c>
    </row>
    <row r="50" spans="2:19" ht="14.45" x14ac:dyDescent="0.3">
      <c r="B50" s="64" t="s">
        <v>31</v>
      </c>
      <c r="C50" s="22"/>
      <c r="D50" s="23" t="s">
        <v>61</v>
      </c>
      <c r="E50" s="24"/>
      <c r="F50" s="65">
        <f>+'GS&lt;50 (1,000kWh)'!$F$50</f>
        <v>4.4000000000000003E-3</v>
      </c>
      <c r="G50" s="69">
        <f>G48</f>
        <v>15606</v>
      </c>
      <c r="H50" s="66">
        <f t="shared" ref="H50:H56" si="9">G50*F50</f>
        <v>68.66640000000001</v>
      </c>
      <c r="I50" s="28"/>
      <c r="J50" s="263">
        <f>+'GS&lt;50 (1,000kWh)'!$J$50</f>
        <v>4.4000000000000003E-3</v>
      </c>
      <c r="K50" s="70">
        <f>K48</f>
        <v>15543</v>
      </c>
      <c r="L50" s="66">
        <f t="shared" ref="L50:L56" si="10">K50*J50</f>
        <v>68.389200000000002</v>
      </c>
      <c r="M50" s="28"/>
      <c r="N50" s="31">
        <f t="shared" si="2"/>
        <v>-0.27720000000000766</v>
      </c>
      <c r="O50" s="68">
        <f t="shared" si="8"/>
        <v>-4.0369088811996494E-3</v>
      </c>
    </row>
    <row r="51" spans="2:19" ht="14.45" x14ac:dyDescent="0.3">
      <c r="B51" s="64" t="s">
        <v>32</v>
      </c>
      <c r="C51" s="22"/>
      <c r="D51" s="23" t="s">
        <v>61</v>
      </c>
      <c r="E51" s="24"/>
      <c r="F51" s="65">
        <f>+'GS&lt;50 (1,000kWh)'!$F$51</f>
        <v>1.2999999999999999E-3</v>
      </c>
      <c r="G51" s="69">
        <f>G48</f>
        <v>15606</v>
      </c>
      <c r="H51" s="66">
        <f t="shared" si="9"/>
        <v>20.287800000000001</v>
      </c>
      <c r="I51" s="28"/>
      <c r="J51" s="263">
        <f>+'GS&lt;50 (1,000kWh)'!$J$51</f>
        <v>1.2999999999999999E-3</v>
      </c>
      <c r="K51" s="70">
        <f>K48</f>
        <v>15543</v>
      </c>
      <c r="L51" s="66">
        <f t="shared" si="10"/>
        <v>20.2059</v>
      </c>
      <c r="M51" s="28"/>
      <c r="N51" s="31">
        <f t="shared" si="2"/>
        <v>-8.1900000000000972E-2</v>
      </c>
      <c r="O51" s="68">
        <f t="shared" si="8"/>
        <v>-4.036908881199586E-3</v>
      </c>
    </row>
    <row r="52" spans="2:19" ht="14.45" x14ac:dyDescent="0.3">
      <c r="B52" s="22" t="s">
        <v>33</v>
      </c>
      <c r="C52" s="22"/>
      <c r="D52" s="23" t="s">
        <v>60</v>
      </c>
      <c r="E52" s="24"/>
      <c r="F52" s="176">
        <f>+'GS&lt;50 (1,000kWh)'!$F$52</f>
        <v>0.25</v>
      </c>
      <c r="G52" s="26">
        <v>1</v>
      </c>
      <c r="H52" s="66">
        <f t="shared" si="9"/>
        <v>0.25</v>
      </c>
      <c r="I52" s="28"/>
      <c r="J52" s="283">
        <f>+'GS&lt;50 (1,000kWh)'!$J$52</f>
        <v>0.25</v>
      </c>
      <c r="K52" s="30">
        <v>1</v>
      </c>
      <c r="L52" s="66">
        <f t="shared" si="10"/>
        <v>0.25</v>
      </c>
      <c r="M52" s="28"/>
      <c r="N52" s="31">
        <f t="shared" si="2"/>
        <v>0</v>
      </c>
      <c r="O52" s="68">
        <f t="shared" si="8"/>
        <v>0</v>
      </c>
    </row>
    <row r="53" spans="2:19" ht="14.45" x14ac:dyDescent="0.3">
      <c r="B53" s="22" t="s">
        <v>34</v>
      </c>
      <c r="C53" s="22"/>
      <c r="D53" s="23" t="s">
        <v>61</v>
      </c>
      <c r="E53" s="24"/>
      <c r="F53" s="65">
        <f>+'GS&lt;50 (1,000kWh)'!$F$53</f>
        <v>7.0000000000000001E-3</v>
      </c>
      <c r="G53" s="69">
        <f>F16</f>
        <v>15000</v>
      </c>
      <c r="H53" s="66">
        <f t="shared" si="9"/>
        <v>105</v>
      </c>
      <c r="I53" s="28"/>
      <c r="J53" s="263">
        <f>+'GS&lt;50 (1,000kWh)'!$J$53</f>
        <v>7.0000000000000001E-3</v>
      </c>
      <c r="K53" s="70">
        <f>F16</f>
        <v>15000</v>
      </c>
      <c r="L53" s="66">
        <f t="shared" si="10"/>
        <v>105</v>
      </c>
      <c r="M53" s="28"/>
      <c r="N53" s="31">
        <f t="shared" si="2"/>
        <v>0</v>
      </c>
      <c r="O53" s="68">
        <f t="shared" si="8"/>
        <v>0</v>
      </c>
    </row>
    <row r="54" spans="2:19" x14ac:dyDescent="0.25">
      <c r="B54" s="49" t="s">
        <v>35</v>
      </c>
      <c r="C54" s="22"/>
      <c r="D54" s="23" t="s">
        <v>61</v>
      </c>
      <c r="E54" s="24"/>
      <c r="F54" s="65">
        <f>+'GS&lt;50 (1,000kWh)'!$F$54</f>
        <v>7.6999999999999999E-2</v>
      </c>
      <c r="G54" s="69">
        <f>0.64*$F$16</f>
        <v>9600</v>
      </c>
      <c r="H54" s="66">
        <f t="shared" si="9"/>
        <v>739.2</v>
      </c>
      <c r="I54" s="28"/>
      <c r="J54" s="263">
        <f>+'GS&lt;50 (1,000kWh)'!$J$54</f>
        <v>7.6999999999999999E-2</v>
      </c>
      <c r="K54" s="69">
        <f>G54</f>
        <v>9600</v>
      </c>
      <c r="L54" s="66">
        <f t="shared" si="10"/>
        <v>739.2</v>
      </c>
      <c r="M54" s="28"/>
      <c r="N54" s="31">
        <f t="shared" si="2"/>
        <v>0</v>
      </c>
      <c r="O54" s="68">
        <f t="shared" si="8"/>
        <v>0</v>
      </c>
      <c r="S54" s="72"/>
    </row>
    <row r="55" spans="2:19" x14ac:dyDescent="0.25">
      <c r="B55" s="49" t="s">
        <v>36</v>
      </c>
      <c r="C55" s="22"/>
      <c r="D55" s="23" t="s">
        <v>61</v>
      </c>
      <c r="E55" s="24"/>
      <c r="F55" s="65">
        <f>+'GS&lt;50 (1,000kWh)'!$F$55</f>
        <v>0.114</v>
      </c>
      <c r="G55" s="69">
        <f>0.18*$F$16</f>
        <v>2700</v>
      </c>
      <c r="H55" s="66">
        <f t="shared" si="9"/>
        <v>307.8</v>
      </c>
      <c r="I55" s="28"/>
      <c r="J55" s="263">
        <f>+'GS&lt;50 (1,000kWh)'!$J$55</f>
        <v>0.114</v>
      </c>
      <c r="K55" s="69">
        <f>G55</f>
        <v>2700</v>
      </c>
      <c r="L55" s="66">
        <f t="shared" si="10"/>
        <v>307.8</v>
      </c>
      <c r="M55" s="28"/>
      <c r="N55" s="31">
        <f t="shared" si="2"/>
        <v>0</v>
      </c>
      <c r="O55" s="68">
        <f t="shared" si="8"/>
        <v>0</v>
      </c>
      <c r="S55" s="72"/>
    </row>
    <row r="56" spans="2:19" x14ac:dyDescent="0.25">
      <c r="B56" s="12" t="s">
        <v>37</v>
      </c>
      <c r="C56" s="22"/>
      <c r="D56" s="23" t="s">
        <v>61</v>
      </c>
      <c r="E56" s="24"/>
      <c r="F56" s="65">
        <f>+'GS&lt;50 (1,000kWh)'!$F$56</f>
        <v>0.14000000000000001</v>
      </c>
      <c r="G56" s="69">
        <f>0.18*$F$16</f>
        <v>2700</v>
      </c>
      <c r="H56" s="66">
        <f t="shared" si="9"/>
        <v>378.00000000000006</v>
      </c>
      <c r="I56" s="28"/>
      <c r="J56" s="263">
        <f>+'GS&lt;50 (1,000kWh)'!$J$56</f>
        <v>0.14000000000000001</v>
      </c>
      <c r="K56" s="69">
        <f>G56</f>
        <v>2700</v>
      </c>
      <c r="L56" s="66">
        <f t="shared" si="10"/>
        <v>378.00000000000006</v>
      </c>
      <c r="M56" s="28"/>
      <c r="N56" s="31">
        <f t="shared" si="2"/>
        <v>0</v>
      </c>
      <c r="O56" s="68">
        <f t="shared" si="8"/>
        <v>0</v>
      </c>
      <c r="S56" s="72"/>
    </row>
    <row r="57" spans="2:19" s="73" customFormat="1" x14ac:dyDescent="0.2">
      <c r="B57" s="74" t="s">
        <v>38</v>
      </c>
      <c r="C57" s="75"/>
      <c r="D57" s="76" t="s">
        <v>61</v>
      </c>
      <c r="E57" s="77"/>
      <c r="F57" s="65">
        <f>+'GS&lt;50 (1,000kWh)'!$F$57</f>
        <v>8.7999999999999995E-2</v>
      </c>
      <c r="G57" s="78">
        <f>IF(AND($T$1=1, F16&gt;=600), 600, IF(AND($T$1=1, AND(F16&lt;600, F16&gt;=0)), F16, IF(AND($T$1=2, F16&gt;=1000), 1000, IF(AND($T$1=2, AND(F16&lt;1000, F16&gt;=0)), F16))))</f>
        <v>600</v>
      </c>
      <c r="H57" s="66">
        <f>G57*F57</f>
        <v>52.8</v>
      </c>
      <c r="I57" s="79"/>
      <c r="J57" s="263">
        <f>+'GS&lt;50 (1,000kWh)'!$J$57</f>
        <v>8.7999999999999995E-2</v>
      </c>
      <c r="K57" s="78">
        <f>G57</f>
        <v>600</v>
      </c>
      <c r="L57" s="66">
        <f>K57*J57</f>
        <v>52.8</v>
      </c>
      <c r="M57" s="79"/>
      <c r="N57" s="80">
        <f t="shared" si="2"/>
        <v>0</v>
      </c>
      <c r="O57" s="68">
        <f t="shared" si="8"/>
        <v>0</v>
      </c>
    </row>
    <row r="58" spans="2:19" s="73" customFormat="1" ht="15.75" thickBot="1" x14ac:dyDescent="0.25">
      <c r="B58" s="74" t="s">
        <v>39</v>
      </c>
      <c r="C58" s="75"/>
      <c r="D58" s="76" t="s">
        <v>61</v>
      </c>
      <c r="E58" s="77"/>
      <c r="F58" s="65">
        <f>+'GS&lt;50 (1,000kWh)'!$F$58</f>
        <v>0.10299999999999999</v>
      </c>
      <c r="G58" s="78">
        <f>IF(AND($T$1=1, F16&gt;=600), F16-600, IF(AND($T$1=1, AND(F16&lt;600, F16&gt;=0)), 0, IF(AND($T$1=2, F16&gt;=1000), F16-1000, IF(AND($T$1=2, AND(F16&lt;1000, F16&gt;=0)), 0))))</f>
        <v>14400</v>
      </c>
      <c r="H58" s="66">
        <f>G58*F58</f>
        <v>1483.1999999999998</v>
      </c>
      <c r="I58" s="79"/>
      <c r="J58" s="263">
        <f>+'GS&lt;50 (1,000kWh)'!$J$58</f>
        <v>0.10299999999999999</v>
      </c>
      <c r="K58" s="78">
        <f>G58</f>
        <v>14400</v>
      </c>
      <c r="L58" s="66">
        <f>K58*J58</f>
        <v>1483.1999999999998</v>
      </c>
      <c r="M58" s="79"/>
      <c r="N58" s="80">
        <f t="shared" si="2"/>
        <v>0</v>
      </c>
      <c r="O58" s="68">
        <f t="shared" si="8"/>
        <v>0</v>
      </c>
    </row>
    <row r="59" spans="2:19" ht="8.25" customHeight="1" thickBot="1" x14ac:dyDescent="0.3">
      <c r="B59" s="81"/>
      <c r="C59" s="82"/>
      <c r="D59" s="83"/>
      <c r="E59" s="82"/>
      <c r="F59" s="84"/>
      <c r="G59" s="85"/>
      <c r="H59" s="86"/>
      <c r="I59" s="87"/>
      <c r="J59" s="84"/>
      <c r="K59" s="88"/>
      <c r="L59" s="86"/>
      <c r="M59" s="87"/>
      <c r="N59" s="89"/>
      <c r="O59" s="90"/>
    </row>
    <row r="60" spans="2:19" x14ac:dyDescent="0.25">
      <c r="B60" s="91" t="s">
        <v>40</v>
      </c>
      <c r="C60" s="22"/>
      <c r="D60" s="22"/>
      <c r="E60" s="22"/>
      <c r="F60" s="92"/>
      <c r="G60" s="93"/>
      <c r="H60" s="94">
        <f>SUM(H50:H56,H49)</f>
        <v>2049.7382000000002</v>
      </c>
      <c r="I60" s="95"/>
      <c r="J60" s="96"/>
      <c r="K60" s="96"/>
      <c r="L60" s="190">
        <f>SUM(L50:L56,L49)</f>
        <v>2079.0926528645205</v>
      </c>
      <c r="M60" s="97"/>
      <c r="N60" s="98">
        <f>L60-H60</f>
        <v>29.354452864520226</v>
      </c>
      <c r="O60" s="99">
        <f>IF((H60)=0,"",(N60/H60))</f>
        <v>1.4321074205730382E-2</v>
      </c>
      <c r="S60" s="72"/>
    </row>
    <row r="61" spans="2:19" x14ac:dyDescent="0.25">
      <c r="B61" s="100" t="s">
        <v>41</v>
      </c>
      <c r="C61" s="22"/>
      <c r="D61" s="22"/>
      <c r="E61" s="22"/>
      <c r="F61" s="101">
        <v>0.13</v>
      </c>
      <c r="G61" s="102"/>
      <c r="H61" s="103">
        <f>H60*F61</f>
        <v>266.46596600000004</v>
      </c>
      <c r="I61" s="104"/>
      <c r="J61" s="105">
        <v>0.13</v>
      </c>
      <c r="K61" s="104"/>
      <c r="L61" s="106">
        <f>L60*J61</f>
        <v>270.28204487238764</v>
      </c>
      <c r="M61" s="107"/>
      <c r="N61" s="108">
        <f t="shared" si="2"/>
        <v>3.8160788723876067</v>
      </c>
      <c r="O61" s="109">
        <f t="shared" si="8"/>
        <v>1.4321074205730297E-2</v>
      </c>
      <c r="S61" s="72"/>
    </row>
    <row r="62" spans="2:19" x14ac:dyDescent="0.25">
      <c r="B62" s="110" t="s">
        <v>42</v>
      </c>
      <c r="C62" s="22"/>
      <c r="D62" s="22"/>
      <c r="E62" s="22"/>
      <c r="F62" s="111"/>
      <c r="G62" s="102"/>
      <c r="H62" s="103">
        <f>H60+H61</f>
        <v>2316.2041660000004</v>
      </c>
      <c r="I62" s="104"/>
      <c r="J62" s="104"/>
      <c r="K62" s="104"/>
      <c r="L62" s="106">
        <f>L60+L61</f>
        <v>2349.3746977369083</v>
      </c>
      <c r="M62" s="107"/>
      <c r="N62" s="108">
        <f t="shared" si="2"/>
        <v>33.170531736907833</v>
      </c>
      <c r="O62" s="109">
        <f t="shared" si="8"/>
        <v>1.4321074205730372E-2</v>
      </c>
      <c r="S62" s="72"/>
    </row>
    <row r="63" spans="2:19" ht="15.75" customHeight="1" x14ac:dyDescent="0.25">
      <c r="B63" s="388" t="s">
        <v>43</v>
      </c>
      <c r="C63" s="388"/>
      <c r="D63" s="388"/>
      <c r="E63" s="22"/>
      <c r="F63" s="111"/>
      <c r="G63" s="102"/>
      <c r="H63" s="112">
        <f>ROUND(-H62*10%,2)</f>
        <v>-231.62</v>
      </c>
      <c r="I63" s="104"/>
      <c r="J63" s="104"/>
      <c r="K63" s="104"/>
      <c r="L63" s="113">
        <f>ROUND(-L62*10%,2)</f>
        <v>-234.94</v>
      </c>
      <c r="M63" s="107"/>
      <c r="N63" s="114">
        <f t="shared" si="2"/>
        <v>-3.3199999999999932</v>
      </c>
      <c r="O63" s="115">
        <f t="shared" si="8"/>
        <v>1.4333822640531875E-2</v>
      </c>
    </row>
    <row r="64" spans="2:19" ht="15.75" thickBot="1" x14ac:dyDescent="0.3">
      <c r="B64" s="384" t="s">
        <v>44</v>
      </c>
      <c r="C64" s="384"/>
      <c r="D64" s="384"/>
      <c r="E64" s="116"/>
      <c r="F64" s="117"/>
      <c r="G64" s="118"/>
      <c r="H64" s="119">
        <f>H62+H63</f>
        <v>2084.5841660000006</v>
      </c>
      <c r="I64" s="120"/>
      <c r="J64" s="120"/>
      <c r="K64" s="120"/>
      <c r="L64" s="121">
        <f>L62+L63</f>
        <v>2114.4346977369082</v>
      </c>
      <c r="M64" s="122"/>
      <c r="N64" s="123">
        <f t="shared" si="2"/>
        <v>29.850531736907669</v>
      </c>
      <c r="O64" s="124">
        <f t="shared" si="8"/>
        <v>1.4319657715805399E-2</v>
      </c>
    </row>
    <row r="65" spans="1:15" s="73" customFormat="1" ht="8.25" customHeight="1" thickBot="1" x14ac:dyDescent="0.25">
      <c r="B65" s="125"/>
      <c r="C65" s="126"/>
      <c r="D65" s="127"/>
      <c r="E65" s="126"/>
      <c r="F65" s="84"/>
      <c r="G65" s="128"/>
      <c r="H65" s="86"/>
      <c r="I65" s="129"/>
      <c r="J65" s="84"/>
      <c r="K65" s="130"/>
      <c r="L65" s="86"/>
      <c r="M65" s="129"/>
      <c r="N65" s="131"/>
      <c r="O65" s="90"/>
    </row>
    <row r="66" spans="1:15" s="73" customFormat="1" ht="12.75" x14ac:dyDescent="0.2">
      <c r="B66" s="132" t="s">
        <v>45</v>
      </c>
      <c r="C66" s="75"/>
      <c r="D66" s="75"/>
      <c r="E66" s="75"/>
      <c r="F66" s="133"/>
      <c r="G66" s="134"/>
      <c r="H66" s="135">
        <f>SUM(H57:H58,H49,H50:H53)</f>
        <v>2160.7381999999998</v>
      </c>
      <c r="I66" s="136"/>
      <c r="J66" s="137"/>
      <c r="K66" s="137"/>
      <c r="L66" s="189">
        <f>SUM(L57:L58,L49,L50:L53)</f>
        <v>2190.09265286452</v>
      </c>
      <c r="M66" s="138"/>
      <c r="N66" s="139">
        <f>L66-H66</f>
        <v>29.354452864520226</v>
      </c>
      <c r="O66" s="99">
        <f>IF((H66)=0,"",(N66/H66))</f>
        <v>1.3585381544381559E-2</v>
      </c>
    </row>
    <row r="67" spans="1:15" s="73" customFormat="1" ht="12.75" x14ac:dyDescent="0.2">
      <c r="B67" s="140" t="s">
        <v>41</v>
      </c>
      <c r="C67" s="75"/>
      <c r="D67" s="75"/>
      <c r="E67" s="75"/>
      <c r="F67" s="141">
        <v>0.13</v>
      </c>
      <c r="G67" s="134"/>
      <c r="H67" s="142">
        <f>H66*F67</f>
        <v>280.89596599999999</v>
      </c>
      <c r="I67" s="143"/>
      <c r="J67" s="144">
        <v>0.13</v>
      </c>
      <c r="K67" s="145"/>
      <c r="L67" s="146">
        <f>L66*J67</f>
        <v>284.71204487238759</v>
      </c>
      <c r="M67" s="147"/>
      <c r="N67" s="148">
        <f>L67-H67</f>
        <v>3.8160788723876067</v>
      </c>
      <c r="O67" s="109">
        <f>IF((H67)=0,"",(N67/H67))</f>
        <v>1.3585381544381476E-2</v>
      </c>
    </row>
    <row r="68" spans="1:15" s="73" customFormat="1" ht="12.75" x14ac:dyDescent="0.2">
      <c r="B68" s="149" t="s">
        <v>42</v>
      </c>
      <c r="C68" s="75"/>
      <c r="D68" s="75"/>
      <c r="E68" s="75"/>
      <c r="F68" s="150"/>
      <c r="G68" s="151"/>
      <c r="H68" s="142">
        <f>H66+H67</f>
        <v>2441.6341659999998</v>
      </c>
      <c r="I68" s="143"/>
      <c r="J68" s="143"/>
      <c r="K68" s="143"/>
      <c r="L68" s="146">
        <f>L66+L67</f>
        <v>2474.8046977369077</v>
      </c>
      <c r="M68" s="147"/>
      <c r="N68" s="148">
        <f>L68-H68</f>
        <v>33.170531736907833</v>
      </c>
      <c r="O68" s="109">
        <f>IF((H68)=0,"",(N68/H68))</f>
        <v>1.3585381544381549E-2</v>
      </c>
    </row>
    <row r="69" spans="1:15" s="73" customFormat="1" ht="15.75" customHeight="1" x14ac:dyDescent="0.2">
      <c r="B69" s="385" t="s">
        <v>43</v>
      </c>
      <c r="C69" s="385"/>
      <c r="D69" s="385"/>
      <c r="E69" s="75"/>
      <c r="F69" s="150"/>
      <c r="G69" s="151"/>
      <c r="H69" s="152">
        <f>ROUND(-H68*10%,2)</f>
        <v>-244.16</v>
      </c>
      <c r="I69" s="143"/>
      <c r="J69" s="143"/>
      <c r="K69" s="143"/>
      <c r="L69" s="153">
        <f>ROUND(-L68*10%,2)</f>
        <v>-247.48</v>
      </c>
      <c r="M69" s="147"/>
      <c r="N69" s="154">
        <f>L69-H69</f>
        <v>-3.3199999999999932</v>
      </c>
      <c r="O69" s="115">
        <f>IF((H69)=0,"",(N69/H69))</f>
        <v>1.3597640891218845E-2</v>
      </c>
    </row>
    <row r="70" spans="1:15" s="73" customFormat="1" ht="13.5" thickBot="1" x14ac:dyDescent="0.25">
      <c r="B70" s="376" t="s">
        <v>46</v>
      </c>
      <c r="C70" s="376"/>
      <c r="D70" s="376"/>
      <c r="E70" s="155"/>
      <c r="F70" s="156"/>
      <c r="G70" s="157"/>
      <c r="H70" s="158">
        <f>SUM(H68:H69)</f>
        <v>2197.474166</v>
      </c>
      <c r="I70" s="159"/>
      <c r="J70" s="159"/>
      <c r="K70" s="159"/>
      <c r="L70" s="160">
        <f>SUM(L68:L69)</f>
        <v>2227.3246977369076</v>
      </c>
      <c r="M70" s="161"/>
      <c r="N70" s="162">
        <f>L70-H70</f>
        <v>29.850531736907669</v>
      </c>
      <c r="O70" s="163">
        <f>IF((H70)=0,"",(N70/H70))</f>
        <v>1.3584019415911381E-2</v>
      </c>
    </row>
    <row r="71" spans="1:15" s="73" customFormat="1" ht="8.25" customHeight="1" thickBot="1" x14ac:dyDescent="0.25">
      <c r="B71" s="125"/>
      <c r="C71" s="126"/>
      <c r="D71" s="127"/>
      <c r="E71" s="126"/>
      <c r="F71" s="164"/>
      <c r="G71" s="165"/>
      <c r="H71" s="166"/>
      <c r="I71" s="167"/>
      <c r="J71" s="164"/>
      <c r="K71" s="128"/>
      <c r="L71" s="168"/>
      <c r="M71" s="129"/>
      <c r="N71" s="169"/>
      <c r="O71" s="90"/>
    </row>
    <row r="72" spans="1:15" ht="10.5" customHeight="1" x14ac:dyDescent="0.25">
      <c r="L72" s="72"/>
    </row>
    <row r="73" spans="1:15" x14ac:dyDescent="0.25">
      <c r="B73" s="13" t="s">
        <v>47</v>
      </c>
      <c r="F73" s="170">
        <f>+'Res (100kWh)'!$F$73</f>
        <v>4.0399999999999998E-2</v>
      </c>
      <c r="J73" s="170">
        <f>+'Res (100kWh)'!$J$73</f>
        <v>3.6200000000000003E-2</v>
      </c>
    </row>
    <row r="74" spans="1:15" ht="10.5" customHeight="1" x14ac:dyDescent="0.25"/>
    <row r="75" spans="1:15" x14ac:dyDescent="0.25">
      <c r="A75" s="171" t="s">
        <v>48</v>
      </c>
    </row>
    <row r="76" spans="1:15" ht="10.5" customHeight="1" x14ac:dyDescent="0.25"/>
    <row r="77" spans="1:15" x14ac:dyDescent="0.25">
      <c r="A77" s="7" t="s">
        <v>49</v>
      </c>
    </row>
    <row r="78" spans="1:15" x14ac:dyDescent="0.25">
      <c r="A78" s="7" t="s">
        <v>50</v>
      </c>
    </row>
    <row r="80" spans="1:15" x14ac:dyDescent="0.25">
      <c r="A80" s="12" t="s">
        <v>51</v>
      </c>
    </row>
    <row r="81" spans="1:2" x14ac:dyDescent="0.25">
      <c r="A81" s="12" t="s">
        <v>52</v>
      </c>
    </row>
    <row r="83" spans="1:2" x14ac:dyDescent="0.25">
      <c r="A83" s="7" t="s">
        <v>53</v>
      </c>
    </row>
    <row r="84" spans="1:2" x14ac:dyDescent="0.25">
      <c r="A84" s="7" t="s">
        <v>54</v>
      </c>
    </row>
    <row r="85" spans="1:2" x14ac:dyDescent="0.25">
      <c r="A85" s="7" t="s">
        <v>55</v>
      </c>
    </row>
    <row r="86" spans="1:2" x14ac:dyDescent="0.25">
      <c r="A86" s="7" t="s">
        <v>56</v>
      </c>
    </row>
    <row r="87" spans="1:2" x14ac:dyDescent="0.25">
      <c r="A87" s="7" t="s">
        <v>57</v>
      </c>
    </row>
    <row r="89" spans="1:2" x14ac:dyDescent="0.25">
      <c r="A89" s="172"/>
      <c r="B89" s="7" t="s">
        <v>58</v>
      </c>
    </row>
  </sheetData>
  <mergeCells count="17">
    <mergeCell ref="B70:D70"/>
    <mergeCell ref="D19:D20"/>
    <mergeCell ref="N19:N20"/>
    <mergeCell ref="O19:O20"/>
    <mergeCell ref="B63:D63"/>
    <mergeCell ref="B64:D64"/>
    <mergeCell ref="B69:D69"/>
    <mergeCell ref="D12:O12"/>
    <mergeCell ref="F18:H18"/>
    <mergeCell ref="N1:O1"/>
    <mergeCell ref="N2:O2"/>
    <mergeCell ref="N5:O5"/>
    <mergeCell ref="B8:O8"/>
    <mergeCell ref="B9:O9"/>
    <mergeCell ref="J18:L18"/>
    <mergeCell ref="N18:O18"/>
    <mergeCell ref="N3:O3"/>
  </mergeCells>
  <dataValidations count="4">
    <dataValidation type="list" allowBlank="1" showInputMessage="1" showErrorMessage="1" sqref="E47:E48 E50:E56 E59 E38:E45 E21:E36">
      <formula1>#REF!</formula1>
    </dataValidation>
    <dataValidation type="list" allowBlank="1" showInputMessage="1" showErrorMessage="1" prompt="Select Charge Unit - monthly, per kWh, per kW" sqref="D47:D48 D65 D71 D50:D59 D38:D45 D21:D36">
      <formula1>"Monthly, per kWh, per kW"</formula1>
    </dataValidation>
    <dataValidation type="list" allowBlank="1" showInputMessage="1" showErrorMessage="1" sqref="E71 E65 E57:E58">
      <formula1>#REF!</formula1>
    </dataValidation>
    <dataValidation type="list" allowBlank="1" showInputMessage="1" showErrorMessage="1" sqref="D14">
      <formula1>"TOU, non-TOU"</formula1>
    </dataValidation>
  </dataValidations>
  <pageMargins left="0.7" right="0.7" top="0.75" bottom="0.75" header="0.3" footer="0.3"/>
  <pageSetup scale="59" orientation="portrait"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T88"/>
  <sheetViews>
    <sheetView showGridLines="0" topLeftCell="B16" zoomScaleNormal="100" workbookViewId="0">
      <selection activeCell="J38" sqref="J38:J42"/>
    </sheetView>
  </sheetViews>
  <sheetFormatPr defaultColWidth="9.140625" defaultRowHeight="15" x14ac:dyDescent="0.25"/>
  <cols>
    <col min="1" max="1" width="2.140625" style="7" customWidth="1"/>
    <col min="2" max="2" width="44.5703125" style="7" customWidth="1"/>
    <col min="3" max="3" width="1.28515625" style="7" customWidth="1"/>
    <col min="4" max="4" width="11.28515625" style="7" customWidth="1"/>
    <col min="5" max="5" width="1.28515625" style="7" customWidth="1"/>
    <col min="6" max="6" width="12.28515625" style="7" customWidth="1"/>
    <col min="7" max="7" width="8.5703125" style="7" customWidth="1"/>
    <col min="8" max="8" width="11.5703125" style="7" bestFit="1" customWidth="1"/>
    <col min="9" max="9" width="2.85546875" style="7" customWidth="1"/>
    <col min="10" max="10" width="12.140625" style="7" customWidth="1"/>
    <col min="11" max="11" width="8.5703125" style="7" customWidth="1"/>
    <col min="12" max="12" width="11.5703125" style="7" bestFit="1" customWidth="1"/>
    <col min="13" max="13" width="2.85546875" style="7" customWidth="1"/>
    <col min="14" max="14" width="12.7109375" style="7" bestFit="1" customWidth="1"/>
    <col min="15" max="15" width="10.85546875" style="7" bestFit="1" customWidth="1"/>
    <col min="16" max="16" width="10.140625" style="7" customWidth="1"/>
    <col min="17" max="19" width="9.140625" style="7"/>
    <col min="20" max="20" width="9.140625" style="7" customWidth="1"/>
    <col min="21" max="16384" width="9.140625" style="7"/>
  </cols>
  <sheetData>
    <row r="1" spans="1:20" s="2" customFormat="1" ht="22.9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3" t="s">
        <v>0</v>
      </c>
      <c r="N1" s="368" t="s">
        <v>94</v>
      </c>
      <c r="O1" s="368"/>
      <c r="P1" s="192"/>
      <c r="T1" s="2">
        <v>1</v>
      </c>
    </row>
    <row r="2" spans="1:20" s="2" customFormat="1" ht="17.45" x14ac:dyDescent="0.3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3" t="s">
        <v>95</v>
      </c>
      <c r="N2" s="369">
        <v>8</v>
      </c>
      <c r="O2" s="369"/>
      <c r="P2" s="193"/>
    </row>
    <row r="3" spans="1:20" s="2" customFormat="1" ht="15.6" x14ac:dyDescent="0.3">
      <c r="C3" s="6"/>
      <c r="D3" s="6"/>
      <c r="E3" s="6"/>
      <c r="L3" s="3" t="s">
        <v>96</v>
      </c>
      <c r="N3" s="370" t="s">
        <v>97</v>
      </c>
      <c r="O3" s="370"/>
      <c r="P3" s="192"/>
    </row>
    <row r="4" spans="1:20" s="2" customFormat="1" ht="14.45" x14ac:dyDescent="0.3">
      <c r="L4" s="3"/>
      <c r="N4" s="310"/>
      <c r="O4"/>
      <c r="P4" s="194"/>
    </row>
    <row r="5" spans="1:20" s="2" customFormat="1" ht="14.45" x14ac:dyDescent="0.3">
      <c r="L5" s="3" t="s">
        <v>76</v>
      </c>
      <c r="N5" s="387">
        <v>42124</v>
      </c>
      <c r="O5" s="387"/>
      <c r="P5" s="195"/>
    </row>
    <row r="6" spans="1:20" s="2" customFormat="1" ht="14.45" x14ac:dyDescent="0.3">
      <c r="N6" s="7"/>
      <c r="O6"/>
      <c r="P6"/>
    </row>
    <row r="7" spans="1:20" ht="14.45" x14ac:dyDescent="0.3">
      <c r="L7"/>
      <c r="M7"/>
      <c r="N7"/>
      <c r="O7"/>
      <c r="P7"/>
    </row>
    <row r="8" spans="1:20" ht="17.45" x14ac:dyDescent="0.3">
      <c r="B8" s="367" t="s">
        <v>1</v>
      </c>
      <c r="C8" s="367"/>
      <c r="D8" s="367"/>
      <c r="E8" s="367"/>
      <c r="F8" s="367"/>
      <c r="G8" s="367"/>
      <c r="H8" s="367"/>
      <c r="I8" s="367"/>
      <c r="J8" s="367"/>
      <c r="K8" s="367"/>
      <c r="L8" s="367"/>
      <c r="M8" s="367"/>
      <c r="N8" s="367"/>
      <c r="O8" s="367"/>
      <c r="P8"/>
    </row>
    <row r="9" spans="1:20" ht="17.45" x14ac:dyDescent="0.3">
      <c r="B9" s="367" t="s">
        <v>2</v>
      </c>
      <c r="C9" s="367"/>
      <c r="D9" s="367"/>
      <c r="E9" s="367"/>
      <c r="F9" s="367"/>
      <c r="G9" s="367"/>
      <c r="H9" s="367"/>
      <c r="I9" s="367"/>
      <c r="J9" s="367"/>
      <c r="K9" s="367"/>
      <c r="L9" s="367"/>
      <c r="M9" s="367"/>
      <c r="N9" s="367"/>
      <c r="O9" s="367"/>
      <c r="P9"/>
    </row>
    <row r="10" spans="1:20" ht="14.45" x14ac:dyDescent="0.3">
      <c r="L10"/>
      <c r="M10"/>
      <c r="N10"/>
      <c r="O10"/>
      <c r="P10"/>
    </row>
    <row r="11" spans="1:20" ht="14.45" x14ac:dyDescent="0.3">
      <c r="L11"/>
      <c r="M11"/>
      <c r="N11"/>
      <c r="O11"/>
      <c r="P11"/>
    </row>
    <row r="12" spans="1:20" ht="15.6" x14ac:dyDescent="0.3">
      <c r="B12" s="8" t="s">
        <v>3</v>
      </c>
      <c r="D12" s="386" t="s">
        <v>91</v>
      </c>
      <c r="E12" s="386"/>
      <c r="F12" s="386"/>
      <c r="G12" s="386"/>
      <c r="H12" s="386"/>
      <c r="I12" s="386"/>
      <c r="J12" s="386"/>
      <c r="K12" s="386"/>
      <c r="L12" s="386"/>
      <c r="M12" s="386"/>
      <c r="N12" s="386"/>
      <c r="O12" s="386"/>
    </row>
    <row r="13" spans="1:20" ht="15.6" x14ac:dyDescent="0.3">
      <c r="B13" s="9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</row>
    <row r="14" spans="1:20" ht="15.6" x14ac:dyDescent="0.3">
      <c r="B14" s="8" t="s">
        <v>4</v>
      </c>
      <c r="D14" s="11" t="s">
        <v>68</v>
      </c>
      <c r="E14" s="10"/>
      <c r="F14" s="10"/>
      <c r="G14" s="10"/>
      <c r="H14" s="10"/>
      <c r="I14" s="10"/>
      <c r="J14" s="278"/>
      <c r="K14" s="10"/>
      <c r="L14" s="10"/>
      <c r="M14" s="10"/>
      <c r="N14" s="10"/>
      <c r="O14" s="10"/>
    </row>
    <row r="15" spans="1:20" ht="15.6" x14ac:dyDescent="0.3">
      <c r="B15" s="9"/>
      <c r="D15" s="10"/>
      <c r="E15" s="10"/>
      <c r="F15" s="10"/>
      <c r="G15" s="10"/>
      <c r="H15" s="10"/>
      <c r="I15" s="10"/>
      <c r="J15" s="278"/>
      <c r="K15" s="10"/>
      <c r="L15" s="10"/>
      <c r="M15" s="10"/>
      <c r="N15" s="10"/>
      <c r="O15" s="10"/>
    </row>
    <row r="16" spans="1:20" ht="14.45" x14ac:dyDescent="0.3">
      <c r="B16" s="12"/>
      <c r="D16" s="13" t="s">
        <v>6</v>
      </c>
      <c r="E16" s="13"/>
      <c r="F16" s="14">
        <v>20000</v>
      </c>
      <c r="G16" s="13" t="s">
        <v>7</v>
      </c>
      <c r="H16" s="14">
        <v>60</v>
      </c>
      <c r="I16" s="13" t="s">
        <v>69</v>
      </c>
      <c r="J16" s="280"/>
    </row>
    <row r="17" spans="2:15" ht="14.45" x14ac:dyDescent="0.3">
      <c r="B17" s="12"/>
      <c r="F17" s="281"/>
      <c r="G17" s="34"/>
      <c r="H17" s="34"/>
      <c r="J17" s="281"/>
    </row>
    <row r="18" spans="2:15" ht="14.45" x14ac:dyDescent="0.3">
      <c r="B18" s="12"/>
      <c r="D18" s="15"/>
      <c r="E18" s="15"/>
      <c r="F18" s="373" t="s">
        <v>8</v>
      </c>
      <c r="G18" s="374"/>
      <c r="H18" s="375"/>
      <c r="J18" s="373" t="s">
        <v>9</v>
      </c>
      <c r="K18" s="374"/>
      <c r="L18" s="375"/>
      <c r="N18" s="373" t="s">
        <v>10</v>
      </c>
      <c r="O18" s="375"/>
    </row>
    <row r="19" spans="2:15" x14ac:dyDescent="0.25">
      <c r="B19" s="12"/>
      <c r="D19" s="377" t="s">
        <v>11</v>
      </c>
      <c r="E19" s="16"/>
      <c r="F19" s="17" t="s">
        <v>12</v>
      </c>
      <c r="G19" s="17" t="s">
        <v>13</v>
      </c>
      <c r="H19" s="18" t="s">
        <v>14</v>
      </c>
      <c r="J19" s="17" t="s">
        <v>12</v>
      </c>
      <c r="K19" s="19" t="s">
        <v>13</v>
      </c>
      <c r="L19" s="18" t="s">
        <v>14</v>
      </c>
      <c r="N19" s="379" t="s">
        <v>15</v>
      </c>
      <c r="O19" s="381" t="s">
        <v>16</v>
      </c>
    </row>
    <row r="20" spans="2:15" x14ac:dyDescent="0.25">
      <c r="B20" s="12"/>
      <c r="D20" s="378"/>
      <c r="E20" s="16"/>
      <c r="F20" s="20" t="s">
        <v>17</v>
      </c>
      <c r="G20" s="20"/>
      <c r="H20" s="21" t="s">
        <v>17</v>
      </c>
      <c r="J20" s="20" t="s">
        <v>17</v>
      </c>
      <c r="K20" s="21"/>
      <c r="L20" s="21" t="s">
        <v>17</v>
      </c>
      <c r="N20" s="380"/>
      <c r="O20" s="382"/>
    </row>
    <row r="21" spans="2:15" x14ac:dyDescent="0.25">
      <c r="B21" s="22" t="s">
        <v>18</v>
      </c>
      <c r="C21" s="22"/>
      <c r="D21" s="23" t="s">
        <v>60</v>
      </c>
      <c r="E21" s="24"/>
      <c r="F21" s="174">
        <v>119.38</v>
      </c>
      <c r="G21" s="26">
        <v>1</v>
      </c>
      <c r="H21" s="27">
        <f>G21*F21</f>
        <v>119.38</v>
      </c>
      <c r="I21" s="28"/>
      <c r="J21" s="283">
        <v>119.38</v>
      </c>
      <c r="K21" s="30">
        <v>1</v>
      </c>
      <c r="L21" s="27">
        <f>K21*J21</f>
        <v>119.38</v>
      </c>
      <c r="M21" s="28"/>
      <c r="N21" s="31">
        <f>L21-H21</f>
        <v>0</v>
      </c>
      <c r="O21" s="32">
        <f>IF((H21)=0,"",(N21/H21))</f>
        <v>0</v>
      </c>
    </row>
    <row r="22" spans="2:15" x14ac:dyDescent="0.25">
      <c r="B22" s="296" t="s">
        <v>88</v>
      </c>
      <c r="C22" s="22"/>
      <c r="D22" s="56" t="s">
        <v>70</v>
      </c>
      <c r="E22" s="24"/>
      <c r="F22" s="173"/>
      <c r="G22" s="179">
        <f>+$H$16</f>
        <v>60</v>
      </c>
      <c r="H22" s="27">
        <f t="shared" ref="H22:H36" si="0">G22*F22</f>
        <v>0</v>
      </c>
      <c r="I22" s="28"/>
      <c r="J22" s="263">
        <v>0.25519999999999998</v>
      </c>
      <c r="K22" s="262">
        <f>+$H$16</f>
        <v>60</v>
      </c>
      <c r="L22" s="27">
        <f>K22*J22</f>
        <v>15.311999999999999</v>
      </c>
      <c r="M22" s="28"/>
      <c r="N22" s="31">
        <f>L22-H22</f>
        <v>15.311999999999999</v>
      </c>
      <c r="O22" s="32" t="str">
        <f>IF((H22)=0,"",(N22/H22))</f>
        <v/>
      </c>
    </row>
    <row r="23" spans="2:15" x14ac:dyDescent="0.25">
      <c r="B23" s="297"/>
      <c r="C23" s="22"/>
      <c r="D23" s="56" t="s">
        <v>60</v>
      </c>
      <c r="E23" s="57"/>
      <c r="F23" s="173"/>
      <c r="G23" s="26">
        <v>1</v>
      </c>
      <c r="H23" s="27">
        <f t="shared" si="0"/>
        <v>0</v>
      </c>
      <c r="I23" s="28"/>
      <c r="J23" s="263"/>
      <c r="K23" s="30">
        <v>1</v>
      </c>
      <c r="L23" s="27">
        <f t="shared" ref="L23:L36" si="1">K23*J23</f>
        <v>0</v>
      </c>
      <c r="M23" s="28"/>
      <c r="N23" s="31">
        <f t="shared" ref="N23:N37" si="2">L23-H23</f>
        <v>0</v>
      </c>
      <c r="O23" s="32" t="str">
        <f t="shared" ref="O23:O37" si="3">IF((H23)=0,"",(N23/H23))</f>
        <v/>
      </c>
    </row>
    <row r="24" spans="2:15" x14ac:dyDescent="0.25">
      <c r="B24" s="297"/>
      <c r="C24" s="22"/>
      <c r="D24" s="56" t="s">
        <v>60</v>
      </c>
      <c r="E24" s="24"/>
      <c r="F24" s="25"/>
      <c r="G24" s="26">
        <v>1</v>
      </c>
      <c r="H24" s="27">
        <f t="shared" si="0"/>
        <v>0</v>
      </c>
      <c r="I24" s="28"/>
      <c r="J24" s="283"/>
      <c r="K24" s="30">
        <v>1</v>
      </c>
      <c r="L24" s="27">
        <f t="shared" si="1"/>
        <v>0</v>
      </c>
      <c r="M24" s="28"/>
      <c r="N24" s="31">
        <f t="shared" si="2"/>
        <v>0</v>
      </c>
      <c r="O24" s="32" t="str">
        <f t="shared" si="3"/>
        <v/>
      </c>
    </row>
    <row r="25" spans="2:15" x14ac:dyDescent="0.25">
      <c r="B25" s="296" t="s">
        <v>65</v>
      </c>
      <c r="C25" s="22"/>
      <c r="D25" s="23" t="s">
        <v>70</v>
      </c>
      <c r="E25" s="24"/>
      <c r="F25" s="25">
        <v>-9.9000000000000008E-3</v>
      </c>
      <c r="G25" s="179">
        <f>+$H$16</f>
        <v>60</v>
      </c>
      <c r="H25" s="27">
        <f t="shared" si="0"/>
        <v>-0.59400000000000008</v>
      </c>
      <c r="I25" s="28"/>
      <c r="J25" s="263">
        <v>-9.9000000000000008E-3</v>
      </c>
      <c r="K25" s="179">
        <f>$H$16</f>
        <v>60</v>
      </c>
      <c r="L25" s="27">
        <f t="shared" si="1"/>
        <v>-0.59400000000000008</v>
      </c>
      <c r="M25" s="28"/>
      <c r="N25" s="31">
        <f t="shared" si="2"/>
        <v>0</v>
      </c>
      <c r="O25" s="32">
        <f t="shared" si="3"/>
        <v>0</v>
      </c>
    </row>
    <row r="26" spans="2:15" x14ac:dyDescent="0.25">
      <c r="B26" s="296" t="s">
        <v>66</v>
      </c>
      <c r="C26" s="22"/>
      <c r="D26" s="23" t="s">
        <v>70</v>
      </c>
      <c r="E26" s="24"/>
      <c r="F26" s="25"/>
      <c r="G26" s="179">
        <f>$H$16</f>
        <v>60</v>
      </c>
      <c r="H26" s="27">
        <f t="shared" si="0"/>
        <v>0</v>
      </c>
      <c r="I26" s="28"/>
      <c r="J26" s="263">
        <v>-0.63949999999999996</v>
      </c>
      <c r="K26" s="179">
        <f>$H$16</f>
        <v>60</v>
      </c>
      <c r="L26" s="27">
        <f t="shared" si="1"/>
        <v>-38.369999999999997</v>
      </c>
      <c r="M26" s="28"/>
      <c r="N26" s="31">
        <f t="shared" si="2"/>
        <v>-38.369999999999997</v>
      </c>
      <c r="O26" s="32" t="str">
        <f t="shared" si="3"/>
        <v/>
      </c>
    </row>
    <row r="27" spans="2:15" x14ac:dyDescent="0.25">
      <c r="B27" s="22" t="s">
        <v>19</v>
      </c>
      <c r="C27" s="22"/>
      <c r="D27" s="23" t="s">
        <v>70</v>
      </c>
      <c r="E27" s="24"/>
      <c r="F27" s="25">
        <v>4.7394999999999996</v>
      </c>
      <c r="G27" s="179">
        <f>$H$16</f>
        <v>60</v>
      </c>
      <c r="H27" s="27">
        <f t="shared" si="0"/>
        <v>284.37</v>
      </c>
      <c r="I27" s="28"/>
      <c r="J27" s="263">
        <v>5.1045999999999996</v>
      </c>
      <c r="K27" s="179">
        <f>$H$16</f>
        <v>60</v>
      </c>
      <c r="L27" s="27">
        <f t="shared" si="1"/>
        <v>306.27599999999995</v>
      </c>
      <c r="M27" s="28"/>
      <c r="N27" s="31">
        <f t="shared" si="2"/>
        <v>21.905999999999949</v>
      </c>
      <c r="O27" s="32">
        <f t="shared" si="3"/>
        <v>7.7033442346238878E-2</v>
      </c>
    </row>
    <row r="28" spans="2:15" x14ac:dyDescent="0.25">
      <c r="B28" s="22" t="s">
        <v>20</v>
      </c>
      <c r="C28" s="22"/>
      <c r="D28" s="23"/>
      <c r="E28" s="24"/>
      <c r="F28" s="25"/>
      <c r="G28" s="26">
        <f>$F$16</f>
        <v>20000</v>
      </c>
      <c r="H28" s="27">
        <f t="shared" si="0"/>
        <v>0</v>
      </c>
      <c r="I28" s="28"/>
      <c r="J28" s="29"/>
      <c r="K28" s="26">
        <f t="shared" ref="K28:K36" si="4">$F$16</f>
        <v>20000</v>
      </c>
      <c r="L28" s="27">
        <f t="shared" si="1"/>
        <v>0</v>
      </c>
      <c r="M28" s="28"/>
      <c r="N28" s="31">
        <f t="shared" si="2"/>
        <v>0</v>
      </c>
      <c r="O28" s="32" t="str">
        <f t="shared" si="3"/>
        <v/>
      </c>
    </row>
    <row r="29" spans="2:15" x14ac:dyDescent="0.25">
      <c r="B29" s="22" t="s">
        <v>21</v>
      </c>
      <c r="C29" s="22"/>
      <c r="D29" s="23"/>
      <c r="E29" s="24"/>
      <c r="F29" s="25"/>
      <c r="G29" s="26">
        <f>$F$16</f>
        <v>20000</v>
      </c>
      <c r="H29" s="27">
        <f t="shared" si="0"/>
        <v>0</v>
      </c>
      <c r="I29" s="28"/>
      <c r="J29" s="29"/>
      <c r="K29" s="26">
        <f t="shared" si="4"/>
        <v>20000</v>
      </c>
      <c r="L29" s="27">
        <f t="shared" si="1"/>
        <v>0</v>
      </c>
      <c r="M29" s="28"/>
      <c r="N29" s="31">
        <f t="shared" si="2"/>
        <v>0</v>
      </c>
      <c r="O29" s="32" t="str">
        <f t="shared" si="3"/>
        <v/>
      </c>
    </row>
    <row r="30" spans="2:15" x14ac:dyDescent="0.25">
      <c r="B30" s="33"/>
      <c r="C30" s="22"/>
      <c r="D30" s="23"/>
      <c r="E30" s="24"/>
      <c r="F30" s="25"/>
      <c r="G30" s="26">
        <f t="shared" ref="G30:G36" si="5">$F$16</f>
        <v>20000</v>
      </c>
      <c r="H30" s="27">
        <f t="shared" si="0"/>
        <v>0</v>
      </c>
      <c r="I30" s="28"/>
      <c r="J30" s="29"/>
      <c r="K30" s="26">
        <f t="shared" si="4"/>
        <v>20000</v>
      </c>
      <c r="L30" s="27">
        <f t="shared" si="1"/>
        <v>0</v>
      </c>
      <c r="M30" s="28"/>
      <c r="N30" s="31">
        <f t="shared" si="2"/>
        <v>0</v>
      </c>
      <c r="O30" s="32" t="str">
        <f t="shared" si="3"/>
        <v/>
      </c>
    </row>
    <row r="31" spans="2:15" x14ac:dyDescent="0.25">
      <c r="B31" s="33"/>
      <c r="C31" s="22"/>
      <c r="D31" s="23"/>
      <c r="E31" s="24"/>
      <c r="F31" s="25"/>
      <c r="G31" s="26">
        <f t="shared" si="5"/>
        <v>20000</v>
      </c>
      <c r="H31" s="27">
        <f t="shared" si="0"/>
        <v>0</v>
      </c>
      <c r="I31" s="28"/>
      <c r="J31" s="29"/>
      <c r="K31" s="26">
        <f t="shared" si="4"/>
        <v>20000</v>
      </c>
      <c r="L31" s="27">
        <f t="shared" si="1"/>
        <v>0</v>
      </c>
      <c r="M31" s="28"/>
      <c r="N31" s="31">
        <f t="shared" si="2"/>
        <v>0</v>
      </c>
      <c r="O31" s="32" t="str">
        <f t="shared" si="3"/>
        <v/>
      </c>
    </row>
    <row r="32" spans="2:15" x14ac:dyDescent="0.25">
      <c r="B32" s="33"/>
      <c r="C32" s="22"/>
      <c r="D32" s="23"/>
      <c r="E32" s="24"/>
      <c r="F32" s="25"/>
      <c r="G32" s="26">
        <f t="shared" si="5"/>
        <v>20000</v>
      </c>
      <c r="H32" s="27">
        <f t="shared" si="0"/>
        <v>0</v>
      </c>
      <c r="I32" s="28"/>
      <c r="J32" s="29"/>
      <c r="K32" s="26">
        <f t="shared" si="4"/>
        <v>20000</v>
      </c>
      <c r="L32" s="27">
        <f t="shared" si="1"/>
        <v>0</v>
      </c>
      <c r="M32" s="28"/>
      <c r="N32" s="31">
        <f t="shared" si="2"/>
        <v>0</v>
      </c>
      <c r="O32" s="32" t="str">
        <f t="shared" si="3"/>
        <v/>
      </c>
    </row>
    <row r="33" spans="2:17" x14ac:dyDescent="0.25">
      <c r="B33" s="33"/>
      <c r="C33" s="22"/>
      <c r="D33" s="23"/>
      <c r="E33" s="24"/>
      <c r="F33" s="25"/>
      <c r="G33" s="26">
        <f t="shared" si="5"/>
        <v>20000</v>
      </c>
      <c r="H33" s="27">
        <f t="shared" si="0"/>
        <v>0</v>
      </c>
      <c r="I33" s="28"/>
      <c r="J33" s="29"/>
      <c r="K33" s="26">
        <f t="shared" si="4"/>
        <v>20000</v>
      </c>
      <c r="L33" s="27">
        <f t="shared" si="1"/>
        <v>0</v>
      </c>
      <c r="M33" s="28"/>
      <c r="N33" s="31">
        <f t="shared" si="2"/>
        <v>0</v>
      </c>
      <c r="O33" s="32" t="str">
        <f t="shared" si="3"/>
        <v/>
      </c>
    </row>
    <row r="34" spans="2:17" x14ac:dyDescent="0.25">
      <c r="B34" s="33"/>
      <c r="C34" s="22"/>
      <c r="D34" s="23"/>
      <c r="E34" s="24"/>
      <c r="F34" s="25"/>
      <c r="G34" s="26">
        <f t="shared" si="5"/>
        <v>20000</v>
      </c>
      <c r="H34" s="27">
        <f t="shared" si="0"/>
        <v>0</v>
      </c>
      <c r="I34" s="28"/>
      <c r="J34" s="29"/>
      <c r="K34" s="26">
        <f t="shared" si="4"/>
        <v>20000</v>
      </c>
      <c r="L34" s="27">
        <f t="shared" si="1"/>
        <v>0</v>
      </c>
      <c r="M34" s="28"/>
      <c r="N34" s="31">
        <f t="shared" si="2"/>
        <v>0</v>
      </c>
      <c r="O34" s="32" t="str">
        <f t="shared" si="3"/>
        <v/>
      </c>
    </row>
    <row r="35" spans="2:17" x14ac:dyDescent="0.25">
      <c r="B35" s="33"/>
      <c r="C35" s="22"/>
      <c r="D35" s="23"/>
      <c r="E35" s="24"/>
      <c r="F35" s="25"/>
      <c r="G35" s="26">
        <f t="shared" si="5"/>
        <v>20000</v>
      </c>
      <c r="H35" s="27">
        <f t="shared" si="0"/>
        <v>0</v>
      </c>
      <c r="I35" s="28"/>
      <c r="J35" s="29"/>
      <c r="K35" s="26">
        <f t="shared" si="4"/>
        <v>20000</v>
      </c>
      <c r="L35" s="27">
        <f t="shared" si="1"/>
        <v>0</v>
      </c>
      <c r="M35" s="28"/>
      <c r="N35" s="31">
        <f t="shared" si="2"/>
        <v>0</v>
      </c>
      <c r="O35" s="32" t="str">
        <f t="shared" si="3"/>
        <v/>
      </c>
    </row>
    <row r="36" spans="2:17" x14ac:dyDescent="0.25">
      <c r="B36" s="33"/>
      <c r="C36" s="22"/>
      <c r="D36" s="23"/>
      <c r="E36" s="24"/>
      <c r="F36" s="25"/>
      <c r="G36" s="26">
        <f t="shared" si="5"/>
        <v>20000</v>
      </c>
      <c r="H36" s="27">
        <f t="shared" si="0"/>
        <v>0</v>
      </c>
      <c r="I36" s="28"/>
      <c r="J36" s="29"/>
      <c r="K36" s="26">
        <f t="shared" si="4"/>
        <v>20000</v>
      </c>
      <c r="L36" s="27">
        <f t="shared" si="1"/>
        <v>0</v>
      </c>
      <c r="M36" s="28"/>
      <c r="N36" s="31">
        <f t="shared" si="2"/>
        <v>0</v>
      </c>
      <c r="O36" s="32" t="str">
        <f t="shared" si="3"/>
        <v/>
      </c>
    </row>
    <row r="37" spans="2:17" s="34" customFormat="1" x14ac:dyDescent="0.25">
      <c r="B37" s="35" t="s">
        <v>22</v>
      </c>
      <c r="C37" s="36"/>
      <c r="D37" s="37"/>
      <c r="E37" s="36"/>
      <c r="F37" s="38"/>
      <c r="G37" s="39"/>
      <c r="H37" s="40">
        <f>SUM(H21:H36)</f>
        <v>403.15600000000001</v>
      </c>
      <c r="I37" s="41"/>
      <c r="J37" s="42"/>
      <c r="K37" s="43"/>
      <c r="L37" s="40">
        <f>SUM(L21:L36)</f>
        <v>402.00399999999996</v>
      </c>
      <c r="M37" s="41"/>
      <c r="N37" s="44">
        <f t="shared" si="2"/>
        <v>-1.1520000000000437</v>
      </c>
      <c r="O37" s="45">
        <f t="shared" si="3"/>
        <v>-2.857454682554752E-3</v>
      </c>
    </row>
    <row r="38" spans="2:17" x14ac:dyDescent="0.25">
      <c r="B38" s="296" t="s">
        <v>23</v>
      </c>
      <c r="C38" s="22"/>
      <c r="D38" s="56" t="s">
        <v>70</v>
      </c>
      <c r="E38" s="57"/>
      <c r="F38" s="29">
        <v>-0.6502</v>
      </c>
      <c r="G38" s="179">
        <f>G27</f>
        <v>60</v>
      </c>
      <c r="H38" s="27">
        <f t="shared" ref="H38:H44" si="6">G38*F38</f>
        <v>-39.012</v>
      </c>
      <c r="I38" s="28"/>
      <c r="J38" s="263">
        <f>0.772-0.6502</f>
        <v>0.12180000000000002</v>
      </c>
      <c r="K38" s="179">
        <f>H16</f>
        <v>60</v>
      </c>
      <c r="L38" s="27">
        <f t="shared" ref="L38:L44" si="7">K38*J38</f>
        <v>7.3080000000000016</v>
      </c>
      <c r="M38" s="28"/>
      <c r="N38" s="31">
        <f t="shared" ref="N38:N44" si="8">L38-H38</f>
        <v>46.32</v>
      </c>
      <c r="O38" s="32">
        <f t="shared" ref="O38:O43" si="9">IF((H38)=0,"",(N38/H38))</f>
        <v>-1.1873269763149801</v>
      </c>
    </row>
    <row r="39" spans="2:17" x14ac:dyDescent="0.25">
      <c r="B39" s="296"/>
      <c r="C39" s="22"/>
      <c r="D39" s="23" t="s">
        <v>70</v>
      </c>
      <c r="E39" s="24"/>
      <c r="F39" s="25"/>
      <c r="G39" s="179">
        <f>H16</f>
        <v>60</v>
      </c>
      <c r="H39" s="27">
        <f t="shared" si="6"/>
        <v>0</v>
      </c>
      <c r="I39" s="47"/>
      <c r="J39" s="263"/>
      <c r="K39" s="179">
        <f>H16</f>
        <v>60</v>
      </c>
      <c r="L39" s="27">
        <f t="shared" si="7"/>
        <v>0</v>
      </c>
      <c r="M39" s="48"/>
      <c r="N39" s="31">
        <f t="shared" si="8"/>
        <v>0</v>
      </c>
      <c r="O39" s="32" t="str">
        <f t="shared" si="9"/>
        <v/>
      </c>
    </row>
    <row r="40" spans="2:17" x14ac:dyDescent="0.25">
      <c r="B40" s="46"/>
      <c r="C40" s="22"/>
      <c r="D40" s="23" t="s">
        <v>70</v>
      </c>
      <c r="E40" s="24"/>
      <c r="F40" s="25"/>
      <c r="G40" s="179">
        <f>H16</f>
        <v>60</v>
      </c>
      <c r="H40" s="27">
        <f t="shared" si="6"/>
        <v>0</v>
      </c>
      <c r="I40" s="47"/>
      <c r="J40" s="263"/>
      <c r="K40" s="179">
        <f>H16</f>
        <v>60</v>
      </c>
      <c r="L40" s="27">
        <f t="shared" si="7"/>
        <v>0</v>
      </c>
      <c r="M40" s="48"/>
      <c r="N40" s="31">
        <f t="shared" si="8"/>
        <v>0</v>
      </c>
      <c r="O40" s="32" t="str">
        <f t="shared" si="9"/>
        <v/>
      </c>
    </row>
    <row r="41" spans="2:17" ht="32.25" customHeight="1" x14ac:dyDescent="0.25">
      <c r="B41" s="296" t="s">
        <v>74</v>
      </c>
      <c r="C41" s="22"/>
      <c r="D41" s="56" t="s">
        <v>70</v>
      </c>
      <c r="E41" s="24"/>
      <c r="F41" s="29">
        <v>0.26750000000000002</v>
      </c>
      <c r="G41" s="179">
        <f>H16</f>
        <v>60</v>
      </c>
      <c r="H41" s="27">
        <f t="shared" si="6"/>
        <v>16.05</v>
      </c>
      <c r="I41" s="47"/>
      <c r="J41" s="263">
        <f>1.2659+0.2675</f>
        <v>1.5334000000000001</v>
      </c>
      <c r="K41" s="179">
        <f>H16</f>
        <v>60</v>
      </c>
      <c r="L41" s="27">
        <f t="shared" si="7"/>
        <v>92.004000000000005</v>
      </c>
      <c r="M41" s="48"/>
      <c r="N41" s="31">
        <f t="shared" si="8"/>
        <v>75.954000000000008</v>
      </c>
      <c r="O41" s="32">
        <f t="shared" si="9"/>
        <v>4.7323364485981312</v>
      </c>
    </row>
    <row r="42" spans="2:17" x14ac:dyDescent="0.25">
      <c r="B42" s="49" t="s">
        <v>24</v>
      </c>
      <c r="C42" s="22"/>
      <c r="D42" s="23" t="s">
        <v>70</v>
      </c>
      <c r="E42" s="24"/>
      <c r="F42" s="25">
        <v>5.5100000000000003E-2</v>
      </c>
      <c r="G42" s="179">
        <f>H16</f>
        <v>60</v>
      </c>
      <c r="H42" s="27">
        <f t="shared" si="6"/>
        <v>3.306</v>
      </c>
      <c r="I42" s="28"/>
      <c r="J42" s="29">
        <v>7.3800000000000004E-2</v>
      </c>
      <c r="K42" s="179">
        <f>H16</f>
        <v>60</v>
      </c>
      <c r="L42" s="27">
        <f t="shared" si="7"/>
        <v>4.4279999999999999</v>
      </c>
      <c r="M42" s="28"/>
      <c r="N42" s="31">
        <f t="shared" si="8"/>
        <v>1.1219999999999999</v>
      </c>
      <c r="O42" s="32">
        <f t="shared" si="9"/>
        <v>0.33938294010889286</v>
      </c>
    </row>
    <row r="43" spans="2:17" s="34" customFormat="1" x14ac:dyDescent="0.25">
      <c r="B43" s="181" t="s">
        <v>25</v>
      </c>
      <c r="C43" s="24"/>
      <c r="D43" s="182" t="s">
        <v>61</v>
      </c>
      <c r="E43" s="24"/>
      <c r="F43" s="342">
        <f>+F53</f>
        <v>0.10186000000000001</v>
      </c>
      <c r="G43" s="26">
        <f>$F$16*(1+$F$72)-$F$16</f>
        <v>808</v>
      </c>
      <c r="H43" s="184">
        <f t="shared" si="6"/>
        <v>82.302880000000002</v>
      </c>
      <c r="I43" s="57"/>
      <c r="J43" s="341">
        <f>+J53</f>
        <v>0.10186000000000001</v>
      </c>
      <c r="K43" s="26">
        <f>$F$16*(1+$J$72)-$F$16</f>
        <v>724</v>
      </c>
      <c r="L43" s="184">
        <f t="shared" si="7"/>
        <v>73.746639999999999</v>
      </c>
      <c r="M43" s="57"/>
      <c r="N43" s="186">
        <f t="shared" si="8"/>
        <v>-8.5562400000000025</v>
      </c>
      <c r="O43" s="187">
        <f t="shared" si="9"/>
        <v>-0.10396039603960398</v>
      </c>
    </row>
    <row r="44" spans="2:17" ht="14.45" x14ac:dyDescent="0.3">
      <c r="B44" s="49"/>
      <c r="C44" s="22"/>
      <c r="D44" s="23" t="s">
        <v>60</v>
      </c>
      <c r="E44" s="24"/>
      <c r="F44" s="178"/>
      <c r="G44" s="26">
        <v>0</v>
      </c>
      <c r="H44" s="27">
        <f t="shared" si="6"/>
        <v>0</v>
      </c>
      <c r="I44" s="28"/>
      <c r="J44" s="178"/>
      <c r="K44" s="26">
        <v>0</v>
      </c>
      <c r="L44" s="27">
        <f t="shared" si="7"/>
        <v>0</v>
      </c>
      <c r="M44" s="28"/>
      <c r="N44" s="31">
        <f t="shared" si="8"/>
        <v>0</v>
      </c>
      <c r="O44" s="32"/>
    </row>
    <row r="45" spans="2:17" ht="14.45" x14ac:dyDescent="0.3">
      <c r="B45" s="50" t="s">
        <v>27</v>
      </c>
      <c r="C45" s="51"/>
      <c r="D45" s="51"/>
      <c r="E45" s="51"/>
      <c r="F45" s="304"/>
      <c r="G45" s="53"/>
      <c r="H45" s="54">
        <f>SUM(H38:H44)+H37</f>
        <v>465.80288000000002</v>
      </c>
      <c r="I45" s="41"/>
      <c r="J45" s="53"/>
      <c r="K45" s="55"/>
      <c r="L45" s="54">
        <f>SUM(L38:L44)+L37</f>
        <v>579.49063999999998</v>
      </c>
      <c r="M45" s="41"/>
      <c r="N45" s="44">
        <f t="shared" ref="N45:N63" si="10">L45-H45</f>
        <v>113.68775999999997</v>
      </c>
      <c r="O45" s="45">
        <f t="shared" ref="O45:O63" si="11">IF((H45)=0,"",(N45/H45))</f>
        <v>0.24406839219199325</v>
      </c>
    </row>
    <row r="46" spans="2:17" ht="14.45" x14ac:dyDescent="0.3">
      <c r="B46" s="28" t="s">
        <v>28</v>
      </c>
      <c r="C46" s="28"/>
      <c r="D46" s="56" t="s">
        <v>70</v>
      </c>
      <c r="E46" s="57"/>
      <c r="F46" s="263">
        <v>2.8420999999999998</v>
      </c>
      <c r="G46" s="289">
        <f>H16</f>
        <v>60</v>
      </c>
      <c r="H46" s="27">
        <f>G46*F46</f>
        <v>170.52599999999998</v>
      </c>
      <c r="I46" s="28"/>
      <c r="J46" s="29">
        <v>2.7740999999999998</v>
      </c>
      <c r="K46" s="290">
        <f>+G46</f>
        <v>60</v>
      </c>
      <c r="L46" s="27">
        <f>K46*J46</f>
        <v>166.446</v>
      </c>
      <c r="M46" s="28"/>
      <c r="N46" s="31">
        <f t="shared" si="10"/>
        <v>-4.0799999999999841</v>
      </c>
      <c r="O46" s="32">
        <f t="shared" si="11"/>
        <v>-2.392597023327812E-2</v>
      </c>
      <c r="P46" s="34"/>
      <c r="Q46" s="34"/>
    </row>
    <row r="47" spans="2:17" ht="14.45" x14ac:dyDescent="0.3">
      <c r="B47" s="59" t="s">
        <v>29</v>
      </c>
      <c r="C47" s="28"/>
      <c r="D47" s="56" t="s">
        <v>70</v>
      </c>
      <c r="E47" s="57"/>
      <c r="F47" s="263">
        <v>0.8165</v>
      </c>
      <c r="G47" s="289">
        <f>G46</f>
        <v>60</v>
      </c>
      <c r="H47" s="27">
        <f>G47*F47</f>
        <v>48.99</v>
      </c>
      <c r="I47" s="28"/>
      <c r="J47" s="29">
        <v>0.80359999999999998</v>
      </c>
      <c r="K47" s="290">
        <f>K46</f>
        <v>60</v>
      </c>
      <c r="L47" s="27">
        <f>K47*J47</f>
        <v>48.216000000000001</v>
      </c>
      <c r="M47" s="28"/>
      <c r="N47" s="31">
        <f t="shared" si="10"/>
        <v>-0.77400000000000091</v>
      </c>
      <c r="O47" s="32">
        <f t="shared" si="11"/>
        <v>-1.5799142682180054E-2</v>
      </c>
      <c r="P47" s="34"/>
      <c r="Q47" s="34"/>
    </row>
    <row r="48" spans="2:17" ht="14.45" x14ac:dyDescent="0.3">
      <c r="B48" s="50" t="s">
        <v>30</v>
      </c>
      <c r="C48" s="36"/>
      <c r="D48" s="36"/>
      <c r="E48" s="36"/>
      <c r="F48" s="60"/>
      <c r="G48" s="306"/>
      <c r="H48" s="54">
        <f>SUM(H45:H47)</f>
        <v>685.31888000000004</v>
      </c>
      <c r="I48" s="61"/>
      <c r="J48" s="62"/>
      <c r="K48" s="294"/>
      <c r="L48" s="54">
        <f>SUM(L45:L47)</f>
        <v>794.15264000000002</v>
      </c>
      <c r="M48" s="61"/>
      <c r="N48" s="44">
        <f t="shared" si="10"/>
        <v>108.83375999999998</v>
      </c>
      <c r="O48" s="45">
        <f t="shared" si="11"/>
        <v>0.15880747368290798</v>
      </c>
    </row>
    <row r="49" spans="2:19" ht="14.45" x14ac:dyDescent="0.3">
      <c r="B49" s="64" t="s">
        <v>31</v>
      </c>
      <c r="C49" s="22"/>
      <c r="D49" s="23" t="s">
        <v>61</v>
      </c>
      <c r="E49" s="24"/>
      <c r="F49" s="65">
        <v>4.4000000000000003E-3</v>
      </c>
      <c r="G49" s="289">
        <f>F16*(1+F72)</f>
        <v>20808</v>
      </c>
      <c r="H49" s="66">
        <f t="shared" ref="H49:H55" si="12">G49*F49</f>
        <v>91.555199999999999</v>
      </c>
      <c r="I49" s="28"/>
      <c r="J49" s="263">
        <f>+F49</f>
        <v>4.4000000000000003E-3</v>
      </c>
      <c r="K49" s="290">
        <f>F16*(1+J72)</f>
        <v>20724</v>
      </c>
      <c r="L49" s="66">
        <f t="shared" ref="L49:L55" si="13">K49*J49</f>
        <v>91.185600000000008</v>
      </c>
      <c r="M49" s="28"/>
      <c r="N49" s="31">
        <f t="shared" si="10"/>
        <v>-0.36959999999999127</v>
      </c>
      <c r="O49" s="68">
        <f t="shared" si="11"/>
        <v>-4.0369088811994429E-3</v>
      </c>
    </row>
    <row r="50" spans="2:19" ht="14.45" x14ac:dyDescent="0.3">
      <c r="B50" s="64" t="s">
        <v>32</v>
      </c>
      <c r="C50" s="22"/>
      <c r="D50" s="23" t="s">
        <v>61</v>
      </c>
      <c r="E50" s="24"/>
      <c r="F50" s="65">
        <v>1.2999999999999999E-3</v>
      </c>
      <c r="G50" s="289">
        <f>G49</f>
        <v>20808</v>
      </c>
      <c r="H50" s="66">
        <f t="shared" si="12"/>
        <v>27.0504</v>
      </c>
      <c r="I50" s="28"/>
      <c r="J50" s="263">
        <f>+F50</f>
        <v>1.2999999999999999E-3</v>
      </c>
      <c r="K50" s="290">
        <f>K49</f>
        <v>20724</v>
      </c>
      <c r="L50" s="66">
        <f t="shared" si="13"/>
        <v>26.941199999999998</v>
      </c>
      <c r="M50" s="28"/>
      <c r="N50" s="31">
        <f t="shared" si="10"/>
        <v>-0.1092000000000013</v>
      </c>
      <c r="O50" s="68">
        <f t="shared" si="11"/>
        <v>-4.0369088811995869E-3</v>
      </c>
    </row>
    <row r="51" spans="2:19" ht="14.45" x14ac:dyDescent="0.3">
      <c r="B51" s="22" t="s">
        <v>33</v>
      </c>
      <c r="C51" s="22"/>
      <c r="D51" s="23" t="s">
        <v>60</v>
      </c>
      <c r="E51" s="24"/>
      <c r="F51" s="176">
        <v>0.25</v>
      </c>
      <c r="G51" s="26">
        <v>1</v>
      </c>
      <c r="H51" s="66">
        <f t="shared" si="12"/>
        <v>0.25</v>
      </c>
      <c r="I51" s="28"/>
      <c r="J51" s="283">
        <f>+F51</f>
        <v>0.25</v>
      </c>
      <c r="K51" s="30">
        <v>1</v>
      </c>
      <c r="L51" s="66">
        <f t="shared" si="13"/>
        <v>0.25</v>
      </c>
      <c r="M51" s="28"/>
      <c r="N51" s="31">
        <f t="shared" si="10"/>
        <v>0</v>
      </c>
      <c r="O51" s="68">
        <f t="shared" si="11"/>
        <v>0</v>
      </c>
    </row>
    <row r="52" spans="2:19" ht="14.45" x14ac:dyDescent="0.3">
      <c r="B52" s="24" t="s">
        <v>34</v>
      </c>
      <c r="C52" s="22"/>
      <c r="D52" s="23" t="s">
        <v>61</v>
      </c>
      <c r="E52" s="24"/>
      <c r="F52" s="65">
        <v>7.0000000000000001E-3</v>
      </c>
      <c r="G52" s="69">
        <f>F16</f>
        <v>20000</v>
      </c>
      <c r="H52" s="66">
        <f t="shared" si="12"/>
        <v>140</v>
      </c>
      <c r="I52" s="28"/>
      <c r="J52" s="263">
        <f>+F52</f>
        <v>7.0000000000000001E-3</v>
      </c>
      <c r="K52" s="70">
        <f>F16</f>
        <v>20000</v>
      </c>
      <c r="L52" s="66">
        <f t="shared" si="13"/>
        <v>140</v>
      </c>
      <c r="M52" s="28"/>
      <c r="N52" s="31">
        <f t="shared" si="10"/>
        <v>0</v>
      </c>
      <c r="O52" s="68">
        <f t="shared" si="11"/>
        <v>0</v>
      </c>
    </row>
    <row r="53" spans="2:19" x14ac:dyDescent="0.25">
      <c r="B53" s="24" t="s">
        <v>98</v>
      </c>
      <c r="C53" s="22"/>
      <c r="D53" s="23" t="s">
        <v>61</v>
      </c>
      <c r="E53" s="24"/>
      <c r="F53" s="305">
        <v>0.10186000000000001</v>
      </c>
      <c r="G53" s="69">
        <f>F16</f>
        <v>20000</v>
      </c>
      <c r="H53" s="66">
        <f t="shared" si="12"/>
        <v>2037.2</v>
      </c>
      <c r="I53" s="28"/>
      <c r="J53" s="336">
        <f>+F53</f>
        <v>0.10186000000000001</v>
      </c>
      <c r="K53" s="69">
        <f>G53</f>
        <v>20000</v>
      </c>
      <c r="L53" s="66">
        <f t="shared" si="13"/>
        <v>2037.2</v>
      </c>
      <c r="M53" s="28"/>
      <c r="N53" s="31">
        <f t="shared" si="10"/>
        <v>0</v>
      </c>
      <c r="O53" s="68">
        <f t="shared" si="11"/>
        <v>0</v>
      </c>
      <c r="S53" s="72"/>
    </row>
    <row r="54" spans="2:19" x14ac:dyDescent="0.25">
      <c r="B54" s="49" t="s">
        <v>36</v>
      </c>
      <c r="C54" s="22"/>
      <c r="D54" s="23"/>
      <c r="E54" s="24"/>
      <c r="F54" s="71">
        <v>0.104</v>
      </c>
      <c r="G54" s="69">
        <v>0</v>
      </c>
      <c r="H54" s="66">
        <f t="shared" si="12"/>
        <v>0</v>
      </c>
      <c r="I54" s="28"/>
      <c r="J54" s="65">
        <v>0.104</v>
      </c>
      <c r="K54" s="69">
        <v>0</v>
      </c>
      <c r="L54" s="66">
        <f t="shared" si="13"/>
        <v>0</v>
      </c>
      <c r="M54" s="28"/>
      <c r="N54" s="31">
        <f t="shared" si="10"/>
        <v>0</v>
      </c>
      <c r="O54" s="68" t="str">
        <f t="shared" si="11"/>
        <v/>
      </c>
      <c r="S54" s="72"/>
    </row>
    <row r="55" spans="2:19" x14ac:dyDescent="0.25">
      <c r="B55" s="12" t="s">
        <v>37</v>
      </c>
      <c r="C55" s="22"/>
      <c r="D55" s="23"/>
      <c r="E55" s="24"/>
      <c r="F55" s="71">
        <v>0.124</v>
      </c>
      <c r="G55" s="69">
        <v>0</v>
      </c>
      <c r="H55" s="66">
        <f t="shared" si="12"/>
        <v>0</v>
      </c>
      <c r="I55" s="28"/>
      <c r="J55" s="65">
        <v>0.124</v>
      </c>
      <c r="K55" s="69">
        <v>0</v>
      </c>
      <c r="L55" s="66">
        <f t="shared" si="13"/>
        <v>0</v>
      </c>
      <c r="M55" s="28"/>
      <c r="N55" s="31">
        <f t="shared" si="10"/>
        <v>0</v>
      </c>
      <c r="O55" s="68" t="str">
        <f t="shared" si="11"/>
        <v/>
      </c>
      <c r="S55" s="72"/>
    </row>
    <row r="56" spans="2:19" s="73" customFormat="1" x14ac:dyDescent="0.2">
      <c r="B56" s="180" t="s">
        <v>38</v>
      </c>
      <c r="C56" s="75"/>
      <c r="D56" s="76"/>
      <c r="E56" s="77"/>
      <c r="F56" s="71">
        <v>7.4999999999999997E-2</v>
      </c>
      <c r="G56" s="78">
        <v>0</v>
      </c>
      <c r="H56" s="66">
        <f>G56*F56</f>
        <v>0</v>
      </c>
      <c r="I56" s="79"/>
      <c r="J56" s="65">
        <v>7.4999999999999997E-2</v>
      </c>
      <c r="K56" s="78">
        <f>G56</f>
        <v>0</v>
      </c>
      <c r="L56" s="66">
        <f>K56*J56</f>
        <v>0</v>
      </c>
      <c r="M56" s="79"/>
      <c r="N56" s="80">
        <f t="shared" si="10"/>
        <v>0</v>
      </c>
      <c r="O56" s="68" t="str">
        <f t="shared" si="11"/>
        <v/>
      </c>
    </row>
    <row r="57" spans="2:19" s="73" customFormat="1" x14ac:dyDescent="0.2">
      <c r="B57" s="180" t="s">
        <v>39</v>
      </c>
      <c r="C57" s="75"/>
      <c r="D57" s="76"/>
      <c r="E57" s="77"/>
      <c r="F57" s="71">
        <v>8.7999999999999995E-2</v>
      </c>
      <c r="G57" s="78">
        <v>0</v>
      </c>
      <c r="H57" s="66">
        <f>G57*F57</f>
        <v>0</v>
      </c>
      <c r="I57" s="79"/>
      <c r="J57" s="65">
        <v>8.7999999999999995E-2</v>
      </c>
      <c r="K57" s="78">
        <f>G57</f>
        <v>0</v>
      </c>
      <c r="L57" s="66">
        <f>K57*J57</f>
        <v>0</v>
      </c>
      <c r="M57" s="79"/>
      <c r="N57" s="80">
        <f t="shared" si="10"/>
        <v>0</v>
      </c>
      <c r="O57" s="68" t="str">
        <f t="shared" si="11"/>
        <v/>
      </c>
    </row>
    <row r="58" spans="2:19" hidden="1" thickBot="1" x14ac:dyDescent="0.35">
      <c r="B58" s="81"/>
      <c r="C58" s="82"/>
      <c r="D58" s="83"/>
      <c r="E58" s="82"/>
      <c r="F58" s="84"/>
      <c r="G58" s="85"/>
      <c r="H58" s="86"/>
      <c r="I58" s="87"/>
      <c r="J58" s="84"/>
      <c r="K58" s="88"/>
      <c r="L58" s="86"/>
      <c r="M58" s="87"/>
      <c r="N58" s="89"/>
      <c r="O58" s="90"/>
    </row>
    <row r="59" spans="2:19" x14ac:dyDescent="0.25">
      <c r="B59" s="91" t="s">
        <v>40</v>
      </c>
      <c r="C59" s="22"/>
      <c r="D59" s="22"/>
      <c r="E59" s="22"/>
      <c r="F59" s="92"/>
      <c r="G59" s="93"/>
      <c r="H59" s="94">
        <f>SUM(H49:H55,H48)</f>
        <v>2981.3744800000004</v>
      </c>
      <c r="I59" s="95"/>
      <c r="J59" s="96"/>
      <c r="K59" s="96"/>
      <c r="L59" s="94">
        <f>SUM(L49:L55,L48)</f>
        <v>3089.7294400000001</v>
      </c>
      <c r="M59" s="97"/>
      <c r="N59" s="98">
        <f>L59-H59</f>
        <v>108.35495999999966</v>
      </c>
      <c r="O59" s="99">
        <f>IF((H59)=0,"",(N59/H59))</f>
        <v>3.6343961728685509E-2</v>
      </c>
      <c r="S59" s="72"/>
    </row>
    <row r="60" spans="2:19" x14ac:dyDescent="0.25">
      <c r="B60" s="100" t="s">
        <v>41</v>
      </c>
      <c r="C60" s="22"/>
      <c r="D60" s="22"/>
      <c r="E60" s="22"/>
      <c r="F60" s="101">
        <v>0.13</v>
      </c>
      <c r="G60" s="102"/>
      <c r="H60" s="103">
        <f>H59*F60</f>
        <v>387.57868240000005</v>
      </c>
      <c r="I60" s="104"/>
      <c r="J60" s="105">
        <v>0.13</v>
      </c>
      <c r="K60" s="104"/>
      <c r="L60" s="106">
        <f>L59*J60</f>
        <v>401.66482720000005</v>
      </c>
      <c r="M60" s="107"/>
      <c r="N60" s="108">
        <f t="shared" si="10"/>
        <v>14.0861448</v>
      </c>
      <c r="O60" s="109">
        <f t="shared" si="11"/>
        <v>3.634396172868562E-2</v>
      </c>
      <c r="S60" s="72"/>
    </row>
    <row r="61" spans="2:19" x14ac:dyDescent="0.25">
      <c r="B61" s="110" t="s">
        <v>42</v>
      </c>
      <c r="C61" s="22"/>
      <c r="D61" s="22"/>
      <c r="E61" s="22"/>
      <c r="F61" s="111"/>
      <c r="G61" s="102"/>
      <c r="H61" s="103">
        <f>H59+H60</f>
        <v>3368.9531624000006</v>
      </c>
      <c r="I61" s="104"/>
      <c r="J61" s="104"/>
      <c r="K61" s="104"/>
      <c r="L61" s="106">
        <f>L59+L60</f>
        <v>3491.3942672000003</v>
      </c>
      <c r="M61" s="107"/>
      <c r="N61" s="108">
        <f t="shared" si="10"/>
        <v>122.44110479999972</v>
      </c>
      <c r="O61" s="109">
        <f t="shared" si="11"/>
        <v>3.6343961728685537E-2</v>
      </c>
      <c r="S61" s="72"/>
    </row>
    <row r="62" spans="2:19" x14ac:dyDescent="0.25">
      <c r="B62" s="388" t="s">
        <v>43</v>
      </c>
      <c r="C62" s="388"/>
      <c r="D62" s="388"/>
      <c r="E62" s="22"/>
      <c r="F62" s="111"/>
      <c r="G62" s="102"/>
      <c r="H62" s="112">
        <f>ROUND(-H61*10%,2)</f>
        <v>-336.9</v>
      </c>
      <c r="I62" s="104"/>
      <c r="J62" s="104"/>
      <c r="K62" s="104"/>
      <c r="L62" s="113">
        <f>ROUND(-L61*10%,2)</f>
        <v>-349.14</v>
      </c>
      <c r="M62" s="107"/>
      <c r="N62" s="114">
        <f t="shared" si="10"/>
        <v>-12.240000000000009</v>
      </c>
      <c r="O62" s="115">
        <f t="shared" si="11"/>
        <v>3.6331255565449715E-2</v>
      </c>
    </row>
    <row r="63" spans="2:19" ht="15.75" thickBot="1" x14ac:dyDescent="0.3">
      <c r="B63" s="384" t="s">
        <v>44</v>
      </c>
      <c r="C63" s="384"/>
      <c r="D63" s="384"/>
      <c r="E63" s="116"/>
      <c r="F63" s="117"/>
      <c r="G63" s="118"/>
      <c r="H63" s="119">
        <f>H61+H62</f>
        <v>3032.0531624000005</v>
      </c>
      <c r="I63" s="120"/>
      <c r="J63" s="120"/>
      <c r="K63" s="120"/>
      <c r="L63" s="121">
        <f>L61+L62</f>
        <v>3142.2542672000004</v>
      </c>
      <c r="M63" s="122"/>
      <c r="N63" s="123">
        <f t="shared" si="10"/>
        <v>110.20110479999994</v>
      </c>
      <c r="O63" s="124">
        <f t="shared" si="11"/>
        <v>3.6345373546409397E-2</v>
      </c>
    </row>
    <row r="64" spans="2:19" s="73" customFormat="1" ht="15.75" thickBot="1" x14ac:dyDescent="0.25">
      <c r="B64" s="125"/>
      <c r="C64" s="126"/>
      <c r="D64" s="127"/>
      <c r="E64" s="126"/>
      <c r="F64" s="84"/>
      <c r="G64" s="128"/>
      <c r="H64" s="86"/>
      <c r="I64" s="129"/>
      <c r="J64" s="84"/>
      <c r="K64" s="130"/>
      <c r="L64" s="86"/>
      <c r="M64" s="129"/>
      <c r="N64" s="131"/>
      <c r="O64" s="90"/>
    </row>
    <row r="65" spans="1:15" s="73" customFormat="1" ht="12.75" x14ac:dyDescent="0.2">
      <c r="B65" s="132" t="s">
        <v>45</v>
      </c>
      <c r="C65" s="75"/>
      <c r="D65" s="75"/>
      <c r="E65" s="75"/>
      <c r="F65" s="133"/>
      <c r="G65" s="134"/>
      <c r="H65" s="135">
        <f>SUM(H53,H48,H49:H52)</f>
        <v>2981.3744799999999</v>
      </c>
      <c r="I65" s="136"/>
      <c r="J65" s="137"/>
      <c r="K65" s="137"/>
      <c r="L65" s="189">
        <f>SUM(L53,L48,L49:L52)</f>
        <v>3089.7294400000001</v>
      </c>
      <c r="M65" s="138"/>
      <c r="N65" s="139">
        <f>L65-H65</f>
        <v>108.35496000000012</v>
      </c>
      <c r="O65" s="99">
        <f>IF((H65)=0,"",(N65/H65))</f>
        <v>3.6343961728685661E-2</v>
      </c>
    </row>
    <row r="66" spans="1:15" s="73" customFormat="1" ht="12.75" x14ac:dyDescent="0.2">
      <c r="B66" s="140" t="s">
        <v>41</v>
      </c>
      <c r="C66" s="75"/>
      <c r="D66" s="75"/>
      <c r="E66" s="75"/>
      <c r="F66" s="141">
        <v>0.13</v>
      </c>
      <c r="G66" s="134"/>
      <c r="H66" s="142">
        <f>H65*F66</f>
        <v>387.57868239999999</v>
      </c>
      <c r="I66" s="143"/>
      <c r="J66" s="144">
        <v>0.13</v>
      </c>
      <c r="K66" s="145"/>
      <c r="L66" s="146">
        <f>L65*J66</f>
        <v>401.66482720000005</v>
      </c>
      <c r="M66" s="147"/>
      <c r="N66" s="148">
        <f>L66-H66</f>
        <v>14.086144800000056</v>
      </c>
      <c r="O66" s="109">
        <f>IF((H66)=0,"",(N66/H66))</f>
        <v>3.6343961728685772E-2</v>
      </c>
    </row>
    <row r="67" spans="1:15" s="73" customFormat="1" ht="12.75" x14ac:dyDescent="0.2">
      <c r="B67" s="149" t="s">
        <v>42</v>
      </c>
      <c r="C67" s="75"/>
      <c r="D67" s="75"/>
      <c r="E67" s="75"/>
      <c r="F67" s="150"/>
      <c r="G67" s="151"/>
      <c r="H67" s="142">
        <f>H65+H66</f>
        <v>3368.9531624000001</v>
      </c>
      <c r="I67" s="143"/>
      <c r="J67" s="143"/>
      <c r="K67" s="143"/>
      <c r="L67" s="146">
        <f>L65+L66</f>
        <v>3491.3942672000003</v>
      </c>
      <c r="M67" s="147"/>
      <c r="N67" s="148">
        <f>L67-H67</f>
        <v>122.44110480000018</v>
      </c>
      <c r="O67" s="109">
        <f>IF((H67)=0,"",(N67/H67))</f>
        <v>3.6343961728685675E-2</v>
      </c>
    </row>
    <row r="68" spans="1:15" s="73" customFormat="1" ht="12.75" x14ac:dyDescent="0.2">
      <c r="B68" s="389" t="s">
        <v>43</v>
      </c>
      <c r="C68" s="389"/>
      <c r="D68" s="389"/>
      <c r="E68" s="75"/>
      <c r="F68" s="150"/>
      <c r="G68" s="151"/>
      <c r="H68" s="152"/>
      <c r="I68" s="143"/>
      <c r="J68" s="143"/>
      <c r="K68" s="143"/>
      <c r="L68" s="153"/>
      <c r="M68" s="147"/>
      <c r="N68" s="154">
        <f>L68-H68</f>
        <v>0</v>
      </c>
      <c r="O68" s="115" t="str">
        <f>IF((H68)=0,"",(N68/H68))</f>
        <v/>
      </c>
    </row>
    <row r="69" spans="1:15" s="73" customFormat="1" ht="13.5" thickBot="1" x14ac:dyDescent="0.25">
      <c r="B69" s="376" t="s">
        <v>46</v>
      </c>
      <c r="C69" s="376"/>
      <c r="D69" s="376"/>
      <c r="E69" s="155"/>
      <c r="F69" s="156"/>
      <c r="G69" s="157"/>
      <c r="H69" s="158">
        <f>SUM(H67:H68)</f>
        <v>3368.9531624000001</v>
      </c>
      <c r="I69" s="159"/>
      <c r="J69" s="159"/>
      <c r="K69" s="159"/>
      <c r="L69" s="160">
        <f>SUM(L67:L68)</f>
        <v>3491.3942672000003</v>
      </c>
      <c r="M69" s="161"/>
      <c r="N69" s="162">
        <f>L69-H69</f>
        <v>122.44110480000018</v>
      </c>
      <c r="O69" s="163">
        <f>IF((H69)=0,"",(N69/H69))</f>
        <v>3.6343961728685675E-2</v>
      </c>
    </row>
    <row r="70" spans="1:15" s="73" customFormat="1" ht="15.75" thickBot="1" x14ac:dyDescent="0.25">
      <c r="B70" s="125"/>
      <c r="C70" s="126"/>
      <c r="D70" s="127"/>
      <c r="E70" s="126"/>
      <c r="F70" s="164"/>
      <c r="G70" s="165"/>
      <c r="H70" s="166"/>
      <c r="I70" s="167"/>
      <c r="J70" s="164"/>
      <c r="K70" s="128"/>
      <c r="L70" s="168"/>
      <c r="M70" s="129"/>
      <c r="N70" s="169"/>
      <c r="O70" s="90"/>
    </row>
    <row r="71" spans="1:15" x14ac:dyDescent="0.25">
      <c r="L71" s="72"/>
    </row>
    <row r="72" spans="1:15" x14ac:dyDescent="0.25">
      <c r="B72" s="13" t="s">
        <v>47</v>
      </c>
      <c r="F72" s="170">
        <f>+'Res (100kWh)'!$F$73</f>
        <v>4.0399999999999998E-2</v>
      </c>
      <c r="J72" s="170">
        <f>+'Res (100kWh)'!$J$73</f>
        <v>3.6200000000000003E-2</v>
      </c>
    </row>
    <row r="74" spans="1:15" x14ac:dyDescent="0.25">
      <c r="A74" s="171" t="s">
        <v>48</v>
      </c>
    </row>
    <row r="76" spans="1:15" x14ac:dyDescent="0.25">
      <c r="A76" s="7" t="s">
        <v>49</v>
      </c>
    </row>
    <row r="77" spans="1:15" x14ac:dyDescent="0.25">
      <c r="A77" s="7" t="s">
        <v>50</v>
      </c>
    </row>
    <row r="79" spans="1:15" x14ac:dyDescent="0.25">
      <c r="A79" s="12" t="s">
        <v>51</v>
      </c>
    </row>
    <row r="80" spans="1:15" x14ac:dyDescent="0.25">
      <c r="A80" s="12" t="s">
        <v>52</v>
      </c>
    </row>
    <row r="82" spans="1:2" x14ac:dyDescent="0.25">
      <c r="A82" s="7" t="s">
        <v>53</v>
      </c>
    </row>
    <row r="83" spans="1:2" x14ac:dyDescent="0.25">
      <c r="A83" s="7" t="s">
        <v>54</v>
      </c>
    </row>
    <row r="84" spans="1:2" x14ac:dyDescent="0.25">
      <c r="A84" s="7" t="s">
        <v>55</v>
      </c>
    </row>
    <row r="85" spans="1:2" x14ac:dyDescent="0.25">
      <c r="A85" s="7" t="s">
        <v>56</v>
      </c>
    </row>
    <row r="86" spans="1:2" x14ac:dyDescent="0.25">
      <c r="A86" s="7" t="s">
        <v>57</v>
      </c>
    </row>
    <row r="88" spans="1:2" x14ac:dyDescent="0.25">
      <c r="A88" s="172"/>
      <c r="B88" s="7" t="s">
        <v>58</v>
      </c>
    </row>
  </sheetData>
  <mergeCells count="17">
    <mergeCell ref="N1:O1"/>
    <mergeCell ref="N2:O2"/>
    <mergeCell ref="F18:H18"/>
    <mergeCell ref="B9:O9"/>
    <mergeCell ref="J18:L18"/>
    <mergeCell ref="N5:O5"/>
    <mergeCell ref="B8:O8"/>
    <mergeCell ref="N18:O18"/>
    <mergeCell ref="D12:O12"/>
    <mergeCell ref="N3:O3"/>
    <mergeCell ref="B69:D69"/>
    <mergeCell ref="D19:D20"/>
    <mergeCell ref="N19:N20"/>
    <mergeCell ref="O19:O20"/>
    <mergeCell ref="B62:D62"/>
    <mergeCell ref="B68:D68"/>
    <mergeCell ref="B63:D63"/>
  </mergeCells>
  <dataValidations count="4">
    <dataValidation type="list" allowBlank="1" showInputMessage="1" showErrorMessage="1" sqref="D14">
      <formula1>"TOU, non-TOU"</formula1>
    </dataValidation>
    <dataValidation type="list" allowBlank="1" showInputMessage="1" showErrorMessage="1" sqref="E70 E64 E56:E57">
      <formula1>#REF!</formula1>
    </dataValidation>
    <dataValidation type="list" allowBlank="1" showInputMessage="1" showErrorMessage="1" prompt="Select Charge Unit - monthly, per kWh, per kW" sqref="D46:D47 D38:D44 D64 D21:D36 D70 D49:D58">
      <formula1>"Monthly, per kWh, per kW"</formula1>
    </dataValidation>
    <dataValidation type="list" allowBlank="1" showInputMessage="1" showErrorMessage="1" sqref="E46:E47 E38:E44 E21:E36 E49:E55 E58">
      <formula1>#REF!</formula1>
    </dataValidation>
  </dataValidations>
  <pageMargins left="0.7" right="0.7" top="0.75" bottom="0.75" header="0.3" footer="0.3"/>
  <pageSetup scale="59" orientation="portrait"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T88"/>
  <sheetViews>
    <sheetView showGridLines="0" topLeftCell="A22" workbookViewId="0">
      <selection activeCell="F53" sqref="F53"/>
    </sheetView>
  </sheetViews>
  <sheetFormatPr defaultColWidth="9.140625" defaultRowHeight="15" x14ac:dyDescent="0.25"/>
  <cols>
    <col min="1" max="1" width="2.140625" style="7" customWidth="1"/>
    <col min="2" max="2" width="44.5703125" style="7" customWidth="1"/>
    <col min="3" max="3" width="1.28515625" style="7" customWidth="1"/>
    <col min="4" max="4" width="11.28515625" style="7" customWidth="1"/>
    <col min="5" max="5" width="1.28515625" style="7" customWidth="1"/>
    <col min="6" max="6" width="12.28515625" style="7" customWidth="1"/>
    <col min="7" max="7" width="8.5703125" style="7" customWidth="1"/>
    <col min="8" max="8" width="11.5703125" style="7" bestFit="1" customWidth="1"/>
    <col min="9" max="9" width="2.85546875" style="7" customWidth="1"/>
    <col min="10" max="10" width="12.140625" style="7" customWidth="1"/>
    <col min="11" max="11" width="8.5703125" style="7" customWidth="1"/>
    <col min="12" max="12" width="11.5703125" style="7" bestFit="1" customWidth="1"/>
    <col min="13" max="13" width="2.85546875" style="7" customWidth="1"/>
    <col min="14" max="14" width="12.7109375" style="7" bestFit="1" customWidth="1"/>
    <col min="15" max="15" width="10.85546875" style="7" bestFit="1" customWidth="1"/>
    <col min="16" max="16" width="11.140625" style="7" customWidth="1"/>
    <col min="17" max="19" width="9.140625" style="7"/>
    <col min="20" max="20" width="9.140625" style="7" customWidth="1"/>
    <col min="21" max="16384" width="9.140625" style="7"/>
  </cols>
  <sheetData>
    <row r="1" spans="1:20" s="2" customFormat="1" ht="15" customHeigh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3" t="s">
        <v>0</v>
      </c>
      <c r="N1" s="368" t="s">
        <v>94</v>
      </c>
      <c r="O1" s="368"/>
      <c r="P1" s="192"/>
      <c r="T1" s="2">
        <v>1</v>
      </c>
    </row>
    <row r="2" spans="1:20" s="2" customFormat="1" ht="15" customHeight="1" x14ac:dyDescent="0.3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3" t="s">
        <v>95</v>
      </c>
      <c r="N2" s="369">
        <v>8</v>
      </c>
      <c r="O2" s="369"/>
      <c r="P2" s="193"/>
    </row>
    <row r="3" spans="1:20" s="2" customFormat="1" ht="15" customHeight="1" x14ac:dyDescent="0.3">
      <c r="C3" s="6"/>
      <c r="D3" s="6"/>
      <c r="E3" s="6"/>
      <c r="L3" s="3" t="s">
        <v>96</v>
      </c>
      <c r="N3" s="370" t="s">
        <v>97</v>
      </c>
      <c r="O3" s="370"/>
      <c r="P3" s="192"/>
    </row>
    <row r="4" spans="1:20" s="2" customFormat="1" ht="9" customHeight="1" x14ac:dyDescent="0.3">
      <c r="L4" s="3"/>
      <c r="N4" s="310"/>
      <c r="O4"/>
      <c r="P4" s="194"/>
    </row>
    <row r="5" spans="1:20" s="2" customFormat="1" ht="14.45" x14ac:dyDescent="0.3">
      <c r="L5" s="3" t="s">
        <v>76</v>
      </c>
      <c r="N5" s="387">
        <v>42124</v>
      </c>
      <c r="O5" s="387"/>
      <c r="P5" s="195"/>
    </row>
    <row r="6" spans="1:20" s="2" customFormat="1" ht="15" customHeight="1" x14ac:dyDescent="0.3">
      <c r="N6" s="7"/>
      <c r="O6"/>
      <c r="P6"/>
    </row>
    <row r="7" spans="1:20" ht="7.5" customHeight="1" x14ac:dyDescent="0.3">
      <c r="L7"/>
      <c r="M7"/>
      <c r="N7"/>
      <c r="O7"/>
      <c r="P7"/>
    </row>
    <row r="8" spans="1:20" ht="18.75" customHeight="1" x14ac:dyDescent="0.3">
      <c r="B8" s="367" t="s">
        <v>1</v>
      </c>
      <c r="C8" s="367"/>
      <c r="D8" s="367"/>
      <c r="E8" s="367"/>
      <c r="F8" s="367"/>
      <c r="G8" s="367"/>
      <c r="H8" s="367"/>
      <c r="I8" s="367"/>
      <c r="J8" s="367"/>
      <c r="K8" s="367"/>
      <c r="L8" s="367"/>
      <c r="M8" s="367"/>
      <c r="N8" s="367"/>
      <c r="O8" s="367"/>
      <c r="P8"/>
    </row>
    <row r="9" spans="1:20" ht="18.75" customHeight="1" x14ac:dyDescent="0.3">
      <c r="B9" s="367" t="s">
        <v>2</v>
      </c>
      <c r="C9" s="367"/>
      <c r="D9" s="367"/>
      <c r="E9" s="367"/>
      <c r="F9" s="367"/>
      <c r="G9" s="367"/>
      <c r="H9" s="367"/>
      <c r="I9" s="367"/>
      <c r="J9" s="367"/>
      <c r="K9" s="367"/>
      <c r="L9" s="367"/>
      <c r="M9" s="367"/>
      <c r="N9" s="367"/>
      <c r="O9" s="367"/>
      <c r="P9"/>
    </row>
    <row r="10" spans="1:20" ht="7.5" customHeight="1" x14ac:dyDescent="0.3">
      <c r="L10"/>
      <c r="M10"/>
      <c r="N10"/>
      <c r="O10"/>
      <c r="P10"/>
    </row>
    <row r="11" spans="1:20" ht="7.5" customHeight="1" x14ac:dyDescent="0.3">
      <c r="L11"/>
      <c r="M11"/>
      <c r="N11"/>
      <c r="O11"/>
      <c r="P11"/>
    </row>
    <row r="12" spans="1:20" ht="15.6" x14ac:dyDescent="0.3">
      <c r="B12" s="8" t="s">
        <v>3</v>
      </c>
      <c r="D12" s="386" t="s">
        <v>91</v>
      </c>
      <c r="E12" s="386"/>
      <c r="F12" s="386"/>
      <c r="G12" s="386"/>
      <c r="H12" s="386"/>
      <c r="I12" s="386"/>
      <c r="J12" s="386"/>
      <c r="K12" s="386"/>
      <c r="L12" s="386"/>
      <c r="M12" s="386"/>
      <c r="N12" s="386"/>
      <c r="O12" s="386"/>
    </row>
    <row r="13" spans="1:20" ht="7.5" customHeight="1" x14ac:dyDescent="0.3">
      <c r="B13" s="9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</row>
    <row r="14" spans="1:20" ht="15.6" x14ac:dyDescent="0.3">
      <c r="B14" s="8" t="s">
        <v>4</v>
      </c>
      <c r="D14" s="11" t="s">
        <v>68</v>
      </c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</row>
    <row r="15" spans="1:20" ht="15.6" x14ac:dyDescent="0.3">
      <c r="B15" s="9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</row>
    <row r="16" spans="1:20" ht="14.45" x14ac:dyDescent="0.3">
      <c r="B16" s="12"/>
      <c r="D16" s="13" t="s">
        <v>6</v>
      </c>
      <c r="E16" s="13"/>
      <c r="F16" s="14">
        <v>40000</v>
      </c>
      <c r="G16" s="13" t="s">
        <v>7</v>
      </c>
      <c r="H16" s="14">
        <v>100</v>
      </c>
      <c r="I16" s="13" t="s">
        <v>69</v>
      </c>
    </row>
    <row r="17" spans="2:15" ht="14.45" x14ac:dyDescent="0.3">
      <c r="B17" s="12"/>
    </row>
    <row r="18" spans="2:15" ht="14.45" x14ac:dyDescent="0.3">
      <c r="B18" s="12"/>
      <c r="D18" s="15"/>
      <c r="E18" s="15"/>
      <c r="F18" s="373" t="s">
        <v>8</v>
      </c>
      <c r="G18" s="374"/>
      <c r="H18" s="375"/>
      <c r="J18" s="373" t="s">
        <v>9</v>
      </c>
      <c r="K18" s="374"/>
      <c r="L18" s="375"/>
      <c r="N18" s="373" t="s">
        <v>10</v>
      </c>
      <c r="O18" s="375"/>
    </row>
    <row r="19" spans="2:15" x14ac:dyDescent="0.25">
      <c r="B19" s="12"/>
      <c r="D19" s="377" t="s">
        <v>11</v>
      </c>
      <c r="E19" s="16"/>
      <c r="F19" s="17" t="s">
        <v>12</v>
      </c>
      <c r="G19" s="17" t="s">
        <v>13</v>
      </c>
      <c r="H19" s="18" t="s">
        <v>14</v>
      </c>
      <c r="J19" s="17" t="s">
        <v>12</v>
      </c>
      <c r="K19" s="19" t="s">
        <v>13</v>
      </c>
      <c r="L19" s="18" t="s">
        <v>14</v>
      </c>
      <c r="N19" s="379" t="s">
        <v>15</v>
      </c>
      <c r="O19" s="381" t="s">
        <v>16</v>
      </c>
    </row>
    <row r="20" spans="2:15" x14ac:dyDescent="0.25">
      <c r="B20" s="12"/>
      <c r="D20" s="378"/>
      <c r="E20" s="16"/>
      <c r="F20" s="20" t="s">
        <v>17</v>
      </c>
      <c r="G20" s="20"/>
      <c r="H20" s="21" t="s">
        <v>17</v>
      </c>
      <c r="J20" s="20" t="s">
        <v>17</v>
      </c>
      <c r="K20" s="21"/>
      <c r="L20" s="21" t="s">
        <v>17</v>
      </c>
      <c r="N20" s="380"/>
      <c r="O20" s="382"/>
    </row>
    <row r="21" spans="2:15" ht="22.5" customHeight="1" x14ac:dyDescent="0.3">
      <c r="B21" s="22" t="s">
        <v>18</v>
      </c>
      <c r="C21" s="22"/>
      <c r="D21" s="23" t="s">
        <v>60</v>
      </c>
      <c r="E21" s="24"/>
      <c r="F21" s="174">
        <f>+'GS 50-4999 (60kW)'!$F$21</f>
        <v>119.38</v>
      </c>
      <c r="G21" s="26">
        <v>1</v>
      </c>
      <c r="H21" s="27">
        <f>G21*F21</f>
        <v>119.38</v>
      </c>
      <c r="I21" s="28"/>
      <c r="J21" s="173">
        <f>+'GS 50-4999 (60kW)'!$J$21</f>
        <v>119.38</v>
      </c>
      <c r="K21" s="30">
        <v>1</v>
      </c>
      <c r="L21" s="27">
        <f>K21*J21</f>
        <v>119.38</v>
      </c>
      <c r="M21" s="28"/>
      <c r="N21" s="31">
        <f>L21-H21</f>
        <v>0</v>
      </c>
      <c r="O21" s="32">
        <f>IF((H21)=0,"",(N21/H21))</f>
        <v>0</v>
      </c>
    </row>
    <row r="22" spans="2:15" ht="36.75" customHeight="1" x14ac:dyDescent="0.25">
      <c r="B22" s="296" t="s">
        <v>88</v>
      </c>
      <c r="C22" s="22"/>
      <c r="D22" s="56" t="s">
        <v>70</v>
      </c>
      <c r="E22" s="24"/>
      <c r="F22" s="173"/>
      <c r="G22" s="179">
        <f>+$H$16</f>
        <v>100</v>
      </c>
      <c r="H22" s="27">
        <f t="shared" ref="H22:H36" si="0">G22*F22</f>
        <v>0</v>
      </c>
      <c r="I22" s="28"/>
      <c r="J22" s="29">
        <f>+'GS 50-4999 (60kW)'!$J$22</f>
        <v>0.25519999999999998</v>
      </c>
      <c r="K22" s="262">
        <f>+$H$16</f>
        <v>100</v>
      </c>
      <c r="L22" s="27">
        <f>K22*J22</f>
        <v>25.52</v>
      </c>
      <c r="M22" s="28"/>
      <c r="N22" s="31">
        <f>L22-H22</f>
        <v>25.52</v>
      </c>
      <c r="O22" s="32" t="str">
        <f>IF((H22)=0,"",(N22/H22))</f>
        <v/>
      </c>
    </row>
    <row r="23" spans="2:15" x14ac:dyDescent="0.25">
      <c r="B23" s="297"/>
      <c r="C23" s="22"/>
      <c r="D23" s="56" t="s">
        <v>60</v>
      </c>
      <c r="E23" s="57"/>
      <c r="F23" s="173"/>
      <c r="G23" s="26">
        <v>1</v>
      </c>
      <c r="H23" s="27">
        <f t="shared" si="0"/>
        <v>0</v>
      </c>
      <c r="I23" s="28"/>
      <c r="J23" s="29"/>
      <c r="K23" s="30">
        <v>1</v>
      </c>
      <c r="L23" s="27">
        <f t="shared" ref="L23:L36" si="1">K23*J23</f>
        <v>0</v>
      </c>
      <c r="M23" s="28"/>
      <c r="N23" s="31">
        <f t="shared" ref="N23:N63" si="2">L23-H23</f>
        <v>0</v>
      </c>
      <c r="O23" s="32" t="str">
        <f t="shared" ref="O23:O43" si="3">IF((H23)=0,"",(N23/H23))</f>
        <v/>
      </c>
    </row>
    <row r="24" spans="2:15" x14ac:dyDescent="0.25">
      <c r="B24" s="297"/>
      <c r="C24" s="22"/>
      <c r="D24" s="56" t="s">
        <v>60</v>
      </c>
      <c r="E24" s="24"/>
      <c r="F24" s="25"/>
      <c r="G24" s="26">
        <v>1</v>
      </c>
      <c r="H24" s="27">
        <f t="shared" si="0"/>
        <v>0</v>
      </c>
      <c r="I24" s="28"/>
      <c r="J24" s="173"/>
      <c r="K24" s="30">
        <v>1</v>
      </c>
      <c r="L24" s="27">
        <f t="shared" si="1"/>
        <v>0</v>
      </c>
      <c r="M24" s="28"/>
      <c r="N24" s="31">
        <f t="shared" si="2"/>
        <v>0</v>
      </c>
      <c r="O24" s="32" t="str">
        <f t="shared" si="3"/>
        <v/>
      </c>
    </row>
    <row r="25" spans="2:15" x14ac:dyDescent="0.25">
      <c r="B25" s="296" t="s">
        <v>65</v>
      </c>
      <c r="C25" s="22"/>
      <c r="D25" s="23" t="s">
        <v>70</v>
      </c>
      <c r="E25" s="24"/>
      <c r="F25" s="25">
        <f>+'GS 50-4999 (60kW)'!$F$25</f>
        <v>-9.9000000000000008E-3</v>
      </c>
      <c r="G25" s="179">
        <f>$H$16</f>
        <v>100</v>
      </c>
      <c r="H25" s="27">
        <f t="shared" si="0"/>
        <v>-0.9900000000000001</v>
      </c>
      <c r="I25" s="28"/>
      <c r="J25" s="29">
        <f>+'GS 50-4999 (60kW)'!$J$25</f>
        <v>-9.9000000000000008E-3</v>
      </c>
      <c r="K25" s="179">
        <f>$H$16</f>
        <v>100</v>
      </c>
      <c r="L25" s="27">
        <f t="shared" si="1"/>
        <v>-0.9900000000000001</v>
      </c>
      <c r="M25" s="28"/>
      <c r="N25" s="31">
        <f t="shared" si="2"/>
        <v>0</v>
      </c>
      <c r="O25" s="32">
        <f t="shared" si="3"/>
        <v>0</v>
      </c>
    </row>
    <row r="26" spans="2:15" x14ac:dyDescent="0.25">
      <c r="B26" s="296" t="s">
        <v>66</v>
      </c>
      <c r="C26" s="22"/>
      <c r="D26" s="23" t="s">
        <v>70</v>
      </c>
      <c r="E26" s="24"/>
      <c r="F26" s="25"/>
      <c r="G26" s="179">
        <f>$H$16</f>
        <v>100</v>
      </c>
      <c r="H26" s="27">
        <f t="shared" si="0"/>
        <v>0</v>
      </c>
      <c r="I26" s="28"/>
      <c r="J26" s="29">
        <f>+'GS 50-4999 (60kW)'!$J$26</f>
        <v>-0.63949999999999996</v>
      </c>
      <c r="K26" s="179">
        <f>$H$16</f>
        <v>100</v>
      </c>
      <c r="L26" s="27">
        <f t="shared" si="1"/>
        <v>-63.949999999999996</v>
      </c>
      <c r="M26" s="28"/>
      <c r="N26" s="31">
        <f t="shared" si="2"/>
        <v>-63.949999999999996</v>
      </c>
      <c r="O26" s="32" t="str">
        <f t="shared" si="3"/>
        <v/>
      </c>
    </row>
    <row r="27" spans="2:15" x14ac:dyDescent="0.25">
      <c r="B27" s="22" t="s">
        <v>19</v>
      </c>
      <c r="C27" s="22"/>
      <c r="D27" s="23" t="s">
        <v>70</v>
      </c>
      <c r="E27" s="24"/>
      <c r="F27" s="25">
        <f>+'GS 50-4999 (60kW)'!$F$27</f>
        <v>4.7394999999999996</v>
      </c>
      <c r="G27" s="179">
        <f>$H$16</f>
        <v>100</v>
      </c>
      <c r="H27" s="27">
        <f t="shared" si="0"/>
        <v>473.94999999999993</v>
      </c>
      <c r="I27" s="28"/>
      <c r="J27" s="29">
        <f>+'GS 50-4999 (60kW)'!$J$27</f>
        <v>5.1045999999999996</v>
      </c>
      <c r="K27" s="179">
        <f>$H$16</f>
        <v>100</v>
      </c>
      <c r="L27" s="27">
        <f t="shared" si="1"/>
        <v>510.46</v>
      </c>
      <c r="M27" s="28"/>
      <c r="N27" s="31">
        <f t="shared" si="2"/>
        <v>36.510000000000048</v>
      </c>
      <c r="O27" s="32">
        <f t="shared" si="3"/>
        <v>7.703344234623917E-2</v>
      </c>
    </row>
    <row r="28" spans="2:15" x14ac:dyDescent="0.25">
      <c r="B28" s="22" t="s">
        <v>20</v>
      </c>
      <c r="C28" s="22"/>
      <c r="D28" s="23"/>
      <c r="E28" s="24"/>
      <c r="F28" s="25"/>
      <c r="G28" s="26">
        <f>$F$16</f>
        <v>40000</v>
      </c>
      <c r="H28" s="27">
        <f t="shared" si="0"/>
        <v>0</v>
      </c>
      <c r="I28" s="28"/>
      <c r="J28" s="29"/>
      <c r="K28" s="26">
        <f t="shared" ref="K28:K36" si="4">$F$16</f>
        <v>40000</v>
      </c>
      <c r="L28" s="27">
        <f t="shared" si="1"/>
        <v>0</v>
      </c>
      <c r="M28" s="28"/>
      <c r="N28" s="31">
        <f t="shared" si="2"/>
        <v>0</v>
      </c>
      <c r="O28" s="32" t="str">
        <f t="shared" si="3"/>
        <v/>
      </c>
    </row>
    <row r="29" spans="2:15" x14ac:dyDescent="0.25">
      <c r="B29" s="22" t="s">
        <v>21</v>
      </c>
      <c r="C29" s="22"/>
      <c r="D29" s="23"/>
      <c r="E29" s="24"/>
      <c r="F29" s="25"/>
      <c r="G29" s="26">
        <f>$F$16</f>
        <v>40000</v>
      </c>
      <c r="H29" s="27">
        <f t="shared" si="0"/>
        <v>0</v>
      </c>
      <c r="I29" s="28"/>
      <c r="J29" s="29"/>
      <c r="K29" s="26">
        <f t="shared" si="4"/>
        <v>40000</v>
      </c>
      <c r="L29" s="27">
        <f t="shared" si="1"/>
        <v>0</v>
      </c>
      <c r="M29" s="28"/>
      <c r="N29" s="31">
        <f t="shared" si="2"/>
        <v>0</v>
      </c>
      <c r="O29" s="32" t="str">
        <f t="shared" si="3"/>
        <v/>
      </c>
    </row>
    <row r="30" spans="2:15" x14ac:dyDescent="0.25">
      <c r="B30" s="33"/>
      <c r="C30" s="22"/>
      <c r="D30" s="23"/>
      <c r="E30" s="24"/>
      <c r="F30" s="25"/>
      <c r="G30" s="26">
        <f t="shared" ref="G30:G36" si="5">$F$16</f>
        <v>40000</v>
      </c>
      <c r="H30" s="27">
        <f t="shared" si="0"/>
        <v>0</v>
      </c>
      <c r="I30" s="28"/>
      <c r="J30" s="29"/>
      <c r="K30" s="26">
        <f t="shared" si="4"/>
        <v>40000</v>
      </c>
      <c r="L30" s="27">
        <f t="shared" si="1"/>
        <v>0</v>
      </c>
      <c r="M30" s="28"/>
      <c r="N30" s="31">
        <f t="shared" si="2"/>
        <v>0</v>
      </c>
      <c r="O30" s="32" t="str">
        <f t="shared" si="3"/>
        <v/>
      </c>
    </row>
    <row r="31" spans="2:15" x14ac:dyDescent="0.25">
      <c r="B31" s="33"/>
      <c r="C31" s="22"/>
      <c r="D31" s="23"/>
      <c r="E31" s="24"/>
      <c r="F31" s="25"/>
      <c r="G31" s="26">
        <f t="shared" si="5"/>
        <v>40000</v>
      </c>
      <c r="H31" s="27">
        <f t="shared" si="0"/>
        <v>0</v>
      </c>
      <c r="I31" s="28"/>
      <c r="J31" s="29"/>
      <c r="K31" s="26">
        <f t="shared" si="4"/>
        <v>40000</v>
      </c>
      <c r="L31" s="27">
        <f t="shared" si="1"/>
        <v>0</v>
      </c>
      <c r="M31" s="28"/>
      <c r="N31" s="31">
        <f t="shared" si="2"/>
        <v>0</v>
      </c>
      <c r="O31" s="32" t="str">
        <f t="shared" si="3"/>
        <v/>
      </c>
    </row>
    <row r="32" spans="2:15" x14ac:dyDescent="0.25">
      <c r="B32" s="33"/>
      <c r="C32" s="22"/>
      <c r="D32" s="23"/>
      <c r="E32" s="24"/>
      <c r="F32" s="25"/>
      <c r="G32" s="26">
        <f t="shared" si="5"/>
        <v>40000</v>
      </c>
      <c r="H32" s="27">
        <f t="shared" si="0"/>
        <v>0</v>
      </c>
      <c r="I32" s="28"/>
      <c r="J32" s="29"/>
      <c r="K32" s="26">
        <f t="shared" si="4"/>
        <v>40000</v>
      </c>
      <c r="L32" s="27">
        <f t="shared" si="1"/>
        <v>0</v>
      </c>
      <c r="M32" s="28"/>
      <c r="N32" s="31">
        <f t="shared" si="2"/>
        <v>0</v>
      </c>
      <c r="O32" s="32" t="str">
        <f t="shared" si="3"/>
        <v/>
      </c>
    </row>
    <row r="33" spans="2:15" x14ac:dyDescent="0.25">
      <c r="B33" s="33"/>
      <c r="C33" s="22"/>
      <c r="D33" s="23"/>
      <c r="E33" s="24"/>
      <c r="F33" s="25"/>
      <c r="G33" s="26">
        <f t="shared" si="5"/>
        <v>40000</v>
      </c>
      <c r="H33" s="27">
        <f t="shared" si="0"/>
        <v>0</v>
      </c>
      <c r="I33" s="28"/>
      <c r="J33" s="29"/>
      <c r="K33" s="26">
        <f t="shared" si="4"/>
        <v>40000</v>
      </c>
      <c r="L33" s="27">
        <f t="shared" si="1"/>
        <v>0</v>
      </c>
      <c r="M33" s="28"/>
      <c r="N33" s="31">
        <f t="shared" si="2"/>
        <v>0</v>
      </c>
      <c r="O33" s="32" t="str">
        <f t="shared" si="3"/>
        <v/>
      </c>
    </row>
    <row r="34" spans="2:15" x14ac:dyDescent="0.25">
      <c r="B34" s="33"/>
      <c r="C34" s="22"/>
      <c r="D34" s="23"/>
      <c r="E34" s="24"/>
      <c r="F34" s="25"/>
      <c r="G34" s="26">
        <f t="shared" si="5"/>
        <v>40000</v>
      </c>
      <c r="H34" s="27">
        <f t="shared" si="0"/>
        <v>0</v>
      </c>
      <c r="I34" s="28"/>
      <c r="J34" s="29"/>
      <c r="K34" s="26">
        <f t="shared" si="4"/>
        <v>40000</v>
      </c>
      <c r="L34" s="27">
        <f t="shared" si="1"/>
        <v>0</v>
      </c>
      <c r="M34" s="28"/>
      <c r="N34" s="31">
        <f t="shared" si="2"/>
        <v>0</v>
      </c>
      <c r="O34" s="32" t="str">
        <f t="shared" si="3"/>
        <v/>
      </c>
    </row>
    <row r="35" spans="2:15" x14ac:dyDescent="0.25">
      <c r="B35" s="33"/>
      <c r="C35" s="22"/>
      <c r="D35" s="23"/>
      <c r="E35" s="24"/>
      <c r="F35" s="25"/>
      <c r="G35" s="26">
        <f t="shared" si="5"/>
        <v>40000</v>
      </c>
      <c r="H35" s="27">
        <f t="shared" si="0"/>
        <v>0</v>
      </c>
      <c r="I35" s="28"/>
      <c r="J35" s="29"/>
      <c r="K35" s="26">
        <f t="shared" si="4"/>
        <v>40000</v>
      </c>
      <c r="L35" s="27">
        <f t="shared" si="1"/>
        <v>0</v>
      </c>
      <c r="M35" s="28"/>
      <c r="N35" s="31">
        <f t="shared" si="2"/>
        <v>0</v>
      </c>
      <c r="O35" s="32" t="str">
        <f t="shared" si="3"/>
        <v/>
      </c>
    </row>
    <row r="36" spans="2:15" x14ac:dyDescent="0.25">
      <c r="B36" s="33"/>
      <c r="C36" s="22"/>
      <c r="D36" s="23"/>
      <c r="E36" s="24"/>
      <c r="F36" s="25"/>
      <c r="G36" s="26">
        <f t="shared" si="5"/>
        <v>40000</v>
      </c>
      <c r="H36" s="27">
        <f t="shared" si="0"/>
        <v>0</v>
      </c>
      <c r="I36" s="28"/>
      <c r="J36" s="29"/>
      <c r="K36" s="26">
        <f t="shared" si="4"/>
        <v>40000</v>
      </c>
      <c r="L36" s="27">
        <f t="shared" si="1"/>
        <v>0</v>
      </c>
      <c r="M36" s="28"/>
      <c r="N36" s="31">
        <f t="shared" si="2"/>
        <v>0</v>
      </c>
      <c r="O36" s="32" t="str">
        <f t="shared" si="3"/>
        <v/>
      </c>
    </row>
    <row r="37" spans="2:15" s="34" customFormat="1" x14ac:dyDescent="0.25">
      <c r="B37" s="35" t="s">
        <v>22</v>
      </c>
      <c r="C37" s="36"/>
      <c r="D37" s="37"/>
      <c r="E37" s="36"/>
      <c r="F37" s="38"/>
      <c r="G37" s="39"/>
      <c r="H37" s="40">
        <f>SUM(H21:H36)</f>
        <v>592.33999999999992</v>
      </c>
      <c r="I37" s="41"/>
      <c r="J37" s="42"/>
      <c r="K37" s="43"/>
      <c r="L37" s="40">
        <f>SUM(L21:L36)</f>
        <v>590.41999999999996</v>
      </c>
      <c r="M37" s="41"/>
      <c r="N37" s="44">
        <f t="shared" si="2"/>
        <v>-1.9199999999999591</v>
      </c>
      <c r="O37" s="45">
        <f t="shared" si="3"/>
        <v>-3.2413816389235224E-3</v>
      </c>
    </row>
    <row r="38" spans="2:15" x14ac:dyDescent="0.25">
      <c r="B38" s="296" t="s">
        <v>23</v>
      </c>
      <c r="C38" s="22"/>
      <c r="D38" s="56" t="s">
        <v>70</v>
      </c>
      <c r="E38" s="57"/>
      <c r="F38" s="29">
        <f>+'GS 50-4999 (60kW)'!$F$38</f>
        <v>-0.6502</v>
      </c>
      <c r="G38" s="179">
        <f>G27</f>
        <v>100</v>
      </c>
      <c r="H38" s="27">
        <f t="shared" ref="H38:H44" si="6">G38*F38</f>
        <v>-65.02</v>
      </c>
      <c r="I38" s="28"/>
      <c r="J38" s="29">
        <f>+'GS 50-4999 (60kW)'!$J$38</f>
        <v>0.12180000000000002</v>
      </c>
      <c r="K38" s="179">
        <f>H16</f>
        <v>100</v>
      </c>
      <c r="L38" s="27">
        <f t="shared" ref="L38:L44" si="7">K38*J38</f>
        <v>12.180000000000001</v>
      </c>
      <c r="M38" s="28"/>
      <c r="N38" s="31">
        <f t="shared" si="2"/>
        <v>77.2</v>
      </c>
      <c r="O38" s="32">
        <f t="shared" si="3"/>
        <v>-1.1873269763149801</v>
      </c>
    </row>
    <row r="39" spans="2:15" x14ac:dyDescent="0.25">
      <c r="B39" s="296"/>
      <c r="C39" s="22"/>
      <c r="D39" s="23" t="s">
        <v>70</v>
      </c>
      <c r="E39" s="24"/>
      <c r="F39" s="25"/>
      <c r="G39" s="179">
        <f>H16</f>
        <v>100</v>
      </c>
      <c r="H39" s="27">
        <f t="shared" si="6"/>
        <v>0</v>
      </c>
      <c r="I39" s="47"/>
      <c r="J39" s="29"/>
      <c r="K39" s="179">
        <f>H16</f>
        <v>100</v>
      </c>
      <c r="L39" s="27">
        <f t="shared" si="7"/>
        <v>0</v>
      </c>
      <c r="M39" s="48"/>
      <c r="N39" s="31">
        <f t="shared" si="2"/>
        <v>0</v>
      </c>
      <c r="O39" s="32" t="str">
        <f t="shared" si="3"/>
        <v/>
      </c>
    </row>
    <row r="40" spans="2:15" x14ac:dyDescent="0.25">
      <c r="B40" s="296"/>
      <c r="C40" s="22"/>
      <c r="D40" s="23" t="s">
        <v>70</v>
      </c>
      <c r="E40" s="24"/>
      <c r="F40" s="25"/>
      <c r="G40" s="179">
        <f>H16</f>
        <v>100</v>
      </c>
      <c r="H40" s="27">
        <f t="shared" si="6"/>
        <v>0</v>
      </c>
      <c r="I40" s="47"/>
      <c r="J40" s="29"/>
      <c r="K40" s="179">
        <f>H16</f>
        <v>100</v>
      </c>
      <c r="L40" s="27">
        <f t="shared" si="7"/>
        <v>0</v>
      </c>
      <c r="M40" s="48"/>
      <c r="N40" s="31">
        <f t="shared" si="2"/>
        <v>0</v>
      </c>
      <c r="O40" s="32" t="str">
        <f t="shared" si="3"/>
        <v/>
      </c>
    </row>
    <row r="41" spans="2:15" ht="30.75" customHeight="1" x14ac:dyDescent="0.25">
      <c r="B41" s="296" t="s">
        <v>74</v>
      </c>
      <c r="C41" s="22"/>
      <c r="D41" s="56" t="s">
        <v>70</v>
      </c>
      <c r="E41" s="24"/>
      <c r="F41" s="29">
        <f>+'GS 50-4999 (60kW)'!$F$41</f>
        <v>0.26750000000000002</v>
      </c>
      <c r="G41" s="179">
        <f>H16</f>
        <v>100</v>
      </c>
      <c r="H41" s="27">
        <f t="shared" si="6"/>
        <v>26.75</v>
      </c>
      <c r="I41" s="47"/>
      <c r="J41" s="29">
        <f>+'GS 50-4999 (60kW)'!$J$41</f>
        <v>1.5334000000000001</v>
      </c>
      <c r="K41" s="179">
        <f>H16</f>
        <v>100</v>
      </c>
      <c r="L41" s="27">
        <f t="shared" si="7"/>
        <v>153.34</v>
      </c>
      <c r="M41" s="48"/>
      <c r="N41" s="31">
        <f t="shared" si="2"/>
        <v>126.59</v>
      </c>
      <c r="O41" s="32">
        <f t="shared" si="3"/>
        <v>4.7323364485981312</v>
      </c>
    </row>
    <row r="42" spans="2:15" x14ac:dyDescent="0.25">
      <c r="B42" s="49" t="s">
        <v>24</v>
      </c>
      <c r="C42" s="22"/>
      <c r="D42" s="23" t="s">
        <v>70</v>
      </c>
      <c r="E42" s="24"/>
      <c r="F42" s="284">
        <f>+'GS 50-4999 (60kW)'!$F$42</f>
        <v>5.5100000000000003E-2</v>
      </c>
      <c r="G42" s="179">
        <f>H16</f>
        <v>100</v>
      </c>
      <c r="H42" s="27">
        <f t="shared" si="6"/>
        <v>5.5100000000000007</v>
      </c>
      <c r="I42" s="28"/>
      <c r="J42" s="29">
        <f>+'GS 50-4999 (60kW)'!$J$42</f>
        <v>7.3800000000000004E-2</v>
      </c>
      <c r="K42" s="179">
        <f>H16</f>
        <v>100</v>
      </c>
      <c r="L42" s="27">
        <f t="shared" si="7"/>
        <v>7.3800000000000008</v>
      </c>
      <c r="M42" s="28"/>
      <c r="N42" s="31">
        <f t="shared" si="2"/>
        <v>1.87</v>
      </c>
      <c r="O42" s="32">
        <f t="shared" si="3"/>
        <v>0.33938294010889292</v>
      </c>
    </row>
    <row r="43" spans="2:15" s="34" customFormat="1" ht="14.45" x14ac:dyDescent="0.3">
      <c r="B43" s="181" t="s">
        <v>25</v>
      </c>
      <c r="C43" s="24"/>
      <c r="D43" s="182" t="s">
        <v>61</v>
      </c>
      <c r="E43" s="24"/>
      <c r="F43" s="183">
        <f>+F53</f>
        <v>0.10186000000000001</v>
      </c>
      <c r="G43" s="26">
        <f>$F$16*(1+$F$72)-$F$16</f>
        <v>1616</v>
      </c>
      <c r="H43" s="184">
        <f t="shared" si="6"/>
        <v>164.60576</v>
      </c>
      <c r="I43" s="57"/>
      <c r="J43" s="185">
        <f>+J53</f>
        <v>0.10186000000000001</v>
      </c>
      <c r="K43" s="26">
        <f>$F$16*(1+$J$72)-$F$16</f>
        <v>1448</v>
      </c>
      <c r="L43" s="184">
        <f t="shared" si="7"/>
        <v>147.49328</v>
      </c>
      <c r="M43" s="57"/>
      <c r="N43" s="186">
        <f t="shared" si="2"/>
        <v>-17.112480000000005</v>
      </c>
      <c r="O43" s="187">
        <f t="shared" si="3"/>
        <v>-0.10396039603960398</v>
      </c>
    </row>
    <row r="44" spans="2:15" ht="14.45" x14ac:dyDescent="0.3">
      <c r="B44" s="49"/>
      <c r="C44" s="22"/>
      <c r="D44" s="23" t="s">
        <v>60</v>
      </c>
      <c r="E44" s="24"/>
      <c r="F44" s="178"/>
      <c r="G44" s="26">
        <v>0</v>
      </c>
      <c r="H44" s="27">
        <f t="shared" si="6"/>
        <v>0</v>
      </c>
      <c r="I44" s="28"/>
      <c r="J44" s="178"/>
      <c r="K44" s="26">
        <v>0</v>
      </c>
      <c r="L44" s="27">
        <f t="shared" si="7"/>
        <v>0</v>
      </c>
      <c r="M44" s="28"/>
      <c r="N44" s="31">
        <f t="shared" si="2"/>
        <v>0</v>
      </c>
      <c r="O44" s="32"/>
    </row>
    <row r="45" spans="2:15" ht="14.45" x14ac:dyDescent="0.3">
      <c r="B45" s="50" t="s">
        <v>27</v>
      </c>
      <c r="C45" s="51"/>
      <c r="D45" s="51"/>
      <c r="E45" s="51"/>
      <c r="F45" s="52"/>
      <c r="G45" s="53"/>
      <c r="H45" s="54">
        <f>SUM(H38:H44)+H37</f>
        <v>724.18575999999996</v>
      </c>
      <c r="I45" s="41"/>
      <c r="J45" s="53"/>
      <c r="K45" s="55"/>
      <c r="L45" s="54">
        <f>SUM(L38:L44)+L37</f>
        <v>910.81327999999996</v>
      </c>
      <c r="M45" s="41"/>
      <c r="N45" s="44">
        <f t="shared" si="2"/>
        <v>186.62752</v>
      </c>
      <c r="O45" s="45">
        <f t="shared" ref="O45:O63" si="8">IF((H45)=0,"",(N45/H45))</f>
        <v>0.25770669669063917</v>
      </c>
    </row>
    <row r="46" spans="2:15" ht="14.45" x14ac:dyDescent="0.3">
      <c r="B46" s="28" t="s">
        <v>28</v>
      </c>
      <c r="C46" s="28"/>
      <c r="D46" s="56" t="s">
        <v>70</v>
      </c>
      <c r="E46" s="57"/>
      <c r="F46" s="29">
        <f>+'GS 50-4999 (60kW)'!$F$46</f>
        <v>2.8420999999999998</v>
      </c>
      <c r="G46" s="289">
        <f>H16</f>
        <v>100</v>
      </c>
      <c r="H46" s="27">
        <f>G46*F46</f>
        <v>284.20999999999998</v>
      </c>
      <c r="I46" s="28"/>
      <c r="J46" s="263">
        <f>+'GS 50-4999 (60kW)'!$J$46</f>
        <v>2.7740999999999998</v>
      </c>
      <c r="K46" s="290">
        <f>+G46</f>
        <v>100</v>
      </c>
      <c r="L46" s="27">
        <f>K46*J46</f>
        <v>277.40999999999997</v>
      </c>
      <c r="M46" s="28"/>
      <c r="N46" s="31">
        <f t="shared" si="2"/>
        <v>-6.8000000000000114</v>
      </c>
      <c r="O46" s="32">
        <f t="shared" si="8"/>
        <v>-2.3925970233278252E-2</v>
      </c>
    </row>
    <row r="47" spans="2:15" ht="14.45" x14ac:dyDescent="0.3">
      <c r="B47" s="59" t="s">
        <v>29</v>
      </c>
      <c r="C47" s="28"/>
      <c r="D47" s="56" t="s">
        <v>70</v>
      </c>
      <c r="E47" s="57"/>
      <c r="F47" s="29">
        <f>+'GS 50-4999 (60kW)'!$F$47</f>
        <v>0.8165</v>
      </c>
      <c r="G47" s="289">
        <f>G46</f>
        <v>100</v>
      </c>
      <c r="H47" s="27">
        <f>G47*F47</f>
        <v>81.650000000000006</v>
      </c>
      <c r="I47" s="28"/>
      <c r="J47" s="29">
        <f>+'GS 50-4999 (60kW)'!$J$47</f>
        <v>0.80359999999999998</v>
      </c>
      <c r="K47" s="290">
        <f>K46</f>
        <v>100</v>
      </c>
      <c r="L47" s="27">
        <f>K47*J47</f>
        <v>80.36</v>
      </c>
      <c r="M47" s="28"/>
      <c r="N47" s="31">
        <f t="shared" si="2"/>
        <v>-1.2900000000000063</v>
      </c>
      <c r="O47" s="32">
        <f t="shared" si="8"/>
        <v>-1.5799142682180113E-2</v>
      </c>
    </row>
    <row r="48" spans="2:15" ht="14.45" x14ac:dyDescent="0.3">
      <c r="B48" s="50" t="s">
        <v>30</v>
      </c>
      <c r="C48" s="36"/>
      <c r="D48" s="36"/>
      <c r="E48" s="36"/>
      <c r="F48" s="60"/>
      <c r="G48" s="53"/>
      <c r="H48" s="54">
        <f>SUM(H45:H47)</f>
        <v>1090.04576</v>
      </c>
      <c r="I48" s="61"/>
      <c r="J48" s="62"/>
      <c r="K48" s="63"/>
      <c r="L48" s="54">
        <f>SUM(L45:L47)</f>
        <v>1268.5832799999998</v>
      </c>
      <c r="M48" s="61"/>
      <c r="N48" s="44">
        <f t="shared" si="2"/>
        <v>178.53751999999986</v>
      </c>
      <c r="O48" s="45">
        <f t="shared" si="8"/>
        <v>0.1637890137749812</v>
      </c>
    </row>
    <row r="49" spans="2:19" ht="14.45" x14ac:dyDescent="0.3">
      <c r="B49" s="64" t="s">
        <v>31</v>
      </c>
      <c r="C49" s="22"/>
      <c r="D49" s="23" t="s">
        <v>61</v>
      </c>
      <c r="E49" s="24"/>
      <c r="F49" s="65">
        <f>+'GS 50-4999 (60kW)'!$F$49</f>
        <v>4.4000000000000003E-3</v>
      </c>
      <c r="G49" s="289">
        <f>F16*(1+F72)</f>
        <v>41616</v>
      </c>
      <c r="H49" s="66">
        <f t="shared" ref="H49:H55" si="9">G49*F49</f>
        <v>183.1104</v>
      </c>
      <c r="I49" s="28"/>
      <c r="J49" s="263">
        <f>+'GS 50-4999 (60kW)'!$J$49</f>
        <v>4.4000000000000003E-3</v>
      </c>
      <c r="K49" s="290">
        <f>F16*(1+J72)</f>
        <v>41448</v>
      </c>
      <c r="L49" s="66">
        <f t="shared" ref="L49:L55" si="10">K49*J49</f>
        <v>182.37120000000002</v>
      </c>
      <c r="M49" s="28"/>
      <c r="N49" s="31">
        <f t="shared" si="2"/>
        <v>-0.73919999999998254</v>
      </c>
      <c r="O49" s="68">
        <f t="shared" si="8"/>
        <v>-4.0369088811994429E-3</v>
      </c>
    </row>
    <row r="50" spans="2:19" ht="14.45" x14ac:dyDescent="0.3">
      <c r="B50" s="64" t="s">
        <v>32</v>
      </c>
      <c r="C50" s="22"/>
      <c r="D50" s="23" t="s">
        <v>61</v>
      </c>
      <c r="E50" s="24"/>
      <c r="F50" s="65">
        <f>+'GS 50-4999 (60kW)'!$F$50</f>
        <v>1.2999999999999999E-3</v>
      </c>
      <c r="G50" s="289">
        <f>G49</f>
        <v>41616</v>
      </c>
      <c r="H50" s="66">
        <f t="shared" si="9"/>
        <v>54.1008</v>
      </c>
      <c r="I50" s="28"/>
      <c r="J50" s="263">
        <f>+'GS 50-4999 (60kW)'!$J$50</f>
        <v>1.2999999999999999E-3</v>
      </c>
      <c r="K50" s="290">
        <f>K49</f>
        <v>41448</v>
      </c>
      <c r="L50" s="66">
        <f t="shared" si="10"/>
        <v>53.882399999999997</v>
      </c>
      <c r="M50" s="28"/>
      <c r="N50" s="31">
        <f t="shared" si="2"/>
        <v>-0.21840000000000259</v>
      </c>
      <c r="O50" s="68">
        <f t="shared" si="8"/>
        <v>-4.0369088811995869E-3</v>
      </c>
    </row>
    <row r="51" spans="2:19" ht="14.45" x14ac:dyDescent="0.3">
      <c r="B51" s="22" t="s">
        <v>33</v>
      </c>
      <c r="C51" s="22"/>
      <c r="D51" s="23" t="s">
        <v>60</v>
      </c>
      <c r="E51" s="24"/>
      <c r="F51" s="176">
        <f>+'GS 50-4999 (60kW)'!$F$51</f>
        <v>0.25</v>
      </c>
      <c r="G51" s="26">
        <v>1</v>
      </c>
      <c r="H51" s="66">
        <f t="shared" si="9"/>
        <v>0.25</v>
      </c>
      <c r="I51" s="28"/>
      <c r="J51" s="283">
        <f>+'GS 50-4999 (60kW)'!$J$51</f>
        <v>0.25</v>
      </c>
      <c r="K51" s="30">
        <v>1</v>
      </c>
      <c r="L51" s="66">
        <f t="shared" si="10"/>
        <v>0.25</v>
      </c>
      <c r="M51" s="28"/>
      <c r="N51" s="31">
        <f t="shared" si="2"/>
        <v>0</v>
      </c>
      <c r="O51" s="68">
        <f t="shared" si="8"/>
        <v>0</v>
      </c>
    </row>
    <row r="52" spans="2:19" ht="14.45" x14ac:dyDescent="0.3">
      <c r="B52" s="22" t="s">
        <v>34</v>
      </c>
      <c r="C52" s="22"/>
      <c r="D52" s="23" t="s">
        <v>61</v>
      </c>
      <c r="E52" s="24"/>
      <c r="F52" s="65">
        <f>+'GS 50-4999 (60kW)'!$F$52</f>
        <v>7.0000000000000001E-3</v>
      </c>
      <c r="G52" s="69">
        <f>F16</f>
        <v>40000</v>
      </c>
      <c r="H52" s="66">
        <f t="shared" si="9"/>
        <v>280</v>
      </c>
      <c r="I52" s="28"/>
      <c r="J52" s="263">
        <f>+'GS 50-4999 (60kW)'!$J$52</f>
        <v>7.0000000000000001E-3</v>
      </c>
      <c r="K52" s="70">
        <f>F16</f>
        <v>40000</v>
      </c>
      <c r="L52" s="66">
        <f t="shared" si="10"/>
        <v>280</v>
      </c>
      <c r="M52" s="28"/>
      <c r="N52" s="31">
        <f t="shared" si="2"/>
        <v>0</v>
      </c>
      <c r="O52" s="68">
        <f t="shared" si="8"/>
        <v>0</v>
      </c>
    </row>
    <row r="53" spans="2:19" x14ac:dyDescent="0.25">
      <c r="B53" s="22" t="s">
        <v>98</v>
      </c>
      <c r="C53" s="22"/>
      <c r="D53" s="23" t="s">
        <v>61</v>
      </c>
      <c r="E53" s="24"/>
      <c r="F53" s="335">
        <f>+'GS 50-4999 (60kW)'!$F$53</f>
        <v>0.10186000000000001</v>
      </c>
      <c r="G53" s="69">
        <f>F16</f>
        <v>40000</v>
      </c>
      <c r="H53" s="66">
        <f t="shared" si="9"/>
        <v>4074.4</v>
      </c>
      <c r="I53" s="28"/>
      <c r="J53" s="336">
        <f>+'GS 50-4999 (60kW)'!$J$53</f>
        <v>0.10186000000000001</v>
      </c>
      <c r="K53" s="69">
        <f>G53</f>
        <v>40000</v>
      </c>
      <c r="L53" s="66">
        <f t="shared" si="10"/>
        <v>4074.4</v>
      </c>
      <c r="M53" s="28"/>
      <c r="N53" s="31">
        <f t="shared" si="2"/>
        <v>0</v>
      </c>
      <c r="O53" s="68">
        <f t="shared" si="8"/>
        <v>0</v>
      </c>
      <c r="S53" s="72"/>
    </row>
    <row r="54" spans="2:19" x14ac:dyDescent="0.25">
      <c r="B54" s="49" t="s">
        <v>36</v>
      </c>
      <c r="C54" s="22"/>
      <c r="D54" s="23"/>
      <c r="E54" s="24"/>
      <c r="F54" s="71">
        <v>0.104</v>
      </c>
      <c r="G54" s="69">
        <v>0</v>
      </c>
      <c r="H54" s="66">
        <f t="shared" si="9"/>
        <v>0</v>
      </c>
      <c r="I54" s="28"/>
      <c r="J54" s="65">
        <v>0.104</v>
      </c>
      <c r="K54" s="69">
        <v>0</v>
      </c>
      <c r="L54" s="66">
        <f t="shared" si="10"/>
        <v>0</v>
      </c>
      <c r="M54" s="28"/>
      <c r="N54" s="31">
        <f t="shared" si="2"/>
        <v>0</v>
      </c>
      <c r="O54" s="68" t="str">
        <f t="shared" si="8"/>
        <v/>
      </c>
      <c r="S54" s="72"/>
    </row>
    <row r="55" spans="2:19" x14ac:dyDescent="0.25">
      <c r="B55" s="12" t="s">
        <v>37</v>
      </c>
      <c r="C55" s="22"/>
      <c r="D55" s="23"/>
      <c r="E55" s="24"/>
      <c r="F55" s="71">
        <v>0.124</v>
      </c>
      <c r="G55" s="69">
        <v>0</v>
      </c>
      <c r="H55" s="66">
        <f t="shared" si="9"/>
        <v>0</v>
      </c>
      <c r="I55" s="28"/>
      <c r="J55" s="65">
        <v>0.124</v>
      </c>
      <c r="K55" s="69">
        <v>0</v>
      </c>
      <c r="L55" s="66">
        <f t="shared" si="10"/>
        <v>0</v>
      </c>
      <c r="M55" s="28"/>
      <c r="N55" s="31">
        <f t="shared" si="2"/>
        <v>0</v>
      </c>
      <c r="O55" s="68" t="str">
        <f t="shared" si="8"/>
        <v/>
      </c>
      <c r="S55" s="72"/>
    </row>
    <row r="56" spans="2:19" s="73" customFormat="1" x14ac:dyDescent="0.2">
      <c r="B56" s="180" t="s">
        <v>38</v>
      </c>
      <c r="C56" s="75"/>
      <c r="D56" s="76"/>
      <c r="E56" s="77"/>
      <c r="F56" s="71">
        <v>7.4999999999999997E-2</v>
      </c>
      <c r="G56" s="78">
        <v>0</v>
      </c>
      <c r="H56" s="66">
        <f>G56*F56</f>
        <v>0</v>
      </c>
      <c r="I56" s="79"/>
      <c r="J56" s="65">
        <v>7.4999999999999997E-2</v>
      </c>
      <c r="K56" s="78">
        <f>G56</f>
        <v>0</v>
      </c>
      <c r="L56" s="66">
        <f>K56*J56</f>
        <v>0</v>
      </c>
      <c r="M56" s="79"/>
      <c r="N56" s="80">
        <f t="shared" si="2"/>
        <v>0</v>
      </c>
      <c r="O56" s="68" t="str">
        <f t="shared" si="8"/>
        <v/>
      </c>
    </row>
    <row r="57" spans="2:19" s="73" customFormat="1" ht="15.75" thickBot="1" x14ac:dyDescent="0.25">
      <c r="B57" s="180" t="s">
        <v>39</v>
      </c>
      <c r="C57" s="75"/>
      <c r="D57" s="76"/>
      <c r="E57" s="77"/>
      <c r="F57" s="71">
        <v>8.7999999999999995E-2</v>
      </c>
      <c r="G57" s="78">
        <v>0</v>
      </c>
      <c r="H57" s="66">
        <f>G57*F57</f>
        <v>0</v>
      </c>
      <c r="I57" s="79"/>
      <c r="J57" s="65">
        <v>8.7999999999999995E-2</v>
      </c>
      <c r="K57" s="78">
        <f>G57</f>
        <v>0</v>
      </c>
      <c r="L57" s="66">
        <f>K57*J57</f>
        <v>0</v>
      </c>
      <c r="M57" s="79"/>
      <c r="N57" s="80">
        <f t="shared" si="2"/>
        <v>0</v>
      </c>
      <c r="O57" s="68" t="str">
        <f t="shared" si="8"/>
        <v/>
      </c>
    </row>
    <row r="58" spans="2:19" ht="8.25" customHeight="1" thickBot="1" x14ac:dyDescent="0.3">
      <c r="B58" s="81"/>
      <c r="C58" s="82"/>
      <c r="D58" s="83"/>
      <c r="E58" s="82"/>
      <c r="F58" s="84"/>
      <c r="G58" s="85"/>
      <c r="H58" s="86"/>
      <c r="I58" s="87"/>
      <c r="J58" s="84"/>
      <c r="K58" s="88"/>
      <c r="L58" s="86"/>
      <c r="M58" s="87"/>
      <c r="N58" s="89"/>
      <c r="O58" s="90"/>
    </row>
    <row r="59" spans="2:19" x14ac:dyDescent="0.25">
      <c r="B59" s="91" t="s">
        <v>40</v>
      </c>
      <c r="C59" s="22"/>
      <c r="D59" s="22"/>
      <c r="E59" s="22"/>
      <c r="F59" s="92"/>
      <c r="G59" s="93"/>
      <c r="H59" s="94">
        <f>SUM(H49:H55,H48)</f>
        <v>5681.9069600000003</v>
      </c>
      <c r="I59" s="95"/>
      <c r="J59" s="96"/>
      <c r="K59" s="96"/>
      <c r="L59" s="94">
        <f>SUM(L49:L55,L48)</f>
        <v>5859.4868799999995</v>
      </c>
      <c r="M59" s="97"/>
      <c r="N59" s="98">
        <f>L59-H59</f>
        <v>177.57991999999922</v>
      </c>
      <c r="O59" s="99">
        <f>IF((H59)=0,"",(N59/H59))</f>
        <v>3.1253577584100252E-2</v>
      </c>
      <c r="S59" s="72"/>
    </row>
    <row r="60" spans="2:19" x14ac:dyDescent="0.25">
      <c r="B60" s="100" t="s">
        <v>41</v>
      </c>
      <c r="C60" s="22"/>
      <c r="D60" s="22"/>
      <c r="E60" s="22"/>
      <c r="F60" s="101">
        <v>0.13</v>
      </c>
      <c r="G60" s="102"/>
      <c r="H60" s="103">
        <f>H59*F60</f>
        <v>738.64790480000011</v>
      </c>
      <c r="I60" s="104"/>
      <c r="J60" s="105">
        <v>0.13</v>
      </c>
      <c r="K60" s="104"/>
      <c r="L60" s="106">
        <f>L59*J60</f>
        <v>761.73329439999998</v>
      </c>
      <c r="M60" s="107"/>
      <c r="N60" s="108">
        <f t="shared" si="2"/>
        <v>23.085389599999871</v>
      </c>
      <c r="O60" s="109">
        <f t="shared" si="8"/>
        <v>3.125357758410021E-2</v>
      </c>
      <c r="S60" s="72"/>
    </row>
    <row r="61" spans="2:19" x14ac:dyDescent="0.25">
      <c r="B61" s="110" t="s">
        <v>42</v>
      </c>
      <c r="C61" s="22"/>
      <c r="D61" s="22"/>
      <c r="E61" s="22"/>
      <c r="F61" s="111"/>
      <c r="G61" s="102"/>
      <c r="H61" s="103">
        <f>H59+H60</f>
        <v>6420.5548648000004</v>
      </c>
      <c r="I61" s="104"/>
      <c r="J61" s="104"/>
      <c r="K61" s="104"/>
      <c r="L61" s="106">
        <f>L59+L60</f>
        <v>6621.2201743999995</v>
      </c>
      <c r="M61" s="107"/>
      <c r="N61" s="108">
        <f t="shared" si="2"/>
        <v>200.66530959999909</v>
      </c>
      <c r="O61" s="109">
        <f t="shared" si="8"/>
        <v>3.1253577584100245E-2</v>
      </c>
      <c r="S61" s="72"/>
    </row>
    <row r="62" spans="2:19" x14ac:dyDescent="0.25">
      <c r="B62" s="388" t="s">
        <v>43</v>
      </c>
      <c r="C62" s="388"/>
      <c r="D62" s="388"/>
      <c r="E62" s="22"/>
      <c r="F62" s="111"/>
      <c r="G62" s="102"/>
      <c r="H62" s="112">
        <f>ROUND(-H61*10%,2)</f>
        <v>-642.05999999999995</v>
      </c>
      <c r="I62" s="104"/>
      <c r="J62" s="104"/>
      <c r="K62" s="104"/>
      <c r="L62" s="113">
        <f>ROUND(-L61*10%,2)</f>
        <v>-662.12</v>
      </c>
      <c r="M62" s="107"/>
      <c r="N62" s="114">
        <f t="shared" si="2"/>
        <v>-20.060000000000059</v>
      </c>
      <c r="O62" s="115">
        <f t="shared" si="8"/>
        <v>3.1243185995078436E-2</v>
      </c>
    </row>
    <row r="63" spans="2:19" ht="15.75" thickBot="1" x14ac:dyDescent="0.3">
      <c r="B63" s="384" t="s">
        <v>44</v>
      </c>
      <c r="C63" s="384"/>
      <c r="D63" s="384"/>
      <c r="E63" s="116"/>
      <c r="F63" s="117"/>
      <c r="G63" s="118"/>
      <c r="H63" s="119">
        <f>H61+H62</f>
        <v>5778.4948648000009</v>
      </c>
      <c r="I63" s="120"/>
      <c r="J63" s="120"/>
      <c r="K63" s="120"/>
      <c r="L63" s="121">
        <f>L61+L62</f>
        <v>5959.1001743999996</v>
      </c>
      <c r="M63" s="122"/>
      <c r="N63" s="123">
        <f t="shared" si="2"/>
        <v>180.60530959999869</v>
      </c>
      <c r="O63" s="124">
        <f t="shared" si="8"/>
        <v>3.1254732214121228E-2</v>
      </c>
    </row>
    <row r="64" spans="2:19" s="73" customFormat="1" ht="8.25" hidden="1" customHeight="1" x14ac:dyDescent="0.25">
      <c r="B64" s="125"/>
      <c r="C64" s="126"/>
      <c r="D64" s="127"/>
      <c r="E64" s="126"/>
      <c r="F64" s="84"/>
      <c r="G64" s="128"/>
      <c r="H64" s="86"/>
      <c r="I64" s="129"/>
      <c r="J64" s="84"/>
      <c r="K64" s="130"/>
      <c r="L64" s="86"/>
      <c r="M64" s="129"/>
      <c r="N64" s="131"/>
      <c r="O64" s="90"/>
    </row>
    <row r="65" spans="1:15" s="73" customFormat="1" ht="12.75" x14ac:dyDescent="0.2">
      <c r="B65" s="132" t="s">
        <v>45</v>
      </c>
      <c r="C65" s="75"/>
      <c r="D65" s="75"/>
      <c r="E65" s="75"/>
      <c r="F65" s="133"/>
      <c r="G65" s="134"/>
      <c r="H65" s="135">
        <f>SUM(H53,H48,H49:H52)</f>
        <v>5681.9069600000003</v>
      </c>
      <c r="I65" s="136"/>
      <c r="J65" s="137"/>
      <c r="K65" s="137"/>
      <c r="L65" s="189">
        <f>SUM(L53,L48,L49:L52)</f>
        <v>5859.4868800000004</v>
      </c>
      <c r="M65" s="138"/>
      <c r="N65" s="139">
        <f>L65-H65</f>
        <v>177.57992000000013</v>
      </c>
      <c r="O65" s="99">
        <f>IF((H65)=0,"",(N65/H65))</f>
        <v>3.1253577584100412E-2</v>
      </c>
    </row>
    <row r="66" spans="1:15" s="73" customFormat="1" ht="13.15" x14ac:dyDescent="0.25">
      <c r="B66" s="140" t="s">
        <v>41</v>
      </c>
      <c r="C66" s="75"/>
      <c r="D66" s="75"/>
      <c r="E66" s="75"/>
      <c r="F66" s="141">
        <v>0.13</v>
      </c>
      <c r="G66" s="134"/>
      <c r="H66" s="142">
        <f>H65*F66</f>
        <v>738.64790480000011</v>
      </c>
      <c r="I66" s="143"/>
      <c r="J66" s="144">
        <v>0.13</v>
      </c>
      <c r="K66" s="145"/>
      <c r="L66" s="146">
        <f>L65*J66</f>
        <v>761.73329440000009</v>
      </c>
      <c r="M66" s="147"/>
      <c r="N66" s="148">
        <f>L66-H66</f>
        <v>23.085389599999985</v>
      </c>
      <c r="O66" s="109">
        <f>IF((H66)=0,"",(N66/H66))</f>
        <v>3.125357758410037E-2</v>
      </c>
    </row>
    <row r="67" spans="1:15" s="73" customFormat="1" ht="13.15" x14ac:dyDescent="0.25">
      <c r="B67" s="149" t="s">
        <v>42</v>
      </c>
      <c r="C67" s="75"/>
      <c r="D67" s="75"/>
      <c r="E67" s="75"/>
      <c r="F67" s="150"/>
      <c r="G67" s="151"/>
      <c r="H67" s="142">
        <f>H65+H66</f>
        <v>6420.5548648000004</v>
      </c>
      <c r="I67" s="143"/>
      <c r="J67" s="143"/>
      <c r="K67" s="143"/>
      <c r="L67" s="146">
        <f>L65+L66</f>
        <v>6621.2201744000004</v>
      </c>
      <c r="M67" s="147"/>
      <c r="N67" s="148">
        <f>L67-H67</f>
        <v>200.6653096</v>
      </c>
      <c r="O67" s="109">
        <f>IF((H67)=0,"",(N67/H67))</f>
        <v>3.1253577584100391E-2</v>
      </c>
    </row>
    <row r="68" spans="1:15" s="73" customFormat="1" ht="15.75" customHeight="1" x14ac:dyDescent="0.25">
      <c r="B68" s="389" t="s">
        <v>43</v>
      </c>
      <c r="C68" s="389"/>
      <c r="D68" s="389"/>
      <c r="E68" s="75"/>
      <c r="F68" s="150"/>
      <c r="G68" s="151"/>
      <c r="H68" s="152"/>
      <c r="I68" s="143"/>
      <c r="J68" s="143"/>
      <c r="K68" s="143"/>
      <c r="L68" s="153"/>
      <c r="M68" s="147"/>
      <c r="N68" s="154">
        <f>L68-H68</f>
        <v>0</v>
      </c>
      <c r="O68" s="115" t="str">
        <f>IF((H68)=0,"",(N68/H68))</f>
        <v/>
      </c>
    </row>
    <row r="69" spans="1:15" s="73" customFormat="1" ht="13.9" thickBot="1" x14ac:dyDescent="0.3">
      <c r="B69" s="376" t="s">
        <v>46</v>
      </c>
      <c r="C69" s="376"/>
      <c r="D69" s="376"/>
      <c r="E69" s="155"/>
      <c r="F69" s="156"/>
      <c r="G69" s="157"/>
      <c r="H69" s="158">
        <f>SUM(H67:H68)</f>
        <v>6420.5548648000004</v>
      </c>
      <c r="I69" s="159"/>
      <c r="J69" s="159"/>
      <c r="K69" s="159"/>
      <c r="L69" s="160">
        <f>SUM(L67:L68)</f>
        <v>6621.2201744000004</v>
      </c>
      <c r="M69" s="161"/>
      <c r="N69" s="162">
        <f>L69-H69</f>
        <v>200.6653096</v>
      </c>
      <c r="O69" s="163">
        <f>IF((H69)=0,"",(N69/H69))</f>
        <v>3.1253577584100391E-2</v>
      </c>
    </row>
    <row r="70" spans="1:15" s="73" customFormat="1" ht="8.25" customHeight="1" thickBot="1" x14ac:dyDescent="0.3">
      <c r="B70" s="125"/>
      <c r="C70" s="126"/>
      <c r="D70" s="127"/>
      <c r="E70" s="126"/>
      <c r="F70" s="164"/>
      <c r="G70" s="165"/>
      <c r="H70" s="166"/>
      <c r="I70" s="167"/>
      <c r="J70" s="164"/>
      <c r="K70" s="128"/>
      <c r="L70" s="168"/>
      <c r="M70" s="129"/>
      <c r="N70" s="169"/>
      <c r="O70" s="90"/>
    </row>
    <row r="71" spans="1:15" ht="10.5" customHeight="1" x14ac:dyDescent="0.3">
      <c r="L71" s="72"/>
    </row>
    <row r="72" spans="1:15" ht="14.45" x14ac:dyDescent="0.3">
      <c r="B72" s="13" t="s">
        <v>47</v>
      </c>
      <c r="F72" s="170">
        <f>+'Res (100kWh)'!$F$73</f>
        <v>4.0399999999999998E-2</v>
      </c>
      <c r="J72" s="170">
        <f>+'Res (100kWh)'!$J$73</f>
        <v>3.6200000000000003E-2</v>
      </c>
    </row>
    <row r="73" spans="1:15" ht="10.5" customHeight="1" x14ac:dyDescent="0.25"/>
    <row r="74" spans="1:15" x14ac:dyDescent="0.25">
      <c r="A74" s="171" t="s">
        <v>48</v>
      </c>
    </row>
    <row r="75" spans="1:15" ht="10.5" customHeight="1" x14ac:dyDescent="0.25"/>
    <row r="76" spans="1:15" x14ac:dyDescent="0.25">
      <c r="A76" s="7" t="s">
        <v>49</v>
      </c>
    </row>
    <row r="77" spans="1:15" x14ac:dyDescent="0.25">
      <c r="A77" s="7" t="s">
        <v>50</v>
      </c>
    </row>
    <row r="79" spans="1:15" x14ac:dyDescent="0.25">
      <c r="A79" s="12" t="s">
        <v>51</v>
      </c>
    </row>
    <row r="80" spans="1:15" x14ac:dyDescent="0.25">
      <c r="A80" s="12" t="s">
        <v>52</v>
      </c>
    </row>
    <row r="82" spans="1:2" x14ac:dyDescent="0.25">
      <c r="A82" s="7" t="s">
        <v>53</v>
      </c>
    </row>
    <row r="83" spans="1:2" x14ac:dyDescent="0.25">
      <c r="A83" s="7" t="s">
        <v>54</v>
      </c>
    </row>
    <row r="84" spans="1:2" x14ac:dyDescent="0.25">
      <c r="A84" s="7" t="s">
        <v>55</v>
      </c>
    </row>
    <row r="85" spans="1:2" x14ac:dyDescent="0.25">
      <c r="A85" s="7" t="s">
        <v>56</v>
      </c>
    </row>
    <row r="86" spans="1:2" x14ac:dyDescent="0.25">
      <c r="A86" s="7" t="s">
        <v>57</v>
      </c>
    </row>
    <row r="88" spans="1:2" x14ac:dyDescent="0.25">
      <c r="A88" s="172"/>
      <c r="B88" s="7" t="s">
        <v>58</v>
      </c>
    </row>
  </sheetData>
  <mergeCells count="17">
    <mergeCell ref="N1:O1"/>
    <mergeCell ref="N2:O2"/>
    <mergeCell ref="F18:H18"/>
    <mergeCell ref="B9:O9"/>
    <mergeCell ref="J18:L18"/>
    <mergeCell ref="N5:O5"/>
    <mergeCell ref="B8:O8"/>
    <mergeCell ref="N18:O18"/>
    <mergeCell ref="D12:O12"/>
    <mergeCell ref="N3:O3"/>
    <mergeCell ref="B69:D69"/>
    <mergeCell ref="D19:D20"/>
    <mergeCell ref="N19:N20"/>
    <mergeCell ref="O19:O20"/>
    <mergeCell ref="B62:D62"/>
    <mergeCell ref="B68:D68"/>
    <mergeCell ref="B63:D63"/>
  </mergeCells>
  <dataValidations count="4">
    <dataValidation type="list" allowBlank="1" showInputMessage="1" showErrorMessage="1" sqref="E46:E47 E38:E44 E21:E36 E49:E55 E58">
      <formula1>#REF!</formula1>
    </dataValidation>
    <dataValidation type="list" allowBlank="1" showInputMessage="1" showErrorMessage="1" prompt="Select Charge Unit - monthly, per kWh, per kW" sqref="D46:D47 D38:D44 D64 D21:D36 D70 D49:D58">
      <formula1>"Monthly, per kWh, per kW"</formula1>
    </dataValidation>
    <dataValidation type="list" allowBlank="1" showInputMessage="1" showErrorMessage="1" sqref="E70 E64 E56:E57">
      <formula1>#REF!</formula1>
    </dataValidation>
    <dataValidation type="list" allowBlank="1" showInputMessage="1" showErrorMessage="1" sqref="D14">
      <formula1>"TOU, non-TOU"</formula1>
    </dataValidation>
  </dataValidations>
  <pageMargins left="0.7" right="0.7" top="0.75" bottom="0.75" header="0.3" footer="0.3"/>
  <pageSetup scale="58" orientation="portrait" r:id="rId1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  <pageSetUpPr fitToPage="1"/>
  </sheetPr>
  <dimension ref="A1:S88"/>
  <sheetViews>
    <sheetView showGridLines="0" topLeftCell="A15" zoomScaleNormal="100" workbookViewId="0">
      <selection activeCell="J42" sqref="J42"/>
    </sheetView>
  </sheetViews>
  <sheetFormatPr defaultColWidth="9.140625" defaultRowHeight="15" x14ac:dyDescent="0.25"/>
  <cols>
    <col min="1" max="1" width="2.140625" style="7" customWidth="1"/>
    <col min="2" max="2" width="44.5703125" style="7" customWidth="1"/>
    <col min="3" max="3" width="1.28515625" style="7" customWidth="1"/>
    <col min="4" max="4" width="11.28515625" style="7" customWidth="1"/>
    <col min="5" max="5" width="1.28515625" style="7" customWidth="1"/>
    <col min="6" max="6" width="12.28515625" style="7" customWidth="1"/>
    <col min="7" max="7" width="8.5703125" style="7" customWidth="1"/>
    <col min="8" max="8" width="12.28515625" style="7" bestFit="1" customWidth="1"/>
    <col min="9" max="9" width="2.85546875" style="7" customWidth="1"/>
    <col min="10" max="10" width="12.140625" style="7" customWidth="1"/>
    <col min="11" max="11" width="8.5703125" style="7" customWidth="1"/>
    <col min="12" max="12" width="13.42578125" style="7" bestFit="1" customWidth="1"/>
    <col min="13" max="13" width="2.85546875" style="7" customWidth="1"/>
    <col min="14" max="14" width="12.7109375" style="7" bestFit="1" customWidth="1"/>
    <col min="15" max="15" width="10.85546875" style="7" bestFit="1" customWidth="1"/>
    <col min="16" max="16" width="11.140625" style="7" customWidth="1"/>
    <col min="17" max="19" width="9.140625" style="7"/>
    <col min="20" max="20" width="9.140625" style="7" customWidth="1"/>
    <col min="21" max="16384" width="9.140625" style="7"/>
  </cols>
  <sheetData>
    <row r="1" spans="1:16" s="2" customFormat="1" ht="15" customHeigh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3" t="s">
        <v>0</v>
      </c>
      <c r="N1" s="368" t="s">
        <v>94</v>
      </c>
      <c r="O1" s="368"/>
      <c r="P1" s="192"/>
    </row>
    <row r="2" spans="1:16" s="2" customFormat="1" ht="15" customHeight="1" x14ac:dyDescent="0.3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3" t="s">
        <v>95</v>
      </c>
      <c r="N2" s="369">
        <v>8</v>
      </c>
      <c r="O2" s="369"/>
      <c r="P2" s="193"/>
    </row>
    <row r="3" spans="1:16" s="2" customFormat="1" ht="15" customHeight="1" x14ac:dyDescent="0.3">
      <c r="C3" s="6"/>
      <c r="D3" s="6"/>
      <c r="E3" s="6"/>
      <c r="L3" s="3" t="s">
        <v>96</v>
      </c>
      <c r="N3" s="370" t="s">
        <v>97</v>
      </c>
      <c r="O3" s="370"/>
      <c r="P3" s="192"/>
    </row>
    <row r="4" spans="1:16" s="2" customFormat="1" ht="9" customHeight="1" x14ac:dyDescent="0.3">
      <c r="L4" s="3"/>
      <c r="N4" s="310"/>
      <c r="O4"/>
      <c r="P4" s="194"/>
    </row>
    <row r="5" spans="1:16" s="2" customFormat="1" ht="14.45" x14ac:dyDescent="0.3">
      <c r="L5" s="3" t="s">
        <v>76</v>
      </c>
      <c r="N5" s="387">
        <v>42124</v>
      </c>
      <c r="O5" s="387"/>
      <c r="P5" s="195"/>
    </row>
    <row r="6" spans="1:16" s="2" customFormat="1" ht="15" customHeight="1" x14ac:dyDescent="0.3">
      <c r="N6" s="7"/>
      <c r="O6"/>
      <c r="P6"/>
    </row>
    <row r="7" spans="1:16" ht="7.5" customHeight="1" x14ac:dyDescent="0.3">
      <c r="L7"/>
      <c r="M7"/>
      <c r="N7"/>
      <c r="O7"/>
      <c r="P7"/>
    </row>
    <row r="8" spans="1:16" ht="18.75" customHeight="1" x14ac:dyDescent="0.3">
      <c r="B8" s="367" t="s">
        <v>1</v>
      </c>
      <c r="C8" s="367"/>
      <c r="D8" s="367"/>
      <c r="E8" s="367"/>
      <c r="F8" s="367"/>
      <c r="G8" s="367"/>
      <c r="H8" s="367"/>
      <c r="I8" s="367"/>
      <c r="J8" s="367"/>
      <c r="K8" s="367"/>
      <c r="L8" s="367"/>
      <c r="M8" s="367"/>
      <c r="N8" s="367"/>
      <c r="O8" s="367"/>
      <c r="P8"/>
    </row>
    <row r="9" spans="1:16" ht="18.75" customHeight="1" x14ac:dyDescent="0.3">
      <c r="B9" s="367" t="s">
        <v>2</v>
      </c>
      <c r="C9" s="367"/>
      <c r="D9" s="367"/>
      <c r="E9" s="367"/>
      <c r="F9" s="367"/>
      <c r="G9" s="367"/>
      <c r="H9" s="367"/>
      <c r="I9" s="367"/>
      <c r="J9" s="367"/>
      <c r="K9" s="367"/>
      <c r="L9" s="367"/>
      <c r="M9" s="367"/>
      <c r="N9" s="367"/>
      <c r="O9" s="367"/>
      <c r="P9"/>
    </row>
    <row r="10" spans="1:16" ht="7.5" customHeight="1" x14ac:dyDescent="0.3">
      <c r="L10"/>
      <c r="M10"/>
      <c r="N10"/>
      <c r="O10"/>
      <c r="P10"/>
    </row>
    <row r="11" spans="1:16" ht="7.5" customHeight="1" x14ac:dyDescent="0.3">
      <c r="L11"/>
      <c r="M11"/>
      <c r="N11"/>
      <c r="O11"/>
      <c r="P11"/>
    </row>
    <row r="12" spans="1:16" ht="15.6" x14ac:dyDescent="0.3">
      <c r="B12" s="8" t="s">
        <v>3</v>
      </c>
      <c r="D12" s="386" t="s">
        <v>91</v>
      </c>
      <c r="E12" s="386"/>
      <c r="F12" s="386"/>
      <c r="G12" s="386"/>
      <c r="H12" s="386"/>
      <c r="I12" s="386"/>
      <c r="J12" s="386"/>
      <c r="K12" s="386"/>
      <c r="L12" s="386"/>
      <c r="M12" s="386"/>
      <c r="N12" s="386"/>
      <c r="O12" s="386"/>
    </row>
    <row r="13" spans="1:16" ht="7.5" customHeight="1" x14ac:dyDescent="0.3">
      <c r="B13" s="9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</row>
    <row r="14" spans="1:16" ht="15.6" x14ac:dyDescent="0.3">
      <c r="B14" s="8" t="s">
        <v>4</v>
      </c>
      <c r="D14" s="11" t="s">
        <v>68</v>
      </c>
      <c r="E14" s="10"/>
      <c r="F14" s="10"/>
      <c r="G14" s="10"/>
      <c r="H14" s="10"/>
      <c r="I14" s="10"/>
      <c r="J14" s="278"/>
      <c r="K14" s="10"/>
      <c r="L14" s="10"/>
      <c r="M14" s="10"/>
      <c r="N14" s="10"/>
      <c r="O14" s="10"/>
    </row>
    <row r="15" spans="1:16" ht="15.6" x14ac:dyDescent="0.3">
      <c r="B15" s="9"/>
      <c r="D15" s="10"/>
      <c r="E15" s="10"/>
      <c r="F15" s="10"/>
      <c r="G15" s="10"/>
      <c r="H15" s="10"/>
      <c r="I15" s="10"/>
      <c r="J15" s="278"/>
      <c r="K15" s="10"/>
      <c r="L15" s="10"/>
      <c r="M15" s="10"/>
      <c r="N15" s="10"/>
      <c r="O15" s="10"/>
    </row>
    <row r="16" spans="1:16" ht="14.45" x14ac:dyDescent="0.3">
      <c r="B16" s="12"/>
      <c r="D16" s="13" t="s">
        <v>6</v>
      </c>
      <c r="E16" s="13"/>
      <c r="F16" s="14">
        <v>100000</v>
      </c>
      <c r="G16" s="13" t="s">
        <v>7</v>
      </c>
      <c r="H16" s="14">
        <v>250</v>
      </c>
      <c r="I16" s="13" t="s">
        <v>69</v>
      </c>
      <c r="J16" s="280"/>
    </row>
    <row r="17" spans="2:15" ht="14.45" x14ac:dyDescent="0.3">
      <c r="B17" s="12"/>
      <c r="F17" s="281"/>
      <c r="G17" s="34"/>
      <c r="H17" s="34"/>
      <c r="J17" s="281"/>
    </row>
    <row r="18" spans="2:15" ht="14.45" x14ac:dyDescent="0.3">
      <c r="B18" s="12"/>
      <c r="D18" s="15"/>
      <c r="E18" s="15"/>
      <c r="F18" s="373" t="s">
        <v>8</v>
      </c>
      <c r="G18" s="374"/>
      <c r="H18" s="375"/>
      <c r="J18" s="373" t="s">
        <v>9</v>
      </c>
      <c r="K18" s="374"/>
      <c r="L18" s="375"/>
      <c r="N18" s="373" t="s">
        <v>10</v>
      </c>
      <c r="O18" s="375"/>
    </row>
    <row r="19" spans="2:15" x14ac:dyDescent="0.25">
      <c r="B19" s="12"/>
      <c r="D19" s="377" t="s">
        <v>11</v>
      </c>
      <c r="E19" s="16"/>
      <c r="F19" s="17" t="s">
        <v>12</v>
      </c>
      <c r="G19" s="17" t="s">
        <v>13</v>
      </c>
      <c r="H19" s="18" t="s">
        <v>14</v>
      </c>
      <c r="J19" s="17" t="s">
        <v>12</v>
      </c>
      <c r="K19" s="19" t="s">
        <v>13</v>
      </c>
      <c r="L19" s="18" t="s">
        <v>14</v>
      </c>
      <c r="N19" s="379" t="s">
        <v>15</v>
      </c>
      <c r="O19" s="381" t="s">
        <v>16</v>
      </c>
    </row>
    <row r="20" spans="2:15" x14ac:dyDescent="0.25">
      <c r="B20" s="12"/>
      <c r="D20" s="378"/>
      <c r="E20" s="16"/>
      <c r="F20" s="20" t="s">
        <v>17</v>
      </c>
      <c r="G20" s="20"/>
      <c r="H20" s="21" t="s">
        <v>17</v>
      </c>
      <c r="J20" s="20" t="s">
        <v>17</v>
      </c>
      <c r="K20" s="21"/>
      <c r="L20" s="21" t="s">
        <v>17</v>
      </c>
      <c r="N20" s="380"/>
      <c r="O20" s="382"/>
    </row>
    <row r="21" spans="2:15" ht="14.45" x14ac:dyDescent="0.3">
      <c r="B21" s="22" t="s">
        <v>18</v>
      </c>
      <c r="C21" s="22"/>
      <c r="D21" s="23" t="s">
        <v>60</v>
      </c>
      <c r="E21" s="24"/>
      <c r="F21" s="174">
        <f>+'GS 50-4999 (60kW)'!$F$21</f>
        <v>119.38</v>
      </c>
      <c r="G21" s="26">
        <v>1</v>
      </c>
      <c r="H21" s="27">
        <f>G21*F21</f>
        <v>119.38</v>
      </c>
      <c r="I21" s="28"/>
      <c r="J21" s="283">
        <f>+'GS 50-4999 (60kW)'!$J$21</f>
        <v>119.38</v>
      </c>
      <c r="K21" s="30">
        <v>1</v>
      </c>
      <c r="L21" s="27">
        <f>K21*J21</f>
        <v>119.38</v>
      </c>
      <c r="M21" s="28"/>
      <c r="N21" s="31">
        <f>L21-H21</f>
        <v>0</v>
      </c>
      <c r="O21" s="32">
        <f>IF((H21)=0,"",(N21/H21))</f>
        <v>0</v>
      </c>
    </row>
    <row r="22" spans="2:15" ht="14.45" x14ac:dyDescent="0.3">
      <c r="B22" s="296" t="s">
        <v>88</v>
      </c>
      <c r="C22" s="22"/>
      <c r="D22" s="56" t="s">
        <v>70</v>
      </c>
      <c r="E22" s="24"/>
      <c r="F22" s="173"/>
      <c r="G22" s="179">
        <f>+$H$16</f>
        <v>250</v>
      </c>
      <c r="H22" s="27">
        <f t="shared" ref="H22:H36" si="0">G22*F22</f>
        <v>0</v>
      </c>
      <c r="I22" s="28"/>
      <c r="J22" s="263">
        <f>+'GS 50-4999 (60kW)'!$J$22</f>
        <v>0.25519999999999998</v>
      </c>
      <c r="K22" s="262">
        <f>+$H$16</f>
        <v>250</v>
      </c>
      <c r="L22" s="27">
        <f>K22*J22</f>
        <v>63.8</v>
      </c>
      <c r="M22" s="28"/>
      <c r="N22" s="31">
        <f>L22-H22</f>
        <v>63.8</v>
      </c>
      <c r="O22" s="32" t="str">
        <f>IF((H22)=0,"",(N22/H22))</f>
        <v/>
      </c>
    </row>
    <row r="23" spans="2:15" ht="14.45" x14ac:dyDescent="0.3">
      <c r="B23" s="297"/>
      <c r="C23" s="22"/>
      <c r="D23" s="56" t="s">
        <v>60</v>
      </c>
      <c r="E23" s="57"/>
      <c r="F23" s="173"/>
      <c r="G23" s="26">
        <v>1</v>
      </c>
      <c r="H23" s="27">
        <f t="shared" si="0"/>
        <v>0</v>
      </c>
      <c r="I23" s="28"/>
      <c r="J23" s="263"/>
      <c r="K23" s="30">
        <v>1</v>
      </c>
      <c r="L23" s="27">
        <f t="shared" ref="L23:L36" si="1">K23*J23</f>
        <v>0</v>
      </c>
      <c r="M23" s="28"/>
      <c r="N23" s="31">
        <f t="shared" ref="N23:N63" si="2">L23-H23</f>
        <v>0</v>
      </c>
      <c r="O23" s="32" t="str">
        <f t="shared" ref="O23:O43" si="3">IF((H23)=0,"",(N23/H23))</f>
        <v/>
      </c>
    </row>
    <row r="24" spans="2:15" ht="14.45" x14ac:dyDescent="0.3">
      <c r="B24" s="297"/>
      <c r="C24" s="22"/>
      <c r="D24" s="56" t="s">
        <v>60</v>
      </c>
      <c r="E24" s="24"/>
      <c r="F24" s="25"/>
      <c r="G24" s="26">
        <v>1</v>
      </c>
      <c r="H24" s="27">
        <f t="shared" si="0"/>
        <v>0</v>
      </c>
      <c r="I24" s="28"/>
      <c r="J24" s="283"/>
      <c r="K24" s="30">
        <v>1</v>
      </c>
      <c r="L24" s="27">
        <f t="shared" si="1"/>
        <v>0</v>
      </c>
      <c r="M24" s="28"/>
      <c r="N24" s="31">
        <f t="shared" si="2"/>
        <v>0</v>
      </c>
      <c r="O24" s="32" t="str">
        <f t="shared" si="3"/>
        <v/>
      </c>
    </row>
    <row r="25" spans="2:15" ht="14.45" x14ac:dyDescent="0.3">
      <c r="B25" s="296" t="s">
        <v>65</v>
      </c>
      <c r="C25" s="22"/>
      <c r="D25" s="23" t="s">
        <v>70</v>
      </c>
      <c r="E25" s="24"/>
      <c r="F25" s="25">
        <f>+'GS 50-4999 (60kW)'!$F$25</f>
        <v>-9.9000000000000008E-3</v>
      </c>
      <c r="G25" s="179">
        <f>$H$16</f>
        <v>250</v>
      </c>
      <c r="H25" s="27">
        <f t="shared" si="0"/>
        <v>-2.4750000000000001</v>
      </c>
      <c r="I25" s="28"/>
      <c r="J25" s="263">
        <f>+'GS 50-4999 (60kW)'!$J$25</f>
        <v>-9.9000000000000008E-3</v>
      </c>
      <c r="K25" s="179">
        <f>$H$16</f>
        <v>250</v>
      </c>
      <c r="L25" s="27">
        <f t="shared" si="1"/>
        <v>-2.4750000000000001</v>
      </c>
      <c r="M25" s="28"/>
      <c r="N25" s="31">
        <f t="shared" si="2"/>
        <v>0</v>
      </c>
      <c r="O25" s="32">
        <f t="shared" si="3"/>
        <v>0</v>
      </c>
    </row>
    <row r="26" spans="2:15" ht="14.45" x14ac:dyDescent="0.3">
      <c r="B26" s="296" t="s">
        <v>66</v>
      </c>
      <c r="C26" s="22"/>
      <c r="D26" s="23" t="s">
        <v>70</v>
      </c>
      <c r="E26" s="24"/>
      <c r="F26" s="25"/>
      <c r="G26" s="179">
        <f>$H$16</f>
        <v>250</v>
      </c>
      <c r="H26" s="27">
        <f t="shared" si="0"/>
        <v>0</v>
      </c>
      <c r="I26" s="28"/>
      <c r="J26" s="263">
        <f>+'GS 50-4999 (60kW)'!$J$26</f>
        <v>-0.63949999999999996</v>
      </c>
      <c r="K26" s="179">
        <f>$H$16</f>
        <v>250</v>
      </c>
      <c r="L26" s="27">
        <f t="shared" si="1"/>
        <v>-159.875</v>
      </c>
      <c r="M26" s="28"/>
      <c r="N26" s="31">
        <f t="shared" si="2"/>
        <v>-159.875</v>
      </c>
      <c r="O26" s="32" t="str">
        <f t="shared" si="3"/>
        <v/>
      </c>
    </row>
    <row r="27" spans="2:15" x14ac:dyDescent="0.25">
      <c r="B27" s="22" t="s">
        <v>19</v>
      </c>
      <c r="C27" s="22"/>
      <c r="D27" s="23" t="s">
        <v>70</v>
      </c>
      <c r="E27" s="24"/>
      <c r="F27" s="25">
        <f>+'GS 50-4999 (60kW)'!$F$27</f>
        <v>4.7394999999999996</v>
      </c>
      <c r="G27" s="179">
        <f>$H$16</f>
        <v>250</v>
      </c>
      <c r="H27" s="27">
        <f t="shared" si="0"/>
        <v>1184.875</v>
      </c>
      <c r="I27" s="28"/>
      <c r="J27" s="263">
        <f>+'GS 50-4999 (60kW)'!$J$27</f>
        <v>5.1045999999999996</v>
      </c>
      <c r="K27" s="179">
        <f>$H$16</f>
        <v>250</v>
      </c>
      <c r="L27" s="27">
        <f t="shared" si="1"/>
        <v>1276.1499999999999</v>
      </c>
      <c r="M27" s="28"/>
      <c r="N27" s="31">
        <f t="shared" si="2"/>
        <v>91.274999999999864</v>
      </c>
      <c r="O27" s="32">
        <f t="shared" si="3"/>
        <v>7.7033442346238934E-2</v>
      </c>
    </row>
    <row r="28" spans="2:15" x14ac:dyDescent="0.25">
      <c r="B28" s="22" t="s">
        <v>20</v>
      </c>
      <c r="C28" s="22"/>
      <c r="D28" s="23"/>
      <c r="E28" s="24"/>
      <c r="F28" s="25"/>
      <c r="G28" s="26">
        <f>$F$16</f>
        <v>100000</v>
      </c>
      <c r="H28" s="27">
        <f t="shared" si="0"/>
        <v>0</v>
      </c>
      <c r="I28" s="28"/>
      <c r="J28" s="29"/>
      <c r="K28" s="26">
        <f t="shared" ref="K28:K36" si="4">$F$16</f>
        <v>100000</v>
      </c>
      <c r="L28" s="27">
        <f t="shared" si="1"/>
        <v>0</v>
      </c>
      <c r="M28" s="28"/>
      <c r="N28" s="31">
        <f t="shared" si="2"/>
        <v>0</v>
      </c>
      <c r="O28" s="32" t="str">
        <f t="shared" si="3"/>
        <v/>
      </c>
    </row>
    <row r="29" spans="2:15" x14ac:dyDescent="0.25">
      <c r="B29" s="22" t="s">
        <v>21</v>
      </c>
      <c r="C29" s="22"/>
      <c r="D29" s="23"/>
      <c r="E29" s="24"/>
      <c r="F29" s="25"/>
      <c r="G29" s="26">
        <f>$F$16</f>
        <v>100000</v>
      </c>
      <c r="H29" s="27">
        <f t="shared" si="0"/>
        <v>0</v>
      </c>
      <c r="I29" s="28"/>
      <c r="J29" s="29"/>
      <c r="K29" s="26">
        <f t="shared" si="4"/>
        <v>100000</v>
      </c>
      <c r="L29" s="27">
        <f t="shared" si="1"/>
        <v>0</v>
      </c>
      <c r="M29" s="28"/>
      <c r="N29" s="31">
        <f t="shared" si="2"/>
        <v>0</v>
      </c>
      <c r="O29" s="32" t="str">
        <f t="shared" si="3"/>
        <v/>
      </c>
    </row>
    <row r="30" spans="2:15" x14ac:dyDescent="0.25">
      <c r="B30" s="33"/>
      <c r="C30" s="22"/>
      <c r="D30" s="23"/>
      <c r="E30" s="24"/>
      <c r="F30" s="25"/>
      <c r="G30" s="26">
        <f t="shared" ref="G30:G36" si="5">$F$16</f>
        <v>100000</v>
      </c>
      <c r="H30" s="27">
        <f t="shared" si="0"/>
        <v>0</v>
      </c>
      <c r="I30" s="28"/>
      <c r="J30" s="29"/>
      <c r="K30" s="26">
        <f t="shared" si="4"/>
        <v>100000</v>
      </c>
      <c r="L30" s="27">
        <f t="shared" si="1"/>
        <v>0</v>
      </c>
      <c r="M30" s="28"/>
      <c r="N30" s="31">
        <f t="shared" si="2"/>
        <v>0</v>
      </c>
      <c r="O30" s="32" t="str">
        <f t="shared" si="3"/>
        <v/>
      </c>
    </row>
    <row r="31" spans="2:15" x14ac:dyDescent="0.25">
      <c r="B31" s="33"/>
      <c r="C31" s="22"/>
      <c r="D31" s="23"/>
      <c r="E31" s="24"/>
      <c r="F31" s="25"/>
      <c r="G31" s="26">
        <f t="shared" si="5"/>
        <v>100000</v>
      </c>
      <c r="H31" s="27">
        <f t="shared" si="0"/>
        <v>0</v>
      </c>
      <c r="I31" s="28"/>
      <c r="J31" s="29"/>
      <c r="K31" s="26">
        <f t="shared" si="4"/>
        <v>100000</v>
      </c>
      <c r="L31" s="27">
        <f t="shared" si="1"/>
        <v>0</v>
      </c>
      <c r="M31" s="28"/>
      <c r="N31" s="31">
        <f t="shared" si="2"/>
        <v>0</v>
      </c>
      <c r="O31" s="32" t="str">
        <f t="shared" si="3"/>
        <v/>
      </c>
    </row>
    <row r="32" spans="2:15" x14ac:dyDescent="0.25">
      <c r="B32" s="33"/>
      <c r="C32" s="22"/>
      <c r="D32" s="23"/>
      <c r="E32" s="24"/>
      <c r="F32" s="25"/>
      <c r="G32" s="26">
        <f t="shared" si="5"/>
        <v>100000</v>
      </c>
      <c r="H32" s="27">
        <f t="shared" si="0"/>
        <v>0</v>
      </c>
      <c r="I32" s="28"/>
      <c r="J32" s="29"/>
      <c r="K32" s="26">
        <f t="shared" si="4"/>
        <v>100000</v>
      </c>
      <c r="L32" s="27">
        <f t="shared" si="1"/>
        <v>0</v>
      </c>
      <c r="M32" s="28"/>
      <c r="N32" s="31">
        <f t="shared" si="2"/>
        <v>0</v>
      </c>
      <c r="O32" s="32" t="str">
        <f t="shared" si="3"/>
        <v/>
      </c>
    </row>
    <row r="33" spans="2:17" x14ac:dyDescent="0.25">
      <c r="B33" s="33"/>
      <c r="C33" s="22"/>
      <c r="D33" s="23"/>
      <c r="E33" s="24"/>
      <c r="F33" s="25"/>
      <c r="G33" s="26">
        <f t="shared" si="5"/>
        <v>100000</v>
      </c>
      <c r="H33" s="27">
        <f t="shared" si="0"/>
        <v>0</v>
      </c>
      <c r="I33" s="28"/>
      <c r="J33" s="29"/>
      <c r="K33" s="26">
        <f t="shared" si="4"/>
        <v>100000</v>
      </c>
      <c r="L33" s="27">
        <f t="shared" si="1"/>
        <v>0</v>
      </c>
      <c r="M33" s="28"/>
      <c r="N33" s="31">
        <f t="shared" si="2"/>
        <v>0</v>
      </c>
      <c r="O33" s="32" t="str">
        <f t="shared" si="3"/>
        <v/>
      </c>
    </row>
    <row r="34" spans="2:17" x14ac:dyDescent="0.25">
      <c r="B34" s="33"/>
      <c r="C34" s="22"/>
      <c r="D34" s="23"/>
      <c r="E34" s="24"/>
      <c r="F34" s="25"/>
      <c r="G34" s="26">
        <f t="shared" si="5"/>
        <v>100000</v>
      </c>
      <c r="H34" s="27">
        <f t="shared" si="0"/>
        <v>0</v>
      </c>
      <c r="I34" s="28"/>
      <c r="J34" s="29"/>
      <c r="K34" s="26">
        <f t="shared" si="4"/>
        <v>100000</v>
      </c>
      <c r="L34" s="27">
        <f t="shared" si="1"/>
        <v>0</v>
      </c>
      <c r="M34" s="28"/>
      <c r="N34" s="31">
        <f t="shared" si="2"/>
        <v>0</v>
      </c>
      <c r="O34" s="32" t="str">
        <f t="shared" si="3"/>
        <v/>
      </c>
    </row>
    <row r="35" spans="2:17" x14ac:dyDescent="0.25">
      <c r="B35" s="33"/>
      <c r="C35" s="22"/>
      <c r="D35" s="23"/>
      <c r="E35" s="24"/>
      <c r="F35" s="25"/>
      <c r="G35" s="26">
        <f t="shared" si="5"/>
        <v>100000</v>
      </c>
      <c r="H35" s="27">
        <f t="shared" si="0"/>
        <v>0</v>
      </c>
      <c r="I35" s="28"/>
      <c r="J35" s="29"/>
      <c r="K35" s="26">
        <f t="shared" si="4"/>
        <v>100000</v>
      </c>
      <c r="L35" s="27">
        <f t="shared" si="1"/>
        <v>0</v>
      </c>
      <c r="M35" s="28"/>
      <c r="N35" s="31">
        <f t="shared" si="2"/>
        <v>0</v>
      </c>
      <c r="O35" s="32" t="str">
        <f t="shared" si="3"/>
        <v/>
      </c>
    </row>
    <row r="36" spans="2:17" x14ac:dyDescent="0.25">
      <c r="B36" s="33"/>
      <c r="C36" s="22"/>
      <c r="D36" s="23"/>
      <c r="E36" s="24"/>
      <c r="F36" s="25"/>
      <c r="G36" s="26">
        <f t="shared" si="5"/>
        <v>100000</v>
      </c>
      <c r="H36" s="27">
        <f t="shared" si="0"/>
        <v>0</v>
      </c>
      <c r="I36" s="28"/>
      <c r="J36" s="29"/>
      <c r="K36" s="26">
        <f t="shared" si="4"/>
        <v>100000</v>
      </c>
      <c r="L36" s="27">
        <f t="shared" si="1"/>
        <v>0</v>
      </c>
      <c r="M36" s="28"/>
      <c r="N36" s="31">
        <f t="shared" si="2"/>
        <v>0</v>
      </c>
      <c r="O36" s="32" t="str">
        <f t="shared" si="3"/>
        <v/>
      </c>
    </row>
    <row r="37" spans="2:17" s="34" customFormat="1" x14ac:dyDescent="0.25">
      <c r="B37" s="35" t="s">
        <v>22</v>
      </c>
      <c r="C37" s="36"/>
      <c r="D37" s="37"/>
      <c r="E37" s="36"/>
      <c r="F37" s="38"/>
      <c r="G37" s="39"/>
      <c r="H37" s="40">
        <f>SUM(H21:H36)</f>
        <v>1301.78</v>
      </c>
      <c r="I37" s="41"/>
      <c r="J37" s="42"/>
      <c r="K37" s="43"/>
      <c r="L37" s="40">
        <f>SUM(L21:L36)</f>
        <v>1296.9799999999998</v>
      </c>
      <c r="M37" s="41"/>
      <c r="N37" s="44">
        <f t="shared" si="2"/>
        <v>-4.8000000000001819</v>
      </c>
      <c r="O37" s="45">
        <f t="shared" si="3"/>
        <v>-3.6872589838530183E-3</v>
      </c>
    </row>
    <row r="38" spans="2:17" x14ac:dyDescent="0.25">
      <c r="B38" s="296" t="s">
        <v>23</v>
      </c>
      <c r="C38" s="22"/>
      <c r="D38" s="56" t="s">
        <v>70</v>
      </c>
      <c r="E38" s="57"/>
      <c r="F38" s="29">
        <f>+'GS 50-4999 (60kW)'!$F$38</f>
        <v>-0.6502</v>
      </c>
      <c r="G38" s="179">
        <f>G27</f>
        <v>250</v>
      </c>
      <c r="H38" s="27">
        <f t="shared" ref="H38:H44" si="6">G38*F38</f>
        <v>-162.55000000000001</v>
      </c>
      <c r="I38" s="28"/>
      <c r="J38" s="29">
        <f>+'GS 50-4999 (60kW)'!$J$38</f>
        <v>0.12180000000000002</v>
      </c>
      <c r="K38" s="179">
        <f>H16</f>
        <v>250</v>
      </c>
      <c r="L38" s="27">
        <f t="shared" ref="L38:L44" si="7">K38*J38</f>
        <v>30.450000000000006</v>
      </c>
      <c r="M38" s="28"/>
      <c r="N38" s="31">
        <f t="shared" si="2"/>
        <v>193.00000000000003</v>
      </c>
      <c r="O38" s="32">
        <f t="shared" si="3"/>
        <v>-1.1873269763149801</v>
      </c>
    </row>
    <row r="39" spans="2:17" x14ac:dyDescent="0.25">
      <c r="B39" s="296"/>
      <c r="C39" s="22"/>
      <c r="D39" s="23" t="s">
        <v>70</v>
      </c>
      <c r="E39" s="24"/>
      <c r="F39" s="25"/>
      <c r="G39" s="179">
        <f>H16</f>
        <v>250</v>
      </c>
      <c r="H39" s="27">
        <f t="shared" si="6"/>
        <v>0</v>
      </c>
      <c r="I39" s="47"/>
      <c r="J39" s="29"/>
      <c r="K39" s="179">
        <f>H16</f>
        <v>250</v>
      </c>
      <c r="L39" s="27">
        <f t="shared" si="7"/>
        <v>0</v>
      </c>
      <c r="M39" s="48"/>
      <c r="N39" s="31">
        <f t="shared" si="2"/>
        <v>0</v>
      </c>
      <c r="O39" s="32" t="str">
        <f t="shared" si="3"/>
        <v/>
      </c>
    </row>
    <row r="40" spans="2:17" x14ac:dyDescent="0.25">
      <c r="B40" s="296"/>
      <c r="C40" s="22"/>
      <c r="D40" s="23" t="s">
        <v>70</v>
      </c>
      <c r="E40" s="24"/>
      <c r="F40" s="25"/>
      <c r="G40" s="179">
        <f>H16</f>
        <v>250</v>
      </c>
      <c r="H40" s="27">
        <f t="shared" si="6"/>
        <v>0</v>
      </c>
      <c r="I40" s="47"/>
      <c r="J40" s="29"/>
      <c r="K40" s="179">
        <f>H16</f>
        <v>250</v>
      </c>
      <c r="L40" s="27">
        <f t="shared" si="7"/>
        <v>0</v>
      </c>
      <c r="M40" s="48"/>
      <c r="N40" s="31">
        <f t="shared" si="2"/>
        <v>0</v>
      </c>
      <c r="O40" s="32" t="str">
        <f t="shared" si="3"/>
        <v/>
      </c>
    </row>
    <row r="41" spans="2:17" ht="38.25" x14ac:dyDescent="0.25">
      <c r="B41" s="296" t="s">
        <v>74</v>
      </c>
      <c r="C41" s="22"/>
      <c r="D41" s="56" t="s">
        <v>70</v>
      </c>
      <c r="E41" s="24"/>
      <c r="F41" s="29">
        <f>+'GS 50-4999 (60kW)'!$F$41</f>
        <v>0.26750000000000002</v>
      </c>
      <c r="G41" s="179">
        <f>H16</f>
        <v>250</v>
      </c>
      <c r="H41" s="27">
        <f t="shared" si="6"/>
        <v>66.875</v>
      </c>
      <c r="I41" s="47"/>
      <c r="J41" s="29">
        <f>+'GS 50-4999 (60kW)'!$J$41</f>
        <v>1.5334000000000001</v>
      </c>
      <c r="K41" s="179">
        <f>H16</f>
        <v>250</v>
      </c>
      <c r="L41" s="27">
        <f t="shared" si="7"/>
        <v>383.35</v>
      </c>
      <c r="M41" s="48"/>
      <c r="N41" s="31">
        <f t="shared" si="2"/>
        <v>316.47500000000002</v>
      </c>
      <c r="O41" s="32">
        <f t="shared" si="3"/>
        <v>4.7323364485981312</v>
      </c>
    </row>
    <row r="42" spans="2:17" x14ac:dyDescent="0.25">
      <c r="B42" s="49" t="s">
        <v>24</v>
      </c>
      <c r="C42" s="22"/>
      <c r="D42" s="23" t="s">
        <v>70</v>
      </c>
      <c r="E42" s="24"/>
      <c r="F42" s="284">
        <f>+'GS 50-4999 (60kW)'!$F$42</f>
        <v>5.5100000000000003E-2</v>
      </c>
      <c r="G42" s="179">
        <f>H16</f>
        <v>250</v>
      </c>
      <c r="H42" s="27">
        <f t="shared" si="6"/>
        <v>13.775</v>
      </c>
      <c r="I42" s="28"/>
      <c r="J42" s="29">
        <f>+'GS 50-4999 (60kW)'!$J$42</f>
        <v>7.3800000000000004E-2</v>
      </c>
      <c r="K42" s="179">
        <f>H16</f>
        <v>250</v>
      </c>
      <c r="L42" s="27">
        <f t="shared" si="7"/>
        <v>18.450000000000003</v>
      </c>
      <c r="M42" s="28"/>
      <c r="N42" s="31">
        <f t="shared" si="2"/>
        <v>4.6750000000000025</v>
      </c>
      <c r="O42" s="32">
        <f t="shared" si="3"/>
        <v>0.33938294010889308</v>
      </c>
    </row>
    <row r="43" spans="2:17" s="34" customFormat="1" x14ac:dyDescent="0.25">
      <c r="B43" s="181" t="s">
        <v>25</v>
      </c>
      <c r="C43" s="24"/>
      <c r="D43" s="182" t="s">
        <v>61</v>
      </c>
      <c r="E43" s="24"/>
      <c r="F43" s="342">
        <f>+F53</f>
        <v>0.10186000000000001</v>
      </c>
      <c r="G43" s="26">
        <f>$F$16*(1+$F$72)-$F$16</f>
        <v>4040</v>
      </c>
      <c r="H43" s="184">
        <f t="shared" si="6"/>
        <v>411.51440000000002</v>
      </c>
      <c r="I43" s="57"/>
      <c r="J43" s="341">
        <f>+J53</f>
        <v>0.10186000000000001</v>
      </c>
      <c r="K43" s="26">
        <f>$F$16*(1+$J$72)-$F$16</f>
        <v>3620</v>
      </c>
      <c r="L43" s="184">
        <f t="shared" si="7"/>
        <v>368.73320000000001</v>
      </c>
      <c r="M43" s="57"/>
      <c r="N43" s="186">
        <f t="shared" si="2"/>
        <v>-42.781200000000013</v>
      </c>
      <c r="O43" s="187">
        <f t="shared" si="3"/>
        <v>-0.10396039603960398</v>
      </c>
    </row>
    <row r="44" spans="2:17" ht="14.45" x14ac:dyDescent="0.3">
      <c r="B44" s="49"/>
      <c r="C44" s="22"/>
      <c r="D44" s="23" t="s">
        <v>60</v>
      </c>
      <c r="E44" s="24"/>
      <c r="F44" s="178"/>
      <c r="G44" s="26">
        <v>0</v>
      </c>
      <c r="H44" s="27">
        <f t="shared" si="6"/>
        <v>0</v>
      </c>
      <c r="I44" s="28"/>
      <c r="J44" s="178"/>
      <c r="K44" s="26">
        <v>0</v>
      </c>
      <c r="L44" s="27">
        <f t="shared" si="7"/>
        <v>0</v>
      </c>
      <c r="M44" s="28"/>
      <c r="N44" s="31">
        <f t="shared" si="2"/>
        <v>0</v>
      </c>
      <c r="O44" s="32"/>
    </row>
    <row r="45" spans="2:17" ht="14.45" x14ac:dyDescent="0.3">
      <c r="B45" s="50" t="s">
        <v>27</v>
      </c>
      <c r="C45" s="51"/>
      <c r="D45" s="51"/>
      <c r="E45" s="51"/>
      <c r="F45" s="52"/>
      <c r="G45" s="53"/>
      <c r="H45" s="54">
        <f>SUM(H38:H44)+H37</f>
        <v>1631.3944000000001</v>
      </c>
      <c r="I45" s="41"/>
      <c r="J45" s="53"/>
      <c r="K45" s="55"/>
      <c r="L45" s="54">
        <f>SUM(L38:L44)+L37</f>
        <v>2097.9631999999997</v>
      </c>
      <c r="M45" s="41"/>
      <c r="N45" s="44">
        <f t="shared" si="2"/>
        <v>466.56879999999956</v>
      </c>
      <c r="O45" s="45">
        <f t="shared" ref="O45:O63" si="8">IF((H45)=0,"",(N45/H45))</f>
        <v>0.28599387125516645</v>
      </c>
    </row>
    <row r="46" spans="2:17" ht="14.45" x14ac:dyDescent="0.3">
      <c r="B46" s="28" t="s">
        <v>28</v>
      </c>
      <c r="C46" s="28"/>
      <c r="D46" s="56" t="s">
        <v>70</v>
      </c>
      <c r="E46" s="57"/>
      <c r="F46" s="29">
        <f>+'GS 50-4999 (60kW)'!F46</f>
        <v>2.8420999999999998</v>
      </c>
      <c r="G46" s="289">
        <f>H16</f>
        <v>250</v>
      </c>
      <c r="H46" s="27">
        <f>G46*F46</f>
        <v>710.52499999999998</v>
      </c>
      <c r="I46" s="28"/>
      <c r="J46" s="29">
        <f>+'GS 50-4999 (60kW)'!$J$46</f>
        <v>2.7740999999999998</v>
      </c>
      <c r="K46" s="290">
        <f>+G46</f>
        <v>250</v>
      </c>
      <c r="L46" s="27">
        <f>K46*J46</f>
        <v>693.52499999999998</v>
      </c>
      <c r="M46" s="28"/>
      <c r="N46" s="31">
        <f t="shared" si="2"/>
        <v>-17</v>
      </c>
      <c r="O46" s="32">
        <f t="shared" si="8"/>
        <v>-2.3925970233278211E-2</v>
      </c>
      <c r="P46" s="34"/>
      <c r="Q46" s="34"/>
    </row>
    <row r="47" spans="2:17" ht="14.45" x14ac:dyDescent="0.3">
      <c r="B47" s="59" t="s">
        <v>29</v>
      </c>
      <c r="C47" s="28"/>
      <c r="D47" s="56" t="s">
        <v>70</v>
      </c>
      <c r="E47" s="57"/>
      <c r="F47" s="29">
        <f>+'GS 50-4999 (60kW)'!F47</f>
        <v>0.8165</v>
      </c>
      <c r="G47" s="289">
        <f>G46</f>
        <v>250</v>
      </c>
      <c r="H47" s="27">
        <f>G47*F47</f>
        <v>204.125</v>
      </c>
      <c r="I47" s="28"/>
      <c r="J47" s="29">
        <f>+'GS 50-4999 (60kW)'!$J$47</f>
        <v>0.80359999999999998</v>
      </c>
      <c r="K47" s="290">
        <f>K46</f>
        <v>250</v>
      </c>
      <c r="L47" s="27">
        <f>K47*J47</f>
        <v>200.9</v>
      </c>
      <c r="M47" s="28"/>
      <c r="N47" s="31">
        <f t="shared" si="2"/>
        <v>-3.2249999999999943</v>
      </c>
      <c r="O47" s="32">
        <f t="shared" si="8"/>
        <v>-1.5799142682180009E-2</v>
      </c>
      <c r="P47" s="34"/>
      <c r="Q47" s="34"/>
    </row>
    <row r="48" spans="2:17" ht="14.45" x14ac:dyDescent="0.3">
      <c r="B48" s="50" t="s">
        <v>30</v>
      </c>
      <c r="C48" s="36"/>
      <c r="D48" s="36"/>
      <c r="E48" s="36"/>
      <c r="F48" s="60"/>
      <c r="G48" s="53"/>
      <c r="H48" s="54">
        <f>SUM(H45:H47)</f>
        <v>2546.0444000000002</v>
      </c>
      <c r="I48" s="61"/>
      <c r="J48" s="62"/>
      <c r="K48" s="63"/>
      <c r="L48" s="54">
        <f>SUM(L45:L47)</f>
        <v>2992.3881999999999</v>
      </c>
      <c r="M48" s="61"/>
      <c r="N48" s="44">
        <f t="shared" si="2"/>
        <v>446.34379999999965</v>
      </c>
      <c r="O48" s="45">
        <f t="shared" si="8"/>
        <v>0.17530872595937433</v>
      </c>
    </row>
    <row r="49" spans="2:19" ht="14.45" x14ac:dyDescent="0.3">
      <c r="B49" s="64" t="s">
        <v>31</v>
      </c>
      <c r="C49" s="22"/>
      <c r="D49" s="23" t="s">
        <v>61</v>
      </c>
      <c r="E49" s="24"/>
      <c r="F49" s="65">
        <v>4.4000000000000003E-3</v>
      </c>
      <c r="G49" s="289">
        <f>F16*(1+F72)</f>
        <v>104040</v>
      </c>
      <c r="H49" s="66">
        <f t="shared" ref="H49:H55" si="9">G49*F49</f>
        <v>457.77600000000001</v>
      </c>
      <c r="I49" s="28"/>
      <c r="J49" s="263">
        <f>+'GS 50-4999 (60kW)'!$J$49</f>
        <v>4.4000000000000003E-3</v>
      </c>
      <c r="K49" s="290">
        <f>F16*(1+J72)</f>
        <v>103620</v>
      </c>
      <c r="L49" s="66">
        <f t="shared" ref="L49:L55" si="10">K49*J49</f>
        <v>455.92800000000005</v>
      </c>
      <c r="M49" s="28"/>
      <c r="N49" s="31">
        <f t="shared" si="2"/>
        <v>-1.8479999999999563</v>
      </c>
      <c r="O49" s="68">
        <f t="shared" si="8"/>
        <v>-4.0369088811994429E-3</v>
      </c>
    </row>
    <row r="50" spans="2:19" ht="14.45" x14ac:dyDescent="0.3">
      <c r="B50" s="64" t="s">
        <v>32</v>
      </c>
      <c r="C50" s="22"/>
      <c r="D50" s="23" t="s">
        <v>61</v>
      </c>
      <c r="E50" s="24"/>
      <c r="F50" s="65">
        <v>1.2999999999999999E-3</v>
      </c>
      <c r="G50" s="289">
        <f>G49</f>
        <v>104040</v>
      </c>
      <c r="H50" s="66">
        <f t="shared" si="9"/>
        <v>135.25199999999998</v>
      </c>
      <c r="I50" s="28"/>
      <c r="J50" s="263">
        <f>+'GS 50-4999 (60kW)'!$J$50</f>
        <v>1.2999999999999999E-3</v>
      </c>
      <c r="K50" s="290">
        <f>K49</f>
        <v>103620</v>
      </c>
      <c r="L50" s="66">
        <f t="shared" si="10"/>
        <v>134.70599999999999</v>
      </c>
      <c r="M50" s="28"/>
      <c r="N50" s="31">
        <f t="shared" si="2"/>
        <v>-0.54599999999999227</v>
      </c>
      <c r="O50" s="68">
        <f t="shared" si="8"/>
        <v>-4.0369088811994819E-3</v>
      </c>
    </row>
    <row r="51" spans="2:19" ht="14.45" x14ac:dyDescent="0.3">
      <c r="B51" s="22" t="s">
        <v>33</v>
      </c>
      <c r="C51" s="22"/>
      <c r="D51" s="23" t="s">
        <v>60</v>
      </c>
      <c r="E51" s="24"/>
      <c r="F51" s="176">
        <v>0.25</v>
      </c>
      <c r="G51" s="26">
        <v>1</v>
      </c>
      <c r="H51" s="66">
        <f t="shared" si="9"/>
        <v>0.25</v>
      </c>
      <c r="I51" s="28"/>
      <c r="J51" s="283">
        <f>+'GS 50-4999 (60kW)'!$J$51</f>
        <v>0.25</v>
      </c>
      <c r="K51" s="30">
        <v>1</v>
      </c>
      <c r="L51" s="66">
        <f t="shared" si="10"/>
        <v>0.25</v>
      </c>
      <c r="M51" s="28"/>
      <c r="N51" s="31">
        <f t="shared" si="2"/>
        <v>0</v>
      </c>
      <c r="O51" s="68">
        <f t="shared" si="8"/>
        <v>0</v>
      </c>
    </row>
    <row r="52" spans="2:19" x14ac:dyDescent="0.25">
      <c r="B52" s="22" t="s">
        <v>34</v>
      </c>
      <c r="C52" s="22"/>
      <c r="D52" s="23" t="s">
        <v>61</v>
      </c>
      <c r="E52" s="24"/>
      <c r="F52" s="65">
        <v>7.0000000000000001E-3</v>
      </c>
      <c r="G52" s="69">
        <f>F16</f>
        <v>100000</v>
      </c>
      <c r="H52" s="66">
        <f t="shared" si="9"/>
        <v>700</v>
      </c>
      <c r="I52" s="28"/>
      <c r="J52" s="263">
        <f>+'GS 50-4999 (60kW)'!$J$52</f>
        <v>7.0000000000000001E-3</v>
      </c>
      <c r="K52" s="70">
        <f>F16</f>
        <v>100000</v>
      </c>
      <c r="L52" s="66">
        <f t="shared" si="10"/>
        <v>700</v>
      </c>
      <c r="M52" s="28"/>
      <c r="N52" s="31">
        <f t="shared" si="2"/>
        <v>0</v>
      </c>
      <c r="O52" s="68">
        <f t="shared" si="8"/>
        <v>0</v>
      </c>
    </row>
    <row r="53" spans="2:19" x14ac:dyDescent="0.25">
      <c r="B53" s="22" t="s">
        <v>98</v>
      </c>
      <c r="C53" s="22"/>
      <c r="D53" s="23" t="s">
        <v>61</v>
      </c>
      <c r="E53" s="24"/>
      <c r="F53" s="335">
        <f>+'GS 50-4999 (60kW)'!F53</f>
        <v>0.10186000000000001</v>
      </c>
      <c r="G53" s="69">
        <f>F16</f>
        <v>100000</v>
      </c>
      <c r="H53" s="66">
        <f t="shared" si="9"/>
        <v>10186</v>
      </c>
      <c r="I53" s="28"/>
      <c r="J53" s="336">
        <f>+'GS 50-4999 (60kW)'!$J$53</f>
        <v>0.10186000000000001</v>
      </c>
      <c r="K53" s="69">
        <f>G53</f>
        <v>100000</v>
      </c>
      <c r="L53" s="66">
        <f t="shared" si="10"/>
        <v>10186</v>
      </c>
      <c r="M53" s="28"/>
      <c r="N53" s="31">
        <f t="shared" si="2"/>
        <v>0</v>
      </c>
      <c r="O53" s="68">
        <f t="shared" si="8"/>
        <v>0</v>
      </c>
      <c r="S53" s="72"/>
    </row>
    <row r="54" spans="2:19" x14ac:dyDescent="0.25">
      <c r="B54" s="49" t="s">
        <v>36</v>
      </c>
      <c r="C54" s="22"/>
      <c r="D54" s="23"/>
      <c r="E54" s="24"/>
      <c r="F54" s="71">
        <v>0.104</v>
      </c>
      <c r="G54" s="69">
        <v>0</v>
      </c>
      <c r="H54" s="66">
        <f t="shared" si="9"/>
        <v>0</v>
      </c>
      <c r="I54" s="28"/>
      <c r="J54" s="65">
        <v>0.104</v>
      </c>
      <c r="K54" s="69">
        <v>0</v>
      </c>
      <c r="L54" s="66">
        <f t="shared" si="10"/>
        <v>0</v>
      </c>
      <c r="M54" s="28"/>
      <c r="N54" s="31">
        <f t="shared" si="2"/>
        <v>0</v>
      </c>
      <c r="O54" s="68" t="str">
        <f t="shared" si="8"/>
        <v/>
      </c>
      <c r="S54" s="72"/>
    </row>
    <row r="55" spans="2:19" x14ac:dyDescent="0.25">
      <c r="B55" s="12" t="s">
        <v>37</v>
      </c>
      <c r="C55" s="22"/>
      <c r="D55" s="23"/>
      <c r="E55" s="24"/>
      <c r="F55" s="71">
        <v>0.124</v>
      </c>
      <c r="G55" s="69">
        <v>0</v>
      </c>
      <c r="H55" s="66">
        <f t="shared" si="9"/>
        <v>0</v>
      </c>
      <c r="I55" s="28"/>
      <c r="J55" s="65">
        <v>0.124</v>
      </c>
      <c r="K55" s="69">
        <v>0</v>
      </c>
      <c r="L55" s="66">
        <f t="shared" si="10"/>
        <v>0</v>
      </c>
      <c r="M55" s="28"/>
      <c r="N55" s="31">
        <f t="shared" si="2"/>
        <v>0</v>
      </c>
      <c r="O55" s="68" t="str">
        <f t="shared" si="8"/>
        <v/>
      </c>
      <c r="S55" s="72"/>
    </row>
    <row r="56" spans="2:19" s="73" customFormat="1" x14ac:dyDescent="0.2">
      <c r="B56" s="180" t="s">
        <v>38</v>
      </c>
      <c r="C56" s="75"/>
      <c r="D56" s="76"/>
      <c r="E56" s="77"/>
      <c r="F56" s="71">
        <v>7.4999999999999997E-2</v>
      </c>
      <c r="G56" s="78">
        <v>0</v>
      </c>
      <c r="H56" s="66">
        <f>G56*F56</f>
        <v>0</v>
      </c>
      <c r="I56" s="79"/>
      <c r="J56" s="65">
        <v>7.4999999999999997E-2</v>
      </c>
      <c r="K56" s="78">
        <f>G56</f>
        <v>0</v>
      </c>
      <c r="L56" s="66">
        <f>K56*J56</f>
        <v>0</v>
      </c>
      <c r="M56" s="79"/>
      <c r="N56" s="80">
        <f t="shared" si="2"/>
        <v>0</v>
      </c>
      <c r="O56" s="68" t="str">
        <f t="shared" si="8"/>
        <v/>
      </c>
    </row>
    <row r="57" spans="2:19" s="73" customFormat="1" ht="15.75" thickBot="1" x14ac:dyDescent="0.25">
      <c r="B57" s="180" t="s">
        <v>39</v>
      </c>
      <c r="C57" s="75"/>
      <c r="D57" s="76"/>
      <c r="E57" s="77"/>
      <c r="F57" s="71">
        <v>8.7999999999999995E-2</v>
      </c>
      <c r="G57" s="78">
        <v>0</v>
      </c>
      <c r="H57" s="66">
        <f>G57*F57</f>
        <v>0</v>
      </c>
      <c r="I57" s="79"/>
      <c r="J57" s="65">
        <v>8.7999999999999995E-2</v>
      </c>
      <c r="K57" s="78">
        <f>G57</f>
        <v>0</v>
      </c>
      <c r="L57" s="66">
        <f>K57*J57</f>
        <v>0</v>
      </c>
      <c r="M57" s="79"/>
      <c r="N57" s="80">
        <f t="shared" si="2"/>
        <v>0</v>
      </c>
      <c r="O57" s="68" t="str">
        <f t="shared" si="8"/>
        <v/>
      </c>
    </row>
    <row r="58" spans="2:19" ht="15.75" thickBot="1" x14ac:dyDescent="0.3">
      <c r="B58" s="81"/>
      <c r="C58" s="82"/>
      <c r="D58" s="83"/>
      <c r="E58" s="82"/>
      <c r="F58" s="84"/>
      <c r="G58" s="85"/>
      <c r="H58" s="86"/>
      <c r="I58" s="87"/>
      <c r="J58" s="84"/>
      <c r="K58" s="88"/>
      <c r="L58" s="86"/>
      <c r="M58" s="87"/>
      <c r="N58" s="89"/>
      <c r="O58" s="90"/>
    </row>
    <row r="59" spans="2:19" x14ac:dyDescent="0.25">
      <c r="B59" s="91" t="s">
        <v>40</v>
      </c>
      <c r="C59" s="22"/>
      <c r="D59" s="22"/>
      <c r="E59" s="22"/>
      <c r="F59" s="92"/>
      <c r="G59" s="93"/>
      <c r="H59" s="94">
        <f>SUM(H49:H55,H48)</f>
        <v>14025.322400000001</v>
      </c>
      <c r="I59" s="95"/>
      <c r="J59" s="96"/>
      <c r="K59" s="96"/>
      <c r="L59" s="94">
        <f>SUM(L49:L55,L48)</f>
        <v>14469.272199999999</v>
      </c>
      <c r="M59" s="97"/>
      <c r="N59" s="98">
        <f>L59-H59</f>
        <v>443.9497999999985</v>
      </c>
      <c r="O59" s="99">
        <f>IF((H59)=0,"",(N59/H59))</f>
        <v>3.1653447053737495E-2</v>
      </c>
      <c r="S59" s="72"/>
    </row>
    <row r="60" spans="2:19" x14ac:dyDescent="0.25">
      <c r="B60" s="100" t="s">
        <v>41</v>
      </c>
      <c r="C60" s="22"/>
      <c r="D60" s="22"/>
      <c r="E60" s="22"/>
      <c r="F60" s="101">
        <v>0.13</v>
      </c>
      <c r="G60" s="102"/>
      <c r="H60" s="103">
        <f>H59*F60</f>
        <v>1823.2919120000001</v>
      </c>
      <c r="I60" s="104"/>
      <c r="J60" s="105">
        <v>0.13</v>
      </c>
      <c r="K60" s="104"/>
      <c r="L60" s="106">
        <f>L59*J60</f>
        <v>1881.005386</v>
      </c>
      <c r="M60" s="107"/>
      <c r="N60" s="108">
        <f t="shared" si="2"/>
        <v>57.713473999999906</v>
      </c>
      <c r="O60" s="109">
        <f t="shared" si="8"/>
        <v>3.165344705373755E-2</v>
      </c>
      <c r="S60" s="72"/>
    </row>
    <row r="61" spans="2:19" x14ac:dyDescent="0.25">
      <c r="B61" s="110" t="s">
        <v>42</v>
      </c>
      <c r="C61" s="22"/>
      <c r="D61" s="22"/>
      <c r="E61" s="22"/>
      <c r="F61" s="111"/>
      <c r="G61" s="102"/>
      <c r="H61" s="103">
        <f>H59+H60</f>
        <v>15848.614312000002</v>
      </c>
      <c r="I61" s="104"/>
      <c r="J61" s="104"/>
      <c r="K61" s="104"/>
      <c r="L61" s="106">
        <f>L59+L60</f>
        <v>16350.277586</v>
      </c>
      <c r="M61" s="107"/>
      <c r="N61" s="108">
        <f t="shared" si="2"/>
        <v>501.66327399999864</v>
      </c>
      <c r="O61" s="109">
        <f t="shared" si="8"/>
        <v>3.1653447053737516E-2</v>
      </c>
      <c r="S61" s="72"/>
    </row>
    <row r="62" spans="2:19" x14ac:dyDescent="0.25">
      <c r="B62" s="388" t="s">
        <v>43</v>
      </c>
      <c r="C62" s="388"/>
      <c r="D62" s="388"/>
      <c r="E62" s="22"/>
      <c r="F62" s="111"/>
      <c r="G62" s="102"/>
      <c r="H62" s="112">
        <f>ROUND(-H61*10%,2)</f>
        <v>-1584.86</v>
      </c>
      <c r="I62" s="104"/>
      <c r="J62" s="104"/>
      <c r="K62" s="104"/>
      <c r="L62" s="113">
        <f>ROUND(-L61*10%,2)</f>
        <v>-1635.03</v>
      </c>
      <c r="M62" s="107"/>
      <c r="N62" s="114">
        <f t="shared" si="2"/>
        <v>-50.170000000000073</v>
      </c>
      <c r="O62" s="115">
        <f t="shared" si="8"/>
        <v>3.1655792940701435E-2</v>
      </c>
    </row>
    <row r="63" spans="2:19" ht="15.75" thickBot="1" x14ac:dyDescent="0.3">
      <c r="B63" s="384" t="s">
        <v>44</v>
      </c>
      <c r="C63" s="384"/>
      <c r="D63" s="384"/>
      <c r="E63" s="116"/>
      <c r="F63" s="117"/>
      <c r="G63" s="118"/>
      <c r="H63" s="119">
        <f>H61+H62</f>
        <v>14263.754312000001</v>
      </c>
      <c r="I63" s="120"/>
      <c r="J63" s="120"/>
      <c r="K63" s="120"/>
      <c r="L63" s="121">
        <f>L61+L62</f>
        <v>14715.247586</v>
      </c>
      <c r="M63" s="122"/>
      <c r="N63" s="123">
        <f t="shared" si="2"/>
        <v>451.49327399999856</v>
      </c>
      <c r="O63" s="124">
        <f t="shared" si="8"/>
        <v>3.1653186399891946E-2</v>
      </c>
    </row>
    <row r="64" spans="2:19" s="73" customFormat="1" ht="15.75" hidden="1" thickBot="1" x14ac:dyDescent="0.25">
      <c r="B64" s="125"/>
      <c r="C64" s="126"/>
      <c r="D64" s="127"/>
      <c r="E64" s="126"/>
      <c r="F64" s="84"/>
      <c r="G64" s="128"/>
      <c r="H64" s="86"/>
      <c r="I64" s="129"/>
      <c r="J64" s="84"/>
      <c r="K64" s="130"/>
      <c r="L64" s="86"/>
      <c r="M64" s="129"/>
      <c r="N64" s="131"/>
      <c r="O64" s="90"/>
    </row>
    <row r="65" spans="1:15" s="73" customFormat="1" ht="12.75" x14ac:dyDescent="0.2">
      <c r="B65" s="132" t="s">
        <v>45</v>
      </c>
      <c r="C65" s="75"/>
      <c r="D65" s="75"/>
      <c r="E65" s="75"/>
      <c r="F65" s="133"/>
      <c r="G65" s="134"/>
      <c r="H65" s="135">
        <f>SUM(H53,H48,H49:H52)</f>
        <v>14025.322400000001</v>
      </c>
      <c r="I65" s="136"/>
      <c r="J65" s="137"/>
      <c r="K65" s="137"/>
      <c r="L65" s="189">
        <f>SUM(L53,L48,L49:L52)</f>
        <v>14469.272199999999</v>
      </c>
      <c r="M65" s="138"/>
      <c r="N65" s="139">
        <f>L65-H65</f>
        <v>443.9497999999985</v>
      </c>
      <c r="O65" s="99">
        <f>IF((H65)=0,"",(N65/H65))</f>
        <v>3.1653447053737495E-2</v>
      </c>
    </row>
    <row r="66" spans="1:15" s="73" customFormat="1" ht="12.75" x14ac:dyDescent="0.2">
      <c r="B66" s="140" t="s">
        <v>41</v>
      </c>
      <c r="C66" s="75"/>
      <c r="D66" s="75"/>
      <c r="E66" s="75"/>
      <c r="F66" s="141">
        <v>0.13</v>
      </c>
      <c r="G66" s="134"/>
      <c r="H66" s="142">
        <f>H65*F66</f>
        <v>1823.2919120000001</v>
      </c>
      <c r="I66" s="143"/>
      <c r="J66" s="144">
        <v>0.13</v>
      </c>
      <c r="K66" s="145"/>
      <c r="L66" s="146">
        <f>L65*J66</f>
        <v>1881.005386</v>
      </c>
      <c r="M66" s="147"/>
      <c r="N66" s="148">
        <f>L66-H66</f>
        <v>57.713473999999906</v>
      </c>
      <c r="O66" s="109">
        <f>IF((H66)=0,"",(N66/H66))</f>
        <v>3.165344705373755E-2</v>
      </c>
    </row>
    <row r="67" spans="1:15" s="73" customFormat="1" ht="12.75" x14ac:dyDescent="0.2">
      <c r="B67" s="149" t="s">
        <v>42</v>
      </c>
      <c r="C67" s="75"/>
      <c r="D67" s="75"/>
      <c r="E67" s="75"/>
      <c r="F67" s="150"/>
      <c r="G67" s="151"/>
      <c r="H67" s="142">
        <f>H65+H66</f>
        <v>15848.614312000002</v>
      </c>
      <c r="I67" s="143"/>
      <c r="J67" s="143"/>
      <c r="K67" s="143"/>
      <c r="L67" s="146">
        <f>L65+L66</f>
        <v>16350.277586</v>
      </c>
      <c r="M67" s="147"/>
      <c r="N67" s="148">
        <f>L67-H67</f>
        <v>501.66327399999864</v>
      </c>
      <c r="O67" s="109">
        <f>IF((H67)=0,"",(N67/H67))</f>
        <v>3.1653447053737516E-2</v>
      </c>
    </row>
    <row r="68" spans="1:15" s="73" customFormat="1" ht="12.75" x14ac:dyDescent="0.2">
      <c r="B68" s="389" t="s">
        <v>43</v>
      </c>
      <c r="C68" s="389"/>
      <c r="D68" s="389"/>
      <c r="E68" s="75"/>
      <c r="F68" s="150"/>
      <c r="G68" s="151"/>
      <c r="H68" s="152"/>
      <c r="I68" s="143"/>
      <c r="J68" s="143"/>
      <c r="K68" s="143"/>
      <c r="L68" s="153"/>
      <c r="M68" s="147"/>
      <c r="N68" s="154">
        <f>L68-H68</f>
        <v>0</v>
      </c>
      <c r="O68" s="115" t="str">
        <f>IF((H68)=0,"",(N68/H68))</f>
        <v/>
      </c>
    </row>
    <row r="69" spans="1:15" s="73" customFormat="1" ht="13.5" thickBot="1" x14ac:dyDescent="0.25">
      <c r="B69" s="376" t="s">
        <v>46</v>
      </c>
      <c r="C69" s="376"/>
      <c r="D69" s="376"/>
      <c r="E69" s="155"/>
      <c r="F69" s="156"/>
      <c r="G69" s="157"/>
      <c r="H69" s="158">
        <f>SUM(H67:H68)</f>
        <v>15848.614312000002</v>
      </c>
      <c r="I69" s="159"/>
      <c r="J69" s="159"/>
      <c r="K69" s="159"/>
      <c r="L69" s="160">
        <f>SUM(L67:L68)</f>
        <v>16350.277586</v>
      </c>
      <c r="M69" s="161"/>
      <c r="N69" s="162">
        <f>L69-H69</f>
        <v>501.66327399999864</v>
      </c>
      <c r="O69" s="163">
        <f>IF((H69)=0,"",(N69/H69))</f>
        <v>3.1653447053737516E-2</v>
      </c>
    </row>
    <row r="70" spans="1:15" s="73" customFormat="1" ht="15.75" thickBot="1" x14ac:dyDescent="0.25">
      <c r="B70" s="125"/>
      <c r="C70" s="126"/>
      <c r="D70" s="127"/>
      <c r="E70" s="126"/>
      <c r="F70" s="164"/>
      <c r="G70" s="165"/>
      <c r="H70" s="166"/>
      <c r="I70" s="167"/>
      <c r="J70" s="164"/>
      <c r="K70" s="128"/>
      <c r="L70" s="168"/>
      <c r="M70" s="129"/>
      <c r="N70" s="169"/>
      <c r="O70" s="90"/>
    </row>
    <row r="71" spans="1:15" x14ac:dyDescent="0.25">
      <c r="L71" s="72"/>
    </row>
    <row r="72" spans="1:15" x14ac:dyDescent="0.25">
      <c r="B72" s="13" t="s">
        <v>47</v>
      </c>
      <c r="F72" s="170">
        <f>+'Res (100kWh)'!$F$73</f>
        <v>4.0399999999999998E-2</v>
      </c>
      <c r="J72" s="170">
        <f>+'Res (100kWh)'!$J$73</f>
        <v>3.6200000000000003E-2</v>
      </c>
    </row>
    <row r="74" spans="1:15" x14ac:dyDescent="0.25">
      <c r="A74" s="171" t="s">
        <v>48</v>
      </c>
    </row>
    <row r="76" spans="1:15" x14ac:dyDescent="0.25">
      <c r="A76" s="7" t="s">
        <v>49</v>
      </c>
    </row>
    <row r="77" spans="1:15" x14ac:dyDescent="0.25">
      <c r="A77" s="7" t="s">
        <v>50</v>
      </c>
    </row>
    <row r="79" spans="1:15" x14ac:dyDescent="0.25">
      <c r="A79" s="12" t="s">
        <v>51</v>
      </c>
    </row>
    <row r="80" spans="1:15" x14ac:dyDescent="0.25">
      <c r="A80" s="12" t="s">
        <v>52</v>
      </c>
    </row>
    <row r="82" spans="1:2" x14ac:dyDescent="0.25">
      <c r="A82" s="7" t="s">
        <v>53</v>
      </c>
    </row>
    <row r="83" spans="1:2" x14ac:dyDescent="0.25">
      <c r="A83" s="7" t="s">
        <v>54</v>
      </c>
    </row>
    <row r="84" spans="1:2" x14ac:dyDescent="0.25">
      <c r="A84" s="7" t="s">
        <v>55</v>
      </c>
    </row>
    <row r="85" spans="1:2" x14ac:dyDescent="0.25">
      <c r="A85" s="7" t="s">
        <v>56</v>
      </c>
    </row>
    <row r="86" spans="1:2" x14ac:dyDescent="0.25">
      <c r="A86" s="7" t="s">
        <v>57</v>
      </c>
    </row>
    <row r="88" spans="1:2" x14ac:dyDescent="0.25">
      <c r="A88" s="172"/>
      <c r="B88" s="7" t="s">
        <v>58</v>
      </c>
    </row>
  </sheetData>
  <mergeCells count="17">
    <mergeCell ref="B62:D62"/>
    <mergeCell ref="B63:D63"/>
    <mergeCell ref="B68:D68"/>
    <mergeCell ref="B69:D69"/>
    <mergeCell ref="D12:O12"/>
    <mergeCell ref="F18:H18"/>
    <mergeCell ref="J18:L18"/>
    <mergeCell ref="N18:O18"/>
    <mergeCell ref="D19:D20"/>
    <mergeCell ref="N19:N20"/>
    <mergeCell ref="O19:O20"/>
    <mergeCell ref="B9:O9"/>
    <mergeCell ref="N1:O1"/>
    <mergeCell ref="N2:O2"/>
    <mergeCell ref="N5:O5"/>
    <mergeCell ref="B8:O8"/>
    <mergeCell ref="N3:O3"/>
  </mergeCells>
  <dataValidations count="4">
    <dataValidation type="list" allowBlank="1" showInputMessage="1" showErrorMessage="1" sqref="D14">
      <formula1>"TOU, non-TOU"</formula1>
    </dataValidation>
    <dataValidation type="list" allowBlank="1" showInputMessage="1" showErrorMessage="1" sqref="E70 E64 E56:E57">
      <formula1>#REF!</formula1>
    </dataValidation>
    <dataValidation type="list" allowBlank="1" showInputMessage="1" showErrorMessage="1" prompt="Select Charge Unit - monthly, per kWh, per kW" sqref="D46:D47 D38:D44 D64 D21:D36 D70 D49:D58">
      <formula1>"Monthly, per kWh, per kW"</formula1>
    </dataValidation>
    <dataValidation type="list" allowBlank="1" showInputMessage="1" showErrorMessage="1" sqref="E46:E47 E38:E44 E21:E36 E49:E55 E58">
      <formula1>#REF!</formula1>
    </dataValidation>
  </dataValidations>
  <pageMargins left="0.7" right="0.7" top="0.75" bottom="0.75" header="0.3" footer="0.3"/>
  <pageSetup scale="58" orientation="portrait" verticalDpi="4"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T88"/>
  <sheetViews>
    <sheetView showGridLines="0" topLeftCell="A19" zoomScaleNormal="100" workbookViewId="0">
      <selection activeCell="J43" activeCellId="1" sqref="F43 J43"/>
    </sheetView>
  </sheetViews>
  <sheetFormatPr defaultColWidth="9.140625" defaultRowHeight="15" x14ac:dyDescent="0.25"/>
  <cols>
    <col min="1" max="1" width="2.140625" style="7" customWidth="1"/>
    <col min="2" max="2" width="44.5703125" style="7" customWidth="1"/>
    <col min="3" max="3" width="1.28515625" style="7" customWidth="1"/>
    <col min="4" max="4" width="11.28515625" style="7" customWidth="1"/>
    <col min="5" max="5" width="1.28515625" style="7" customWidth="1"/>
    <col min="6" max="6" width="12.28515625" style="7" customWidth="1"/>
    <col min="7" max="7" width="8.5703125" style="7" customWidth="1"/>
    <col min="8" max="8" width="12.28515625" style="7" bestFit="1" customWidth="1"/>
    <col min="9" max="9" width="2.85546875" style="7" customWidth="1"/>
    <col min="10" max="10" width="12.140625" style="7" customWidth="1"/>
    <col min="11" max="11" width="8.5703125" style="7" customWidth="1"/>
    <col min="12" max="12" width="12.5703125" style="7" bestFit="1" customWidth="1"/>
    <col min="13" max="13" width="2.85546875" style="7" customWidth="1"/>
    <col min="14" max="14" width="12.7109375" style="7" bestFit="1" customWidth="1"/>
    <col min="15" max="15" width="13.140625" style="7" customWidth="1"/>
    <col min="16" max="16" width="3.85546875" style="7" customWidth="1"/>
    <col min="17" max="19" width="9.140625" style="7"/>
    <col min="20" max="20" width="9.140625" style="7" customWidth="1"/>
    <col min="21" max="16384" width="9.140625" style="7"/>
  </cols>
  <sheetData>
    <row r="1" spans="1:20" s="2" customFormat="1" ht="15" customHeigh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3" t="s">
        <v>0</v>
      </c>
      <c r="N1" s="368" t="s">
        <v>94</v>
      </c>
      <c r="O1" s="368"/>
      <c r="P1"/>
      <c r="T1" s="2">
        <v>1</v>
      </c>
    </row>
    <row r="2" spans="1:20" s="2" customFormat="1" ht="15" customHeight="1" x14ac:dyDescent="0.3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3" t="s">
        <v>95</v>
      </c>
      <c r="N2" s="369">
        <v>8</v>
      </c>
      <c r="O2" s="369"/>
      <c r="P2"/>
    </row>
    <row r="3" spans="1:20" s="2" customFormat="1" ht="15" customHeight="1" x14ac:dyDescent="0.3">
      <c r="C3" s="6"/>
      <c r="D3" s="6"/>
      <c r="E3" s="6"/>
      <c r="L3" s="3" t="s">
        <v>96</v>
      </c>
      <c r="N3" s="370" t="s">
        <v>97</v>
      </c>
      <c r="O3" s="370"/>
      <c r="P3"/>
    </row>
    <row r="4" spans="1:20" s="2" customFormat="1" ht="9" customHeight="1" x14ac:dyDescent="0.3">
      <c r="L4" s="3"/>
      <c r="N4" s="310"/>
      <c r="O4"/>
      <c r="P4"/>
    </row>
    <row r="5" spans="1:20" s="2" customFormat="1" ht="14.45" x14ac:dyDescent="0.3">
      <c r="L5" s="3" t="s">
        <v>76</v>
      </c>
      <c r="N5" s="387">
        <v>42124</v>
      </c>
      <c r="O5" s="387"/>
      <c r="P5"/>
    </row>
    <row r="6" spans="1:20" s="2" customFormat="1" ht="15" customHeight="1" x14ac:dyDescent="0.3">
      <c r="N6" s="7"/>
      <c r="O6"/>
      <c r="P6"/>
    </row>
    <row r="7" spans="1:20" ht="7.5" customHeight="1" x14ac:dyDescent="0.3">
      <c r="L7"/>
      <c r="M7"/>
      <c r="N7"/>
      <c r="O7"/>
      <c r="P7"/>
    </row>
    <row r="8" spans="1:20" ht="18.75" customHeight="1" x14ac:dyDescent="0.3">
      <c r="B8" s="367" t="s">
        <v>1</v>
      </c>
      <c r="C8" s="367"/>
      <c r="D8" s="367"/>
      <c r="E8" s="367"/>
      <c r="F8" s="367"/>
      <c r="G8" s="367"/>
      <c r="H8" s="367"/>
      <c r="I8" s="367"/>
      <c r="J8" s="367"/>
      <c r="K8" s="367"/>
      <c r="L8" s="367"/>
      <c r="M8" s="367"/>
      <c r="N8" s="367"/>
      <c r="O8" s="367"/>
      <c r="P8"/>
    </row>
    <row r="9" spans="1:20" ht="18.75" customHeight="1" x14ac:dyDescent="0.3">
      <c r="B9" s="367" t="s">
        <v>2</v>
      </c>
      <c r="C9" s="367"/>
      <c r="D9" s="367"/>
      <c r="E9" s="367"/>
      <c r="F9" s="367"/>
      <c r="G9" s="367"/>
      <c r="H9" s="367"/>
      <c r="I9" s="367"/>
      <c r="J9" s="367"/>
      <c r="K9" s="367"/>
      <c r="L9" s="367"/>
      <c r="M9" s="367"/>
      <c r="N9" s="367"/>
      <c r="O9" s="367"/>
      <c r="P9"/>
    </row>
    <row r="10" spans="1:20" ht="7.5" customHeight="1" x14ac:dyDescent="0.3">
      <c r="L10"/>
      <c r="M10"/>
      <c r="N10"/>
      <c r="O10"/>
      <c r="P10"/>
    </row>
    <row r="11" spans="1:20" ht="7.5" customHeight="1" x14ac:dyDescent="0.3">
      <c r="L11"/>
      <c r="M11"/>
      <c r="N11"/>
      <c r="O11"/>
      <c r="P11"/>
    </row>
    <row r="12" spans="1:20" ht="15.6" x14ac:dyDescent="0.3">
      <c r="B12" s="8" t="s">
        <v>3</v>
      </c>
      <c r="D12" s="386" t="s">
        <v>91</v>
      </c>
      <c r="E12" s="386"/>
      <c r="F12" s="386"/>
      <c r="G12" s="386"/>
      <c r="H12" s="386"/>
      <c r="I12" s="386"/>
      <c r="J12" s="386"/>
      <c r="K12" s="386"/>
      <c r="L12" s="386"/>
      <c r="M12" s="386"/>
      <c r="N12" s="386"/>
      <c r="O12" s="386"/>
    </row>
    <row r="13" spans="1:20" ht="7.5" customHeight="1" x14ac:dyDescent="0.3">
      <c r="B13" s="9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</row>
    <row r="14" spans="1:20" ht="15.6" x14ac:dyDescent="0.3">
      <c r="B14" s="8" t="s">
        <v>4</v>
      </c>
      <c r="D14" s="11" t="s">
        <v>68</v>
      </c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</row>
    <row r="15" spans="1:20" ht="15.6" x14ac:dyDescent="0.3">
      <c r="B15" s="9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</row>
    <row r="16" spans="1:20" ht="14.45" x14ac:dyDescent="0.3">
      <c r="B16" s="12"/>
      <c r="D16" s="13" t="s">
        <v>6</v>
      </c>
      <c r="E16" s="13"/>
      <c r="F16" s="14">
        <v>200000</v>
      </c>
      <c r="G16" s="13" t="s">
        <v>7</v>
      </c>
      <c r="H16" s="14">
        <v>500</v>
      </c>
      <c r="I16" s="13" t="s">
        <v>69</v>
      </c>
    </row>
    <row r="17" spans="2:15" ht="14.45" x14ac:dyDescent="0.3">
      <c r="B17" s="12"/>
    </row>
    <row r="18" spans="2:15" ht="14.45" x14ac:dyDescent="0.3">
      <c r="B18" s="12"/>
      <c r="D18" s="15"/>
      <c r="E18" s="15"/>
      <c r="F18" s="373" t="s">
        <v>8</v>
      </c>
      <c r="G18" s="374"/>
      <c r="H18" s="375"/>
      <c r="J18" s="373" t="s">
        <v>9</v>
      </c>
      <c r="K18" s="374"/>
      <c r="L18" s="375"/>
      <c r="N18" s="373" t="s">
        <v>10</v>
      </c>
      <c r="O18" s="375"/>
    </row>
    <row r="19" spans="2:15" x14ac:dyDescent="0.25">
      <c r="B19" s="12"/>
      <c r="D19" s="377" t="s">
        <v>11</v>
      </c>
      <c r="E19" s="16"/>
      <c r="F19" s="17" t="s">
        <v>12</v>
      </c>
      <c r="G19" s="17" t="s">
        <v>13</v>
      </c>
      <c r="H19" s="18" t="s">
        <v>14</v>
      </c>
      <c r="J19" s="17" t="s">
        <v>12</v>
      </c>
      <c r="K19" s="19" t="s">
        <v>13</v>
      </c>
      <c r="L19" s="18" t="s">
        <v>14</v>
      </c>
      <c r="N19" s="379" t="s">
        <v>15</v>
      </c>
      <c r="O19" s="381" t="s">
        <v>16</v>
      </c>
    </row>
    <row r="20" spans="2:15" x14ac:dyDescent="0.25">
      <c r="B20" s="12"/>
      <c r="D20" s="378"/>
      <c r="E20" s="16"/>
      <c r="F20" s="20" t="s">
        <v>17</v>
      </c>
      <c r="G20" s="20"/>
      <c r="H20" s="21" t="s">
        <v>17</v>
      </c>
      <c r="J20" s="20" t="s">
        <v>17</v>
      </c>
      <c r="K20" s="21"/>
      <c r="L20" s="21" t="s">
        <v>17</v>
      </c>
      <c r="N20" s="380"/>
      <c r="O20" s="382"/>
    </row>
    <row r="21" spans="2:15" ht="22.5" customHeight="1" x14ac:dyDescent="0.3">
      <c r="B21" s="22" t="s">
        <v>18</v>
      </c>
      <c r="C21" s="22"/>
      <c r="D21" s="23" t="s">
        <v>60</v>
      </c>
      <c r="E21" s="24"/>
      <c r="F21" s="174">
        <f>+'GS 50-4999 (60kW)'!$F$21</f>
        <v>119.38</v>
      </c>
      <c r="G21" s="26">
        <v>1</v>
      </c>
      <c r="H21" s="27">
        <f>G21*F21</f>
        <v>119.38</v>
      </c>
      <c r="I21" s="28"/>
      <c r="J21" s="173">
        <f>+'GS 50-4999 (60kW)'!$J$21</f>
        <v>119.38</v>
      </c>
      <c r="K21" s="30">
        <v>1</v>
      </c>
      <c r="L21" s="27">
        <f>K21*J21</f>
        <v>119.38</v>
      </c>
      <c r="M21" s="28"/>
      <c r="N21" s="31">
        <f>L21-H21</f>
        <v>0</v>
      </c>
      <c r="O21" s="32">
        <f>IF((H21)=0,"",(N21/H21))</f>
        <v>0</v>
      </c>
    </row>
    <row r="22" spans="2:15" ht="36.75" customHeight="1" x14ac:dyDescent="0.25">
      <c r="B22" s="296" t="s">
        <v>88</v>
      </c>
      <c r="C22" s="22"/>
      <c r="D22" s="56" t="s">
        <v>70</v>
      </c>
      <c r="E22" s="24"/>
      <c r="F22" s="173"/>
      <c r="G22" s="179">
        <f>+$H$16</f>
        <v>500</v>
      </c>
      <c r="H22" s="27">
        <f t="shared" ref="H22:H36" si="0">G22*F22</f>
        <v>0</v>
      </c>
      <c r="I22" s="28"/>
      <c r="J22" s="29">
        <f>+'GS 50-4999 (60kW)'!$J$22</f>
        <v>0.25519999999999998</v>
      </c>
      <c r="K22" s="262">
        <f>+$H$16</f>
        <v>500</v>
      </c>
      <c r="L22" s="27">
        <f>K22*J22</f>
        <v>127.6</v>
      </c>
      <c r="M22" s="28"/>
      <c r="N22" s="31">
        <f>L22-H22</f>
        <v>127.6</v>
      </c>
      <c r="O22" s="32" t="str">
        <f>IF((H22)=0,"",(N22/H22))</f>
        <v/>
      </c>
    </row>
    <row r="23" spans="2:15" x14ac:dyDescent="0.25">
      <c r="B23" s="297"/>
      <c r="C23" s="22"/>
      <c r="D23" s="56" t="s">
        <v>60</v>
      </c>
      <c r="E23" s="57"/>
      <c r="F23" s="173"/>
      <c r="G23" s="26">
        <v>1</v>
      </c>
      <c r="H23" s="27">
        <f t="shared" si="0"/>
        <v>0</v>
      </c>
      <c r="I23" s="28"/>
      <c r="J23" s="29"/>
      <c r="K23" s="30">
        <v>1</v>
      </c>
      <c r="L23" s="27">
        <f t="shared" ref="L23:L36" si="1">K23*J23</f>
        <v>0</v>
      </c>
      <c r="M23" s="28"/>
      <c r="N23" s="31">
        <f t="shared" ref="N23:N63" si="2">L23-H23</f>
        <v>0</v>
      </c>
      <c r="O23" s="32" t="str">
        <f t="shared" ref="O23:O43" si="3">IF((H23)=0,"",(N23/H23))</f>
        <v/>
      </c>
    </row>
    <row r="24" spans="2:15" x14ac:dyDescent="0.25">
      <c r="B24" s="297"/>
      <c r="C24" s="22"/>
      <c r="D24" s="56" t="s">
        <v>60</v>
      </c>
      <c r="E24" s="24"/>
      <c r="F24" s="25"/>
      <c r="G24" s="26">
        <v>1</v>
      </c>
      <c r="H24" s="27">
        <f t="shared" si="0"/>
        <v>0</v>
      </c>
      <c r="I24" s="28"/>
      <c r="J24" s="173"/>
      <c r="K24" s="30">
        <v>1</v>
      </c>
      <c r="L24" s="27">
        <f t="shared" si="1"/>
        <v>0</v>
      </c>
      <c r="M24" s="28"/>
      <c r="N24" s="31">
        <f t="shared" si="2"/>
        <v>0</v>
      </c>
      <c r="O24" s="32" t="str">
        <f t="shared" si="3"/>
        <v/>
      </c>
    </row>
    <row r="25" spans="2:15" x14ac:dyDescent="0.25">
      <c r="B25" s="296" t="s">
        <v>65</v>
      </c>
      <c r="C25" s="22"/>
      <c r="D25" s="23" t="s">
        <v>70</v>
      </c>
      <c r="E25" s="24"/>
      <c r="F25" s="25">
        <f>+'GS 50-4999 (60kW)'!$F$25</f>
        <v>-9.9000000000000008E-3</v>
      </c>
      <c r="G25" s="179">
        <f>$H$16</f>
        <v>500</v>
      </c>
      <c r="H25" s="27">
        <f t="shared" si="0"/>
        <v>-4.95</v>
      </c>
      <c r="I25" s="28"/>
      <c r="J25" s="29">
        <f>+'GS 50-4999 (60kW)'!$J$25</f>
        <v>-9.9000000000000008E-3</v>
      </c>
      <c r="K25" s="179">
        <f>$H$16</f>
        <v>500</v>
      </c>
      <c r="L25" s="27">
        <f t="shared" si="1"/>
        <v>-4.95</v>
      </c>
      <c r="M25" s="28"/>
      <c r="N25" s="31">
        <f t="shared" si="2"/>
        <v>0</v>
      </c>
      <c r="O25" s="32">
        <f t="shared" si="3"/>
        <v>0</v>
      </c>
    </row>
    <row r="26" spans="2:15" x14ac:dyDescent="0.25">
      <c r="B26" s="296" t="s">
        <v>66</v>
      </c>
      <c r="C26" s="22"/>
      <c r="D26" s="23" t="s">
        <v>70</v>
      </c>
      <c r="E26" s="24"/>
      <c r="F26" s="25"/>
      <c r="G26" s="179">
        <f>$H$16</f>
        <v>500</v>
      </c>
      <c r="H26" s="27">
        <f t="shared" si="0"/>
        <v>0</v>
      </c>
      <c r="I26" s="28"/>
      <c r="J26" s="29">
        <f>+'GS 50-4999 (60kW)'!$J$26</f>
        <v>-0.63949999999999996</v>
      </c>
      <c r="K26" s="179">
        <f>$H$16</f>
        <v>500</v>
      </c>
      <c r="L26" s="27">
        <f t="shared" si="1"/>
        <v>-319.75</v>
      </c>
      <c r="M26" s="28"/>
      <c r="N26" s="31">
        <f t="shared" si="2"/>
        <v>-319.75</v>
      </c>
      <c r="O26" s="32" t="str">
        <f t="shared" si="3"/>
        <v/>
      </c>
    </row>
    <row r="27" spans="2:15" x14ac:dyDescent="0.25">
      <c r="B27" s="22" t="s">
        <v>19</v>
      </c>
      <c r="C27" s="22"/>
      <c r="D27" s="23" t="s">
        <v>70</v>
      </c>
      <c r="E27" s="24"/>
      <c r="F27" s="25">
        <f>+'GS 50-4999 (60kW)'!$F$27</f>
        <v>4.7394999999999996</v>
      </c>
      <c r="G27" s="179">
        <f>$H$16</f>
        <v>500</v>
      </c>
      <c r="H27" s="27">
        <f t="shared" si="0"/>
        <v>2369.75</v>
      </c>
      <c r="I27" s="28"/>
      <c r="J27" s="29">
        <f>+'GS 50-4999 (60kW)'!$J$27</f>
        <v>5.1045999999999996</v>
      </c>
      <c r="K27" s="179">
        <f>$H$16</f>
        <v>500</v>
      </c>
      <c r="L27" s="27">
        <f t="shared" si="1"/>
        <v>2552.2999999999997</v>
      </c>
      <c r="M27" s="28"/>
      <c r="N27" s="31">
        <f t="shared" si="2"/>
        <v>182.54999999999973</v>
      </c>
      <c r="O27" s="32">
        <f t="shared" si="3"/>
        <v>7.7033442346238934E-2</v>
      </c>
    </row>
    <row r="28" spans="2:15" x14ac:dyDescent="0.25">
      <c r="B28" s="22" t="s">
        <v>20</v>
      </c>
      <c r="C28" s="22"/>
      <c r="D28" s="23"/>
      <c r="E28" s="24"/>
      <c r="F28" s="25"/>
      <c r="G28" s="26">
        <f>$F$16</f>
        <v>200000</v>
      </c>
      <c r="H28" s="27">
        <f t="shared" si="0"/>
        <v>0</v>
      </c>
      <c r="I28" s="28"/>
      <c r="J28" s="29"/>
      <c r="K28" s="26">
        <f t="shared" ref="K28:K36" si="4">$F$16</f>
        <v>200000</v>
      </c>
      <c r="L28" s="27">
        <f t="shared" si="1"/>
        <v>0</v>
      </c>
      <c r="M28" s="28"/>
      <c r="N28" s="31">
        <f t="shared" si="2"/>
        <v>0</v>
      </c>
      <c r="O28" s="32" t="str">
        <f t="shared" si="3"/>
        <v/>
      </c>
    </row>
    <row r="29" spans="2:15" x14ac:dyDescent="0.25">
      <c r="B29" s="22" t="s">
        <v>21</v>
      </c>
      <c r="C29" s="22"/>
      <c r="D29" s="23"/>
      <c r="E29" s="24"/>
      <c r="F29" s="25"/>
      <c r="G29" s="26">
        <f>$F$16</f>
        <v>200000</v>
      </c>
      <c r="H29" s="27">
        <f t="shared" si="0"/>
        <v>0</v>
      </c>
      <c r="I29" s="28"/>
      <c r="J29" s="29"/>
      <c r="K29" s="26">
        <f t="shared" si="4"/>
        <v>200000</v>
      </c>
      <c r="L29" s="27">
        <f t="shared" si="1"/>
        <v>0</v>
      </c>
      <c r="M29" s="28"/>
      <c r="N29" s="31">
        <f t="shared" si="2"/>
        <v>0</v>
      </c>
      <c r="O29" s="32" t="str">
        <f t="shared" si="3"/>
        <v/>
      </c>
    </row>
    <row r="30" spans="2:15" x14ac:dyDescent="0.25">
      <c r="B30" s="33"/>
      <c r="C30" s="22"/>
      <c r="D30" s="23"/>
      <c r="E30" s="24"/>
      <c r="F30" s="25"/>
      <c r="G30" s="26">
        <f t="shared" ref="G30:G36" si="5">$F$16</f>
        <v>200000</v>
      </c>
      <c r="H30" s="27">
        <f t="shared" si="0"/>
        <v>0</v>
      </c>
      <c r="I30" s="28"/>
      <c r="J30" s="29"/>
      <c r="K30" s="26">
        <f t="shared" si="4"/>
        <v>200000</v>
      </c>
      <c r="L30" s="27">
        <f t="shared" si="1"/>
        <v>0</v>
      </c>
      <c r="M30" s="28"/>
      <c r="N30" s="31">
        <f t="shared" si="2"/>
        <v>0</v>
      </c>
      <c r="O30" s="32" t="str">
        <f t="shared" si="3"/>
        <v/>
      </c>
    </row>
    <row r="31" spans="2:15" x14ac:dyDescent="0.25">
      <c r="B31" s="33"/>
      <c r="C31" s="22"/>
      <c r="D31" s="23"/>
      <c r="E31" s="24"/>
      <c r="F31" s="25"/>
      <c r="G31" s="26">
        <f t="shared" si="5"/>
        <v>200000</v>
      </c>
      <c r="H31" s="27">
        <f t="shared" si="0"/>
        <v>0</v>
      </c>
      <c r="I31" s="28"/>
      <c r="J31" s="29"/>
      <c r="K31" s="26">
        <f t="shared" si="4"/>
        <v>200000</v>
      </c>
      <c r="L31" s="27">
        <f t="shared" si="1"/>
        <v>0</v>
      </c>
      <c r="M31" s="28"/>
      <c r="N31" s="31">
        <f t="shared" si="2"/>
        <v>0</v>
      </c>
      <c r="O31" s="32" t="str">
        <f t="shared" si="3"/>
        <v/>
      </c>
    </row>
    <row r="32" spans="2:15" x14ac:dyDescent="0.25">
      <c r="B32" s="33"/>
      <c r="C32" s="22"/>
      <c r="D32" s="23"/>
      <c r="E32" s="24"/>
      <c r="F32" s="25"/>
      <c r="G32" s="26">
        <f t="shared" si="5"/>
        <v>200000</v>
      </c>
      <c r="H32" s="27">
        <f t="shared" si="0"/>
        <v>0</v>
      </c>
      <c r="I32" s="28"/>
      <c r="J32" s="29"/>
      <c r="K32" s="26">
        <f t="shared" si="4"/>
        <v>200000</v>
      </c>
      <c r="L32" s="27">
        <f t="shared" si="1"/>
        <v>0</v>
      </c>
      <c r="M32" s="28"/>
      <c r="N32" s="31">
        <f t="shared" si="2"/>
        <v>0</v>
      </c>
      <c r="O32" s="32" t="str">
        <f t="shared" si="3"/>
        <v/>
      </c>
    </row>
    <row r="33" spans="2:15" x14ac:dyDescent="0.25">
      <c r="B33" s="33"/>
      <c r="C33" s="22"/>
      <c r="D33" s="23"/>
      <c r="E33" s="24"/>
      <c r="F33" s="25"/>
      <c r="G33" s="26">
        <f t="shared" si="5"/>
        <v>200000</v>
      </c>
      <c r="H33" s="27">
        <f t="shared" si="0"/>
        <v>0</v>
      </c>
      <c r="I33" s="28"/>
      <c r="J33" s="29"/>
      <c r="K33" s="26">
        <f t="shared" si="4"/>
        <v>200000</v>
      </c>
      <c r="L33" s="27">
        <f t="shared" si="1"/>
        <v>0</v>
      </c>
      <c r="M33" s="28"/>
      <c r="N33" s="31">
        <f t="shared" si="2"/>
        <v>0</v>
      </c>
      <c r="O33" s="32" t="str">
        <f t="shared" si="3"/>
        <v/>
      </c>
    </row>
    <row r="34" spans="2:15" x14ac:dyDescent="0.25">
      <c r="B34" s="33"/>
      <c r="C34" s="22"/>
      <c r="D34" s="23"/>
      <c r="E34" s="24"/>
      <c r="F34" s="25"/>
      <c r="G34" s="26">
        <f t="shared" si="5"/>
        <v>200000</v>
      </c>
      <c r="H34" s="27">
        <f t="shared" si="0"/>
        <v>0</v>
      </c>
      <c r="I34" s="28"/>
      <c r="J34" s="29"/>
      <c r="K34" s="26">
        <f t="shared" si="4"/>
        <v>200000</v>
      </c>
      <c r="L34" s="27">
        <f t="shared" si="1"/>
        <v>0</v>
      </c>
      <c r="M34" s="28"/>
      <c r="N34" s="31">
        <f t="shared" si="2"/>
        <v>0</v>
      </c>
      <c r="O34" s="32" t="str">
        <f t="shared" si="3"/>
        <v/>
      </c>
    </row>
    <row r="35" spans="2:15" x14ac:dyDescent="0.25">
      <c r="B35" s="33"/>
      <c r="C35" s="22"/>
      <c r="D35" s="23"/>
      <c r="E35" s="24"/>
      <c r="F35" s="25"/>
      <c r="G35" s="26">
        <f t="shared" si="5"/>
        <v>200000</v>
      </c>
      <c r="H35" s="27">
        <f t="shared" si="0"/>
        <v>0</v>
      </c>
      <c r="I35" s="28"/>
      <c r="J35" s="29"/>
      <c r="K35" s="26">
        <f t="shared" si="4"/>
        <v>200000</v>
      </c>
      <c r="L35" s="27">
        <f t="shared" si="1"/>
        <v>0</v>
      </c>
      <c r="M35" s="28"/>
      <c r="N35" s="31">
        <f t="shared" si="2"/>
        <v>0</v>
      </c>
      <c r="O35" s="32" t="str">
        <f t="shared" si="3"/>
        <v/>
      </c>
    </row>
    <row r="36" spans="2:15" x14ac:dyDescent="0.25">
      <c r="B36" s="33"/>
      <c r="C36" s="22"/>
      <c r="D36" s="23"/>
      <c r="E36" s="24"/>
      <c r="F36" s="25"/>
      <c r="G36" s="26">
        <f t="shared" si="5"/>
        <v>200000</v>
      </c>
      <c r="H36" s="27">
        <f t="shared" si="0"/>
        <v>0</v>
      </c>
      <c r="I36" s="28"/>
      <c r="J36" s="29"/>
      <c r="K36" s="26">
        <f t="shared" si="4"/>
        <v>200000</v>
      </c>
      <c r="L36" s="27">
        <f t="shared" si="1"/>
        <v>0</v>
      </c>
      <c r="M36" s="28"/>
      <c r="N36" s="31">
        <f t="shared" si="2"/>
        <v>0</v>
      </c>
      <c r="O36" s="32" t="str">
        <f t="shared" si="3"/>
        <v/>
      </c>
    </row>
    <row r="37" spans="2:15" s="34" customFormat="1" x14ac:dyDescent="0.25">
      <c r="B37" s="35" t="s">
        <v>22</v>
      </c>
      <c r="C37" s="36"/>
      <c r="D37" s="37"/>
      <c r="E37" s="36"/>
      <c r="F37" s="38"/>
      <c r="G37" s="39"/>
      <c r="H37" s="40">
        <f>SUM(H21:H36)</f>
        <v>2484.1799999999998</v>
      </c>
      <c r="I37" s="41"/>
      <c r="J37" s="42"/>
      <c r="K37" s="43"/>
      <c r="L37" s="40">
        <f>SUM(L21:L36)</f>
        <v>2474.58</v>
      </c>
      <c r="M37" s="41"/>
      <c r="N37" s="44">
        <f t="shared" si="2"/>
        <v>-9.5999999999999091</v>
      </c>
      <c r="O37" s="45">
        <f t="shared" si="3"/>
        <v>-3.8644542665990022E-3</v>
      </c>
    </row>
    <row r="38" spans="2:15" x14ac:dyDescent="0.25">
      <c r="B38" s="296" t="s">
        <v>23</v>
      </c>
      <c r="C38" s="22"/>
      <c r="D38" s="56" t="s">
        <v>70</v>
      </c>
      <c r="E38" s="57"/>
      <c r="F38" s="29">
        <f>+'GS 50-4999 (60kW)'!$F$38</f>
        <v>-0.6502</v>
      </c>
      <c r="G38" s="179">
        <f>G27</f>
        <v>500</v>
      </c>
      <c r="H38" s="27">
        <f t="shared" ref="H38:H44" si="6">G38*F38</f>
        <v>-325.10000000000002</v>
      </c>
      <c r="I38" s="28"/>
      <c r="J38" s="29">
        <f>+'GS 50-4999 (60kW)'!$J$38</f>
        <v>0.12180000000000002</v>
      </c>
      <c r="K38" s="179">
        <f>H16</f>
        <v>500</v>
      </c>
      <c r="L38" s="27">
        <f t="shared" ref="L38:L44" si="7">K38*J38</f>
        <v>60.900000000000013</v>
      </c>
      <c r="M38" s="28"/>
      <c r="N38" s="31">
        <f t="shared" si="2"/>
        <v>386.00000000000006</v>
      </c>
      <c r="O38" s="32">
        <f t="shared" si="3"/>
        <v>-1.1873269763149801</v>
      </c>
    </row>
    <row r="39" spans="2:15" x14ac:dyDescent="0.25">
      <c r="B39" s="296"/>
      <c r="C39" s="22"/>
      <c r="D39" s="23" t="s">
        <v>70</v>
      </c>
      <c r="E39" s="24"/>
      <c r="F39" s="25"/>
      <c r="G39" s="179">
        <f>H16</f>
        <v>500</v>
      </c>
      <c r="H39" s="27">
        <f t="shared" si="6"/>
        <v>0</v>
      </c>
      <c r="I39" s="47"/>
      <c r="J39" s="29"/>
      <c r="K39" s="179">
        <f>H16</f>
        <v>500</v>
      </c>
      <c r="L39" s="27">
        <f t="shared" si="7"/>
        <v>0</v>
      </c>
      <c r="M39" s="48"/>
      <c r="N39" s="31">
        <f t="shared" si="2"/>
        <v>0</v>
      </c>
      <c r="O39" s="32" t="str">
        <f t="shared" si="3"/>
        <v/>
      </c>
    </row>
    <row r="40" spans="2:15" x14ac:dyDescent="0.25">
      <c r="B40" s="296"/>
      <c r="C40" s="22"/>
      <c r="D40" s="23" t="s">
        <v>70</v>
      </c>
      <c r="E40" s="24"/>
      <c r="F40" s="25"/>
      <c r="G40" s="179">
        <f>H16</f>
        <v>500</v>
      </c>
      <c r="H40" s="27">
        <f t="shared" si="6"/>
        <v>0</v>
      </c>
      <c r="I40" s="47"/>
      <c r="J40" s="29"/>
      <c r="K40" s="179">
        <f>H16</f>
        <v>500</v>
      </c>
      <c r="L40" s="27">
        <f t="shared" si="7"/>
        <v>0</v>
      </c>
      <c r="M40" s="48"/>
      <c r="N40" s="31">
        <f t="shared" si="2"/>
        <v>0</v>
      </c>
      <c r="O40" s="32" t="str">
        <f t="shared" si="3"/>
        <v/>
      </c>
    </row>
    <row r="41" spans="2:15" ht="30.75" customHeight="1" x14ac:dyDescent="0.25">
      <c r="B41" s="296" t="s">
        <v>74</v>
      </c>
      <c r="C41" s="22"/>
      <c r="D41" s="23" t="s">
        <v>70</v>
      </c>
      <c r="E41" s="24"/>
      <c r="F41" s="29">
        <f>+'GS 50-4999 (60kW)'!$F$41</f>
        <v>0.26750000000000002</v>
      </c>
      <c r="G41" s="179">
        <f>H16</f>
        <v>500</v>
      </c>
      <c r="H41" s="27">
        <f t="shared" si="6"/>
        <v>133.75</v>
      </c>
      <c r="I41" s="47"/>
      <c r="J41" s="29">
        <f>+'GS 50-4999 (60kW)'!$J$41</f>
        <v>1.5334000000000001</v>
      </c>
      <c r="K41" s="179">
        <f>H16</f>
        <v>500</v>
      </c>
      <c r="L41" s="27">
        <f t="shared" si="7"/>
        <v>766.7</v>
      </c>
      <c r="M41" s="48"/>
      <c r="N41" s="31">
        <f t="shared" si="2"/>
        <v>632.95000000000005</v>
      </c>
      <c r="O41" s="32">
        <f t="shared" si="3"/>
        <v>4.7323364485981312</v>
      </c>
    </row>
    <row r="42" spans="2:15" x14ac:dyDescent="0.25">
      <c r="B42" s="49" t="s">
        <v>24</v>
      </c>
      <c r="C42" s="22"/>
      <c r="D42" s="23" t="s">
        <v>70</v>
      </c>
      <c r="E42" s="24"/>
      <c r="F42" s="284">
        <f>+'GS 50-4999 (60kW)'!$F$42</f>
        <v>5.5100000000000003E-2</v>
      </c>
      <c r="G42" s="179">
        <f>H16</f>
        <v>500</v>
      </c>
      <c r="H42" s="27">
        <f t="shared" si="6"/>
        <v>27.55</v>
      </c>
      <c r="I42" s="28"/>
      <c r="J42" s="29">
        <f>+'GS 50-4999 (60kW)'!$J$42</f>
        <v>7.3800000000000004E-2</v>
      </c>
      <c r="K42" s="179">
        <f>H16</f>
        <v>500</v>
      </c>
      <c r="L42" s="27">
        <f t="shared" si="7"/>
        <v>36.900000000000006</v>
      </c>
      <c r="M42" s="28"/>
      <c r="N42" s="31">
        <f t="shared" si="2"/>
        <v>9.350000000000005</v>
      </c>
      <c r="O42" s="32">
        <f t="shared" si="3"/>
        <v>0.33938294010889308</v>
      </c>
    </row>
    <row r="43" spans="2:15" s="34" customFormat="1" x14ac:dyDescent="0.25">
      <c r="B43" s="181" t="s">
        <v>25</v>
      </c>
      <c r="C43" s="24"/>
      <c r="D43" s="182" t="s">
        <v>61</v>
      </c>
      <c r="E43" s="24"/>
      <c r="F43" s="342">
        <f>+F53</f>
        <v>0.10186000000000001</v>
      </c>
      <c r="G43" s="26">
        <f>$F$16*(1+$F$72)-$F$16</f>
        <v>8080</v>
      </c>
      <c r="H43" s="184">
        <f t="shared" si="6"/>
        <v>823.02880000000005</v>
      </c>
      <c r="I43" s="57"/>
      <c r="J43" s="341">
        <f>+J53</f>
        <v>0.10186000000000001</v>
      </c>
      <c r="K43" s="26">
        <f>$F$16*(1+$J$72)-$F$16</f>
        <v>7240</v>
      </c>
      <c r="L43" s="184">
        <f t="shared" si="7"/>
        <v>737.46640000000002</v>
      </c>
      <c r="M43" s="57"/>
      <c r="N43" s="186">
        <f t="shared" si="2"/>
        <v>-85.562400000000025</v>
      </c>
      <c r="O43" s="187">
        <f t="shared" si="3"/>
        <v>-0.10396039603960398</v>
      </c>
    </row>
    <row r="44" spans="2:15" ht="14.45" x14ac:dyDescent="0.3">
      <c r="B44" s="49"/>
      <c r="C44" s="22"/>
      <c r="D44" s="23" t="s">
        <v>60</v>
      </c>
      <c r="E44" s="24"/>
      <c r="F44" s="178"/>
      <c r="G44" s="26">
        <v>0</v>
      </c>
      <c r="H44" s="27">
        <f t="shared" si="6"/>
        <v>0</v>
      </c>
      <c r="I44" s="28"/>
      <c r="J44" s="178"/>
      <c r="K44" s="26">
        <v>0</v>
      </c>
      <c r="L44" s="27">
        <f t="shared" si="7"/>
        <v>0</v>
      </c>
      <c r="M44" s="28"/>
      <c r="N44" s="31">
        <f t="shared" si="2"/>
        <v>0</v>
      </c>
      <c r="O44" s="32"/>
    </row>
    <row r="45" spans="2:15" ht="14.45" x14ac:dyDescent="0.3">
      <c r="B45" s="50" t="s">
        <v>27</v>
      </c>
      <c r="C45" s="51"/>
      <c r="D45" s="51"/>
      <c r="E45" s="51"/>
      <c r="F45" s="52"/>
      <c r="G45" s="53"/>
      <c r="H45" s="54">
        <f>SUM(H38:H44)+H37</f>
        <v>3143.4088000000002</v>
      </c>
      <c r="I45" s="41"/>
      <c r="J45" s="53"/>
      <c r="K45" s="55"/>
      <c r="L45" s="54">
        <f>SUM(L38:L44)+L37</f>
        <v>4076.5464000000002</v>
      </c>
      <c r="M45" s="41"/>
      <c r="N45" s="44">
        <f t="shared" si="2"/>
        <v>933.13760000000002</v>
      </c>
      <c r="O45" s="45">
        <f t="shared" ref="O45:O63" si="8">IF((H45)=0,"",(N45/H45))</f>
        <v>0.296855311978512</v>
      </c>
    </row>
    <row r="46" spans="2:15" ht="14.45" x14ac:dyDescent="0.3">
      <c r="B46" s="28" t="s">
        <v>28</v>
      </c>
      <c r="C46" s="28"/>
      <c r="D46" s="56" t="s">
        <v>70</v>
      </c>
      <c r="E46" s="57"/>
      <c r="F46" s="29">
        <f>+'GS 50-4999 (60kW)'!$F$46</f>
        <v>2.8420999999999998</v>
      </c>
      <c r="G46" s="289">
        <f>H16</f>
        <v>500</v>
      </c>
      <c r="H46" s="27">
        <f>G46*F46</f>
        <v>1421.05</v>
      </c>
      <c r="I46" s="28"/>
      <c r="J46" s="29">
        <f>+'GS 50-4999 (60kW)'!$J$46</f>
        <v>2.7740999999999998</v>
      </c>
      <c r="K46" s="290">
        <f>+G46</f>
        <v>500</v>
      </c>
      <c r="L46" s="27">
        <f>K46*J46</f>
        <v>1387.05</v>
      </c>
      <c r="M46" s="28"/>
      <c r="N46" s="31">
        <f t="shared" si="2"/>
        <v>-34</v>
      </c>
      <c r="O46" s="32">
        <f t="shared" si="8"/>
        <v>-2.3925970233278211E-2</v>
      </c>
    </row>
    <row r="47" spans="2:15" ht="14.45" x14ac:dyDescent="0.3">
      <c r="B47" s="59" t="s">
        <v>29</v>
      </c>
      <c r="C47" s="28"/>
      <c r="D47" s="56" t="s">
        <v>70</v>
      </c>
      <c r="E47" s="57"/>
      <c r="F47" s="29">
        <f>+'GS 50-4999 (60kW)'!$F$47</f>
        <v>0.8165</v>
      </c>
      <c r="G47" s="289">
        <f>G46</f>
        <v>500</v>
      </c>
      <c r="H47" s="27">
        <f>G47*F47</f>
        <v>408.25</v>
      </c>
      <c r="I47" s="28"/>
      <c r="J47" s="29">
        <f>+'GS 50-4999 (60kW)'!$J$47</f>
        <v>0.80359999999999998</v>
      </c>
      <c r="K47" s="290">
        <f>K46</f>
        <v>500</v>
      </c>
      <c r="L47" s="27">
        <f>K47*J47</f>
        <v>401.8</v>
      </c>
      <c r="M47" s="28"/>
      <c r="N47" s="31">
        <f t="shared" si="2"/>
        <v>-6.4499999999999886</v>
      </c>
      <c r="O47" s="32">
        <f t="shared" si="8"/>
        <v>-1.5799142682180009E-2</v>
      </c>
    </row>
    <row r="48" spans="2:15" ht="14.45" x14ac:dyDescent="0.3">
      <c r="B48" s="50" t="s">
        <v>30</v>
      </c>
      <c r="C48" s="36"/>
      <c r="D48" s="36"/>
      <c r="E48" s="36"/>
      <c r="F48" s="60"/>
      <c r="G48" s="53"/>
      <c r="H48" s="54">
        <f>SUM(H45:H47)</f>
        <v>4972.7088000000003</v>
      </c>
      <c r="I48" s="61"/>
      <c r="J48" s="62"/>
      <c r="K48" s="63"/>
      <c r="L48" s="54">
        <f>SUM(L45:L47)</f>
        <v>5865.3964000000005</v>
      </c>
      <c r="M48" s="61"/>
      <c r="N48" s="44">
        <f t="shared" si="2"/>
        <v>892.6876000000002</v>
      </c>
      <c r="O48" s="45">
        <f t="shared" si="8"/>
        <v>0.17951736888353489</v>
      </c>
    </row>
    <row r="49" spans="2:19" ht="14.45" x14ac:dyDescent="0.3">
      <c r="B49" s="64" t="s">
        <v>31</v>
      </c>
      <c r="C49" s="22"/>
      <c r="D49" s="23" t="s">
        <v>61</v>
      </c>
      <c r="E49" s="24"/>
      <c r="F49" s="65">
        <f>+'GS 50-4999 (60kW)'!$F$49</f>
        <v>4.4000000000000003E-3</v>
      </c>
      <c r="G49" s="289">
        <f>F16*(1+F72)</f>
        <v>208080</v>
      </c>
      <c r="H49" s="66">
        <f t="shared" ref="H49:H55" si="9">G49*F49</f>
        <v>915.55200000000002</v>
      </c>
      <c r="I49" s="28"/>
      <c r="J49" s="263">
        <f>+'GS 50-4999 (60kW)'!$J$49</f>
        <v>4.4000000000000003E-3</v>
      </c>
      <c r="K49" s="290">
        <f>F16*(1+J72)</f>
        <v>207240</v>
      </c>
      <c r="L49" s="66">
        <f t="shared" ref="L49:L55" si="10">K49*J49</f>
        <v>911.85600000000011</v>
      </c>
      <c r="M49" s="28"/>
      <c r="N49" s="31">
        <f t="shared" si="2"/>
        <v>-3.6959999999999127</v>
      </c>
      <c r="O49" s="68">
        <f t="shared" si="8"/>
        <v>-4.0369088811994429E-3</v>
      </c>
    </row>
    <row r="50" spans="2:19" ht="14.45" x14ac:dyDescent="0.3">
      <c r="B50" s="64" t="s">
        <v>32</v>
      </c>
      <c r="C50" s="22"/>
      <c r="D50" s="23" t="s">
        <v>61</v>
      </c>
      <c r="E50" s="24"/>
      <c r="F50" s="65">
        <f>+'GS 50-4999 (60kW)'!$F$50</f>
        <v>1.2999999999999999E-3</v>
      </c>
      <c r="G50" s="289">
        <f>G49</f>
        <v>208080</v>
      </c>
      <c r="H50" s="66">
        <f t="shared" si="9"/>
        <v>270.50399999999996</v>
      </c>
      <c r="I50" s="28"/>
      <c r="J50" s="263">
        <f>+'GS 50-4999 (60kW)'!$J$50</f>
        <v>1.2999999999999999E-3</v>
      </c>
      <c r="K50" s="290">
        <f>K49</f>
        <v>207240</v>
      </c>
      <c r="L50" s="66">
        <f t="shared" si="10"/>
        <v>269.41199999999998</v>
      </c>
      <c r="M50" s="28"/>
      <c r="N50" s="31">
        <f t="shared" si="2"/>
        <v>-1.0919999999999845</v>
      </c>
      <c r="O50" s="68">
        <f t="shared" si="8"/>
        <v>-4.0369088811994819E-3</v>
      </c>
    </row>
    <row r="51" spans="2:19" ht="14.45" x14ac:dyDescent="0.3">
      <c r="B51" s="22" t="s">
        <v>33</v>
      </c>
      <c r="C51" s="22"/>
      <c r="D51" s="23" t="s">
        <v>60</v>
      </c>
      <c r="E51" s="24"/>
      <c r="F51" s="176">
        <f>+'GS 50-4999 (60kW)'!$F$51</f>
        <v>0.25</v>
      </c>
      <c r="G51" s="26">
        <v>1</v>
      </c>
      <c r="H51" s="66">
        <f t="shared" si="9"/>
        <v>0.25</v>
      </c>
      <c r="I51" s="28"/>
      <c r="J51" s="283">
        <f>+'GS 50-4999 (60kW)'!$J$51</f>
        <v>0.25</v>
      </c>
      <c r="K51" s="30">
        <v>1</v>
      </c>
      <c r="L51" s="66">
        <f t="shared" si="10"/>
        <v>0.25</v>
      </c>
      <c r="M51" s="28"/>
      <c r="N51" s="31">
        <f t="shared" si="2"/>
        <v>0</v>
      </c>
      <c r="O51" s="68">
        <f t="shared" si="8"/>
        <v>0</v>
      </c>
    </row>
    <row r="52" spans="2:19" ht="14.45" x14ac:dyDescent="0.3">
      <c r="B52" s="22" t="s">
        <v>34</v>
      </c>
      <c r="C52" s="22"/>
      <c r="D52" s="23" t="s">
        <v>61</v>
      </c>
      <c r="E52" s="24"/>
      <c r="F52" s="65">
        <f>+'GS 50-4999 (60kW)'!$F$52</f>
        <v>7.0000000000000001E-3</v>
      </c>
      <c r="G52" s="69">
        <f>F16</f>
        <v>200000</v>
      </c>
      <c r="H52" s="66">
        <f t="shared" si="9"/>
        <v>1400</v>
      </c>
      <c r="I52" s="28"/>
      <c r="J52" s="263">
        <f>+'GS 50-4999 (60kW)'!$J$52</f>
        <v>7.0000000000000001E-3</v>
      </c>
      <c r="K52" s="70">
        <f>F16</f>
        <v>200000</v>
      </c>
      <c r="L52" s="66">
        <f t="shared" si="10"/>
        <v>1400</v>
      </c>
      <c r="M52" s="28"/>
      <c r="N52" s="31">
        <f t="shared" si="2"/>
        <v>0</v>
      </c>
      <c r="O52" s="68">
        <f t="shared" si="8"/>
        <v>0</v>
      </c>
    </row>
    <row r="53" spans="2:19" x14ac:dyDescent="0.25">
      <c r="B53" s="22" t="s">
        <v>98</v>
      </c>
      <c r="C53" s="22"/>
      <c r="D53" s="23" t="s">
        <v>61</v>
      </c>
      <c r="E53" s="24"/>
      <c r="F53" s="335">
        <f>+'GS 50-4999 (60kW)'!$F$53</f>
        <v>0.10186000000000001</v>
      </c>
      <c r="G53" s="69">
        <f>F16</f>
        <v>200000</v>
      </c>
      <c r="H53" s="188">
        <f t="shared" si="9"/>
        <v>20372</v>
      </c>
      <c r="I53" s="57"/>
      <c r="J53" s="336">
        <f>+'GS 50-4999 (60kW)'!$J$53</f>
        <v>0.10186000000000001</v>
      </c>
      <c r="K53" s="69">
        <f>G53</f>
        <v>200000</v>
      </c>
      <c r="L53" s="66">
        <f t="shared" si="10"/>
        <v>20372</v>
      </c>
      <c r="M53" s="28"/>
      <c r="N53" s="31">
        <f t="shared" si="2"/>
        <v>0</v>
      </c>
      <c r="O53" s="68">
        <f t="shared" si="8"/>
        <v>0</v>
      </c>
      <c r="S53" s="72"/>
    </row>
    <row r="54" spans="2:19" x14ac:dyDescent="0.25">
      <c r="B54" s="49" t="s">
        <v>36</v>
      </c>
      <c r="C54" s="22"/>
      <c r="D54" s="23"/>
      <c r="E54" s="24"/>
      <c r="F54" s="71">
        <v>0.104</v>
      </c>
      <c r="G54" s="58">
        <v>0</v>
      </c>
      <c r="H54" s="66">
        <f t="shared" si="9"/>
        <v>0</v>
      </c>
      <c r="I54" s="28"/>
      <c r="J54" s="65">
        <v>0.104</v>
      </c>
      <c r="K54" s="58">
        <v>0</v>
      </c>
      <c r="L54" s="66">
        <f t="shared" si="10"/>
        <v>0</v>
      </c>
      <c r="M54" s="28"/>
      <c r="N54" s="31">
        <f t="shared" si="2"/>
        <v>0</v>
      </c>
      <c r="O54" s="68" t="str">
        <f t="shared" si="8"/>
        <v/>
      </c>
      <c r="S54" s="72"/>
    </row>
    <row r="55" spans="2:19" x14ac:dyDescent="0.25">
      <c r="B55" s="12" t="s">
        <v>37</v>
      </c>
      <c r="C55" s="22"/>
      <c r="D55" s="23"/>
      <c r="E55" s="24"/>
      <c r="F55" s="71">
        <v>0.124</v>
      </c>
      <c r="G55" s="58">
        <v>0</v>
      </c>
      <c r="H55" s="66">
        <f t="shared" si="9"/>
        <v>0</v>
      </c>
      <c r="I55" s="28"/>
      <c r="J55" s="65">
        <v>0.124</v>
      </c>
      <c r="K55" s="58">
        <v>0</v>
      </c>
      <c r="L55" s="66">
        <f t="shared" si="10"/>
        <v>0</v>
      </c>
      <c r="M55" s="28"/>
      <c r="N55" s="31">
        <f t="shared" si="2"/>
        <v>0</v>
      </c>
      <c r="O55" s="68" t="str">
        <f t="shared" si="8"/>
        <v/>
      </c>
      <c r="S55" s="72"/>
    </row>
    <row r="56" spans="2:19" s="73" customFormat="1" x14ac:dyDescent="0.2">
      <c r="B56" s="180" t="s">
        <v>38</v>
      </c>
      <c r="C56" s="75"/>
      <c r="D56" s="76"/>
      <c r="E56" s="77"/>
      <c r="F56" s="71">
        <v>7.4999999999999997E-2</v>
      </c>
      <c r="G56" s="78">
        <v>0</v>
      </c>
      <c r="H56" s="66">
        <f>G56*F56</f>
        <v>0</v>
      </c>
      <c r="I56" s="79"/>
      <c r="J56" s="65">
        <v>7.4999999999999997E-2</v>
      </c>
      <c r="K56" s="78">
        <f>G56</f>
        <v>0</v>
      </c>
      <c r="L56" s="66">
        <f>K56*J56</f>
        <v>0</v>
      </c>
      <c r="M56" s="79"/>
      <c r="N56" s="80">
        <f t="shared" si="2"/>
        <v>0</v>
      </c>
      <c r="O56" s="68" t="str">
        <f t="shared" si="8"/>
        <v/>
      </c>
    </row>
    <row r="57" spans="2:19" s="73" customFormat="1" ht="15.75" thickBot="1" x14ac:dyDescent="0.25">
      <c r="B57" s="180" t="s">
        <v>39</v>
      </c>
      <c r="C57" s="75"/>
      <c r="D57" s="76"/>
      <c r="E57" s="77"/>
      <c r="F57" s="71">
        <v>8.7999999999999995E-2</v>
      </c>
      <c r="G57" s="78">
        <v>0</v>
      </c>
      <c r="H57" s="66">
        <f>G57*F57</f>
        <v>0</v>
      </c>
      <c r="I57" s="79"/>
      <c r="J57" s="65">
        <v>8.7999999999999995E-2</v>
      </c>
      <c r="K57" s="78">
        <f>G57</f>
        <v>0</v>
      </c>
      <c r="L57" s="66">
        <f>K57*J57</f>
        <v>0</v>
      </c>
      <c r="M57" s="79"/>
      <c r="N57" s="80">
        <f t="shared" si="2"/>
        <v>0</v>
      </c>
      <c r="O57" s="68" t="str">
        <f t="shared" si="8"/>
        <v/>
      </c>
    </row>
    <row r="58" spans="2:19" ht="8.25" customHeight="1" thickBot="1" x14ac:dyDescent="0.3">
      <c r="B58" s="81"/>
      <c r="C58" s="82"/>
      <c r="D58" s="83"/>
      <c r="E58" s="82"/>
      <c r="F58" s="84"/>
      <c r="G58" s="85"/>
      <c r="H58" s="86"/>
      <c r="I58" s="87"/>
      <c r="J58" s="84"/>
      <c r="K58" s="88"/>
      <c r="L58" s="86"/>
      <c r="M58" s="87"/>
      <c r="N58" s="89"/>
      <c r="O58" s="90"/>
    </row>
    <row r="59" spans="2:19" x14ac:dyDescent="0.25">
      <c r="B59" s="91" t="s">
        <v>40</v>
      </c>
      <c r="C59" s="22"/>
      <c r="D59" s="22"/>
      <c r="E59" s="22"/>
      <c r="F59" s="92"/>
      <c r="G59" s="93"/>
      <c r="H59" s="94">
        <f>SUM(H49:H55,H48)</f>
        <v>27931.014800000001</v>
      </c>
      <c r="I59" s="95"/>
      <c r="J59" s="96"/>
      <c r="K59" s="96"/>
      <c r="L59" s="94">
        <f>SUM(L49:L55,L48)</f>
        <v>28818.914400000001</v>
      </c>
      <c r="M59" s="97"/>
      <c r="N59" s="98">
        <f>L59-H59</f>
        <v>887.89960000000065</v>
      </c>
      <c r="O59" s="99">
        <f>IF((H59)=0,"",(N59/H59))</f>
        <v>3.1789020426139354E-2</v>
      </c>
      <c r="S59" s="72"/>
    </row>
    <row r="60" spans="2:19" x14ac:dyDescent="0.25">
      <c r="B60" s="100" t="s">
        <v>41</v>
      </c>
      <c r="C60" s="22"/>
      <c r="D60" s="22"/>
      <c r="E60" s="22"/>
      <c r="F60" s="101">
        <v>0.13</v>
      </c>
      <c r="G60" s="102"/>
      <c r="H60" s="103">
        <f>H59*F60</f>
        <v>3631.0319240000003</v>
      </c>
      <c r="I60" s="104"/>
      <c r="J60" s="105">
        <v>0.13</v>
      </c>
      <c r="K60" s="104"/>
      <c r="L60" s="106">
        <f>L59*J60</f>
        <v>3746.4588720000002</v>
      </c>
      <c r="M60" s="107"/>
      <c r="N60" s="108">
        <f t="shared" si="2"/>
        <v>115.42694799999981</v>
      </c>
      <c r="O60" s="109">
        <f t="shared" si="8"/>
        <v>3.1789020426139278E-2</v>
      </c>
      <c r="S60" s="72"/>
    </row>
    <row r="61" spans="2:19" x14ac:dyDescent="0.25">
      <c r="B61" s="110" t="s">
        <v>42</v>
      </c>
      <c r="C61" s="22"/>
      <c r="D61" s="22"/>
      <c r="E61" s="22"/>
      <c r="F61" s="111"/>
      <c r="G61" s="102"/>
      <c r="H61" s="103">
        <f>H59+H60</f>
        <v>31562.046724</v>
      </c>
      <c r="I61" s="104"/>
      <c r="J61" s="104"/>
      <c r="K61" s="104"/>
      <c r="L61" s="106">
        <f>L59+L60</f>
        <v>32565.373272000001</v>
      </c>
      <c r="M61" s="107"/>
      <c r="N61" s="108">
        <f t="shared" si="2"/>
        <v>1003.3265480000009</v>
      </c>
      <c r="O61" s="109">
        <f t="shared" si="8"/>
        <v>3.1789020426139361E-2</v>
      </c>
      <c r="S61" s="72"/>
    </row>
    <row r="62" spans="2:19" x14ac:dyDescent="0.25">
      <c r="B62" s="388" t="s">
        <v>43</v>
      </c>
      <c r="C62" s="388"/>
      <c r="D62" s="388"/>
      <c r="E62" s="22"/>
      <c r="F62" s="111"/>
      <c r="G62" s="102"/>
      <c r="H62" s="112">
        <f>ROUND(-H61*10%,2)</f>
        <v>-3156.2</v>
      </c>
      <c r="I62" s="104"/>
      <c r="J62" s="104"/>
      <c r="K62" s="104"/>
      <c r="L62" s="113">
        <f>ROUND(-L61*10%,2)</f>
        <v>-3256.54</v>
      </c>
      <c r="M62" s="107"/>
      <c r="N62" s="114">
        <f t="shared" si="2"/>
        <v>-100.34000000000015</v>
      </c>
      <c r="O62" s="115">
        <f t="shared" si="8"/>
        <v>3.1791394715163852E-2</v>
      </c>
    </row>
    <row r="63" spans="2:19" ht="15.75" thickBot="1" x14ac:dyDescent="0.3">
      <c r="B63" s="384" t="s">
        <v>44</v>
      </c>
      <c r="C63" s="384"/>
      <c r="D63" s="384"/>
      <c r="E63" s="116"/>
      <c r="F63" s="117"/>
      <c r="G63" s="118"/>
      <c r="H63" s="119">
        <f>H61+H62</f>
        <v>28405.846723999999</v>
      </c>
      <c r="I63" s="120"/>
      <c r="J63" s="120"/>
      <c r="K63" s="120"/>
      <c r="L63" s="121">
        <f>L61+L62</f>
        <v>29308.833272</v>
      </c>
      <c r="M63" s="122"/>
      <c r="N63" s="123">
        <f t="shared" si="2"/>
        <v>902.98654800000077</v>
      </c>
      <c r="O63" s="124">
        <f t="shared" si="8"/>
        <v>3.1788756616681686E-2</v>
      </c>
    </row>
    <row r="64" spans="2:19" s="73" customFormat="1" ht="8.25" hidden="1" customHeight="1" thickBot="1" x14ac:dyDescent="0.3">
      <c r="B64" s="125"/>
      <c r="C64" s="126"/>
      <c r="D64" s="127"/>
      <c r="E64" s="126"/>
      <c r="F64" s="84"/>
      <c r="G64" s="128"/>
      <c r="H64" s="86"/>
      <c r="I64" s="129"/>
      <c r="J64" s="84"/>
      <c r="K64" s="130"/>
      <c r="L64" s="86"/>
      <c r="M64" s="129"/>
      <c r="N64" s="131"/>
      <c r="O64" s="90"/>
    </row>
    <row r="65" spans="1:15" s="73" customFormat="1" ht="12.75" x14ac:dyDescent="0.2">
      <c r="B65" s="132" t="s">
        <v>45</v>
      </c>
      <c r="C65" s="75"/>
      <c r="D65" s="75"/>
      <c r="E65" s="75"/>
      <c r="F65" s="133"/>
      <c r="G65" s="134"/>
      <c r="H65" s="135">
        <f>SUM(H53,H48,H49:H52)</f>
        <v>27931.014800000001</v>
      </c>
      <c r="I65" s="136"/>
      <c r="J65" s="137"/>
      <c r="K65" s="137"/>
      <c r="L65" s="189">
        <f>SUM(L53,L48,L49:L52)</f>
        <v>28818.914400000001</v>
      </c>
      <c r="M65" s="138"/>
      <c r="N65" s="139">
        <f>L65-H65</f>
        <v>887.89960000000065</v>
      </c>
      <c r="O65" s="99">
        <f>IF((H65)=0,"",(N65/H65))</f>
        <v>3.1789020426139354E-2</v>
      </c>
    </row>
    <row r="66" spans="1:15" s="73" customFormat="1" ht="13.15" x14ac:dyDescent="0.25">
      <c r="B66" s="140" t="s">
        <v>41</v>
      </c>
      <c r="C66" s="75"/>
      <c r="D66" s="75"/>
      <c r="E66" s="75"/>
      <c r="F66" s="141">
        <v>0.13</v>
      </c>
      <c r="G66" s="134"/>
      <c r="H66" s="142">
        <f>H65*F66</f>
        <v>3631.0319240000003</v>
      </c>
      <c r="I66" s="143"/>
      <c r="J66" s="144">
        <v>0.13</v>
      </c>
      <c r="K66" s="145"/>
      <c r="L66" s="146">
        <f>L65*J66</f>
        <v>3746.4588720000002</v>
      </c>
      <c r="M66" s="147"/>
      <c r="N66" s="148">
        <f>L66-H66</f>
        <v>115.42694799999981</v>
      </c>
      <c r="O66" s="109">
        <f>IF((H66)=0,"",(N66/H66))</f>
        <v>3.1789020426139278E-2</v>
      </c>
    </row>
    <row r="67" spans="1:15" s="73" customFormat="1" ht="13.15" x14ac:dyDescent="0.25">
      <c r="B67" s="149" t="s">
        <v>42</v>
      </c>
      <c r="C67" s="75"/>
      <c r="D67" s="75"/>
      <c r="E67" s="75"/>
      <c r="F67" s="150"/>
      <c r="G67" s="151"/>
      <c r="H67" s="142">
        <f>H65+H66</f>
        <v>31562.046724</v>
      </c>
      <c r="I67" s="143"/>
      <c r="J67" s="143"/>
      <c r="K67" s="143"/>
      <c r="L67" s="146">
        <f>L65+L66</f>
        <v>32565.373272000001</v>
      </c>
      <c r="M67" s="147"/>
      <c r="N67" s="148">
        <f>L67-H67</f>
        <v>1003.3265480000009</v>
      </c>
      <c r="O67" s="109">
        <f>IF((H67)=0,"",(N67/H67))</f>
        <v>3.1789020426139361E-2</v>
      </c>
    </row>
    <row r="68" spans="1:15" s="73" customFormat="1" ht="15.75" customHeight="1" x14ac:dyDescent="0.25">
      <c r="B68" s="389" t="s">
        <v>43</v>
      </c>
      <c r="C68" s="389"/>
      <c r="D68" s="389"/>
      <c r="E68" s="75"/>
      <c r="F68" s="150"/>
      <c r="G68" s="151"/>
      <c r="H68" s="152"/>
      <c r="I68" s="143"/>
      <c r="J68" s="143"/>
      <c r="K68" s="143"/>
      <c r="L68" s="153"/>
      <c r="M68" s="147"/>
      <c r="N68" s="154">
        <f>L68-H68</f>
        <v>0</v>
      </c>
      <c r="O68" s="115" t="str">
        <f>IF((H68)=0,"",(N68/H68))</f>
        <v/>
      </c>
    </row>
    <row r="69" spans="1:15" s="73" customFormat="1" ht="13.5" thickBot="1" x14ac:dyDescent="0.25">
      <c r="B69" s="376" t="s">
        <v>46</v>
      </c>
      <c r="C69" s="376"/>
      <c r="D69" s="376"/>
      <c r="E69" s="155"/>
      <c r="F69" s="156"/>
      <c r="G69" s="157"/>
      <c r="H69" s="158">
        <f>SUM(H67:H68)</f>
        <v>31562.046724</v>
      </c>
      <c r="I69" s="159"/>
      <c r="J69" s="159"/>
      <c r="K69" s="159"/>
      <c r="L69" s="160">
        <f>SUM(L67:L68)</f>
        <v>32565.373272000001</v>
      </c>
      <c r="M69" s="161"/>
      <c r="N69" s="162">
        <f>L69-H69</f>
        <v>1003.3265480000009</v>
      </c>
      <c r="O69" s="163">
        <f>IF((H69)=0,"",(N69/H69))</f>
        <v>3.1789020426139361E-2</v>
      </c>
    </row>
    <row r="70" spans="1:15" s="73" customFormat="1" ht="8.25" customHeight="1" thickBot="1" x14ac:dyDescent="0.25">
      <c r="B70" s="125"/>
      <c r="C70" s="126"/>
      <c r="D70" s="127"/>
      <c r="E70" s="126"/>
      <c r="F70" s="164"/>
      <c r="G70" s="165"/>
      <c r="H70" s="166"/>
      <c r="I70" s="167"/>
      <c r="J70" s="164"/>
      <c r="K70" s="128"/>
      <c r="L70" s="168"/>
      <c r="M70" s="129"/>
      <c r="N70" s="169"/>
      <c r="O70" s="90"/>
    </row>
    <row r="71" spans="1:15" ht="10.5" customHeight="1" x14ac:dyDescent="0.25">
      <c r="L71" s="72"/>
    </row>
    <row r="72" spans="1:15" x14ac:dyDescent="0.25">
      <c r="B72" s="13" t="s">
        <v>47</v>
      </c>
      <c r="F72" s="170">
        <f>+'Res (100kWh)'!$F$73</f>
        <v>4.0399999999999998E-2</v>
      </c>
      <c r="J72" s="170">
        <f>+'Res (100kWh)'!$J$73</f>
        <v>3.6200000000000003E-2</v>
      </c>
    </row>
    <row r="73" spans="1:15" ht="10.5" customHeight="1" x14ac:dyDescent="0.25"/>
    <row r="74" spans="1:15" x14ac:dyDescent="0.25">
      <c r="A74" s="171" t="s">
        <v>48</v>
      </c>
    </row>
    <row r="75" spans="1:15" ht="10.5" customHeight="1" x14ac:dyDescent="0.25"/>
    <row r="76" spans="1:15" x14ac:dyDescent="0.25">
      <c r="A76" s="7" t="s">
        <v>49</v>
      </c>
    </row>
    <row r="77" spans="1:15" x14ac:dyDescent="0.25">
      <c r="A77" s="7" t="s">
        <v>50</v>
      </c>
    </row>
    <row r="79" spans="1:15" x14ac:dyDescent="0.25">
      <c r="A79" s="12" t="s">
        <v>51</v>
      </c>
    </row>
    <row r="80" spans="1:15" x14ac:dyDescent="0.25">
      <c r="A80" s="12" t="s">
        <v>52</v>
      </c>
    </row>
    <row r="82" spans="1:2" x14ac:dyDescent="0.25">
      <c r="A82" s="7" t="s">
        <v>53</v>
      </c>
    </row>
    <row r="83" spans="1:2" x14ac:dyDescent="0.25">
      <c r="A83" s="7" t="s">
        <v>54</v>
      </c>
    </row>
    <row r="84" spans="1:2" x14ac:dyDescent="0.25">
      <c r="A84" s="7" t="s">
        <v>55</v>
      </c>
    </row>
    <row r="85" spans="1:2" x14ac:dyDescent="0.25">
      <c r="A85" s="7" t="s">
        <v>56</v>
      </c>
    </row>
    <row r="86" spans="1:2" x14ac:dyDescent="0.25">
      <c r="A86" s="7" t="s">
        <v>57</v>
      </c>
    </row>
    <row r="88" spans="1:2" x14ac:dyDescent="0.25">
      <c r="A88" s="172"/>
      <c r="B88" s="7" t="s">
        <v>58</v>
      </c>
    </row>
  </sheetData>
  <mergeCells count="17">
    <mergeCell ref="J18:L18"/>
    <mergeCell ref="N18:O18"/>
    <mergeCell ref="N1:O1"/>
    <mergeCell ref="N2:O2"/>
    <mergeCell ref="N5:O5"/>
    <mergeCell ref="B8:O8"/>
    <mergeCell ref="B9:O9"/>
    <mergeCell ref="D12:O12"/>
    <mergeCell ref="F18:H18"/>
    <mergeCell ref="N3:O3"/>
    <mergeCell ref="B69:D69"/>
    <mergeCell ref="D19:D20"/>
    <mergeCell ref="N19:N20"/>
    <mergeCell ref="O19:O20"/>
    <mergeCell ref="B62:D62"/>
    <mergeCell ref="B63:D63"/>
    <mergeCell ref="B68:D68"/>
  </mergeCells>
  <dataValidations disablePrompts="1" count="4">
    <dataValidation type="list" allowBlank="1" showInputMessage="1" showErrorMessage="1" sqref="D14">
      <formula1>"TOU, non-TOU"</formula1>
    </dataValidation>
    <dataValidation type="list" allowBlank="1" showInputMessage="1" showErrorMessage="1" sqref="E70 E64 E56:E57">
      <formula1>#REF!</formula1>
    </dataValidation>
    <dataValidation type="list" allowBlank="1" showInputMessage="1" showErrorMessage="1" prompt="Select Charge Unit - monthly, per kWh, per kW" sqref="D46:D47 D38:D44 D64 D21:D36 D70 D49:D58">
      <formula1>"Monthly, per kWh, per kW"</formula1>
    </dataValidation>
    <dataValidation type="list" allowBlank="1" showInputMessage="1" showErrorMessage="1" sqref="E46:E47 E38:E44 E21:E36 E49:E55 E58">
      <formula1>#REF!</formula1>
    </dataValidation>
  </dataValidations>
  <pageMargins left="0.7" right="0.7" top="0.75" bottom="0.75" header="0.3" footer="0.3"/>
  <pageSetup scale="57" orientation="portrait" r:id="rId1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T88"/>
  <sheetViews>
    <sheetView showGridLines="0" topLeftCell="B19" zoomScaleNormal="100" workbookViewId="0">
      <selection activeCell="J43" activeCellId="3" sqref="F53 J53 F43 J43"/>
    </sheetView>
  </sheetViews>
  <sheetFormatPr defaultColWidth="9.140625" defaultRowHeight="15" x14ac:dyDescent="0.25"/>
  <cols>
    <col min="1" max="1" width="2.140625" style="7" customWidth="1"/>
    <col min="2" max="2" width="44.5703125" style="7" customWidth="1"/>
    <col min="3" max="3" width="1.28515625" style="7" customWidth="1"/>
    <col min="4" max="4" width="11.28515625" style="7" customWidth="1"/>
    <col min="5" max="5" width="1.28515625" style="7" customWidth="1"/>
    <col min="6" max="6" width="12.28515625" style="7" customWidth="1"/>
    <col min="7" max="7" width="8.5703125" style="7" customWidth="1"/>
    <col min="8" max="8" width="12.28515625" style="7" bestFit="1" customWidth="1"/>
    <col min="9" max="9" width="2.85546875" style="7" customWidth="1"/>
    <col min="10" max="10" width="12.140625" style="7" customWidth="1"/>
    <col min="11" max="11" width="8.5703125" style="7" customWidth="1"/>
    <col min="12" max="12" width="13.42578125" style="7" bestFit="1" customWidth="1"/>
    <col min="13" max="13" width="2.85546875" style="7" customWidth="1"/>
    <col min="14" max="14" width="12.7109375" style="7" bestFit="1" customWidth="1"/>
    <col min="15" max="15" width="12.85546875" style="7" customWidth="1"/>
    <col min="16" max="16" width="3.85546875" style="7" customWidth="1"/>
    <col min="17" max="19" width="9.140625" style="7"/>
    <col min="20" max="20" width="9.140625" style="7" customWidth="1"/>
    <col min="21" max="16384" width="9.140625" style="7"/>
  </cols>
  <sheetData>
    <row r="1" spans="1:20" s="2" customFormat="1" ht="15" customHeigh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3" t="s">
        <v>0</v>
      </c>
      <c r="N1" s="368" t="s">
        <v>94</v>
      </c>
      <c r="O1" s="368"/>
      <c r="T1" s="2">
        <v>1</v>
      </c>
    </row>
    <row r="2" spans="1:20" s="2" customFormat="1" ht="15" customHeight="1" x14ac:dyDescent="0.3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3" t="s">
        <v>95</v>
      </c>
      <c r="N2" s="369">
        <v>8</v>
      </c>
      <c r="O2" s="369"/>
    </row>
    <row r="3" spans="1:20" s="2" customFormat="1" ht="15" customHeight="1" x14ac:dyDescent="0.3">
      <c r="C3" s="6"/>
      <c r="D3" s="6"/>
      <c r="E3" s="6"/>
      <c r="L3" s="3" t="s">
        <v>96</v>
      </c>
      <c r="N3" s="370" t="s">
        <v>97</v>
      </c>
      <c r="O3" s="370"/>
    </row>
    <row r="4" spans="1:20" s="2" customFormat="1" ht="9" customHeight="1" x14ac:dyDescent="0.3">
      <c r="L4" s="3"/>
      <c r="N4" s="310"/>
      <c r="O4"/>
    </row>
    <row r="5" spans="1:20" s="2" customFormat="1" ht="14.45" x14ac:dyDescent="0.3">
      <c r="L5" s="3" t="s">
        <v>76</v>
      </c>
      <c r="N5" s="387">
        <v>42124</v>
      </c>
      <c r="O5" s="387"/>
    </row>
    <row r="6" spans="1:20" s="2" customFormat="1" ht="15" customHeight="1" x14ac:dyDescent="0.3">
      <c r="N6" s="7"/>
      <c r="O6"/>
      <c r="P6"/>
    </row>
    <row r="7" spans="1:20" ht="7.5" customHeight="1" x14ac:dyDescent="0.3">
      <c r="L7"/>
      <c r="M7"/>
      <c r="N7"/>
      <c r="O7"/>
      <c r="P7"/>
    </row>
    <row r="8" spans="1:20" ht="18.75" customHeight="1" x14ac:dyDescent="0.3">
      <c r="B8" s="367" t="s">
        <v>1</v>
      </c>
      <c r="C8" s="367"/>
      <c r="D8" s="367"/>
      <c r="E8" s="367"/>
      <c r="F8" s="367"/>
      <c r="G8" s="367"/>
      <c r="H8" s="367"/>
      <c r="I8" s="367"/>
      <c r="J8" s="367"/>
      <c r="K8" s="367"/>
      <c r="L8" s="367"/>
      <c r="M8" s="367"/>
      <c r="N8" s="367"/>
      <c r="O8" s="367"/>
      <c r="P8"/>
    </row>
    <row r="9" spans="1:20" ht="18.75" customHeight="1" x14ac:dyDescent="0.3">
      <c r="B9" s="367" t="s">
        <v>2</v>
      </c>
      <c r="C9" s="367"/>
      <c r="D9" s="367"/>
      <c r="E9" s="367"/>
      <c r="F9" s="367"/>
      <c r="G9" s="367"/>
      <c r="H9" s="367"/>
      <c r="I9" s="367"/>
      <c r="J9" s="367"/>
      <c r="K9" s="367"/>
      <c r="L9" s="367"/>
      <c r="M9" s="367"/>
      <c r="N9" s="367"/>
      <c r="O9" s="367"/>
      <c r="P9"/>
    </row>
    <row r="10" spans="1:20" ht="7.5" customHeight="1" x14ac:dyDescent="0.3">
      <c r="L10"/>
      <c r="M10"/>
      <c r="N10"/>
      <c r="O10"/>
      <c r="P10"/>
    </row>
    <row r="11" spans="1:20" ht="7.5" customHeight="1" x14ac:dyDescent="0.3">
      <c r="L11"/>
      <c r="M11"/>
      <c r="N11"/>
      <c r="O11"/>
      <c r="P11"/>
    </row>
    <row r="12" spans="1:20" ht="15.6" x14ac:dyDescent="0.3">
      <c r="B12" s="8" t="s">
        <v>3</v>
      </c>
      <c r="D12" s="386" t="s">
        <v>91</v>
      </c>
      <c r="E12" s="386"/>
      <c r="F12" s="386"/>
      <c r="G12" s="386"/>
      <c r="H12" s="386"/>
      <c r="I12" s="386"/>
      <c r="J12" s="386"/>
      <c r="K12" s="386"/>
      <c r="L12" s="386"/>
      <c r="M12" s="386"/>
      <c r="N12" s="386"/>
      <c r="O12" s="386"/>
    </row>
    <row r="13" spans="1:20" ht="7.5" customHeight="1" x14ac:dyDescent="0.3">
      <c r="B13" s="9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</row>
    <row r="14" spans="1:20" ht="15.6" x14ac:dyDescent="0.3">
      <c r="B14" s="8" t="s">
        <v>4</v>
      </c>
      <c r="D14" s="11" t="s">
        <v>68</v>
      </c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</row>
    <row r="15" spans="1:20" ht="15.6" x14ac:dyDescent="0.3">
      <c r="B15" s="9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</row>
    <row r="16" spans="1:20" ht="14.45" x14ac:dyDescent="0.3">
      <c r="B16" s="12"/>
      <c r="D16" s="13" t="s">
        <v>6</v>
      </c>
      <c r="E16" s="13"/>
      <c r="F16" s="14">
        <v>400000</v>
      </c>
      <c r="G16" s="13" t="s">
        <v>7</v>
      </c>
      <c r="H16" s="14">
        <v>1000</v>
      </c>
      <c r="I16" s="13" t="s">
        <v>69</v>
      </c>
    </row>
    <row r="17" spans="2:15" ht="14.45" x14ac:dyDescent="0.3">
      <c r="B17" s="12"/>
    </row>
    <row r="18" spans="2:15" ht="14.45" x14ac:dyDescent="0.3">
      <c r="B18" s="12"/>
      <c r="D18" s="15"/>
      <c r="E18" s="15"/>
      <c r="F18" s="373" t="s">
        <v>8</v>
      </c>
      <c r="G18" s="374"/>
      <c r="H18" s="375"/>
      <c r="J18" s="373" t="s">
        <v>9</v>
      </c>
      <c r="K18" s="374"/>
      <c r="L18" s="375"/>
      <c r="N18" s="373" t="s">
        <v>10</v>
      </c>
      <c r="O18" s="375"/>
    </row>
    <row r="19" spans="2:15" x14ac:dyDescent="0.25">
      <c r="B19" s="12"/>
      <c r="D19" s="377" t="s">
        <v>11</v>
      </c>
      <c r="E19" s="16"/>
      <c r="F19" s="17" t="s">
        <v>12</v>
      </c>
      <c r="G19" s="17" t="s">
        <v>13</v>
      </c>
      <c r="H19" s="18" t="s">
        <v>14</v>
      </c>
      <c r="J19" s="17" t="s">
        <v>12</v>
      </c>
      <c r="K19" s="19" t="s">
        <v>13</v>
      </c>
      <c r="L19" s="18" t="s">
        <v>14</v>
      </c>
      <c r="N19" s="379" t="s">
        <v>15</v>
      </c>
      <c r="O19" s="381" t="s">
        <v>16</v>
      </c>
    </row>
    <row r="20" spans="2:15" x14ac:dyDescent="0.25">
      <c r="B20" s="12"/>
      <c r="D20" s="378"/>
      <c r="E20" s="16"/>
      <c r="F20" s="20" t="s">
        <v>17</v>
      </c>
      <c r="G20" s="20"/>
      <c r="H20" s="21" t="s">
        <v>17</v>
      </c>
      <c r="J20" s="20" t="s">
        <v>17</v>
      </c>
      <c r="K20" s="21"/>
      <c r="L20" s="21" t="s">
        <v>17</v>
      </c>
      <c r="N20" s="380"/>
      <c r="O20" s="382"/>
    </row>
    <row r="21" spans="2:15" ht="22.5" customHeight="1" x14ac:dyDescent="0.3">
      <c r="B21" s="22" t="s">
        <v>18</v>
      </c>
      <c r="C21" s="22"/>
      <c r="D21" s="23" t="s">
        <v>60</v>
      </c>
      <c r="E21" s="24"/>
      <c r="F21" s="174">
        <f>+'GS 50-4999 (60kW)'!$F$21</f>
        <v>119.38</v>
      </c>
      <c r="G21" s="26">
        <v>1</v>
      </c>
      <c r="H21" s="27">
        <f>G21*F21</f>
        <v>119.38</v>
      </c>
      <c r="I21" s="28"/>
      <c r="J21" s="173">
        <f>+'GS 50-4999 (60kW)'!$J$21</f>
        <v>119.38</v>
      </c>
      <c r="K21" s="30">
        <v>1</v>
      </c>
      <c r="L21" s="27">
        <f>K21*J21</f>
        <v>119.38</v>
      </c>
      <c r="M21" s="28"/>
      <c r="N21" s="31">
        <f>L21-H21</f>
        <v>0</v>
      </c>
      <c r="O21" s="32">
        <f>IF((H21)=0,"",(N21/H21))</f>
        <v>0</v>
      </c>
    </row>
    <row r="22" spans="2:15" ht="36.75" customHeight="1" x14ac:dyDescent="0.25">
      <c r="B22" s="296" t="s">
        <v>88</v>
      </c>
      <c r="C22" s="22"/>
      <c r="D22" s="56" t="s">
        <v>60</v>
      </c>
      <c r="E22" s="24"/>
      <c r="F22" s="173"/>
      <c r="G22" s="179">
        <f>+$H$16</f>
        <v>1000</v>
      </c>
      <c r="H22" s="27">
        <f t="shared" ref="H22:H36" si="0">G22*F22</f>
        <v>0</v>
      </c>
      <c r="I22" s="28"/>
      <c r="J22" s="29">
        <f>+'GS 50-4999 (60kW)'!$J$22</f>
        <v>0.25519999999999998</v>
      </c>
      <c r="K22" s="262">
        <f>+$H$16</f>
        <v>1000</v>
      </c>
      <c r="L22" s="27">
        <f>K22*J22</f>
        <v>255.2</v>
      </c>
      <c r="M22" s="28"/>
      <c r="N22" s="31">
        <f>L22-H22</f>
        <v>255.2</v>
      </c>
      <c r="O22" s="32" t="str">
        <f>IF((H22)=0,"",(N22/H22))</f>
        <v/>
      </c>
    </row>
    <row r="23" spans="2:15" x14ac:dyDescent="0.25">
      <c r="B23" s="297"/>
      <c r="C23" s="22"/>
      <c r="D23" s="56" t="s">
        <v>60</v>
      </c>
      <c r="E23" s="57"/>
      <c r="F23" s="173"/>
      <c r="G23" s="26">
        <v>1</v>
      </c>
      <c r="H23" s="27">
        <f t="shared" si="0"/>
        <v>0</v>
      </c>
      <c r="I23" s="28"/>
      <c r="J23" s="29"/>
      <c r="K23" s="30">
        <v>1</v>
      </c>
      <c r="L23" s="27">
        <f t="shared" ref="L23:L36" si="1">K23*J23</f>
        <v>0</v>
      </c>
      <c r="M23" s="28"/>
      <c r="N23" s="31">
        <f t="shared" ref="N23:N37" si="2">L23-H23</f>
        <v>0</v>
      </c>
      <c r="O23" s="32" t="str">
        <f t="shared" ref="O23:O37" si="3">IF((H23)=0,"",(N23/H23))</f>
        <v/>
      </c>
    </row>
    <row r="24" spans="2:15" x14ac:dyDescent="0.25">
      <c r="B24" s="297"/>
      <c r="C24" s="22"/>
      <c r="D24" s="56" t="s">
        <v>60</v>
      </c>
      <c r="E24" s="24"/>
      <c r="F24" s="25"/>
      <c r="G24" s="26">
        <v>1</v>
      </c>
      <c r="H24" s="27">
        <f t="shared" si="0"/>
        <v>0</v>
      </c>
      <c r="I24" s="28"/>
      <c r="J24" s="173"/>
      <c r="K24" s="30">
        <v>1</v>
      </c>
      <c r="L24" s="27">
        <f t="shared" si="1"/>
        <v>0</v>
      </c>
      <c r="M24" s="28"/>
      <c r="N24" s="31">
        <f t="shared" si="2"/>
        <v>0</v>
      </c>
      <c r="O24" s="32" t="str">
        <f t="shared" si="3"/>
        <v/>
      </c>
    </row>
    <row r="25" spans="2:15" x14ac:dyDescent="0.25">
      <c r="B25" s="296" t="s">
        <v>65</v>
      </c>
      <c r="C25" s="22"/>
      <c r="D25" s="23" t="s">
        <v>70</v>
      </c>
      <c r="E25" s="24"/>
      <c r="F25" s="25">
        <f>+'GS 50-4999 (60kW)'!$F$25</f>
        <v>-9.9000000000000008E-3</v>
      </c>
      <c r="G25" s="179">
        <f>$H$16</f>
        <v>1000</v>
      </c>
      <c r="H25" s="27">
        <f t="shared" si="0"/>
        <v>-9.9</v>
      </c>
      <c r="I25" s="28"/>
      <c r="J25" s="29">
        <f>+'GS 50-4999 (60kW)'!$J$25</f>
        <v>-9.9000000000000008E-3</v>
      </c>
      <c r="K25" s="179">
        <f>$H$16</f>
        <v>1000</v>
      </c>
      <c r="L25" s="27">
        <f t="shared" si="1"/>
        <v>-9.9</v>
      </c>
      <c r="M25" s="28"/>
      <c r="N25" s="31">
        <f t="shared" si="2"/>
        <v>0</v>
      </c>
      <c r="O25" s="32">
        <f t="shared" si="3"/>
        <v>0</v>
      </c>
    </row>
    <row r="26" spans="2:15" x14ac:dyDescent="0.25">
      <c r="B26" s="296" t="s">
        <v>66</v>
      </c>
      <c r="C26" s="22"/>
      <c r="D26" s="23" t="s">
        <v>70</v>
      </c>
      <c r="E26" s="24"/>
      <c r="F26" s="25"/>
      <c r="G26" s="179">
        <f>$H$16</f>
        <v>1000</v>
      </c>
      <c r="H26" s="27">
        <f t="shared" si="0"/>
        <v>0</v>
      </c>
      <c r="I26" s="28"/>
      <c r="J26" s="29">
        <f>+'GS 50-4999 (60kW)'!$J$26</f>
        <v>-0.63949999999999996</v>
      </c>
      <c r="K26" s="179">
        <f>$H$16</f>
        <v>1000</v>
      </c>
      <c r="L26" s="27">
        <f t="shared" si="1"/>
        <v>-639.5</v>
      </c>
      <c r="M26" s="28"/>
      <c r="N26" s="31">
        <f t="shared" si="2"/>
        <v>-639.5</v>
      </c>
      <c r="O26" s="32" t="str">
        <f t="shared" si="3"/>
        <v/>
      </c>
    </row>
    <row r="27" spans="2:15" x14ac:dyDescent="0.25">
      <c r="B27" s="22" t="s">
        <v>19</v>
      </c>
      <c r="C27" s="22"/>
      <c r="D27" s="23" t="s">
        <v>70</v>
      </c>
      <c r="E27" s="24"/>
      <c r="F27" s="25">
        <f>+'GS 50-4999 (60kW)'!$F$27</f>
        <v>4.7394999999999996</v>
      </c>
      <c r="G27" s="179">
        <f>$H$16</f>
        <v>1000</v>
      </c>
      <c r="H27" s="27">
        <f t="shared" si="0"/>
        <v>4739.5</v>
      </c>
      <c r="I27" s="28"/>
      <c r="J27" s="29">
        <f>+'GS 50-4999 (60kW)'!$J$27</f>
        <v>5.1045999999999996</v>
      </c>
      <c r="K27" s="179">
        <f>$H$16</f>
        <v>1000</v>
      </c>
      <c r="L27" s="27">
        <f t="shared" si="1"/>
        <v>5104.5999999999995</v>
      </c>
      <c r="M27" s="28"/>
      <c r="N27" s="31">
        <f t="shared" si="2"/>
        <v>365.09999999999945</v>
      </c>
      <c r="O27" s="32">
        <f t="shared" si="3"/>
        <v>7.7033442346238934E-2</v>
      </c>
    </row>
    <row r="28" spans="2:15" x14ac:dyDescent="0.25">
      <c r="B28" s="22" t="s">
        <v>20</v>
      </c>
      <c r="C28" s="22"/>
      <c r="D28" s="23"/>
      <c r="E28" s="24"/>
      <c r="F28" s="25"/>
      <c r="G28" s="26">
        <f>$F$16</f>
        <v>400000</v>
      </c>
      <c r="H28" s="27">
        <f t="shared" si="0"/>
        <v>0</v>
      </c>
      <c r="I28" s="28"/>
      <c r="J28" s="29"/>
      <c r="K28" s="26">
        <f t="shared" ref="K28:K36" si="4">$F$16</f>
        <v>400000</v>
      </c>
      <c r="L28" s="27">
        <f t="shared" si="1"/>
        <v>0</v>
      </c>
      <c r="M28" s="28"/>
      <c r="N28" s="31">
        <f t="shared" si="2"/>
        <v>0</v>
      </c>
      <c r="O28" s="32" t="str">
        <f t="shared" si="3"/>
        <v/>
      </c>
    </row>
    <row r="29" spans="2:15" x14ac:dyDescent="0.25">
      <c r="B29" s="22" t="s">
        <v>21</v>
      </c>
      <c r="C29" s="22"/>
      <c r="D29" s="23"/>
      <c r="E29" s="24"/>
      <c r="F29" s="25"/>
      <c r="G29" s="26">
        <f>$F$16</f>
        <v>400000</v>
      </c>
      <c r="H29" s="27">
        <f t="shared" si="0"/>
        <v>0</v>
      </c>
      <c r="I29" s="28"/>
      <c r="J29" s="29"/>
      <c r="K29" s="26">
        <f t="shared" si="4"/>
        <v>400000</v>
      </c>
      <c r="L29" s="27">
        <f t="shared" si="1"/>
        <v>0</v>
      </c>
      <c r="M29" s="28"/>
      <c r="N29" s="31">
        <f t="shared" si="2"/>
        <v>0</v>
      </c>
      <c r="O29" s="32" t="str">
        <f t="shared" si="3"/>
        <v/>
      </c>
    </row>
    <row r="30" spans="2:15" x14ac:dyDescent="0.25">
      <c r="B30" s="33"/>
      <c r="C30" s="22"/>
      <c r="D30" s="23"/>
      <c r="E30" s="24"/>
      <c r="F30" s="25"/>
      <c r="G30" s="26">
        <f t="shared" ref="G30:G36" si="5">$F$16</f>
        <v>400000</v>
      </c>
      <c r="H30" s="27">
        <f t="shared" si="0"/>
        <v>0</v>
      </c>
      <c r="I30" s="28"/>
      <c r="J30" s="29"/>
      <c r="K30" s="26">
        <f t="shared" si="4"/>
        <v>400000</v>
      </c>
      <c r="L30" s="27">
        <f t="shared" si="1"/>
        <v>0</v>
      </c>
      <c r="M30" s="28"/>
      <c r="N30" s="31">
        <f t="shared" si="2"/>
        <v>0</v>
      </c>
      <c r="O30" s="32" t="str">
        <f t="shared" si="3"/>
        <v/>
      </c>
    </row>
    <row r="31" spans="2:15" x14ac:dyDescent="0.25">
      <c r="B31" s="33"/>
      <c r="C31" s="22"/>
      <c r="D31" s="23"/>
      <c r="E31" s="24"/>
      <c r="F31" s="25"/>
      <c r="G31" s="26">
        <f t="shared" si="5"/>
        <v>400000</v>
      </c>
      <c r="H31" s="27">
        <f t="shared" si="0"/>
        <v>0</v>
      </c>
      <c r="I31" s="28"/>
      <c r="J31" s="29"/>
      <c r="K31" s="26">
        <f t="shared" si="4"/>
        <v>400000</v>
      </c>
      <c r="L31" s="27">
        <f t="shared" si="1"/>
        <v>0</v>
      </c>
      <c r="M31" s="28"/>
      <c r="N31" s="31">
        <f t="shared" si="2"/>
        <v>0</v>
      </c>
      <c r="O31" s="32" t="str">
        <f t="shared" si="3"/>
        <v/>
      </c>
    </row>
    <row r="32" spans="2:15" x14ac:dyDescent="0.25">
      <c r="B32" s="33"/>
      <c r="C32" s="22"/>
      <c r="D32" s="23"/>
      <c r="E32" s="24"/>
      <c r="F32" s="25"/>
      <c r="G32" s="26">
        <f t="shared" si="5"/>
        <v>400000</v>
      </c>
      <c r="H32" s="27">
        <f t="shared" si="0"/>
        <v>0</v>
      </c>
      <c r="I32" s="28"/>
      <c r="J32" s="29"/>
      <c r="K32" s="26">
        <f t="shared" si="4"/>
        <v>400000</v>
      </c>
      <c r="L32" s="27">
        <f t="shared" si="1"/>
        <v>0</v>
      </c>
      <c r="M32" s="28"/>
      <c r="N32" s="31">
        <f t="shared" si="2"/>
        <v>0</v>
      </c>
      <c r="O32" s="32" t="str">
        <f t="shared" si="3"/>
        <v/>
      </c>
    </row>
    <row r="33" spans="2:15" x14ac:dyDescent="0.25">
      <c r="B33" s="33"/>
      <c r="C33" s="22"/>
      <c r="D33" s="23"/>
      <c r="E33" s="24"/>
      <c r="F33" s="25"/>
      <c r="G33" s="26">
        <f t="shared" si="5"/>
        <v>400000</v>
      </c>
      <c r="H33" s="27">
        <f t="shared" si="0"/>
        <v>0</v>
      </c>
      <c r="I33" s="28"/>
      <c r="J33" s="29"/>
      <c r="K33" s="26">
        <f t="shared" si="4"/>
        <v>400000</v>
      </c>
      <c r="L33" s="27">
        <f t="shared" si="1"/>
        <v>0</v>
      </c>
      <c r="M33" s="28"/>
      <c r="N33" s="31">
        <f t="shared" si="2"/>
        <v>0</v>
      </c>
      <c r="O33" s="32" t="str">
        <f t="shared" si="3"/>
        <v/>
      </c>
    </row>
    <row r="34" spans="2:15" x14ac:dyDescent="0.25">
      <c r="B34" s="33"/>
      <c r="C34" s="22"/>
      <c r="D34" s="23"/>
      <c r="E34" s="24"/>
      <c r="F34" s="25"/>
      <c r="G34" s="26">
        <f t="shared" si="5"/>
        <v>400000</v>
      </c>
      <c r="H34" s="27">
        <f t="shared" si="0"/>
        <v>0</v>
      </c>
      <c r="I34" s="28"/>
      <c r="J34" s="29"/>
      <c r="K34" s="26">
        <f t="shared" si="4"/>
        <v>400000</v>
      </c>
      <c r="L34" s="27">
        <f t="shared" si="1"/>
        <v>0</v>
      </c>
      <c r="M34" s="28"/>
      <c r="N34" s="31">
        <f t="shared" si="2"/>
        <v>0</v>
      </c>
      <c r="O34" s="32" t="str">
        <f t="shared" si="3"/>
        <v/>
      </c>
    </row>
    <row r="35" spans="2:15" x14ac:dyDescent="0.25">
      <c r="B35" s="33"/>
      <c r="C35" s="22"/>
      <c r="D35" s="23"/>
      <c r="E35" s="24"/>
      <c r="F35" s="25"/>
      <c r="G35" s="26">
        <f t="shared" si="5"/>
        <v>400000</v>
      </c>
      <c r="H35" s="27">
        <f t="shared" si="0"/>
        <v>0</v>
      </c>
      <c r="I35" s="28"/>
      <c r="J35" s="29"/>
      <c r="K35" s="26">
        <f t="shared" si="4"/>
        <v>400000</v>
      </c>
      <c r="L35" s="27">
        <f t="shared" si="1"/>
        <v>0</v>
      </c>
      <c r="M35" s="28"/>
      <c r="N35" s="31">
        <f t="shared" si="2"/>
        <v>0</v>
      </c>
      <c r="O35" s="32" t="str">
        <f t="shared" si="3"/>
        <v/>
      </c>
    </row>
    <row r="36" spans="2:15" x14ac:dyDescent="0.25">
      <c r="B36" s="33"/>
      <c r="C36" s="22"/>
      <c r="D36" s="23"/>
      <c r="E36" s="24"/>
      <c r="F36" s="25"/>
      <c r="G36" s="26">
        <f t="shared" si="5"/>
        <v>400000</v>
      </c>
      <c r="H36" s="27">
        <f t="shared" si="0"/>
        <v>0</v>
      </c>
      <c r="I36" s="28"/>
      <c r="J36" s="29"/>
      <c r="K36" s="26">
        <f t="shared" si="4"/>
        <v>400000</v>
      </c>
      <c r="L36" s="27">
        <f t="shared" si="1"/>
        <v>0</v>
      </c>
      <c r="M36" s="28"/>
      <c r="N36" s="31">
        <f t="shared" si="2"/>
        <v>0</v>
      </c>
      <c r="O36" s="32" t="str">
        <f t="shared" si="3"/>
        <v/>
      </c>
    </row>
    <row r="37" spans="2:15" s="34" customFormat="1" x14ac:dyDescent="0.25">
      <c r="B37" s="35" t="s">
        <v>22</v>
      </c>
      <c r="C37" s="36"/>
      <c r="D37" s="37"/>
      <c r="E37" s="36"/>
      <c r="F37" s="38"/>
      <c r="G37" s="39"/>
      <c r="H37" s="40">
        <f>SUM(H21:H36)</f>
        <v>4848.9799999999996</v>
      </c>
      <c r="I37" s="41"/>
      <c r="J37" s="42"/>
      <c r="K37" s="43"/>
      <c r="L37" s="40">
        <f>SUM(L21:L36)</f>
        <v>4829.78</v>
      </c>
      <c r="M37" s="41"/>
      <c r="N37" s="44">
        <f t="shared" si="2"/>
        <v>-19.199999999999818</v>
      </c>
      <c r="O37" s="45">
        <f t="shared" si="3"/>
        <v>-3.9595956262966272E-3</v>
      </c>
    </row>
    <row r="38" spans="2:15" x14ac:dyDescent="0.25">
      <c r="B38" s="296" t="s">
        <v>23</v>
      </c>
      <c r="C38" s="22"/>
      <c r="D38" s="56" t="s">
        <v>70</v>
      </c>
      <c r="E38" s="57"/>
      <c r="F38" s="29">
        <f>+'GS 50-4999 (60kW)'!$F$38</f>
        <v>-0.6502</v>
      </c>
      <c r="G38" s="179">
        <f>G27</f>
        <v>1000</v>
      </c>
      <c r="H38" s="27">
        <f t="shared" ref="H38:H44" si="6">G38*F38</f>
        <v>-650.20000000000005</v>
      </c>
      <c r="I38" s="28"/>
      <c r="J38" s="29">
        <f>+'GS 50-4999 (60kW)'!$J$38</f>
        <v>0.12180000000000002</v>
      </c>
      <c r="K38" s="179">
        <f>H16</f>
        <v>1000</v>
      </c>
      <c r="L38" s="27">
        <f t="shared" ref="L38:L44" si="7">K38*J38</f>
        <v>121.80000000000003</v>
      </c>
      <c r="M38" s="28"/>
      <c r="N38" s="31">
        <f t="shared" ref="N38:N44" si="8">L38-H38</f>
        <v>772.00000000000011</v>
      </c>
      <c r="O38" s="32">
        <f t="shared" ref="O38:O43" si="9">IF((H38)=0,"",(N38/H38))</f>
        <v>-1.1873269763149801</v>
      </c>
    </row>
    <row r="39" spans="2:15" x14ac:dyDescent="0.25">
      <c r="B39" s="296"/>
      <c r="C39" s="22"/>
      <c r="D39" s="23" t="s">
        <v>70</v>
      </c>
      <c r="E39" s="24"/>
      <c r="F39" s="25"/>
      <c r="G39" s="179">
        <f>H16</f>
        <v>1000</v>
      </c>
      <c r="H39" s="27">
        <f t="shared" si="6"/>
        <v>0</v>
      </c>
      <c r="I39" s="47"/>
      <c r="J39" s="29"/>
      <c r="K39" s="179">
        <f>H16</f>
        <v>1000</v>
      </c>
      <c r="L39" s="27">
        <f t="shared" si="7"/>
        <v>0</v>
      </c>
      <c r="M39" s="48"/>
      <c r="N39" s="31">
        <f t="shared" si="8"/>
        <v>0</v>
      </c>
      <c r="O39" s="32" t="str">
        <f t="shared" si="9"/>
        <v/>
      </c>
    </row>
    <row r="40" spans="2:15" x14ac:dyDescent="0.25">
      <c r="B40" s="296"/>
      <c r="C40" s="22"/>
      <c r="D40" s="23" t="s">
        <v>70</v>
      </c>
      <c r="E40" s="24"/>
      <c r="F40" s="25"/>
      <c r="G40" s="179">
        <f>H16</f>
        <v>1000</v>
      </c>
      <c r="H40" s="27">
        <f t="shared" si="6"/>
        <v>0</v>
      </c>
      <c r="I40" s="47"/>
      <c r="J40" s="29"/>
      <c r="K40" s="179">
        <f>H16</f>
        <v>1000</v>
      </c>
      <c r="L40" s="27">
        <f t="shared" si="7"/>
        <v>0</v>
      </c>
      <c r="M40" s="48"/>
      <c r="N40" s="31">
        <f t="shared" si="8"/>
        <v>0</v>
      </c>
      <c r="O40" s="32" t="str">
        <f t="shared" si="9"/>
        <v/>
      </c>
    </row>
    <row r="41" spans="2:15" ht="30.75" customHeight="1" x14ac:dyDescent="0.25">
      <c r="B41" s="296" t="s">
        <v>74</v>
      </c>
      <c r="C41" s="22"/>
      <c r="D41" s="23" t="s">
        <v>70</v>
      </c>
      <c r="E41" s="24"/>
      <c r="F41" s="29">
        <f>+'GS 50-4999 (60kW)'!$F$41</f>
        <v>0.26750000000000002</v>
      </c>
      <c r="G41" s="179">
        <f>H16</f>
        <v>1000</v>
      </c>
      <c r="H41" s="27">
        <f t="shared" si="6"/>
        <v>267.5</v>
      </c>
      <c r="I41" s="47"/>
      <c r="J41" s="29">
        <f>+'GS 50-4999 (60kW)'!$J$41</f>
        <v>1.5334000000000001</v>
      </c>
      <c r="K41" s="179">
        <f>H16</f>
        <v>1000</v>
      </c>
      <c r="L41" s="27">
        <f t="shared" si="7"/>
        <v>1533.4</v>
      </c>
      <c r="M41" s="48"/>
      <c r="N41" s="31">
        <f t="shared" si="8"/>
        <v>1265.9000000000001</v>
      </c>
      <c r="O41" s="32">
        <f t="shared" si="9"/>
        <v>4.7323364485981312</v>
      </c>
    </row>
    <row r="42" spans="2:15" x14ac:dyDescent="0.25">
      <c r="B42" s="49" t="s">
        <v>24</v>
      </c>
      <c r="C42" s="22"/>
      <c r="D42" s="23" t="s">
        <v>70</v>
      </c>
      <c r="E42" s="24"/>
      <c r="F42" s="284">
        <f>+'GS 50-4999 (60kW)'!$F$42</f>
        <v>5.5100000000000003E-2</v>
      </c>
      <c r="G42" s="179">
        <f>H16</f>
        <v>1000</v>
      </c>
      <c r="H42" s="27">
        <f t="shared" si="6"/>
        <v>55.1</v>
      </c>
      <c r="I42" s="28"/>
      <c r="J42" s="29">
        <f>+'GS 50-4999 (60kW)'!$J$42</f>
        <v>7.3800000000000004E-2</v>
      </c>
      <c r="K42" s="179">
        <f>H16</f>
        <v>1000</v>
      </c>
      <c r="L42" s="27">
        <f t="shared" si="7"/>
        <v>73.800000000000011</v>
      </c>
      <c r="M42" s="28"/>
      <c r="N42" s="31">
        <f t="shared" si="8"/>
        <v>18.70000000000001</v>
      </c>
      <c r="O42" s="32">
        <f t="shared" si="9"/>
        <v>0.33938294010889308</v>
      </c>
    </row>
    <row r="43" spans="2:15" s="34" customFormat="1" x14ac:dyDescent="0.25">
      <c r="B43" s="181" t="s">
        <v>25</v>
      </c>
      <c r="C43" s="24"/>
      <c r="D43" s="182" t="s">
        <v>61</v>
      </c>
      <c r="E43" s="24"/>
      <c r="F43" s="342">
        <f>+F53</f>
        <v>0.10186000000000001</v>
      </c>
      <c r="G43" s="26">
        <f>$F$16*(1+$F$72)-$F$16</f>
        <v>16160</v>
      </c>
      <c r="H43" s="184">
        <f t="shared" si="6"/>
        <v>1646.0576000000001</v>
      </c>
      <c r="I43" s="57"/>
      <c r="J43" s="342">
        <f>+J53</f>
        <v>0.10186000000000001</v>
      </c>
      <c r="K43" s="26">
        <f>$F$16*(1+$J$72)-$F$16</f>
        <v>14480</v>
      </c>
      <c r="L43" s="184">
        <f t="shared" si="7"/>
        <v>1474.9328</v>
      </c>
      <c r="M43" s="57"/>
      <c r="N43" s="186">
        <f t="shared" si="8"/>
        <v>-171.12480000000005</v>
      </c>
      <c r="O43" s="187">
        <f t="shared" si="9"/>
        <v>-0.10396039603960398</v>
      </c>
    </row>
    <row r="44" spans="2:15" ht="14.45" x14ac:dyDescent="0.3">
      <c r="B44" s="49"/>
      <c r="C44" s="22"/>
      <c r="D44" s="23" t="s">
        <v>60</v>
      </c>
      <c r="E44" s="24"/>
      <c r="F44" s="178"/>
      <c r="G44" s="26">
        <v>0</v>
      </c>
      <c r="H44" s="27">
        <f t="shared" si="6"/>
        <v>0</v>
      </c>
      <c r="I44" s="28"/>
      <c r="J44" s="178"/>
      <c r="K44" s="26">
        <v>0</v>
      </c>
      <c r="L44" s="27">
        <f t="shared" si="7"/>
        <v>0</v>
      </c>
      <c r="M44" s="28"/>
      <c r="N44" s="31">
        <f t="shared" si="8"/>
        <v>0</v>
      </c>
      <c r="O44" s="32"/>
    </row>
    <row r="45" spans="2:15" ht="14.45" x14ac:dyDescent="0.3">
      <c r="B45" s="50" t="s">
        <v>27</v>
      </c>
      <c r="C45" s="51"/>
      <c r="D45" s="51"/>
      <c r="E45" s="51"/>
      <c r="F45" s="52"/>
      <c r="G45" s="53"/>
      <c r="H45" s="54">
        <f>SUM(H38:H44)+H37</f>
        <v>6167.4375999999993</v>
      </c>
      <c r="I45" s="41"/>
      <c r="J45" s="53"/>
      <c r="K45" s="55"/>
      <c r="L45" s="54">
        <f>SUM(L38:L44)+L37</f>
        <v>8033.7127999999993</v>
      </c>
      <c r="M45" s="41"/>
      <c r="N45" s="44">
        <f t="shared" ref="N45:N63" si="10">L45-H45</f>
        <v>1866.2752</v>
      </c>
      <c r="O45" s="45">
        <f t="shared" ref="O45:O63" si="11">IF((H45)=0,"",(N45/H45))</f>
        <v>0.30260139154062948</v>
      </c>
    </row>
    <row r="46" spans="2:15" ht="14.45" x14ac:dyDescent="0.3">
      <c r="B46" s="28" t="s">
        <v>28</v>
      </c>
      <c r="C46" s="28"/>
      <c r="D46" s="56" t="s">
        <v>70</v>
      </c>
      <c r="E46" s="57"/>
      <c r="F46" s="29">
        <f>+'GS 50-4999 (60kW)'!$F$46</f>
        <v>2.8420999999999998</v>
      </c>
      <c r="G46" s="289">
        <f>H16</f>
        <v>1000</v>
      </c>
      <c r="H46" s="27">
        <f>G46*F46</f>
        <v>2842.1</v>
      </c>
      <c r="I46" s="28"/>
      <c r="J46" s="29">
        <f>+'GS 50-4999 (60kW)'!$J$46</f>
        <v>2.7740999999999998</v>
      </c>
      <c r="K46" s="290">
        <f>+G46</f>
        <v>1000</v>
      </c>
      <c r="L46" s="27">
        <f>K46*J46</f>
        <v>2774.1</v>
      </c>
      <c r="M46" s="28"/>
      <c r="N46" s="31">
        <f t="shared" si="10"/>
        <v>-68</v>
      </c>
      <c r="O46" s="32">
        <f t="shared" si="11"/>
        <v>-2.3925970233278211E-2</v>
      </c>
    </row>
    <row r="47" spans="2:15" ht="14.45" x14ac:dyDescent="0.3">
      <c r="B47" s="59" t="s">
        <v>29</v>
      </c>
      <c r="C47" s="28"/>
      <c r="D47" s="56" t="s">
        <v>70</v>
      </c>
      <c r="E47" s="57"/>
      <c r="F47" s="29">
        <f>+'GS 50-4999 (60kW)'!$F$47</f>
        <v>0.8165</v>
      </c>
      <c r="G47" s="289">
        <f>G46</f>
        <v>1000</v>
      </c>
      <c r="H47" s="27">
        <f>G47*F47</f>
        <v>816.5</v>
      </c>
      <c r="I47" s="28"/>
      <c r="J47" s="29">
        <f>+'GS 50-4999 (60kW)'!$J$47</f>
        <v>0.80359999999999998</v>
      </c>
      <c r="K47" s="290">
        <f>K46</f>
        <v>1000</v>
      </c>
      <c r="L47" s="27">
        <f>K47*J47</f>
        <v>803.6</v>
      </c>
      <c r="M47" s="28"/>
      <c r="N47" s="31">
        <f t="shared" si="10"/>
        <v>-12.899999999999977</v>
      </c>
      <c r="O47" s="32">
        <f t="shared" si="11"/>
        <v>-1.5799142682180009E-2</v>
      </c>
    </row>
    <row r="48" spans="2:15" ht="14.45" x14ac:dyDescent="0.3">
      <c r="B48" s="50" t="s">
        <v>30</v>
      </c>
      <c r="C48" s="36"/>
      <c r="D48" s="36"/>
      <c r="E48" s="36"/>
      <c r="F48" s="60"/>
      <c r="G48" s="53"/>
      <c r="H48" s="54">
        <f>SUM(H45:H47)</f>
        <v>9826.0375999999997</v>
      </c>
      <c r="I48" s="61"/>
      <c r="J48" s="62"/>
      <c r="K48" s="63"/>
      <c r="L48" s="54">
        <f>SUM(L45:L47)</f>
        <v>11611.4128</v>
      </c>
      <c r="M48" s="61"/>
      <c r="N48" s="44">
        <f t="shared" si="10"/>
        <v>1785.3752000000004</v>
      </c>
      <c r="O48" s="45">
        <f t="shared" si="11"/>
        <v>0.18169838877880953</v>
      </c>
    </row>
    <row r="49" spans="2:19" ht="14.45" x14ac:dyDescent="0.3">
      <c r="B49" s="64" t="s">
        <v>31</v>
      </c>
      <c r="C49" s="22"/>
      <c r="D49" s="23" t="s">
        <v>61</v>
      </c>
      <c r="E49" s="24"/>
      <c r="F49" s="65">
        <f>+'GS 50-4999 (60kW)'!$F$49</f>
        <v>4.4000000000000003E-3</v>
      </c>
      <c r="G49" s="289">
        <f>F16*(F72)</f>
        <v>16160</v>
      </c>
      <c r="H49" s="66">
        <f t="shared" ref="H49:H55" si="12">G49*F49</f>
        <v>71.103999999999999</v>
      </c>
      <c r="I49" s="28"/>
      <c r="J49" s="263">
        <f>+'GS 50-4999 (60kW)'!$J$49</f>
        <v>4.4000000000000003E-3</v>
      </c>
      <c r="K49" s="290">
        <f>F16*(J72)</f>
        <v>14480.000000000002</v>
      </c>
      <c r="L49" s="66">
        <f t="shared" ref="L49:L55" si="13">K49*J49</f>
        <v>63.71200000000001</v>
      </c>
      <c r="M49" s="28"/>
      <c r="N49" s="31">
        <f t="shared" si="10"/>
        <v>-7.3919999999999888</v>
      </c>
      <c r="O49" s="68">
        <f t="shared" si="11"/>
        <v>-0.1039603960396038</v>
      </c>
    </row>
    <row r="50" spans="2:19" ht="14.45" x14ac:dyDescent="0.3">
      <c r="B50" s="64" t="s">
        <v>32</v>
      </c>
      <c r="C50" s="22"/>
      <c r="D50" s="23" t="s">
        <v>61</v>
      </c>
      <c r="E50" s="24"/>
      <c r="F50" s="65">
        <f>+'GS 50-4999 (60kW)'!$F$50</f>
        <v>1.2999999999999999E-3</v>
      </c>
      <c r="G50" s="289">
        <f>G49</f>
        <v>16160</v>
      </c>
      <c r="H50" s="66">
        <f t="shared" si="12"/>
        <v>21.007999999999999</v>
      </c>
      <c r="I50" s="28"/>
      <c r="J50" s="263">
        <f>+'GS 50-4999 (60kW)'!$J$50</f>
        <v>1.2999999999999999E-3</v>
      </c>
      <c r="K50" s="290">
        <f>K49</f>
        <v>14480.000000000002</v>
      </c>
      <c r="L50" s="66">
        <f t="shared" si="13"/>
        <v>18.824000000000002</v>
      </c>
      <c r="M50" s="28"/>
      <c r="N50" s="31">
        <f t="shared" si="10"/>
        <v>-2.1839999999999975</v>
      </c>
      <c r="O50" s="68">
        <f t="shared" si="11"/>
        <v>-0.10396039603960384</v>
      </c>
    </row>
    <row r="51" spans="2:19" ht="14.45" x14ac:dyDescent="0.3">
      <c r="B51" s="22" t="s">
        <v>33</v>
      </c>
      <c r="C51" s="22"/>
      <c r="D51" s="23" t="s">
        <v>60</v>
      </c>
      <c r="E51" s="24"/>
      <c r="F51" s="176">
        <f>+'GS 50-4999 (60kW)'!$F$51</f>
        <v>0.25</v>
      </c>
      <c r="G51" s="26">
        <v>1</v>
      </c>
      <c r="H51" s="66">
        <f t="shared" si="12"/>
        <v>0.25</v>
      </c>
      <c r="I51" s="28"/>
      <c r="J51" s="283">
        <f>+'GS 50-4999 (60kW)'!$J$51</f>
        <v>0.25</v>
      </c>
      <c r="K51" s="30">
        <v>1</v>
      </c>
      <c r="L51" s="66">
        <f t="shared" si="13"/>
        <v>0.25</v>
      </c>
      <c r="M51" s="28"/>
      <c r="N51" s="31">
        <f t="shared" si="10"/>
        <v>0</v>
      </c>
      <c r="O51" s="68">
        <f t="shared" si="11"/>
        <v>0</v>
      </c>
    </row>
    <row r="52" spans="2:19" ht="14.45" x14ac:dyDescent="0.3">
      <c r="B52" s="22" t="s">
        <v>34</v>
      </c>
      <c r="C52" s="22"/>
      <c r="D52" s="23" t="s">
        <v>61</v>
      </c>
      <c r="E52" s="24"/>
      <c r="F52" s="65">
        <f>+'GS 50-4999 (60kW)'!$F$52</f>
        <v>7.0000000000000001E-3</v>
      </c>
      <c r="G52" s="69">
        <f>F16</f>
        <v>400000</v>
      </c>
      <c r="H52" s="66">
        <f t="shared" si="12"/>
        <v>2800</v>
      </c>
      <c r="I52" s="28"/>
      <c r="J52" s="263">
        <f>+'GS 50-4999 (60kW)'!$J$52</f>
        <v>7.0000000000000001E-3</v>
      </c>
      <c r="K52" s="70">
        <f>F16</f>
        <v>400000</v>
      </c>
      <c r="L52" s="66">
        <f t="shared" si="13"/>
        <v>2800</v>
      </c>
      <c r="M52" s="28"/>
      <c r="N52" s="31">
        <f t="shared" si="10"/>
        <v>0</v>
      </c>
      <c r="O52" s="68">
        <f t="shared" si="11"/>
        <v>0</v>
      </c>
    </row>
    <row r="53" spans="2:19" x14ac:dyDescent="0.25">
      <c r="B53" s="22" t="s">
        <v>98</v>
      </c>
      <c r="C53" s="22"/>
      <c r="D53" s="23" t="s">
        <v>61</v>
      </c>
      <c r="E53" s="24"/>
      <c r="F53" s="305">
        <f>+'GS 50-4999 (60kW)'!$F$53</f>
        <v>0.10186000000000001</v>
      </c>
      <c r="G53" s="69">
        <f>F16</f>
        <v>400000</v>
      </c>
      <c r="H53" s="188">
        <f t="shared" si="12"/>
        <v>40744</v>
      </c>
      <c r="I53" s="57"/>
      <c r="J53" s="336">
        <f>+'GS 50-4999 (60kW)'!$J$53</f>
        <v>0.10186000000000001</v>
      </c>
      <c r="K53" s="69">
        <f>G53</f>
        <v>400000</v>
      </c>
      <c r="L53" s="66">
        <f t="shared" si="13"/>
        <v>40744</v>
      </c>
      <c r="M53" s="28"/>
      <c r="N53" s="31">
        <f t="shared" si="10"/>
        <v>0</v>
      </c>
      <c r="O53" s="68">
        <f t="shared" si="11"/>
        <v>0</v>
      </c>
      <c r="S53" s="72"/>
    </row>
    <row r="54" spans="2:19" x14ac:dyDescent="0.25">
      <c r="B54" s="49" t="s">
        <v>36</v>
      </c>
      <c r="C54" s="22"/>
      <c r="D54" s="23"/>
      <c r="E54" s="24"/>
      <c r="F54" s="71">
        <v>0.104</v>
      </c>
      <c r="G54" s="58">
        <v>0</v>
      </c>
      <c r="H54" s="66">
        <f t="shared" si="12"/>
        <v>0</v>
      </c>
      <c r="I54" s="28"/>
      <c r="J54" s="65">
        <v>0.104</v>
      </c>
      <c r="K54" s="58">
        <v>0</v>
      </c>
      <c r="L54" s="66">
        <f t="shared" si="13"/>
        <v>0</v>
      </c>
      <c r="M54" s="28"/>
      <c r="N54" s="31">
        <f t="shared" si="10"/>
        <v>0</v>
      </c>
      <c r="O54" s="68" t="str">
        <f t="shared" si="11"/>
        <v/>
      </c>
      <c r="S54" s="72"/>
    </row>
    <row r="55" spans="2:19" x14ac:dyDescent="0.25">
      <c r="B55" s="12" t="s">
        <v>37</v>
      </c>
      <c r="C55" s="22"/>
      <c r="D55" s="23"/>
      <c r="E55" s="24"/>
      <c r="F55" s="71">
        <v>0.124</v>
      </c>
      <c r="G55" s="58">
        <v>0</v>
      </c>
      <c r="H55" s="66">
        <f t="shared" si="12"/>
        <v>0</v>
      </c>
      <c r="I55" s="28"/>
      <c r="J55" s="65">
        <v>0.124</v>
      </c>
      <c r="K55" s="58">
        <v>0</v>
      </c>
      <c r="L55" s="66">
        <f t="shared" si="13"/>
        <v>0</v>
      </c>
      <c r="M55" s="28"/>
      <c r="N55" s="31">
        <f t="shared" si="10"/>
        <v>0</v>
      </c>
      <c r="O55" s="68" t="str">
        <f t="shared" si="11"/>
        <v/>
      </c>
      <c r="S55" s="72"/>
    </row>
    <row r="56" spans="2:19" s="73" customFormat="1" x14ac:dyDescent="0.2">
      <c r="B56" s="180" t="s">
        <v>38</v>
      </c>
      <c r="C56" s="75"/>
      <c r="D56" s="76"/>
      <c r="E56" s="77"/>
      <c r="F56" s="71">
        <v>7.4999999999999997E-2</v>
      </c>
      <c r="G56" s="78">
        <v>0</v>
      </c>
      <c r="H56" s="66">
        <f>G56*F56</f>
        <v>0</v>
      </c>
      <c r="I56" s="79"/>
      <c r="J56" s="65">
        <v>7.4999999999999997E-2</v>
      </c>
      <c r="K56" s="78">
        <f>G56</f>
        <v>0</v>
      </c>
      <c r="L56" s="66">
        <f>K56*J56</f>
        <v>0</v>
      </c>
      <c r="M56" s="79"/>
      <c r="N56" s="80">
        <f t="shared" si="10"/>
        <v>0</v>
      </c>
      <c r="O56" s="68" t="str">
        <f t="shared" si="11"/>
        <v/>
      </c>
    </row>
    <row r="57" spans="2:19" s="73" customFormat="1" ht="15.75" thickBot="1" x14ac:dyDescent="0.25">
      <c r="B57" s="180" t="s">
        <v>39</v>
      </c>
      <c r="C57" s="75"/>
      <c r="D57" s="76"/>
      <c r="E57" s="77"/>
      <c r="F57" s="71">
        <v>8.7999999999999995E-2</v>
      </c>
      <c r="G57" s="78">
        <v>0</v>
      </c>
      <c r="H57" s="66">
        <f>G57*F57</f>
        <v>0</v>
      </c>
      <c r="I57" s="79"/>
      <c r="J57" s="65">
        <v>8.7999999999999995E-2</v>
      </c>
      <c r="K57" s="78">
        <f>G57</f>
        <v>0</v>
      </c>
      <c r="L57" s="66">
        <f>K57*J57</f>
        <v>0</v>
      </c>
      <c r="M57" s="79"/>
      <c r="N57" s="80">
        <f t="shared" si="10"/>
        <v>0</v>
      </c>
      <c r="O57" s="68" t="str">
        <f t="shared" si="11"/>
        <v/>
      </c>
    </row>
    <row r="58" spans="2:19" ht="8.25" customHeight="1" thickBot="1" x14ac:dyDescent="0.3">
      <c r="B58" s="81"/>
      <c r="C58" s="82"/>
      <c r="D58" s="83"/>
      <c r="E58" s="82"/>
      <c r="F58" s="84"/>
      <c r="G58" s="85"/>
      <c r="H58" s="86"/>
      <c r="I58" s="87"/>
      <c r="J58" s="84"/>
      <c r="K58" s="88"/>
      <c r="L58" s="86"/>
      <c r="M58" s="87"/>
      <c r="N58" s="89"/>
      <c r="O58" s="90"/>
    </row>
    <row r="59" spans="2:19" x14ac:dyDescent="0.25">
      <c r="B59" s="91" t="s">
        <v>40</v>
      </c>
      <c r="C59" s="22"/>
      <c r="D59" s="22"/>
      <c r="E59" s="22"/>
      <c r="F59" s="92"/>
      <c r="G59" s="93"/>
      <c r="H59" s="94">
        <f>SUM(H49:H55,H48)</f>
        <v>53462.399600000004</v>
      </c>
      <c r="I59" s="95"/>
      <c r="J59" s="96"/>
      <c r="K59" s="96"/>
      <c r="L59" s="94">
        <f>SUM(L49:L55,L48)</f>
        <v>55238.198799999998</v>
      </c>
      <c r="M59" s="97"/>
      <c r="N59" s="98">
        <f>L59-H59</f>
        <v>1775.799199999994</v>
      </c>
      <c r="O59" s="99">
        <f>IF((H59)=0,"",(N59/H59))</f>
        <v>3.3215852885136753E-2</v>
      </c>
      <c r="S59" s="72"/>
    </row>
    <row r="60" spans="2:19" x14ac:dyDescent="0.25">
      <c r="B60" s="100" t="s">
        <v>41</v>
      </c>
      <c r="C60" s="22"/>
      <c r="D60" s="22"/>
      <c r="E60" s="22"/>
      <c r="F60" s="101">
        <v>0.13</v>
      </c>
      <c r="G60" s="102"/>
      <c r="H60" s="103">
        <f>H59*F60</f>
        <v>6950.1119480000007</v>
      </c>
      <c r="I60" s="104"/>
      <c r="J60" s="105">
        <v>0.13</v>
      </c>
      <c r="K60" s="104"/>
      <c r="L60" s="106">
        <f>L59*J60</f>
        <v>7180.9658440000003</v>
      </c>
      <c r="M60" s="107"/>
      <c r="N60" s="108">
        <f t="shared" si="10"/>
        <v>230.85389599999962</v>
      </c>
      <c r="O60" s="109">
        <f t="shared" si="11"/>
        <v>3.3215852885136808E-2</v>
      </c>
      <c r="S60" s="72"/>
    </row>
    <row r="61" spans="2:19" x14ac:dyDescent="0.25">
      <c r="B61" s="110" t="s">
        <v>42</v>
      </c>
      <c r="C61" s="22"/>
      <c r="D61" s="22"/>
      <c r="E61" s="22"/>
      <c r="F61" s="111"/>
      <c r="G61" s="102"/>
      <c r="H61" s="103">
        <f>H59+H60</f>
        <v>60412.511548000002</v>
      </c>
      <c r="I61" s="104"/>
      <c r="J61" s="104"/>
      <c r="K61" s="104"/>
      <c r="L61" s="106">
        <f>L59+L60</f>
        <v>62419.164643999997</v>
      </c>
      <c r="M61" s="107"/>
      <c r="N61" s="108">
        <f t="shared" si="10"/>
        <v>2006.6530959999945</v>
      </c>
      <c r="O61" s="109">
        <f t="shared" si="11"/>
        <v>3.3215852885136773E-2</v>
      </c>
      <c r="S61" s="72"/>
    </row>
    <row r="62" spans="2:19" x14ac:dyDescent="0.25">
      <c r="B62" s="388" t="s">
        <v>43</v>
      </c>
      <c r="C62" s="388"/>
      <c r="D62" s="388"/>
      <c r="E62" s="22"/>
      <c r="F62" s="111"/>
      <c r="G62" s="102"/>
      <c r="H62" s="112">
        <f>ROUND(-H61*10%,2)</f>
        <v>-6041.25</v>
      </c>
      <c r="I62" s="104"/>
      <c r="J62" s="104"/>
      <c r="K62" s="104"/>
      <c r="L62" s="113">
        <f>ROUND(-L61*10%,2)</f>
        <v>-6241.92</v>
      </c>
      <c r="M62" s="107"/>
      <c r="N62" s="114">
        <f t="shared" si="10"/>
        <v>-200.67000000000007</v>
      </c>
      <c r="O62" s="115">
        <f t="shared" si="11"/>
        <v>3.3216635630043463E-2</v>
      </c>
    </row>
    <row r="63" spans="2:19" ht="15.75" thickBot="1" x14ac:dyDescent="0.3">
      <c r="B63" s="384" t="s">
        <v>44</v>
      </c>
      <c r="C63" s="384"/>
      <c r="D63" s="384"/>
      <c r="E63" s="116"/>
      <c r="F63" s="117"/>
      <c r="G63" s="118"/>
      <c r="H63" s="119">
        <f>H61+H62</f>
        <v>54371.261548000002</v>
      </c>
      <c r="I63" s="120"/>
      <c r="J63" s="120"/>
      <c r="K63" s="120"/>
      <c r="L63" s="121">
        <f>L61+L62</f>
        <v>56177.244643999999</v>
      </c>
      <c r="M63" s="122"/>
      <c r="N63" s="123">
        <f t="shared" si="10"/>
        <v>1805.9830959999963</v>
      </c>
      <c r="O63" s="124">
        <f t="shared" si="11"/>
        <v>3.3215765913498979E-2</v>
      </c>
    </row>
    <row r="64" spans="2:19" s="73" customFormat="1" ht="8.25" hidden="1" customHeight="1" x14ac:dyDescent="0.25">
      <c r="B64" s="125"/>
      <c r="C64" s="126"/>
      <c r="D64" s="127"/>
      <c r="E64" s="126"/>
      <c r="F64" s="84"/>
      <c r="G64" s="128"/>
      <c r="H64" s="86"/>
      <c r="I64" s="129"/>
      <c r="J64" s="84"/>
      <c r="K64" s="130"/>
      <c r="L64" s="86"/>
      <c r="M64" s="129"/>
      <c r="N64" s="131"/>
      <c r="O64" s="90"/>
    </row>
    <row r="65" spans="1:15" s="73" customFormat="1" ht="12.75" x14ac:dyDescent="0.2">
      <c r="B65" s="132" t="s">
        <v>45</v>
      </c>
      <c r="C65" s="75"/>
      <c r="D65" s="75"/>
      <c r="E65" s="75"/>
      <c r="F65" s="133"/>
      <c r="G65" s="134"/>
      <c r="H65" s="135">
        <f>SUM(H53,H48,H49:H52)</f>
        <v>53462.399599999997</v>
      </c>
      <c r="I65" s="136"/>
      <c r="J65" s="137"/>
      <c r="K65" s="137"/>
      <c r="L65" s="189">
        <f>SUM(L53,L48,L49:L52)</f>
        <v>55238.198799999998</v>
      </c>
      <c r="M65" s="138"/>
      <c r="N65" s="139">
        <f>L65-H65</f>
        <v>1775.7992000000013</v>
      </c>
      <c r="O65" s="99">
        <f>IF((H65)=0,"",(N65/H65))</f>
        <v>3.3215852885136891E-2</v>
      </c>
    </row>
    <row r="66" spans="1:15" s="73" customFormat="1" ht="13.15" x14ac:dyDescent="0.25">
      <c r="B66" s="140" t="s">
        <v>41</v>
      </c>
      <c r="C66" s="75"/>
      <c r="D66" s="75"/>
      <c r="E66" s="75"/>
      <c r="F66" s="141">
        <v>0.13</v>
      </c>
      <c r="G66" s="134"/>
      <c r="H66" s="142">
        <f>H65*F66</f>
        <v>6950.1119479999998</v>
      </c>
      <c r="I66" s="143"/>
      <c r="J66" s="144">
        <v>0.13</v>
      </c>
      <c r="K66" s="145"/>
      <c r="L66" s="146">
        <f>L65*J66</f>
        <v>7180.9658440000003</v>
      </c>
      <c r="M66" s="147"/>
      <c r="N66" s="148">
        <f>L66-H66</f>
        <v>230.85389600000053</v>
      </c>
      <c r="O66" s="109">
        <f>IF((H66)=0,"",(N66/H66))</f>
        <v>3.321585288513694E-2</v>
      </c>
    </row>
    <row r="67" spans="1:15" s="73" customFormat="1" ht="13.15" x14ac:dyDescent="0.25">
      <c r="B67" s="149" t="s">
        <v>42</v>
      </c>
      <c r="C67" s="75"/>
      <c r="D67" s="75"/>
      <c r="E67" s="75"/>
      <c r="F67" s="150"/>
      <c r="G67" s="151"/>
      <c r="H67" s="142">
        <f>H65+H66</f>
        <v>60412.511547999995</v>
      </c>
      <c r="I67" s="143"/>
      <c r="J67" s="143"/>
      <c r="K67" s="143"/>
      <c r="L67" s="146">
        <f>L65+L66</f>
        <v>62419.164643999997</v>
      </c>
      <c r="M67" s="147"/>
      <c r="N67" s="148">
        <f>L67-H67</f>
        <v>2006.6530960000018</v>
      </c>
      <c r="O67" s="109">
        <f>IF((H67)=0,"",(N67/H67))</f>
        <v>3.3215852885136898E-2</v>
      </c>
    </row>
    <row r="68" spans="1:15" s="73" customFormat="1" ht="15.75" customHeight="1" x14ac:dyDescent="0.25">
      <c r="B68" s="389" t="s">
        <v>43</v>
      </c>
      <c r="C68" s="389"/>
      <c r="D68" s="389"/>
      <c r="E68" s="75"/>
      <c r="F68" s="150"/>
      <c r="G68" s="151"/>
      <c r="H68" s="152"/>
      <c r="I68" s="143"/>
      <c r="J68" s="143"/>
      <c r="K68" s="143"/>
      <c r="L68" s="153"/>
      <c r="M68" s="147"/>
      <c r="N68" s="154">
        <f>L68-H68</f>
        <v>0</v>
      </c>
      <c r="O68" s="115" t="str">
        <f>IF((H68)=0,"",(N68/H68))</f>
        <v/>
      </c>
    </row>
    <row r="69" spans="1:15" s="73" customFormat="1" ht="13.5" thickBot="1" x14ac:dyDescent="0.25">
      <c r="B69" s="376" t="s">
        <v>46</v>
      </c>
      <c r="C69" s="376"/>
      <c r="D69" s="376"/>
      <c r="E69" s="155"/>
      <c r="F69" s="156"/>
      <c r="G69" s="157"/>
      <c r="H69" s="158">
        <f>SUM(H67:H68)</f>
        <v>60412.511547999995</v>
      </c>
      <c r="I69" s="159"/>
      <c r="J69" s="159"/>
      <c r="K69" s="159"/>
      <c r="L69" s="160">
        <f>SUM(L67:L68)</f>
        <v>62419.164643999997</v>
      </c>
      <c r="M69" s="161"/>
      <c r="N69" s="162">
        <f>L69-H69</f>
        <v>2006.6530960000018</v>
      </c>
      <c r="O69" s="163">
        <f>IF((H69)=0,"",(N69/H69))</f>
        <v>3.3215852885136898E-2</v>
      </c>
    </row>
    <row r="70" spans="1:15" s="73" customFormat="1" ht="8.25" customHeight="1" thickBot="1" x14ac:dyDescent="0.25">
      <c r="B70" s="125"/>
      <c r="C70" s="126"/>
      <c r="D70" s="127"/>
      <c r="E70" s="126"/>
      <c r="F70" s="164"/>
      <c r="G70" s="165"/>
      <c r="H70" s="166"/>
      <c r="I70" s="167"/>
      <c r="J70" s="164"/>
      <c r="K70" s="128"/>
      <c r="L70" s="168"/>
      <c r="M70" s="129"/>
      <c r="N70" s="169"/>
      <c r="O70" s="90"/>
    </row>
    <row r="71" spans="1:15" ht="10.5" customHeight="1" x14ac:dyDescent="0.25">
      <c r="L71" s="72"/>
    </row>
    <row r="72" spans="1:15" x14ac:dyDescent="0.25">
      <c r="B72" s="13" t="s">
        <v>47</v>
      </c>
      <c r="F72" s="170">
        <f>+'Res (100kWh)'!$F$73</f>
        <v>4.0399999999999998E-2</v>
      </c>
      <c r="J72" s="170">
        <f>+'Res (100kWh)'!$J$73</f>
        <v>3.6200000000000003E-2</v>
      </c>
    </row>
    <row r="73" spans="1:15" ht="10.5" customHeight="1" x14ac:dyDescent="0.25"/>
    <row r="74" spans="1:15" x14ac:dyDescent="0.25">
      <c r="A74" s="171" t="s">
        <v>48</v>
      </c>
    </row>
    <row r="75" spans="1:15" ht="10.5" customHeight="1" x14ac:dyDescent="0.25"/>
    <row r="76" spans="1:15" x14ac:dyDescent="0.25">
      <c r="A76" s="7" t="s">
        <v>49</v>
      </c>
    </row>
    <row r="77" spans="1:15" x14ac:dyDescent="0.25">
      <c r="A77" s="7" t="s">
        <v>50</v>
      </c>
    </row>
    <row r="79" spans="1:15" x14ac:dyDescent="0.25">
      <c r="A79" s="12" t="s">
        <v>51</v>
      </c>
    </row>
    <row r="80" spans="1:15" x14ac:dyDescent="0.25">
      <c r="A80" s="12" t="s">
        <v>52</v>
      </c>
    </row>
    <row r="82" spans="1:2" x14ac:dyDescent="0.25">
      <c r="A82" s="7" t="s">
        <v>53</v>
      </c>
    </row>
    <row r="83" spans="1:2" x14ac:dyDescent="0.25">
      <c r="A83" s="7" t="s">
        <v>54</v>
      </c>
    </row>
    <row r="84" spans="1:2" x14ac:dyDescent="0.25">
      <c r="A84" s="7" t="s">
        <v>55</v>
      </c>
    </row>
    <row r="85" spans="1:2" x14ac:dyDescent="0.25">
      <c r="A85" s="7" t="s">
        <v>56</v>
      </c>
    </row>
    <row r="86" spans="1:2" x14ac:dyDescent="0.25">
      <c r="A86" s="7" t="s">
        <v>57</v>
      </c>
    </row>
    <row r="88" spans="1:2" x14ac:dyDescent="0.25">
      <c r="A88" s="172"/>
      <c r="B88" s="7" t="s">
        <v>58</v>
      </c>
    </row>
  </sheetData>
  <mergeCells count="17">
    <mergeCell ref="B69:D69"/>
    <mergeCell ref="D19:D20"/>
    <mergeCell ref="N19:N20"/>
    <mergeCell ref="O19:O20"/>
    <mergeCell ref="B62:D62"/>
    <mergeCell ref="B63:D63"/>
    <mergeCell ref="B68:D68"/>
    <mergeCell ref="F18:H18"/>
    <mergeCell ref="J18:L18"/>
    <mergeCell ref="N18:O18"/>
    <mergeCell ref="N1:O1"/>
    <mergeCell ref="N2:O2"/>
    <mergeCell ref="N5:O5"/>
    <mergeCell ref="B8:O8"/>
    <mergeCell ref="B9:O9"/>
    <mergeCell ref="D12:O12"/>
    <mergeCell ref="N3:O3"/>
  </mergeCells>
  <dataValidations count="4">
    <dataValidation type="list" allowBlank="1" showInputMessage="1" showErrorMessage="1" sqref="E46:E47 E38:E44 E21:E36 E49:E55 E58">
      <formula1>#REF!</formula1>
    </dataValidation>
    <dataValidation type="list" allowBlank="1" showInputMessage="1" showErrorMessage="1" prompt="Select Charge Unit - monthly, per kWh, per kW" sqref="D46:D47 D38:D44 D64 D21:D36 D70 D49:D58">
      <formula1>"Monthly, per kWh, per kW"</formula1>
    </dataValidation>
    <dataValidation type="list" allowBlank="1" showInputMessage="1" showErrorMessage="1" sqref="E70 E64 E56:E57">
      <formula1>#REF!</formula1>
    </dataValidation>
    <dataValidation type="list" allowBlank="1" showInputMessage="1" showErrorMessage="1" sqref="D14">
      <formula1>"TOU, non-TOU"</formula1>
    </dataValidation>
  </dataValidations>
  <pageMargins left="0.7" right="0.7" top="0.75" bottom="0.75" header="0.3" footer="0.3"/>
  <pageSetup scale="57" orientation="portrait"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CCCCFF"/>
    <pageSetUpPr fitToPage="1"/>
  </sheetPr>
  <dimension ref="A1:T88"/>
  <sheetViews>
    <sheetView showGridLines="0" topLeftCell="A19" zoomScaleNormal="100" workbookViewId="0">
      <selection activeCell="J38" sqref="J38:J42"/>
    </sheetView>
  </sheetViews>
  <sheetFormatPr defaultColWidth="9.140625" defaultRowHeight="15" x14ac:dyDescent="0.25"/>
  <cols>
    <col min="1" max="1" width="2.140625" style="7" customWidth="1"/>
    <col min="2" max="2" width="44.5703125" style="7" customWidth="1"/>
    <col min="3" max="3" width="1.28515625" style="7" customWidth="1"/>
    <col min="4" max="4" width="11.28515625" style="7" customWidth="1"/>
    <col min="5" max="5" width="1.28515625" style="7" customWidth="1"/>
    <col min="6" max="6" width="12.28515625" style="7" customWidth="1"/>
    <col min="7" max="7" width="9" style="7" bestFit="1" customWidth="1"/>
    <col min="8" max="8" width="14.28515625" style="7" bestFit="1" customWidth="1"/>
    <col min="9" max="9" width="2.85546875" style="7" customWidth="1"/>
    <col min="10" max="10" width="12.140625" style="7" customWidth="1"/>
    <col min="11" max="11" width="9" style="7" bestFit="1" customWidth="1"/>
    <col min="12" max="12" width="14.28515625" style="7" bestFit="1" customWidth="1"/>
    <col min="13" max="13" width="2.85546875" style="7" customWidth="1"/>
    <col min="14" max="14" width="12.7109375" style="7" bestFit="1" customWidth="1"/>
    <col min="15" max="15" width="9.85546875" style="7" customWidth="1"/>
    <col min="16" max="16" width="3.85546875" style="7" customWidth="1"/>
    <col min="17" max="19" width="9.140625" style="7"/>
    <col min="20" max="20" width="9.140625" style="7" customWidth="1"/>
    <col min="21" max="16384" width="9.140625" style="7"/>
  </cols>
  <sheetData>
    <row r="1" spans="1:20" s="2" customFormat="1" ht="15" customHeigh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3" t="s">
        <v>0</v>
      </c>
      <c r="N1" s="368" t="s">
        <v>94</v>
      </c>
      <c r="O1" s="368"/>
      <c r="P1"/>
      <c r="T1" s="2">
        <v>1</v>
      </c>
    </row>
    <row r="2" spans="1:20" s="2" customFormat="1" ht="15" customHeight="1" x14ac:dyDescent="0.3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3" t="s">
        <v>95</v>
      </c>
      <c r="N2" s="369">
        <v>8</v>
      </c>
      <c r="O2" s="369"/>
      <c r="P2"/>
    </row>
    <row r="3" spans="1:20" s="2" customFormat="1" ht="15" customHeight="1" x14ac:dyDescent="0.3">
      <c r="C3" s="6"/>
      <c r="D3" s="6"/>
      <c r="E3" s="6"/>
      <c r="L3" s="3" t="s">
        <v>96</v>
      </c>
      <c r="N3" s="370" t="s">
        <v>97</v>
      </c>
      <c r="O3" s="370"/>
      <c r="P3"/>
    </row>
    <row r="4" spans="1:20" s="2" customFormat="1" ht="9" customHeight="1" x14ac:dyDescent="0.3">
      <c r="L4" s="3"/>
      <c r="N4" s="310"/>
      <c r="O4"/>
      <c r="P4"/>
    </row>
    <row r="5" spans="1:20" s="2" customFormat="1" ht="14.45" x14ac:dyDescent="0.3">
      <c r="L5" s="3" t="s">
        <v>76</v>
      </c>
      <c r="N5" s="387">
        <v>42124</v>
      </c>
      <c r="O5" s="387"/>
      <c r="P5"/>
    </row>
    <row r="6" spans="1:20" s="2" customFormat="1" ht="15" customHeight="1" x14ac:dyDescent="0.3">
      <c r="N6" s="7"/>
      <c r="O6"/>
      <c r="P6"/>
    </row>
    <row r="7" spans="1:20" ht="7.5" customHeight="1" x14ac:dyDescent="0.3">
      <c r="L7"/>
      <c r="M7"/>
      <c r="N7"/>
      <c r="O7"/>
      <c r="P7"/>
    </row>
    <row r="8" spans="1:20" ht="18.75" customHeight="1" x14ac:dyDescent="0.3">
      <c r="B8" s="367" t="s">
        <v>1</v>
      </c>
      <c r="C8" s="367"/>
      <c r="D8" s="367"/>
      <c r="E8" s="367"/>
      <c r="F8" s="367"/>
      <c r="G8" s="367"/>
      <c r="H8" s="367"/>
      <c r="I8" s="367"/>
      <c r="J8" s="367"/>
      <c r="K8" s="367"/>
      <c r="L8" s="367"/>
      <c r="M8" s="367"/>
      <c r="N8" s="367"/>
      <c r="O8" s="367"/>
      <c r="P8"/>
    </row>
    <row r="9" spans="1:20" ht="18.75" customHeight="1" x14ac:dyDescent="0.3">
      <c r="B9" s="367" t="s">
        <v>2</v>
      </c>
      <c r="C9" s="367"/>
      <c r="D9" s="367"/>
      <c r="E9" s="367"/>
      <c r="F9" s="367"/>
      <c r="G9" s="367"/>
      <c r="H9" s="367"/>
      <c r="I9" s="367"/>
      <c r="J9" s="367"/>
      <c r="K9" s="367"/>
      <c r="L9" s="367"/>
      <c r="M9" s="367"/>
      <c r="N9" s="367"/>
      <c r="O9" s="367"/>
      <c r="P9"/>
    </row>
    <row r="10" spans="1:20" ht="7.5" customHeight="1" x14ac:dyDescent="0.3">
      <c r="L10"/>
      <c r="M10"/>
      <c r="N10"/>
      <c r="O10"/>
      <c r="P10"/>
    </row>
    <row r="11" spans="1:20" ht="7.5" customHeight="1" x14ac:dyDescent="0.3">
      <c r="L11"/>
      <c r="M11"/>
      <c r="N11"/>
      <c r="O11"/>
      <c r="P11"/>
    </row>
    <row r="12" spans="1:20" ht="15.6" x14ac:dyDescent="0.3">
      <c r="B12" s="8" t="s">
        <v>3</v>
      </c>
      <c r="D12" s="386" t="s">
        <v>71</v>
      </c>
      <c r="E12" s="386"/>
      <c r="F12" s="386"/>
      <c r="G12" s="386"/>
      <c r="H12" s="386"/>
      <c r="I12" s="386"/>
      <c r="J12" s="386"/>
      <c r="K12" s="386"/>
      <c r="L12" s="386"/>
      <c r="M12" s="386"/>
      <c r="N12" s="386"/>
      <c r="O12" s="386"/>
    </row>
    <row r="13" spans="1:20" ht="7.5" customHeight="1" x14ac:dyDescent="0.3">
      <c r="B13" s="9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</row>
    <row r="14" spans="1:20" ht="15.6" x14ac:dyDescent="0.3">
      <c r="B14" s="8" t="s">
        <v>4</v>
      </c>
      <c r="D14" s="11" t="s">
        <v>68</v>
      </c>
      <c r="E14" s="10"/>
      <c r="F14" s="10"/>
      <c r="G14" s="10"/>
      <c r="H14" s="10"/>
      <c r="I14" s="10"/>
      <c r="J14" s="278"/>
      <c r="K14" s="10"/>
      <c r="L14" s="10"/>
      <c r="M14" s="10"/>
      <c r="N14" s="10"/>
      <c r="O14" s="10"/>
    </row>
    <row r="15" spans="1:20" ht="15.6" x14ac:dyDescent="0.3">
      <c r="B15" s="9"/>
      <c r="D15" s="10"/>
      <c r="E15" s="10"/>
      <c r="F15" s="10"/>
      <c r="G15" s="10"/>
      <c r="H15" s="10"/>
      <c r="I15" s="10"/>
      <c r="J15" s="278"/>
      <c r="K15" s="10"/>
      <c r="L15" s="10"/>
      <c r="M15" s="10"/>
      <c r="N15" s="10"/>
      <c r="O15" s="10"/>
    </row>
    <row r="16" spans="1:20" ht="14.45" x14ac:dyDescent="0.3">
      <c r="B16" s="12"/>
      <c r="D16" s="13" t="s">
        <v>6</v>
      </c>
      <c r="E16" s="13"/>
      <c r="F16" s="14">
        <v>8000000</v>
      </c>
      <c r="G16" s="13" t="s">
        <v>7</v>
      </c>
      <c r="H16" s="14">
        <v>14500</v>
      </c>
      <c r="I16" s="13" t="s">
        <v>69</v>
      </c>
      <c r="J16" s="280"/>
    </row>
    <row r="17" spans="2:15" ht="14.45" x14ac:dyDescent="0.3">
      <c r="B17" s="12"/>
      <c r="F17" s="281"/>
      <c r="G17" s="34"/>
      <c r="H17" s="34"/>
      <c r="J17" s="281"/>
    </row>
    <row r="18" spans="2:15" ht="14.45" x14ac:dyDescent="0.3">
      <c r="B18" s="12"/>
      <c r="D18" s="15"/>
      <c r="E18" s="15"/>
      <c r="F18" s="373" t="s">
        <v>8</v>
      </c>
      <c r="G18" s="374"/>
      <c r="H18" s="375"/>
      <c r="J18" s="373" t="s">
        <v>9</v>
      </c>
      <c r="K18" s="374"/>
      <c r="L18" s="375"/>
      <c r="N18" s="373" t="s">
        <v>10</v>
      </c>
      <c r="O18" s="375"/>
    </row>
    <row r="19" spans="2:15" x14ac:dyDescent="0.25">
      <c r="B19" s="12"/>
      <c r="D19" s="377" t="s">
        <v>11</v>
      </c>
      <c r="E19" s="16"/>
      <c r="F19" s="17" t="s">
        <v>12</v>
      </c>
      <c r="G19" s="17" t="s">
        <v>13</v>
      </c>
      <c r="H19" s="18" t="s">
        <v>14</v>
      </c>
      <c r="J19" s="17" t="s">
        <v>12</v>
      </c>
      <c r="K19" s="19" t="s">
        <v>13</v>
      </c>
      <c r="L19" s="18" t="s">
        <v>14</v>
      </c>
      <c r="N19" s="379" t="s">
        <v>15</v>
      </c>
      <c r="O19" s="381" t="s">
        <v>16</v>
      </c>
    </row>
    <row r="20" spans="2:15" x14ac:dyDescent="0.25">
      <c r="B20" s="12"/>
      <c r="D20" s="378"/>
      <c r="E20" s="16"/>
      <c r="F20" s="20" t="s">
        <v>17</v>
      </c>
      <c r="G20" s="20"/>
      <c r="H20" s="21" t="s">
        <v>17</v>
      </c>
      <c r="J20" s="20" t="s">
        <v>17</v>
      </c>
      <c r="K20" s="21"/>
      <c r="L20" s="21" t="s">
        <v>17</v>
      </c>
      <c r="N20" s="380"/>
      <c r="O20" s="382"/>
    </row>
    <row r="21" spans="2:15" ht="22.5" customHeight="1" x14ac:dyDescent="0.25">
      <c r="B21" s="22" t="s">
        <v>18</v>
      </c>
      <c r="C21" s="22"/>
      <c r="D21" s="23" t="s">
        <v>60</v>
      </c>
      <c r="E21" s="24"/>
      <c r="F21" s="174">
        <v>6975.72</v>
      </c>
      <c r="G21" s="26">
        <v>1</v>
      </c>
      <c r="H21" s="27">
        <f>G21*F21</f>
        <v>6975.72</v>
      </c>
      <c r="I21" s="28"/>
      <c r="J21" s="283">
        <v>6975.72</v>
      </c>
      <c r="K21" s="30">
        <v>1</v>
      </c>
      <c r="L21" s="27">
        <f>K21*J21</f>
        <v>6975.72</v>
      </c>
      <c r="M21" s="28"/>
      <c r="N21" s="31">
        <f>L21-H21</f>
        <v>0</v>
      </c>
      <c r="O21" s="32">
        <f>IF((H21)=0,"",(N21/H21))</f>
        <v>0</v>
      </c>
    </row>
    <row r="22" spans="2:15" ht="36.75" customHeight="1" x14ac:dyDescent="0.25">
      <c r="B22" s="296" t="s">
        <v>88</v>
      </c>
      <c r="C22" s="22"/>
      <c r="D22" s="56" t="s">
        <v>70</v>
      </c>
      <c r="E22" s="24"/>
      <c r="F22" s="173"/>
      <c r="G22" s="179">
        <f>+H16</f>
        <v>14500</v>
      </c>
      <c r="H22" s="27">
        <f t="shared" ref="H22:H36" si="0">G22*F22</f>
        <v>0</v>
      </c>
      <c r="I22" s="28"/>
      <c r="J22" s="263">
        <v>0.20230000000000001</v>
      </c>
      <c r="K22" s="262">
        <f>+H16</f>
        <v>14500</v>
      </c>
      <c r="L22" s="27">
        <f>K22*J22</f>
        <v>2933.35</v>
      </c>
      <c r="M22" s="28"/>
      <c r="N22" s="31">
        <f>L22-H22</f>
        <v>2933.35</v>
      </c>
      <c r="O22" s="32" t="str">
        <f>IF((H22)=0,"",(N22/H22))</f>
        <v/>
      </c>
    </row>
    <row r="23" spans="2:15" x14ac:dyDescent="0.25">
      <c r="B23" s="175"/>
      <c r="C23" s="22"/>
      <c r="D23" s="56" t="s">
        <v>60</v>
      </c>
      <c r="E23" s="57"/>
      <c r="F23" s="173"/>
      <c r="G23" s="26">
        <v>1</v>
      </c>
      <c r="H23" s="27">
        <f t="shared" si="0"/>
        <v>0</v>
      </c>
      <c r="I23" s="28"/>
      <c r="J23" s="263"/>
      <c r="K23" s="30">
        <v>1</v>
      </c>
      <c r="L23" s="27">
        <f t="shared" ref="L23:L36" si="1">K23*J23</f>
        <v>0</v>
      </c>
      <c r="M23" s="28"/>
      <c r="N23" s="31">
        <f t="shared" ref="N23:N37" si="2">L23-H23</f>
        <v>0</v>
      </c>
      <c r="O23" s="32" t="str">
        <f t="shared" ref="O23:O37" si="3">IF((H23)=0,"",(N23/H23))</f>
        <v/>
      </c>
    </row>
    <row r="24" spans="2:15" x14ac:dyDescent="0.25">
      <c r="B24" s="175"/>
      <c r="C24" s="22"/>
      <c r="D24" s="56" t="s">
        <v>60</v>
      </c>
      <c r="E24" s="24"/>
      <c r="F24" s="25"/>
      <c r="G24" s="26">
        <v>1</v>
      </c>
      <c r="H24" s="27">
        <f t="shared" si="0"/>
        <v>0</v>
      </c>
      <c r="I24" s="28"/>
      <c r="J24" s="283"/>
      <c r="K24" s="30">
        <v>1</v>
      </c>
      <c r="L24" s="27">
        <f t="shared" si="1"/>
        <v>0</v>
      </c>
      <c r="M24" s="28"/>
      <c r="N24" s="31">
        <f t="shared" si="2"/>
        <v>0</v>
      </c>
      <c r="O24" s="32" t="str">
        <f t="shared" si="3"/>
        <v/>
      </c>
    </row>
    <row r="25" spans="2:15" x14ac:dyDescent="0.25">
      <c r="B25" s="296" t="s">
        <v>65</v>
      </c>
      <c r="C25" s="22"/>
      <c r="D25" s="23" t="s">
        <v>70</v>
      </c>
      <c r="E25" s="24"/>
      <c r="F25" s="25">
        <v>-7.1999999999999998E-3</v>
      </c>
      <c r="G25" s="179">
        <f>$H$16</f>
        <v>14500</v>
      </c>
      <c r="H25" s="27">
        <f t="shared" si="0"/>
        <v>-104.39999999999999</v>
      </c>
      <c r="I25" s="28"/>
      <c r="J25" s="284">
        <v>-7.1999999999999998E-3</v>
      </c>
      <c r="K25" s="179">
        <f>$H$16</f>
        <v>14500</v>
      </c>
      <c r="L25" s="27">
        <f t="shared" si="1"/>
        <v>-104.39999999999999</v>
      </c>
      <c r="M25" s="28"/>
      <c r="N25" s="31">
        <f t="shared" si="2"/>
        <v>0</v>
      </c>
      <c r="O25" s="32">
        <f t="shared" si="3"/>
        <v>0</v>
      </c>
    </row>
    <row r="26" spans="2:15" x14ac:dyDescent="0.25">
      <c r="B26" s="296" t="s">
        <v>66</v>
      </c>
      <c r="C26" s="22"/>
      <c r="D26" s="23" t="s">
        <v>70</v>
      </c>
      <c r="E26" s="24"/>
      <c r="F26" s="173"/>
      <c r="G26" s="179">
        <f>$H$16</f>
        <v>14500</v>
      </c>
      <c r="H26" s="27">
        <f t="shared" si="0"/>
        <v>0</v>
      </c>
      <c r="I26" s="28"/>
      <c r="J26" s="366">
        <v>-0.86119999999999997</v>
      </c>
      <c r="K26" s="179">
        <f>$H$16</f>
        <v>14500</v>
      </c>
      <c r="L26" s="27">
        <f t="shared" si="1"/>
        <v>-12487.4</v>
      </c>
      <c r="M26" s="28"/>
      <c r="N26" s="31">
        <f t="shared" si="2"/>
        <v>-12487.4</v>
      </c>
      <c r="O26" s="32" t="str">
        <f t="shared" si="3"/>
        <v/>
      </c>
    </row>
    <row r="27" spans="2:15" x14ac:dyDescent="0.25">
      <c r="B27" s="22" t="s">
        <v>19</v>
      </c>
      <c r="C27" s="22"/>
      <c r="D27" s="23" t="s">
        <v>70</v>
      </c>
      <c r="E27" s="24"/>
      <c r="F27" s="25">
        <v>3.3374999999999999</v>
      </c>
      <c r="G27" s="179">
        <f>$H$16</f>
        <v>14500</v>
      </c>
      <c r="H27" s="27">
        <f t="shared" si="0"/>
        <v>48393.75</v>
      </c>
      <c r="I27" s="28"/>
      <c r="J27" s="263">
        <v>4.0579000000000001</v>
      </c>
      <c r="K27" s="179">
        <f>$H$16</f>
        <v>14500</v>
      </c>
      <c r="L27" s="27">
        <f t="shared" si="1"/>
        <v>58839.55</v>
      </c>
      <c r="M27" s="28"/>
      <c r="N27" s="31">
        <f t="shared" si="2"/>
        <v>10445.800000000003</v>
      </c>
      <c r="O27" s="32">
        <f t="shared" si="3"/>
        <v>0.21585018726591768</v>
      </c>
    </row>
    <row r="28" spans="2:15" x14ac:dyDescent="0.25">
      <c r="B28" s="22" t="s">
        <v>20</v>
      </c>
      <c r="C28" s="22"/>
      <c r="D28" s="23"/>
      <c r="E28" s="24"/>
      <c r="F28" s="25"/>
      <c r="G28" s="26">
        <f>$F$16</f>
        <v>8000000</v>
      </c>
      <c r="H28" s="27">
        <f t="shared" si="0"/>
        <v>0</v>
      </c>
      <c r="I28" s="28"/>
      <c r="J28" s="29"/>
      <c r="K28" s="26">
        <f t="shared" ref="K28:K36" si="4">$F$16</f>
        <v>8000000</v>
      </c>
      <c r="L28" s="27">
        <f t="shared" si="1"/>
        <v>0</v>
      </c>
      <c r="M28" s="28"/>
      <c r="N28" s="31">
        <f t="shared" si="2"/>
        <v>0</v>
      </c>
      <c r="O28" s="32" t="str">
        <f t="shared" si="3"/>
        <v/>
      </c>
    </row>
    <row r="29" spans="2:15" x14ac:dyDescent="0.25">
      <c r="B29" s="22" t="s">
        <v>21</v>
      </c>
      <c r="C29" s="22"/>
      <c r="D29" s="23"/>
      <c r="E29" s="24"/>
      <c r="F29" s="25"/>
      <c r="G29" s="26">
        <f>$F$16</f>
        <v>8000000</v>
      </c>
      <c r="H29" s="27">
        <f t="shared" si="0"/>
        <v>0</v>
      </c>
      <c r="I29" s="28"/>
      <c r="J29" s="29"/>
      <c r="K29" s="26">
        <f t="shared" si="4"/>
        <v>8000000</v>
      </c>
      <c r="L29" s="27">
        <f t="shared" si="1"/>
        <v>0</v>
      </c>
      <c r="M29" s="28"/>
      <c r="N29" s="31">
        <f t="shared" si="2"/>
        <v>0</v>
      </c>
      <c r="O29" s="32" t="str">
        <f t="shared" si="3"/>
        <v/>
      </c>
    </row>
    <row r="30" spans="2:15" x14ac:dyDescent="0.25">
      <c r="B30" s="33"/>
      <c r="C30" s="22"/>
      <c r="D30" s="23"/>
      <c r="E30" s="24"/>
      <c r="F30" s="25"/>
      <c r="G30" s="26">
        <f t="shared" ref="G30:G36" si="5">$F$16</f>
        <v>8000000</v>
      </c>
      <c r="H30" s="27">
        <f t="shared" si="0"/>
        <v>0</v>
      </c>
      <c r="I30" s="28"/>
      <c r="J30" s="29"/>
      <c r="K30" s="26">
        <f t="shared" si="4"/>
        <v>8000000</v>
      </c>
      <c r="L30" s="27">
        <f t="shared" si="1"/>
        <v>0</v>
      </c>
      <c r="M30" s="28"/>
      <c r="N30" s="31">
        <f t="shared" si="2"/>
        <v>0</v>
      </c>
      <c r="O30" s="32" t="str">
        <f t="shared" si="3"/>
        <v/>
      </c>
    </row>
    <row r="31" spans="2:15" x14ac:dyDescent="0.25">
      <c r="B31" s="33"/>
      <c r="C31" s="22"/>
      <c r="D31" s="23"/>
      <c r="E31" s="24"/>
      <c r="F31" s="25"/>
      <c r="G31" s="26">
        <f t="shared" si="5"/>
        <v>8000000</v>
      </c>
      <c r="H31" s="27">
        <f t="shared" si="0"/>
        <v>0</v>
      </c>
      <c r="I31" s="28"/>
      <c r="J31" s="29"/>
      <c r="K31" s="26">
        <f t="shared" si="4"/>
        <v>8000000</v>
      </c>
      <c r="L31" s="27">
        <f t="shared" si="1"/>
        <v>0</v>
      </c>
      <c r="M31" s="28"/>
      <c r="N31" s="31">
        <f t="shared" si="2"/>
        <v>0</v>
      </c>
      <c r="O31" s="32" t="str">
        <f t="shared" si="3"/>
        <v/>
      </c>
    </row>
    <row r="32" spans="2:15" x14ac:dyDescent="0.25">
      <c r="B32" s="33"/>
      <c r="C32" s="22"/>
      <c r="D32" s="23"/>
      <c r="E32" s="24"/>
      <c r="F32" s="25"/>
      <c r="G32" s="26">
        <f t="shared" si="5"/>
        <v>8000000</v>
      </c>
      <c r="H32" s="27">
        <f t="shared" si="0"/>
        <v>0</v>
      </c>
      <c r="I32" s="28"/>
      <c r="J32" s="29"/>
      <c r="K32" s="26">
        <f t="shared" si="4"/>
        <v>8000000</v>
      </c>
      <c r="L32" s="27">
        <f t="shared" si="1"/>
        <v>0</v>
      </c>
      <c r="M32" s="28"/>
      <c r="N32" s="31">
        <f t="shared" si="2"/>
        <v>0</v>
      </c>
      <c r="O32" s="32" t="str">
        <f t="shared" si="3"/>
        <v/>
      </c>
    </row>
    <row r="33" spans="2:17" x14ac:dyDescent="0.25">
      <c r="B33" s="33"/>
      <c r="C33" s="22"/>
      <c r="D33" s="23"/>
      <c r="E33" s="24"/>
      <c r="F33" s="25"/>
      <c r="G33" s="26">
        <f t="shared" si="5"/>
        <v>8000000</v>
      </c>
      <c r="H33" s="27">
        <f t="shared" si="0"/>
        <v>0</v>
      </c>
      <c r="I33" s="28"/>
      <c r="J33" s="29"/>
      <c r="K33" s="26">
        <f t="shared" si="4"/>
        <v>8000000</v>
      </c>
      <c r="L33" s="27">
        <f t="shared" si="1"/>
        <v>0</v>
      </c>
      <c r="M33" s="28"/>
      <c r="N33" s="31">
        <f t="shared" si="2"/>
        <v>0</v>
      </c>
      <c r="O33" s="32" t="str">
        <f t="shared" si="3"/>
        <v/>
      </c>
    </row>
    <row r="34" spans="2:17" x14ac:dyDescent="0.25">
      <c r="B34" s="33"/>
      <c r="C34" s="22"/>
      <c r="D34" s="23"/>
      <c r="E34" s="24"/>
      <c r="F34" s="25"/>
      <c r="G34" s="26">
        <f t="shared" si="5"/>
        <v>8000000</v>
      </c>
      <c r="H34" s="27">
        <f t="shared" si="0"/>
        <v>0</v>
      </c>
      <c r="I34" s="28"/>
      <c r="J34" s="29"/>
      <c r="K34" s="26">
        <f t="shared" si="4"/>
        <v>8000000</v>
      </c>
      <c r="L34" s="27">
        <f t="shared" si="1"/>
        <v>0</v>
      </c>
      <c r="M34" s="28"/>
      <c r="N34" s="31">
        <f t="shared" si="2"/>
        <v>0</v>
      </c>
      <c r="O34" s="32" t="str">
        <f t="shared" si="3"/>
        <v/>
      </c>
    </row>
    <row r="35" spans="2:17" x14ac:dyDescent="0.25">
      <c r="B35" s="33"/>
      <c r="C35" s="22"/>
      <c r="D35" s="23"/>
      <c r="E35" s="24"/>
      <c r="F35" s="25"/>
      <c r="G35" s="26">
        <f t="shared" si="5"/>
        <v>8000000</v>
      </c>
      <c r="H35" s="27">
        <f t="shared" si="0"/>
        <v>0</v>
      </c>
      <c r="I35" s="28"/>
      <c r="J35" s="29"/>
      <c r="K35" s="26">
        <f t="shared" si="4"/>
        <v>8000000</v>
      </c>
      <c r="L35" s="27">
        <f t="shared" si="1"/>
        <v>0</v>
      </c>
      <c r="M35" s="28"/>
      <c r="N35" s="31">
        <f t="shared" si="2"/>
        <v>0</v>
      </c>
      <c r="O35" s="32" t="str">
        <f t="shared" si="3"/>
        <v/>
      </c>
    </row>
    <row r="36" spans="2:17" x14ac:dyDescent="0.25">
      <c r="B36" s="33"/>
      <c r="C36" s="22"/>
      <c r="D36" s="23"/>
      <c r="E36" s="24"/>
      <c r="F36" s="25"/>
      <c r="G36" s="26">
        <f t="shared" si="5"/>
        <v>8000000</v>
      </c>
      <c r="H36" s="27">
        <f t="shared" si="0"/>
        <v>0</v>
      </c>
      <c r="I36" s="28"/>
      <c r="J36" s="29"/>
      <c r="K36" s="26">
        <f t="shared" si="4"/>
        <v>8000000</v>
      </c>
      <c r="L36" s="27">
        <f t="shared" si="1"/>
        <v>0</v>
      </c>
      <c r="M36" s="28"/>
      <c r="N36" s="31">
        <f t="shared" si="2"/>
        <v>0</v>
      </c>
      <c r="O36" s="32" t="str">
        <f t="shared" si="3"/>
        <v/>
      </c>
    </row>
    <row r="37" spans="2:17" s="34" customFormat="1" x14ac:dyDescent="0.25">
      <c r="B37" s="35" t="s">
        <v>22</v>
      </c>
      <c r="C37" s="36"/>
      <c r="D37" s="37"/>
      <c r="E37" s="36"/>
      <c r="F37" s="38"/>
      <c r="G37" s="39"/>
      <c r="H37" s="40">
        <f>SUM(H21:H36)</f>
        <v>55265.07</v>
      </c>
      <c r="I37" s="41"/>
      <c r="J37" s="42"/>
      <c r="K37" s="43"/>
      <c r="L37" s="40">
        <f>SUM(L21:L36)</f>
        <v>56156.820000000007</v>
      </c>
      <c r="M37" s="41"/>
      <c r="N37" s="44">
        <f t="shared" si="2"/>
        <v>891.75000000000728</v>
      </c>
      <c r="O37" s="45">
        <f t="shared" si="3"/>
        <v>1.6135870270317352E-2</v>
      </c>
    </row>
    <row r="38" spans="2:17" x14ac:dyDescent="0.25">
      <c r="B38" s="296" t="s">
        <v>23</v>
      </c>
      <c r="C38" s="22"/>
      <c r="D38" s="56" t="s">
        <v>70</v>
      </c>
      <c r="E38" s="57"/>
      <c r="F38" s="29">
        <v>-0.75409999999999999</v>
      </c>
      <c r="G38" s="179">
        <f>G27</f>
        <v>14500</v>
      </c>
      <c r="H38" s="27">
        <f t="shared" ref="H38:H44" si="6">G38*F38</f>
        <v>-10934.45</v>
      </c>
      <c r="I38" s="28"/>
      <c r="J38" s="263">
        <f>1.0507-0.7541</f>
        <v>0.29659999999999997</v>
      </c>
      <c r="K38" s="179">
        <f>H16</f>
        <v>14500</v>
      </c>
      <c r="L38" s="27">
        <f t="shared" ref="L38:L44" si="7">K38*J38</f>
        <v>4300.7</v>
      </c>
      <c r="M38" s="28"/>
      <c r="N38" s="31">
        <f t="shared" ref="N38:N44" si="8">L38-H38</f>
        <v>15235.150000000001</v>
      </c>
      <c r="O38" s="32">
        <f t="shared" ref="O38:O43" si="9">IF((H38)=0,"",(N38/H38))</f>
        <v>-1.3933165362683995</v>
      </c>
      <c r="Q38" s="365"/>
    </row>
    <row r="39" spans="2:17" x14ac:dyDescent="0.25">
      <c r="B39" s="296"/>
      <c r="C39" s="22"/>
      <c r="D39" s="23" t="s">
        <v>70</v>
      </c>
      <c r="E39" s="24"/>
      <c r="F39" s="25"/>
      <c r="G39" s="179">
        <f>H16</f>
        <v>14500</v>
      </c>
      <c r="H39" s="27">
        <f t="shared" si="6"/>
        <v>0</v>
      </c>
      <c r="I39" s="47"/>
      <c r="J39" s="263"/>
      <c r="K39" s="179">
        <f>H16</f>
        <v>14500</v>
      </c>
      <c r="L39" s="27">
        <f t="shared" si="7"/>
        <v>0</v>
      </c>
      <c r="M39" s="48"/>
      <c r="N39" s="31">
        <f t="shared" si="8"/>
        <v>0</v>
      </c>
      <c r="O39" s="32" t="str">
        <f t="shared" si="9"/>
        <v/>
      </c>
    </row>
    <row r="40" spans="2:17" x14ac:dyDescent="0.25">
      <c r="B40" s="46"/>
      <c r="C40" s="22"/>
      <c r="D40" s="23" t="s">
        <v>70</v>
      </c>
      <c r="E40" s="24"/>
      <c r="F40" s="25"/>
      <c r="G40" s="179">
        <f>H16</f>
        <v>14500</v>
      </c>
      <c r="H40" s="27">
        <f t="shared" si="6"/>
        <v>0</v>
      </c>
      <c r="I40" s="47"/>
      <c r="J40" s="263"/>
      <c r="K40" s="179">
        <f>H16</f>
        <v>14500</v>
      </c>
      <c r="L40" s="27">
        <f t="shared" si="7"/>
        <v>0</v>
      </c>
      <c r="M40" s="48"/>
      <c r="N40" s="31">
        <f t="shared" si="8"/>
        <v>0</v>
      </c>
      <c r="O40" s="32" t="str">
        <f t="shared" si="9"/>
        <v/>
      </c>
    </row>
    <row r="41" spans="2:17" ht="29.25" customHeight="1" x14ac:dyDescent="0.25">
      <c r="B41" s="296" t="s">
        <v>74</v>
      </c>
      <c r="C41" s="22"/>
      <c r="D41" s="23" t="s">
        <v>70</v>
      </c>
      <c r="E41" s="24"/>
      <c r="F41" s="29"/>
      <c r="G41" s="179">
        <f>H16</f>
        <v>14500</v>
      </c>
      <c r="H41" s="27">
        <f>G41*F41</f>
        <v>0</v>
      </c>
      <c r="I41" s="47"/>
      <c r="J41" s="263"/>
      <c r="K41" s="179">
        <f>H16</f>
        <v>14500</v>
      </c>
      <c r="L41" s="27">
        <f t="shared" si="7"/>
        <v>0</v>
      </c>
      <c r="M41" s="48"/>
      <c r="N41" s="31">
        <f t="shared" si="8"/>
        <v>0</v>
      </c>
      <c r="O41" s="32" t="str">
        <f t="shared" si="9"/>
        <v/>
      </c>
    </row>
    <row r="42" spans="2:17" x14ac:dyDescent="0.25">
      <c r="B42" s="49" t="s">
        <v>24</v>
      </c>
      <c r="C42" s="22"/>
      <c r="D42" s="23" t="s">
        <v>70</v>
      </c>
      <c r="E42" s="24"/>
      <c r="F42" s="25">
        <v>5.5300000000000002E-2</v>
      </c>
      <c r="G42" s="179">
        <f>H16</f>
        <v>14500</v>
      </c>
      <c r="H42" s="27">
        <f t="shared" si="6"/>
        <v>801.85</v>
      </c>
      <c r="I42" s="28"/>
      <c r="J42" s="263">
        <v>9.2499999999999999E-2</v>
      </c>
      <c r="K42" s="179">
        <f>H16</f>
        <v>14500</v>
      </c>
      <c r="L42" s="27">
        <f t="shared" si="7"/>
        <v>1341.25</v>
      </c>
      <c r="M42" s="28"/>
      <c r="N42" s="31">
        <f t="shared" si="8"/>
        <v>539.4</v>
      </c>
      <c r="O42" s="32">
        <f t="shared" si="9"/>
        <v>0.67269439421338151</v>
      </c>
    </row>
    <row r="43" spans="2:17" s="34" customFormat="1" x14ac:dyDescent="0.25">
      <c r="B43" s="181" t="s">
        <v>25</v>
      </c>
      <c r="C43" s="24"/>
      <c r="D43" s="182" t="s">
        <v>61</v>
      </c>
      <c r="E43" s="24"/>
      <c r="F43" s="342">
        <f>IF(ISBLANK(D14)=TRUE, 0, IF(D14="TOU", 0.64*$F$53+0.18*$F$54+0.18*$F$55, IF(AND(D14="non-TOU", G53&gt;0), F53)))</f>
        <v>0.10186000000000001</v>
      </c>
      <c r="G43" s="26">
        <f>$F$16*(1+$F$72)-$F$16</f>
        <v>39999.999999999069</v>
      </c>
      <c r="H43" s="184">
        <f t="shared" si="6"/>
        <v>4074.3999999999055</v>
      </c>
      <c r="I43" s="57"/>
      <c r="J43" s="342">
        <f>+J53</f>
        <v>0.10186000000000001</v>
      </c>
      <c r="K43" s="26">
        <f>$F$16*(1+$J$72)-$F$16</f>
        <v>37599.999999999069</v>
      </c>
      <c r="L43" s="184">
        <f t="shared" si="7"/>
        <v>3829.9359999999056</v>
      </c>
      <c r="M43" s="57"/>
      <c r="N43" s="186">
        <f t="shared" si="8"/>
        <v>-244.46399999999994</v>
      </c>
      <c r="O43" s="187">
        <f t="shared" si="9"/>
        <v>-6.0000000000001379E-2</v>
      </c>
    </row>
    <row r="44" spans="2:17" x14ac:dyDescent="0.25">
      <c r="B44" s="49"/>
      <c r="C44" s="22"/>
      <c r="D44" s="23" t="s">
        <v>60</v>
      </c>
      <c r="E44" s="24"/>
      <c r="F44" s="178"/>
      <c r="G44" s="26">
        <v>0</v>
      </c>
      <c r="H44" s="27">
        <f t="shared" si="6"/>
        <v>0</v>
      </c>
      <c r="I44" s="28"/>
      <c r="J44" s="178"/>
      <c r="K44" s="26">
        <v>0</v>
      </c>
      <c r="L44" s="27">
        <f t="shared" si="7"/>
        <v>0</v>
      </c>
      <c r="M44" s="28"/>
      <c r="N44" s="31">
        <f t="shared" si="8"/>
        <v>0</v>
      </c>
      <c r="O44" s="32"/>
    </row>
    <row r="45" spans="2:17" ht="25.5" x14ac:dyDescent="0.25">
      <c r="B45" s="50" t="s">
        <v>27</v>
      </c>
      <c r="C45" s="51"/>
      <c r="D45" s="51"/>
      <c r="E45" s="51"/>
      <c r="F45" s="304"/>
      <c r="G45" s="53"/>
      <c r="H45" s="54">
        <f>SUM(H38:H44)+H37</f>
        <v>49206.869999999908</v>
      </c>
      <c r="I45" s="41"/>
      <c r="J45" s="53"/>
      <c r="K45" s="55"/>
      <c r="L45" s="54">
        <f>SUM(L38:L44)+L37</f>
        <v>65628.705999999918</v>
      </c>
      <c r="M45" s="41"/>
      <c r="N45" s="44">
        <f t="shared" ref="N45:N63" si="10">L45-H45</f>
        <v>16421.83600000001</v>
      </c>
      <c r="O45" s="45">
        <f t="shared" ref="O45:O63" si="11">IF((H45)=0,"",(N45/H45))</f>
        <v>0.33373055429048915</v>
      </c>
    </row>
    <row r="46" spans="2:17" x14ac:dyDescent="0.25">
      <c r="B46" s="28" t="s">
        <v>28</v>
      </c>
      <c r="C46" s="28"/>
      <c r="D46" s="56" t="s">
        <v>70</v>
      </c>
      <c r="E46" s="57"/>
      <c r="F46" s="263">
        <v>3.3422999999999998</v>
      </c>
      <c r="G46" s="289">
        <f>+H16</f>
        <v>14500</v>
      </c>
      <c r="H46" s="27">
        <f>G46*F46</f>
        <v>48463.35</v>
      </c>
      <c r="I46" s="28"/>
      <c r="J46" s="263">
        <v>3.2624</v>
      </c>
      <c r="K46" s="290">
        <f>+G46</f>
        <v>14500</v>
      </c>
      <c r="L46" s="27">
        <f>K46*J46</f>
        <v>47304.800000000003</v>
      </c>
      <c r="M46" s="28"/>
      <c r="N46" s="31">
        <f t="shared" si="10"/>
        <v>-1158.5499999999956</v>
      </c>
      <c r="O46" s="32">
        <f t="shared" si="11"/>
        <v>-2.3905693683989978E-2</v>
      </c>
    </row>
    <row r="47" spans="2:17" x14ac:dyDescent="0.25">
      <c r="B47" s="59" t="s">
        <v>29</v>
      </c>
      <c r="C47" s="28"/>
      <c r="D47" s="56" t="s">
        <v>70</v>
      </c>
      <c r="E47" s="57"/>
      <c r="F47" s="263">
        <v>1.0234000000000001</v>
      </c>
      <c r="G47" s="289">
        <f>G46</f>
        <v>14500</v>
      </c>
      <c r="H47" s="27">
        <f>G47*F47</f>
        <v>14839.300000000001</v>
      </c>
      <c r="I47" s="28"/>
      <c r="J47" s="263">
        <v>1.0072000000000001</v>
      </c>
      <c r="K47" s="290">
        <f>K46</f>
        <v>14500</v>
      </c>
      <c r="L47" s="27">
        <f>K47*J47</f>
        <v>14604.400000000001</v>
      </c>
      <c r="M47" s="28"/>
      <c r="N47" s="31">
        <f t="shared" si="10"/>
        <v>-234.89999999999964</v>
      </c>
      <c r="O47" s="32">
        <f t="shared" si="11"/>
        <v>-1.5829587649013068E-2</v>
      </c>
    </row>
    <row r="48" spans="2:17" x14ac:dyDescent="0.25">
      <c r="B48" s="50" t="s">
        <v>30</v>
      </c>
      <c r="C48" s="36"/>
      <c r="D48" s="36"/>
      <c r="E48" s="36"/>
      <c r="F48" s="60"/>
      <c r="G48" s="53"/>
      <c r="H48" s="54">
        <f>SUM(H45:H47)</f>
        <v>112509.51999999992</v>
      </c>
      <c r="I48" s="61"/>
      <c r="J48" s="62"/>
      <c r="K48" s="63"/>
      <c r="L48" s="54">
        <f>SUM(L45:L47)</f>
        <v>127537.90599999993</v>
      </c>
      <c r="M48" s="61"/>
      <c r="N48" s="44">
        <f t="shared" si="10"/>
        <v>15028.386000000013</v>
      </c>
      <c r="O48" s="45">
        <f t="shared" si="11"/>
        <v>0.13357434997500678</v>
      </c>
    </row>
    <row r="49" spans="2:19" x14ac:dyDescent="0.25">
      <c r="B49" s="64" t="s">
        <v>31</v>
      </c>
      <c r="C49" s="22"/>
      <c r="D49" s="23" t="s">
        <v>61</v>
      </c>
      <c r="E49" s="24"/>
      <c r="F49" s="65">
        <v>4.4000000000000003E-3</v>
      </c>
      <c r="G49" s="289">
        <f>F16*(1+F72)</f>
        <v>8039999.9999999991</v>
      </c>
      <c r="H49" s="66">
        <f t="shared" ref="H49:H55" si="12">G49*F49</f>
        <v>35376</v>
      </c>
      <c r="I49" s="28"/>
      <c r="J49" s="263">
        <f>+F49</f>
        <v>4.4000000000000003E-3</v>
      </c>
      <c r="K49" s="290">
        <f>F16*(1+J72)</f>
        <v>8037599.9999999991</v>
      </c>
      <c r="L49" s="66">
        <f t="shared" ref="L49:L55" si="13">K49*J49</f>
        <v>35365.439999999995</v>
      </c>
      <c r="M49" s="28"/>
      <c r="N49" s="31">
        <f t="shared" si="10"/>
        <v>-10.560000000004948</v>
      </c>
      <c r="O49" s="68">
        <f t="shared" si="11"/>
        <v>-2.9850746268670703E-4</v>
      </c>
    </row>
    <row r="50" spans="2:19" x14ac:dyDescent="0.25">
      <c r="B50" s="64" t="s">
        <v>32</v>
      </c>
      <c r="C50" s="22"/>
      <c r="D50" s="23" t="s">
        <v>61</v>
      </c>
      <c r="E50" s="24"/>
      <c r="F50" s="65">
        <v>1.2999999999999999E-3</v>
      </c>
      <c r="G50" s="289">
        <f>G49</f>
        <v>8039999.9999999991</v>
      </c>
      <c r="H50" s="66">
        <f t="shared" si="12"/>
        <v>10451.999999999998</v>
      </c>
      <c r="I50" s="28"/>
      <c r="J50" s="263">
        <f>+F50</f>
        <v>1.2999999999999999E-3</v>
      </c>
      <c r="K50" s="290">
        <f>K49</f>
        <v>8037599.9999999991</v>
      </c>
      <c r="L50" s="66">
        <f t="shared" si="13"/>
        <v>10448.879999999999</v>
      </c>
      <c r="M50" s="28"/>
      <c r="N50" s="31">
        <f t="shared" si="10"/>
        <v>-3.1199999999989814</v>
      </c>
      <c r="O50" s="68">
        <f t="shared" si="11"/>
        <v>-2.9850746268646975E-4</v>
      </c>
    </row>
    <row r="51" spans="2:19" x14ac:dyDescent="0.25">
      <c r="B51" s="22" t="s">
        <v>33</v>
      </c>
      <c r="C51" s="22"/>
      <c r="D51" s="23" t="s">
        <v>60</v>
      </c>
      <c r="E51" s="24"/>
      <c r="F51" s="176">
        <v>0.25</v>
      </c>
      <c r="G51" s="26">
        <v>1</v>
      </c>
      <c r="H51" s="66">
        <f t="shared" si="12"/>
        <v>0.25</v>
      </c>
      <c r="I51" s="28"/>
      <c r="J51" s="283">
        <f>+F51</f>
        <v>0.25</v>
      </c>
      <c r="K51" s="30">
        <v>1</v>
      </c>
      <c r="L51" s="66">
        <f t="shared" si="13"/>
        <v>0.25</v>
      </c>
      <c r="M51" s="28"/>
      <c r="N51" s="31">
        <f t="shared" si="10"/>
        <v>0</v>
      </c>
      <c r="O51" s="68">
        <f t="shared" si="11"/>
        <v>0</v>
      </c>
    </row>
    <row r="52" spans="2:19" x14ac:dyDescent="0.25">
      <c r="B52" s="24" t="s">
        <v>34</v>
      </c>
      <c r="C52" s="22"/>
      <c r="D52" s="23" t="s">
        <v>61</v>
      </c>
      <c r="E52" s="24"/>
      <c r="F52" s="65">
        <v>7.0000000000000001E-3</v>
      </c>
      <c r="G52" s="69">
        <f>F16</f>
        <v>8000000</v>
      </c>
      <c r="H52" s="66">
        <f t="shared" si="12"/>
        <v>56000</v>
      </c>
      <c r="I52" s="28"/>
      <c r="J52" s="263">
        <f>+F52</f>
        <v>7.0000000000000001E-3</v>
      </c>
      <c r="K52" s="70">
        <f>F16</f>
        <v>8000000</v>
      </c>
      <c r="L52" s="66">
        <f t="shared" si="13"/>
        <v>56000</v>
      </c>
      <c r="M52" s="28"/>
      <c r="N52" s="31">
        <f t="shared" si="10"/>
        <v>0</v>
      </c>
      <c r="O52" s="68">
        <f t="shared" si="11"/>
        <v>0</v>
      </c>
    </row>
    <row r="53" spans="2:19" x14ac:dyDescent="0.25">
      <c r="B53" s="22" t="s">
        <v>98</v>
      </c>
      <c r="C53" s="22"/>
      <c r="D53" s="23" t="s">
        <v>61</v>
      </c>
      <c r="E53" s="24"/>
      <c r="F53" s="335">
        <f>+'GS 50-4999 (60kW)'!F53</f>
        <v>0.10186000000000001</v>
      </c>
      <c r="G53" s="69">
        <f>F16</f>
        <v>8000000</v>
      </c>
      <c r="H53" s="66">
        <f t="shared" si="12"/>
        <v>814880</v>
      </c>
      <c r="I53" s="28"/>
      <c r="J53" s="305">
        <f>F53</f>
        <v>0.10186000000000001</v>
      </c>
      <c r="K53" s="69">
        <f>G53</f>
        <v>8000000</v>
      </c>
      <c r="L53" s="66">
        <f t="shared" si="13"/>
        <v>814880</v>
      </c>
      <c r="M53" s="28"/>
      <c r="N53" s="31">
        <f t="shared" si="10"/>
        <v>0</v>
      </c>
      <c r="O53" s="68">
        <f t="shared" si="11"/>
        <v>0</v>
      </c>
      <c r="S53" s="72"/>
    </row>
    <row r="54" spans="2:19" x14ac:dyDescent="0.25">
      <c r="B54" s="49" t="s">
        <v>36</v>
      </c>
      <c r="C54" s="22"/>
      <c r="D54" s="23"/>
      <c r="E54" s="24"/>
      <c r="F54" s="71">
        <v>0.104</v>
      </c>
      <c r="G54" s="289">
        <v>0</v>
      </c>
      <c r="H54" s="66">
        <f t="shared" si="12"/>
        <v>0</v>
      </c>
      <c r="I54" s="28"/>
      <c r="J54" s="65">
        <v>0.104</v>
      </c>
      <c r="K54" s="289">
        <v>0</v>
      </c>
      <c r="L54" s="66">
        <f t="shared" si="13"/>
        <v>0</v>
      </c>
      <c r="M54" s="28"/>
      <c r="N54" s="31">
        <f t="shared" si="10"/>
        <v>0</v>
      </c>
      <c r="O54" s="68" t="str">
        <f t="shared" si="11"/>
        <v/>
      </c>
      <c r="S54" s="72"/>
    </row>
    <row r="55" spans="2:19" x14ac:dyDescent="0.25">
      <c r="B55" s="12" t="s">
        <v>37</v>
      </c>
      <c r="C55" s="22"/>
      <c r="D55" s="23"/>
      <c r="E55" s="24"/>
      <c r="F55" s="71">
        <v>0.124</v>
      </c>
      <c r="G55" s="289">
        <v>0</v>
      </c>
      <c r="H55" s="66">
        <f t="shared" si="12"/>
        <v>0</v>
      </c>
      <c r="I55" s="28"/>
      <c r="J55" s="65">
        <v>0.124</v>
      </c>
      <c r="K55" s="289">
        <v>0</v>
      </c>
      <c r="L55" s="66">
        <f t="shared" si="13"/>
        <v>0</v>
      </c>
      <c r="M55" s="28"/>
      <c r="N55" s="31">
        <f t="shared" si="10"/>
        <v>0</v>
      </c>
      <c r="O55" s="68" t="str">
        <f t="shared" si="11"/>
        <v/>
      </c>
      <c r="S55" s="72"/>
    </row>
    <row r="56" spans="2:19" s="73" customFormat="1" x14ac:dyDescent="0.2">
      <c r="B56" s="180" t="s">
        <v>38</v>
      </c>
      <c r="C56" s="75"/>
      <c r="D56" s="76"/>
      <c r="E56" s="77"/>
      <c r="F56" s="71">
        <v>7.4999999999999997E-2</v>
      </c>
      <c r="G56" s="78"/>
      <c r="H56" s="66">
        <f>G56*F56</f>
        <v>0</v>
      </c>
      <c r="I56" s="79"/>
      <c r="J56" s="65">
        <f>+G56</f>
        <v>0</v>
      </c>
      <c r="K56" s="78">
        <f>G56</f>
        <v>0</v>
      </c>
      <c r="L56" s="66">
        <f>K56*J56</f>
        <v>0</v>
      </c>
      <c r="M56" s="79"/>
      <c r="N56" s="80">
        <f t="shared" si="10"/>
        <v>0</v>
      </c>
      <c r="O56" s="68" t="str">
        <f t="shared" si="11"/>
        <v/>
      </c>
    </row>
    <row r="57" spans="2:19" s="73" customFormat="1" ht="15.75" thickBot="1" x14ac:dyDescent="0.25">
      <c r="B57" s="180" t="s">
        <v>39</v>
      </c>
      <c r="C57" s="75"/>
      <c r="D57" s="76"/>
      <c r="E57" s="77"/>
      <c r="F57" s="71">
        <v>8.7999999999999995E-2</v>
      </c>
      <c r="G57" s="78"/>
      <c r="H57" s="66">
        <f>G57*F57</f>
        <v>0</v>
      </c>
      <c r="I57" s="79"/>
      <c r="J57" s="65">
        <f>+G57</f>
        <v>0</v>
      </c>
      <c r="K57" s="78">
        <f>G57</f>
        <v>0</v>
      </c>
      <c r="L57" s="66">
        <f>K57*J57</f>
        <v>0</v>
      </c>
      <c r="M57" s="79"/>
      <c r="N57" s="80">
        <f t="shared" si="10"/>
        <v>0</v>
      </c>
      <c r="O57" s="68" t="str">
        <f t="shared" si="11"/>
        <v/>
      </c>
    </row>
    <row r="58" spans="2:19" ht="8.25" customHeight="1" thickBot="1" x14ac:dyDescent="0.3">
      <c r="B58" s="81"/>
      <c r="C58" s="82"/>
      <c r="D58" s="83"/>
      <c r="E58" s="82"/>
      <c r="F58" s="84"/>
      <c r="G58" s="85"/>
      <c r="H58" s="86"/>
      <c r="I58" s="87"/>
      <c r="J58" s="84"/>
      <c r="K58" s="88"/>
      <c r="L58" s="86"/>
      <c r="M58" s="87"/>
      <c r="N58" s="89"/>
      <c r="O58" s="90"/>
    </row>
    <row r="59" spans="2:19" x14ac:dyDescent="0.25">
      <c r="B59" s="91" t="s">
        <v>40</v>
      </c>
      <c r="C59" s="22"/>
      <c r="D59" s="22"/>
      <c r="E59" s="22"/>
      <c r="F59" s="92"/>
      <c r="G59" s="93"/>
      <c r="H59" s="94">
        <f>SUM(H49:H55,H48)</f>
        <v>1029217.7699999999</v>
      </c>
      <c r="I59" s="95"/>
      <c r="J59" s="96"/>
      <c r="K59" s="96"/>
      <c r="L59" s="94">
        <f>SUM(L49:L55,L48)</f>
        <v>1044232.4759999999</v>
      </c>
      <c r="M59" s="97"/>
      <c r="N59" s="98">
        <f>L59-H59</f>
        <v>15014.706000000006</v>
      </c>
      <c r="O59" s="99">
        <f>IF((H59)=0,"",(N59/H59))</f>
        <v>1.4588463625147093E-2</v>
      </c>
      <c r="S59" s="72"/>
    </row>
    <row r="60" spans="2:19" x14ac:dyDescent="0.25">
      <c r="B60" s="100" t="s">
        <v>41</v>
      </c>
      <c r="C60" s="22"/>
      <c r="D60" s="22"/>
      <c r="E60" s="22"/>
      <c r="F60" s="101">
        <v>0.13</v>
      </c>
      <c r="G60" s="102"/>
      <c r="H60" s="103">
        <f>H59*F60</f>
        <v>133798.3101</v>
      </c>
      <c r="I60" s="104"/>
      <c r="J60" s="105">
        <v>0.13</v>
      </c>
      <c r="K60" s="104"/>
      <c r="L60" s="106">
        <f>L59*J60</f>
        <v>135750.22188</v>
      </c>
      <c r="M60" s="107"/>
      <c r="N60" s="108">
        <f t="shared" si="10"/>
        <v>1951.9117799999949</v>
      </c>
      <c r="O60" s="109">
        <f t="shared" si="11"/>
        <v>1.4588463625147048E-2</v>
      </c>
      <c r="S60" s="72"/>
    </row>
    <row r="61" spans="2:19" x14ac:dyDescent="0.25">
      <c r="B61" s="110" t="s">
        <v>42</v>
      </c>
      <c r="C61" s="22"/>
      <c r="D61" s="22"/>
      <c r="E61" s="22"/>
      <c r="F61" s="111"/>
      <c r="G61" s="102"/>
      <c r="H61" s="103">
        <f>H59+H60</f>
        <v>1163016.0800999999</v>
      </c>
      <c r="I61" s="104"/>
      <c r="J61" s="104"/>
      <c r="K61" s="104"/>
      <c r="L61" s="106">
        <f>L59+L60</f>
        <v>1179982.6978799999</v>
      </c>
      <c r="M61" s="107"/>
      <c r="N61" s="108">
        <f t="shared" si="10"/>
        <v>16966.617779999971</v>
      </c>
      <c r="O61" s="109">
        <f t="shared" si="11"/>
        <v>1.4588463625147062E-2</v>
      </c>
      <c r="S61" s="72"/>
    </row>
    <row r="62" spans="2:19" ht="15.75" customHeight="1" x14ac:dyDescent="0.25">
      <c r="B62" s="388" t="s">
        <v>43</v>
      </c>
      <c r="C62" s="388"/>
      <c r="D62" s="388"/>
      <c r="E62" s="22"/>
      <c r="F62" s="111"/>
      <c r="G62" s="102"/>
      <c r="H62" s="112"/>
      <c r="I62" s="104"/>
      <c r="J62" s="104"/>
      <c r="K62" s="104"/>
      <c r="L62" s="113"/>
      <c r="M62" s="107"/>
      <c r="N62" s="114">
        <f t="shared" si="10"/>
        <v>0</v>
      </c>
      <c r="O62" s="115" t="str">
        <f t="shared" si="11"/>
        <v/>
      </c>
    </row>
    <row r="63" spans="2:19" ht="15.75" thickBot="1" x14ac:dyDescent="0.3">
      <c r="B63" s="384" t="s">
        <v>44</v>
      </c>
      <c r="C63" s="384"/>
      <c r="D63" s="384"/>
      <c r="E63" s="116"/>
      <c r="F63" s="117"/>
      <c r="G63" s="118"/>
      <c r="H63" s="119">
        <f>H61+H62</f>
        <v>1163016.0800999999</v>
      </c>
      <c r="I63" s="120"/>
      <c r="J63" s="120"/>
      <c r="K63" s="120"/>
      <c r="L63" s="121">
        <f>L61+L62</f>
        <v>1179982.6978799999</v>
      </c>
      <c r="M63" s="122"/>
      <c r="N63" s="123">
        <f t="shared" si="10"/>
        <v>16966.617779999971</v>
      </c>
      <c r="O63" s="124">
        <f t="shared" si="11"/>
        <v>1.4588463625147062E-2</v>
      </c>
    </row>
    <row r="64" spans="2:19" s="73" customFormat="1" ht="8.25" customHeight="1" thickBot="1" x14ac:dyDescent="0.25">
      <c r="B64" s="125"/>
      <c r="C64" s="126"/>
      <c r="D64" s="127"/>
      <c r="E64" s="126"/>
      <c r="F64" s="84"/>
      <c r="G64" s="128"/>
      <c r="H64" s="86"/>
      <c r="I64" s="129"/>
      <c r="J64" s="84"/>
      <c r="K64" s="130"/>
      <c r="L64" s="86"/>
      <c r="M64" s="129"/>
      <c r="N64" s="131"/>
      <c r="O64" s="90"/>
    </row>
    <row r="65" spans="1:15" s="73" customFormat="1" ht="12.75" x14ac:dyDescent="0.2">
      <c r="B65" s="132" t="s">
        <v>45</v>
      </c>
      <c r="C65" s="75"/>
      <c r="D65" s="75"/>
      <c r="E65" s="75"/>
      <c r="F65" s="133"/>
      <c r="G65" s="134"/>
      <c r="H65" s="135">
        <f>SUM(H53,H48,H49:H52)</f>
        <v>1029217.7699999999</v>
      </c>
      <c r="I65" s="136"/>
      <c r="J65" s="137"/>
      <c r="K65" s="137"/>
      <c r="L65" s="189">
        <f>SUM(L53,L48,L49:L52)</f>
        <v>1044232.4759999999</v>
      </c>
      <c r="M65" s="138"/>
      <c r="N65" s="139">
        <f>L65-H65</f>
        <v>15014.706000000006</v>
      </c>
      <c r="O65" s="99">
        <f>IF((H65)=0,"",(N65/H65))</f>
        <v>1.4588463625147093E-2</v>
      </c>
    </row>
    <row r="66" spans="1:15" s="73" customFormat="1" ht="12.75" x14ac:dyDescent="0.2">
      <c r="B66" s="140" t="s">
        <v>41</v>
      </c>
      <c r="C66" s="75"/>
      <c r="D66" s="75"/>
      <c r="E66" s="75"/>
      <c r="F66" s="141">
        <v>0.13</v>
      </c>
      <c r="G66" s="134"/>
      <c r="H66" s="142">
        <f>H65*F66</f>
        <v>133798.3101</v>
      </c>
      <c r="I66" s="143"/>
      <c r="J66" s="144">
        <v>0.13</v>
      </c>
      <c r="K66" s="145"/>
      <c r="L66" s="146">
        <f>L65*J66</f>
        <v>135750.22188</v>
      </c>
      <c r="M66" s="147"/>
      <c r="N66" s="148">
        <f>L66-H66</f>
        <v>1951.9117799999949</v>
      </c>
      <c r="O66" s="109">
        <f>IF((H66)=0,"",(N66/H66))</f>
        <v>1.4588463625147048E-2</v>
      </c>
    </row>
    <row r="67" spans="1:15" s="73" customFormat="1" ht="12.75" x14ac:dyDescent="0.2">
      <c r="B67" s="149" t="s">
        <v>42</v>
      </c>
      <c r="C67" s="75"/>
      <c r="D67" s="75"/>
      <c r="E67" s="75"/>
      <c r="F67" s="150"/>
      <c r="G67" s="151"/>
      <c r="H67" s="142">
        <f>H65+H66</f>
        <v>1163016.0800999999</v>
      </c>
      <c r="I67" s="143"/>
      <c r="J67" s="143"/>
      <c r="K67" s="143"/>
      <c r="L67" s="146">
        <f>L65+L66</f>
        <v>1179982.6978799999</v>
      </c>
      <c r="M67" s="147"/>
      <c r="N67" s="148">
        <f>L67-H67</f>
        <v>16966.617779999971</v>
      </c>
      <c r="O67" s="109">
        <f>IF((H67)=0,"",(N67/H67))</f>
        <v>1.4588463625147062E-2</v>
      </c>
    </row>
    <row r="68" spans="1:15" s="73" customFormat="1" ht="15.75" customHeight="1" x14ac:dyDescent="0.2">
      <c r="B68" s="389" t="s">
        <v>43</v>
      </c>
      <c r="C68" s="389"/>
      <c r="D68" s="389"/>
      <c r="E68" s="75"/>
      <c r="F68" s="150"/>
      <c r="G68" s="151"/>
      <c r="H68" s="152"/>
      <c r="I68" s="143"/>
      <c r="J68" s="143"/>
      <c r="K68" s="143"/>
      <c r="L68" s="153"/>
      <c r="M68" s="147"/>
      <c r="N68" s="154">
        <f>L68-H68</f>
        <v>0</v>
      </c>
      <c r="O68" s="115" t="str">
        <f>IF((H68)=0,"",(N68/H68))</f>
        <v/>
      </c>
    </row>
    <row r="69" spans="1:15" s="73" customFormat="1" ht="13.5" thickBot="1" x14ac:dyDescent="0.25">
      <c r="B69" s="376" t="s">
        <v>46</v>
      </c>
      <c r="C69" s="376"/>
      <c r="D69" s="376"/>
      <c r="E69" s="155"/>
      <c r="F69" s="156"/>
      <c r="G69" s="157"/>
      <c r="H69" s="158">
        <f>SUM(H67:H68)</f>
        <v>1163016.0800999999</v>
      </c>
      <c r="I69" s="159"/>
      <c r="J69" s="159"/>
      <c r="K69" s="159"/>
      <c r="L69" s="160">
        <f>SUM(L67:L68)</f>
        <v>1179982.6978799999</v>
      </c>
      <c r="M69" s="161"/>
      <c r="N69" s="162">
        <f>L69-H69</f>
        <v>16966.617779999971</v>
      </c>
      <c r="O69" s="163">
        <f>IF((H69)=0,"",(N69/H69))</f>
        <v>1.4588463625147062E-2</v>
      </c>
    </row>
    <row r="70" spans="1:15" s="73" customFormat="1" ht="8.25" customHeight="1" thickBot="1" x14ac:dyDescent="0.25">
      <c r="B70" s="125"/>
      <c r="C70" s="126"/>
      <c r="D70" s="127"/>
      <c r="E70" s="126"/>
      <c r="F70" s="164"/>
      <c r="G70" s="165"/>
      <c r="H70" s="166"/>
      <c r="I70" s="167"/>
      <c r="J70" s="164"/>
      <c r="K70" s="128"/>
      <c r="L70" s="168"/>
      <c r="M70" s="129"/>
      <c r="N70" s="169"/>
      <c r="O70" s="90"/>
    </row>
    <row r="71" spans="1:15" ht="10.5" customHeight="1" x14ac:dyDescent="0.25">
      <c r="L71" s="72"/>
    </row>
    <row r="72" spans="1:15" x14ac:dyDescent="0.25">
      <c r="B72" s="13" t="s">
        <v>47</v>
      </c>
      <c r="F72" s="170">
        <v>5.0000000000000001E-3</v>
      </c>
      <c r="J72" s="337">
        <v>4.7000000000000002E-3</v>
      </c>
    </row>
    <row r="73" spans="1:15" ht="10.5" customHeight="1" x14ac:dyDescent="0.25"/>
    <row r="74" spans="1:15" x14ac:dyDescent="0.25">
      <c r="A74" s="171" t="s">
        <v>48</v>
      </c>
    </row>
    <row r="75" spans="1:15" ht="10.5" customHeight="1" x14ac:dyDescent="0.25"/>
    <row r="76" spans="1:15" x14ac:dyDescent="0.25">
      <c r="A76" s="7" t="s">
        <v>49</v>
      </c>
    </row>
    <row r="77" spans="1:15" x14ac:dyDescent="0.25">
      <c r="A77" s="7" t="s">
        <v>50</v>
      </c>
    </row>
    <row r="79" spans="1:15" x14ac:dyDescent="0.25">
      <c r="A79" s="12" t="s">
        <v>51</v>
      </c>
    </row>
    <row r="80" spans="1:15" x14ac:dyDescent="0.25">
      <c r="A80" s="12" t="s">
        <v>52</v>
      </c>
    </row>
    <row r="82" spans="1:2" x14ac:dyDescent="0.25">
      <c r="A82" s="7" t="s">
        <v>53</v>
      </c>
    </row>
    <row r="83" spans="1:2" x14ac:dyDescent="0.25">
      <c r="A83" s="7" t="s">
        <v>54</v>
      </c>
    </row>
    <row r="84" spans="1:2" x14ac:dyDescent="0.25">
      <c r="A84" s="7" t="s">
        <v>55</v>
      </c>
    </row>
    <row r="85" spans="1:2" x14ac:dyDescent="0.25">
      <c r="A85" s="7" t="s">
        <v>56</v>
      </c>
    </row>
    <row r="86" spans="1:2" x14ac:dyDescent="0.25">
      <c r="A86" s="7" t="s">
        <v>57</v>
      </c>
    </row>
    <row r="88" spans="1:2" x14ac:dyDescent="0.25">
      <c r="A88" s="172"/>
      <c r="B88" s="7" t="s">
        <v>58</v>
      </c>
    </row>
  </sheetData>
  <mergeCells count="17">
    <mergeCell ref="J18:L18"/>
    <mergeCell ref="N18:O18"/>
    <mergeCell ref="N1:O1"/>
    <mergeCell ref="N2:O2"/>
    <mergeCell ref="N5:O5"/>
    <mergeCell ref="B8:O8"/>
    <mergeCell ref="B9:O9"/>
    <mergeCell ref="D12:O12"/>
    <mergeCell ref="F18:H18"/>
    <mergeCell ref="N3:O3"/>
    <mergeCell ref="B69:D69"/>
    <mergeCell ref="D19:D20"/>
    <mergeCell ref="N19:N20"/>
    <mergeCell ref="O19:O20"/>
    <mergeCell ref="B62:D62"/>
    <mergeCell ref="B63:D63"/>
    <mergeCell ref="B68:D68"/>
  </mergeCells>
  <dataValidations count="4">
    <dataValidation type="list" allowBlank="1" showInputMessage="1" showErrorMessage="1" sqref="E46:E47 E38:E44 E21:E36 E49:E55 E58">
      <formula1>#REF!</formula1>
    </dataValidation>
    <dataValidation type="list" allowBlank="1" showInputMessage="1" showErrorMessage="1" prompt="Select Charge Unit - monthly, per kWh, per kW" sqref="D46:D47 D38:D44 D64 D21:D36 D70 D49:D58">
      <formula1>"Monthly, per kWh, per kW"</formula1>
    </dataValidation>
    <dataValidation type="list" allowBlank="1" showInputMessage="1" showErrorMessage="1" sqref="E70 E64 E56:E57">
      <formula1>#REF!</formula1>
    </dataValidation>
    <dataValidation type="list" allowBlank="1" showInputMessage="1" showErrorMessage="1" sqref="D14">
      <formula1>"TOU, non-TOU"</formula1>
    </dataValidation>
  </dataValidations>
  <pageMargins left="0.7" right="0.7" top="0.75" bottom="0.75" header="0.3" footer="0.3"/>
  <pageSetup scale="57" orientation="portrait" r:id="rId1"/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T88"/>
  <sheetViews>
    <sheetView showGridLines="0" topLeftCell="A16" zoomScaleNormal="100" workbookViewId="0">
      <selection activeCell="J38" sqref="J38:J42"/>
    </sheetView>
  </sheetViews>
  <sheetFormatPr defaultColWidth="9.140625" defaultRowHeight="15" x14ac:dyDescent="0.25"/>
  <cols>
    <col min="1" max="1" width="2.140625" style="7" customWidth="1"/>
    <col min="2" max="2" width="44.5703125" style="7" customWidth="1"/>
    <col min="3" max="3" width="1.28515625" style="7" customWidth="1"/>
    <col min="4" max="4" width="11.28515625" style="7" customWidth="1"/>
    <col min="5" max="5" width="1.28515625" style="7" customWidth="1"/>
    <col min="6" max="6" width="12.28515625" style="7" customWidth="1"/>
    <col min="7" max="7" width="9" style="7" bestFit="1" customWidth="1"/>
    <col min="8" max="8" width="14.28515625" style="7" bestFit="1" customWidth="1"/>
    <col min="9" max="9" width="2.85546875" style="7" customWidth="1"/>
    <col min="10" max="10" width="12.140625" style="7" customWidth="1"/>
    <col min="11" max="11" width="9" style="7" bestFit="1" customWidth="1"/>
    <col min="12" max="12" width="14.28515625" style="7" bestFit="1" customWidth="1"/>
    <col min="13" max="13" width="2.85546875" style="7" customWidth="1"/>
    <col min="14" max="14" width="12.7109375" style="7" bestFit="1" customWidth="1"/>
    <col min="15" max="15" width="10.85546875" style="7" bestFit="1" customWidth="1"/>
    <col min="16" max="16" width="3.85546875" style="7" customWidth="1"/>
    <col min="17" max="19" width="9.140625" style="7"/>
    <col min="20" max="20" width="9.140625" style="7" customWidth="1"/>
    <col min="21" max="16384" width="9.140625" style="7"/>
  </cols>
  <sheetData>
    <row r="1" spans="1:20" s="2" customFormat="1" ht="15" customHeigh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3" t="s">
        <v>0</v>
      </c>
      <c r="N1" s="368" t="s">
        <v>94</v>
      </c>
      <c r="O1" s="368"/>
      <c r="P1"/>
      <c r="T1" s="2">
        <v>1</v>
      </c>
    </row>
    <row r="2" spans="1:20" s="2" customFormat="1" ht="15" customHeight="1" x14ac:dyDescent="0.3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3" t="s">
        <v>95</v>
      </c>
      <c r="N2" s="369">
        <v>8</v>
      </c>
      <c r="O2" s="369"/>
      <c r="P2"/>
    </row>
    <row r="3" spans="1:20" s="2" customFormat="1" ht="15" customHeight="1" x14ac:dyDescent="0.3">
      <c r="C3" s="6"/>
      <c r="D3" s="6"/>
      <c r="E3" s="6"/>
      <c r="L3" s="3" t="s">
        <v>96</v>
      </c>
      <c r="N3" s="370" t="s">
        <v>97</v>
      </c>
      <c r="O3" s="370"/>
      <c r="P3"/>
    </row>
    <row r="4" spans="1:20" s="2" customFormat="1" ht="9" customHeight="1" x14ac:dyDescent="0.3">
      <c r="L4" s="3"/>
      <c r="N4" s="310"/>
      <c r="O4"/>
      <c r="P4"/>
    </row>
    <row r="5" spans="1:20" s="2" customFormat="1" ht="14.45" x14ac:dyDescent="0.3">
      <c r="L5" s="3" t="s">
        <v>76</v>
      </c>
      <c r="N5" s="387">
        <v>42124</v>
      </c>
      <c r="O5" s="387"/>
      <c r="P5"/>
    </row>
    <row r="6" spans="1:20" s="2" customFormat="1" ht="15" customHeight="1" x14ac:dyDescent="0.3">
      <c r="N6" s="7"/>
      <c r="O6"/>
      <c r="P6"/>
    </row>
    <row r="7" spans="1:20" ht="7.5" customHeight="1" x14ac:dyDescent="0.3">
      <c r="L7"/>
      <c r="M7"/>
      <c r="N7"/>
      <c r="O7"/>
      <c r="P7"/>
    </row>
    <row r="8" spans="1:20" ht="18.75" customHeight="1" x14ac:dyDescent="0.3">
      <c r="B8" s="367" t="s">
        <v>1</v>
      </c>
      <c r="C8" s="367"/>
      <c r="D8" s="367"/>
      <c r="E8" s="367"/>
      <c r="F8" s="367"/>
      <c r="G8" s="367"/>
      <c r="H8" s="367"/>
      <c r="I8" s="367"/>
      <c r="J8" s="367"/>
      <c r="K8" s="367"/>
      <c r="L8" s="367"/>
      <c r="M8" s="367"/>
      <c r="N8" s="367"/>
      <c r="O8" s="367"/>
      <c r="P8"/>
    </row>
    <row r="9" spans="1:20" ht="18.75" customHeight="1" x14ac:dyDescent="0.3">
      <c r="B9" s="367" t="s">
        <v>2</v>
      </c>
      <c r="C9" s="367"/>
      <c r="D9" s="367"/>
      <c r="E9" s="367"/>
      <c r="F9" s="367"/>
      <c r="G9" s="367"/>
      <c r="H9" s="367"/>
      <c r="I9" s="367"/>
      <c r="J9" s="367"/>
      <c r="K9" s="367"/>
      <c r="L9" s="367"/>
      <c r="M9" s="367"/>
      <c r="N9" s="367"/>
      <c r="O9" s="367"/>
      <c r="P9"/>
    </row>
    <row r="10" spans="1:20" ht="7.5" customHeight="1" x14ac:dyDescent="0.3">
      <c r="L10"/>
      <c r="M10"/>
      <c r="N10"/>
      <c r="O10"/>
      <c r="P10"/>
    </row>
    <row r="11" spans="1:20" ht="7.5" customHeight="1" x14ac:dyDescent="0.3">
      <c r="L11"/>
      <c r="M11"/>
      <c r="N11"/>
      <c r="O11"/>
      <c r="P11"/>
    </row>
    <row r="12" spans="1:20" ht="15.6" x14ac:dyDescent="0.3">
      <c r="B12" s="8" t="s">
        <v>3</v>
      </c>
      <c r="D12" s="386" t="s">
        <v>72</v>
      </c>
      <c r="E12" s="386"/>
      <c r="F12" s="386"/>
      <c r="G12" s="386"/>
      <c r="H12" s="386"/>
      <c r="I12" s="386"/>
      <c r="J12" s="386"/>
      <c r="K12" s="386"/>
      <c r="L12" s="386"/>
      <c r="M12" s="386"/>
      <c r="N12" s="386"/>
      <c r="O12" s="386"/>
    </row>
    <row r="13" spans="1:20" ht="7.5" customHeight="1" x14ac:dyDescent="0.3">
      <c r="B13" s="9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</row>
    <row r="14" spans="1:20" ht="15.6" x14ac:dyDescent="0.3">
      <c r="B14" s="8" t="s">
        <v>4</v>
      </c>
      <c r="D14" s="11" t="s">
        <v>68</v>
      </c>
      <c r="E14" s="10"/>
      <c r="F14" s="10"/>
      <c r="G14" s="10"/>
      <c r="H14" s="10"/>
      <c r="I14" s="10"/>
      <c r="J14" s="278"/>
      <c r="K14" s="10"/>
      <c r="L14" s="10"/>
      <c r="M14" s="10"/>
      <c r="N14" s="10"/>
      <c r="O14" s="10"/>
    </row>
    <row r="15" spans="1:20" ht="15.6" x14ac:dyDescent="0.3">
      <c r="B15" s="9"/>
      <c r="D15" s="10"/>
      <c r="E15" s="10"/>
      <c r="F15" s="10"/>
      <c r="G15" s="10"/>
      <c r="H15" s="10"/>
      <c r="I15" s="10"/>
      <c r="J15" s="278"/>
      <c r="K15" s="10"/>
      <c r="L15" s="10"/>
      <c r="M15" s="10"/>
      <c r="N15" s="10"/>
      <c r="O15" s="10"/>
    </row>
    <row r="16" spans="1:20" ht="14.45" x14ac:dyDescent="0.3">
      <c r="B16" s="12"/>
      <c r="D16" s="13" t="s">
        <v>6</v>
      </c>
      <c r="E16" s="13"/>
      <c r="F16" s="14">
        <v>150</v>
      </c>
      <c r="G16" s="13" t="s">
        <v>7</v>
      </c>
      <c r="H16" s="14">
        <v>1</v>
      </c>
      <c r="I16" s="13" t="s">
        <v>69</v>
      </c>
      <c r="J16" s="280"/>
    </row>
    <row r="17" spans="2:15" ht="14.45" x14ac:dyDescent="0.3">
      <c r="B17" s="12"/>
      <c r="F17" s="281"/>
      <c r="G17" s="34"/>
      <c r="H17" s="34"/>
      <c r="J17" s="281"/>
    </row>
    <row r="18" spans="2:15" ht="14.45" x14ac:dyDescent="0.3">
      <c r="B18" s="12"/>
      <c r="D18" s="15"/>
      <c r="E18" s="15"/>
      <c r="F18" s="373" t="s">
        <v>8</v>
      </c>
      <c r="G18" s="374"/>
      <c r="H18" s="375"/>
      <c r="J18" s="373" t="s">
        <v>9</v>
      </c>
      <c r="K18" s="374"/>
      <c r="L18" s="375"/>
      <c r="N18" s="373" t="s">
        <v>10</v>
      </c>
      <c r="O18" s="375"/>
    </row>
    <row r="19" spans="2:15" x14ac:dyDescent="0.25">
      <c r="B19" s="12"/>
      <c r="D19" s="377" t="s">
        <v>11</v>
      </c>
      <c r="E19" s="16"/>
      <c r="F19" s="17" t="s">
        <v>12</v>
      </c>
      <c r="G19" s="17" t="s">
        <v>13</v>
      </c>
      <c r="H19" s="18" t="s">
        <v>14</v>
      </c>
      <c r="J19" s="17" t="s">
        <v>12</v>
      </c>
      <c r="K19" s="19" t="s">
        <v>13</v>
      </c>
      <c r="L19" s="18" t="s">
        <v>14</v>
      </c>
      <c r="N19" s="379" t="s">
        <v>15</v>
      </c>
      <c r="O19" s="381" t="s">
        <v>16</v>
      </c>
    </row>
    <row r="20" spans="2:15" x14ac:dyDescent="0.25">
      <c r="B20" s="12"/>
      <c r="D20" s="378"/>
      <c r="E20" s="16"/>
      <c r="F20" s="20" t="s">
        <v>17</v>
      </c>
      <c r="G20" s="20"/>
      <c r="H20" s="21" t="s">
        <v>17</v>
      </c>
      <c r="J20" s="20" t="s">
        <v>17</v>
      </c>
      <c r="K20" s="21"/>
      <c r="L20" s="21" t="s">
        <v>17</v>
      </c>
      <c r="N20" s="380"/>
      <c r="O20" s="382"/>
    </row>
    <row r="21" spans="2:15" ht="22.5" customHeight="1" x14ac:dyDescent="0.25">
      <c r="B21" s="22" t="s">
        <v>18</v>
      </c>
      <c r="C21" s="22"/>
      <c r="D21" s="23" t="s">
        <v>60</v>
      </c>
      <c r="E21" s="24"/>
      <c r="F21" s="174">
        <v>0.33</v>
      </c>
      <c r="G21" s="26">
        <v>1</v>
      </c>
      <c r="H21" s="27">
        <f>G21*F21</f>
        <v>0.33</v>
      </c>
      <c r="I21" s="28"/>
      <c r="J21" s="283">
        <v>0.33</v>
      </c>
      <c r="K21" s="30">
        <v>1</v>
      </c>
      <c r="L21" s="27">
        <f>K21*J21</f>
        <v>0.33</v>
      </c>
      <c r="M21" s="28"/>
      <c r="N21" s="31">
        <f>L21-H21</f>
        <v>0</v>
      </c>
      <c r="O21" s="32">
        <f>IF((H21)=0,"",(N21/H21))</f>
        <v>0</v>
      </c>
    </row>
    <row r="22" spans="2:15" ht="36.75" customHeight="1" x14ac:dyDescent="0.25">
      <c r="B22" s="64" t="s">
        <v>62</v>
      </c>
      <c r="C22" s="22"/>
      <c r="D22" s="56" t="s">
        <v>60</v>
      </c>
      <c r="E22" s="24"/>
      <c r="F22" s="173"/>
      <c r="G22" s="26">
        <v>1</v>
      </c>
      <c r="H22" s="27">
        <f t="shared" ref="H22:H36" si="0">G22*F22</f>
        <v>0</v>
      </c>
      <c r="I22" s="28"/>
      <c r="J22" s="29"/>
      <c r="K22" s="30">
        <v>1</v>
      </c>
      <c r="L22" s="27">
        <f>K22*J22</f>
        <v>0</v>
      </c>
      <c r="M22" s="28"/>
      <c r="N22" s="31">
        <f>L22-H22</f>
        <v>0</v>
      </c>
      <c r="O22" s="32" t="str">
        <f>IF((H22)=0,"",(N22/H22))</f>
        <v/>
      </c>
    </row>
    <row r="23" spans="2:15" x14ac:dyDescent="0.25">
      <c r="B23" s="175"/>
      <c r="C23" s="22"/>
      <c r="D23" s="56" t="s">
        <v>60</v>
      </c>
      <c r="E23" s="57"/>
      <c r="F23" s="173"/>
      <c r="G23" s="26">
        <v>1</v>
      </c>
      <c r="H23" s="27">
        <f t="shared" si="0"/>
        <v>0</v>
      </c>
      <c r="I23" s="28"/>
      <c r="J23" s="29"/>
      <c r="K23" s="30">
        <v>1</v>
      </c>
      <c r="L23" s="27">
        <f t="shared" ref="L23:L36" si="1">K23*J23</f>
        <v>0</v>
      </c>
      <c r="M23" s="28"/>
      <c r="N23" s="31">
        <f t="shared" ref="N23:N37" si="2">L23-H23</f>
        <v>0</v>
      </c>
      <c r="O23" s="32" t="str">
        <f t="shared" ref="O23:O37" si="3">IF((H23)=0,"",(N23/H23))</f>
        <v/>
      </c>
    </row>
    <row r="24" spans="2:15" x14ac:dyDescent="0.25">
      <c r="B24" s="175"/>
      <c r="C24" s="22"/>
      <c r="D24" s="56" t="s">
        <v>60</v>
      </c>
      <c r="E24" s="24"/>
      <c r="F24" s="25"/>
      <c r="G24" s="26">
        <v>1</v>
      </c>
      <c r="H24" s="27">
        <f t="shared" si="0"/>
        <v>0</v>
      </c>
      <c r="I24" s="28"/>
      <c r="J24" s="173"/>
      <c r="K24" s="30">
        <v>1</v>
      </c>
      <c r="L24" s="27">
        <f t="shared" si="1"/>
        <v>0</v>
      </c>
      <c r="M24" s="28"/>
      <c r="N24" s="31">
        <f t="shared" si="2"/>
        <v>0</v>
      </c>
      <c r="O24" s="32" t="str">
        <f t="shared" si="3"/>
        <v/>
      </c>
    </row>
    <row r="25" spans="2:15" x14ac:dyDescent="0.25">
      <c r="B25" s="296" t="s">
        <v>65</v>
      </c>
      <c r="C25" s="22"/>
      <c r="D25" s="23" t="s">
        <v>70</v>
      </c>
      <c r="E25" s="24"/>
      <c r="F25" s="25">
        <v>-2.0799999999999999E-2</v>
      </c>
      <c r="G25" s="179">
        <f>$H$16</f>
        <v>1</v>
      </c>
      <c r="H25" s="27">
        <f t="shared" si="0"/>
        <v>-2.0799999999999999E-2</v>
      </c>
      <c r="I25" s="28"/>
      <c r="J25" s="263">
        <v>-2.0799999999999999E-2</v>
      </c>
      <c r="K25" s="179">
        <f>$H$16</f>
        <v>1</v>
      </c>
      <c r="L25" s="27">
        <f t="shared" si="1"/>
        <v>-2.0799999999999999E-2</v>
      </c>
      <c r="M25" s="28"/>
      <c r="N25" s="31">
        <f t="shared" si="2"/>
        <v>0</v>
      </c>
      <c r="O25" s="32">
        <f t="shared" si="3"/>
        <v>0</v>
      </c>
    </row>
    <row r="26" spans="2:15" x14ac:dyDescent="0.25">
      <c r="B26" s="296" t="s">
        <v>66</v>
      </c>
      <c r="C26" s="22"/>
      <c r="D26" s="23" t="s">
        <v>70</v>
      </c>
      <c r="E26" s="24"/>
      <c r="F26" s="173"/>
      <c r="G26" s="179">
        <f>$H$16</f>
        <v>1</v>
      </c>
      <c r="H26" s="27">
        <f t="shared" si="0"/>
        <v>0</v>
      </c>
      <c r="I26" s="28"/>
      <c r="J26" s="366">
        <v>-0.56559999999999999</v>
      </c>
      <c r="K26" s="179">
        <f>$H$16</f>
        <v>1</v>
      </c>
      <c r="L26" s="27">
        <f t="shared" si="1"/>
        <v>-0.56559999999999999</v>
      </c>
      <c r="M26" s="28"/>
      <c r="N26" s="31">
        <f t="shared" si="2"/>
        <v>-0.56559999999999999</v>
      </c>
      <c r="O26" s="32" t="str">
        <f t="shared" si="3"/>
        <v/>
      </c>
    </row>
    <row r="27" spans="2:15" x14ac:dyDescent="0.25">
      <c r="B27" s="22" t="s">
        <v>19</v>
      </c>
      <c r="C27" s="22"/>
      <c r="D27" s="23" t="s">
        <v>70</v>
      </c>
      <c r="E27" s="24"/>
      <c r="F27" s="25">
        <v>8.6831999999999994</v>
      </c>
      <c r="G27" s="179">
        <f>$H$16</f>
        <v>1</v>
      </c>
      <c r="H27" s="27">
        <f t="shared" si="0"/>
        <v>8.6831999999999994</v>
      </c>
      <c r="I27" s="28"/>
      <c r="J27" s="263">
        <v>9.4838000000000005</v>
      </c>
      <c r="K27" s="179">
        <f>$H$16</f>
        <v>1</v>
      </c>
      <c r="L27" s="27">
        <f t="shared" si="1"/>
        <v>9.4838000000000005</v>
      </c>
      <c r="M27" s="28"/>
      <c r="N27" s="31">
        <f t="shared" si="2"/>
        <v>0.80060000000000109</v>
      </c>
      <c r="O27" s="32">
        <f t="shared" si="3"/>
        <v>9.2201031877648928E-2</v>
      </c>
    </row>
    <row r="28" spans="2:15" x14ac:dyDescent="0.25">
      <c r="B28" s="22" t="s">
        <v>20</v>
      </c>
      <c r="C28" s="22"/>
      <c r="D28" s="23"/>
      <c r="E28" s="24"/>
      <c r="F28" s="25"/>
      <c r="G28" s="26">
        <f>$F$16</f>
        <v>150</v>
      </c>
      <c r="H28" s="27">
        <f t="shared" si="0"/>
        <v>0</v>
      </c>
      <c r="I28" s="28"/>
      <c r="J28" s="29"/>
      <c r="K28" s="26">
        <f t="shared" ref="K28:K36" si="4">$F$16</f>
        <v>150</v>
      </c>
      <c r="L28" s="27">
        <f t="shared" si="1"/>
        <v>0</v>
      </c>
      <c r="M28" s="28"/>
      <c r="N28" s="31">
        <f t="shared" si="2"/>
        <v>0</v>
      </c>
      <c r="O28" s="32" t="str">
        <f t="shared" si="3"/>
        <v/>
      </c>
    </row>
    <row r="29" spans="2:15" x14ac:dyDescent="0.25">
      <c r="B29" s="22" t="s">
        <v>21</v>
      </c>
      <c r="C29" s="22"/>
      <c r="D29" s="23"/>
      <c r="E29" s="24"/>
      <c r="F29" s="25"/>
      <c r="G29" s="26">
        <f>$F$16</f>
        <v>150</v>
      </c>
      <c r="H29" s="27">
        <f t="shared" si="0"/>
        <v>0</v>
      </c>
      <c r="I29" s="28"/>
      <c r="J29" s="29"/>
      <c r="K29" s="26">
        <f t="shared" si="4"/>
        <v>150</v>
      </c>
      <c r="L29" s="27">
        <f t="shared" si="1"/>
        <v>0</v>
      </c>
      <c r="M29" s="28"/>
      <c r="N29" s="31">
        <f t="shared" si="2"/>
        <v>0</v>
      </c>
      <c r="O29" s="32" t="str">
        <f t="shared" si="3"/>
        <v/>
      </c>
    </row>
    <row r="30" spans="2:15" x14ac:dyDescent="0.25">
      <c r="B30" s="33"/>
      <c r="C30" s="22"/>
      <c r="D30" s="23"/>
      <c r="E30" s="24"/>
      <c r="F30" s="25"/>
      <c r="G30" s="26">
        <f t="shared" ref="G30:G36" si="5">$F$16</f>
        <v>150</v>
      </c>
      <c r="H30" s="27">
        <f t="shared" si="0"/>
        <v>0</v>
      </c>
      <c r="I30" s="28"/>
      <c r="J30" s="29"/>
      <c r="K30" s="26">
        <f t="shared" si="4"/>
        <v>150</v>
      </c>
      <c r="L30" s="27">
        <f t="shared" si="1"/>
        <v>0</v>
      </c>
      <c r="M30" s="28"/>
      <c r="N30" s="31">
        <f t="shared" si="2"/>
        <v>0</v>
      </c>
      <c r="O30" s="32" t="str">
        <f t="shared" si="3"/>
        <v/>
      </c>
    </row>
    <row r="31" spans="2:15" x14ac:dyDescent="0.25">
      <c r="B31" s="33"/>
      <c r="C31" s="22"/>
      <c r="D31" s="23"/>
      <c r="E31" s="24"/>
      <c r="F31" s="25"/>
      <c r="G31" s="26">
        <f t="shared" si="5"/>
        <v>150</v>
      </c>
      <c r="H31" s="27">
        <f t="shared" si="0"/>
        <v>0</v>
      </c>
      <c r="I31" s="28"/>
      <c r="J31" s="29"/>
      <c r="K31" s="26">
        <f t="shared" si="4"/>
        <v>150</v>
      </c>
      <c r="L31" s="27">
        <f t="shared" si="1"/>
        <v>0</v>
      </c>
      <c r="M31" s="28"/>
      <c r="N31" s="31">
        <f t="shared" si="2"/>
        <v>0</v>
      </c>
      <c r="O31" s="32" t="str">
        <f t="shared" si="3"/>
        <v/>
      </c>
    </row>
    <row r="32" spans="2:15" x14ac:dyDescent="0.25">
      <c r="B32" s="33"/>
      <c r="C32" s="22"/>
      <c r="D32" s="23"/>
      <c r="E32" s="24"/>
      <c r="F32" s="25"/>
      <c r="G32" s="26">
        <f t="shared" si="5"/>
        <v>150</v>
      </c>
      <c r="H32" s="27">
        <f t="shared" si="0"/>
        <v>0</v>
      </c>
      <c r="I32" s="28"/>
      <c r="J32" s="29"/>
      <c r="K32" s="26">
        <f t="shared" si="4"/>
        <v>150</v>
      </c>
      <c r="L32" s="27">
        <f t="shared" si="1"/>
        <v>0</v>
      </c>
      <c r="M32" s="28"/>
      <c r="N32" s="31">
        <f t="shared" si="2"/>
        <v>0</v>
      </c>
      <c r="O32" s="32" t="str">
        <f t="shared" si="3"/>
        <v/>
      </c>
    </row>
    <row r="33" spans="2:15" x14ac:dyDescent="0.25">
      <c r="B33" s="33"/>
      <c r="C33" s="22"/>
      <c r="D33" s="23"/>
      <c r="E33" s="24"/>
      <c r="F33" s="25"/>
      <c r="G33" s="26">
        <f t="shared" si="5"/>
        <v>150</v>
      </c>
      <c r="H33" s="27">
        <f t="shared" si="0"/>
        <v>0</v>
      </c>
      <c r="I33" s="28"/>
      <c r="J33" s="29"/>
      <c r="K33" s="26">
        <f t="shared" si="4"/>
        <v>150</v>
      </c>
      <c r="L33" s="27">
        <f t="shared" si="1"/>
        <v>0</v>
      </c>
      <c r="M33" s="28"/>
      <c r="N33" s="31">
        <f t="shared" si="2"/>
        <v>0</v>
      </c>
      <c r="O33" s="32" t="str">
        <f t="shared" si="3"/>
        <v/>
      </c>
    </row>
    <row r="34" spans="2:15" x14ac:dyDescent="0.25">
      <c r="B34" s="33"/>
      <c r="C34" s="22"/>
      <c r="D34" s="23"/>
      <c r="E34" s="24"/>
      <c r="F34" s="25"/>
      <c r="G34" s="26">
        <f t="shared" si="5"/>
        <v>150</v>
      </c>
      <c r="H34" s="27">
        <f t="shared" si="0"/>
        <v>0</v>
      </c>
      <c r="I34" s="28"/>
      <c r="J34" s="29"/>
      <c r="K34" s="26">
        <f t="shared" si="4"/>
        <v>150</v>
      </c>
      <c r="L34" s="27">
        <f t="shared" si="1"/>
        <v>0</v>
      </c>
      <c r="M34" s="28"/>
      <c r="N34" s="31">
        <f t="shared" si="2"/>
        <v>0</v>
      </c>
      <c r="O34" s="32" t="str">
        <f t="shared" si="3"/>
        <v/>
      </c>
    </row>
    <row r="35" spans="2:15" x14ac:dyDescent="0.25">
      <c r="B35" s="33"/>
      <c r="C35" s="22"/>
      <c r="D35" s="23"/>
      <c r="E35" s="24"/>
      <c r="F35" s="25"/>
      <c r="G35" s="26">
        <f t="shared" si="5"/>
        <v>150</v>
      </c>
      <c r="H35" s="27">
        <f t="shared" si="0"/>
        <v>0</v>
      </c>
      <c r="I35" s="28"/>
      <c r="J35" s="29"/>
      <c r="K35" s="26">
        <f t="shared" si="4"/>
        <v>150</v>
      </c>
      <c r="L35" s="27">
        <f t="shared" si="1"/>
        <v>0</v>
      </c>
      <c r="M35" s="28"/>
      <c r="N35" s="31">
        <f t="shared" si="2"/>
        <v>0</v>
      </c>
      <c r="O35" s="32" t="str">
        <f t="shared" si="3"/>
        <v/>
      </c>
    </row>
    <row r="36" spans="2:15" x14ac:dyDescent="0.25">
      <c r="B36" s="33"/>
      <c r="C36" s="22"/>
      <c r="D36" s="23"/>
      <c r="E36" s="24"/>
      <c r="F36" s="25"/>
      <c r="G36" s="26">
        <f t="shared" si="5"/>
        <v>150</v>
      </c>
      <c r="H36" s="27">
        <f t="shared" si="0"/>
        <v>0</v>
      </c>
      <c r="I36" s="28"/>
      <c r="J36" s="29"/>
      <c r="K36" s="26">
        <f t="shared" si="4"/>
        <v>150</v>
      </c>
      <c r="L36" s="27">
        <f t="shared" si="1"/>
        <v>0</v>
      </c>
      <c r="M36" s="28"/>
      <c r="N36" s="31">
        <f t="shared" si="2"/>
        <v>0</v>
      </c>
      <c r="O36" s="32" t="str">
        <f t="shared" si="3"/>
        <v/>
      </c>
    </row>
    <row r="37" spans="2:15" s="34" customFormat="1" x14ac:dyDescent="0.25">
      <c r="B37" s="35" t="s">
        <v>22</v>
      </c>
      <c r="C37" s="36"/>
      <c r="D37" s="37"/>
      <c r="E37" s="36"/>
      <c r="F37" s="38"/>
      <c r="G37" s="39"/>
      <c r="H37" s="40">
        <f>SUM(H21:H36)</f>
        <v>8.9923999999999999</v>
      </c>
      <c r="I37" s="41"/>
      <c r="J37" s="43"/>
      <c r="K37" s="43"/>
      <c r="L37" s="40">
        <f>SUM(L21:L36)</f>
        <v>9.2274000000000012</v>
      </c>
      <c r="M37" s="41"/>
      <c r="N37" s="44">
        <f t="shared" si="2"/>
        <v>0.23500000000000121</v>
      </c>
      <c r="O37" s="45">
        <f t="shared" si="3"/>
        <v>2.6133179129042436E-2</v>
      </c>
    </row>
    <row r="38" spans="2:15" x14ac:dyDescent="0.25">
      <c r="B38" s="296" t="s">
        <v>23</v>
      </c>
      <c r="C38" s="22"/>
      <c r="D38" s="56" t="s">
        <v>70</v>
      </c>
      <c r="E38" s="57"/>
      <c r="F38" s="29">
        <v>-0.51990000000000003</v>
      </c>
      <c r="G38" s="179">
        <f>G27</f>
        <v>1</v>
      </c>
      <c r="H38" s="27">
        <f t="shared" ref="H38:H44" si="6">G38*F38</f>
        <v>-0.51990000000000003</v>
      </c>
      <c r="I38" s="28"/>
      <c r="J38" s="263">
        <f>0.7019-0.5199</f>
        <v>0.18199999999999994</v>
      </c>
      <c r="K38" s="179">
        <f>H16</f>
        <v>1</v>
      </c>
      <c r="L38" s="27">
        <f t="shared" ref="L38:L44" si="7">K38*J38</f>
        <v>0.18199999999999994</v>
      </c>
      <c r="M38" s="28"/>
      <c r="N38" s="31">
        <f t="shared" ref="N38:N44" si="8">L38-H38</f>
        <v>0.70189999999999997</v>
      </c>
      <c r="O38" s="32">
        <f t="shared" ref="O38:O43" si="9">IF((H38)=0,"",(N38/H38))</f>
        <v>-1.3500673206385843</v>
      </c>
    </row>
    <row r="39" spans="2:15" x14ac:dyDescent="0.25">
      <c r="B39" s="296"/>
      <c r="C39" s="22"/>
      <c r="D39" s="23" t="s">
        <v>70</v>
      </c>
      <c r="E39" s="24"/>
      <c r="F39" s="25"/>
      <c r="G39" s="179">
        <f>H16</f>
        <v>1</v>
      </c>
      <c r="H39" s="27">
        <f t="shared" si="6"/>
        <v>0</v>
      </c>
      <c r="I39" s="47"/>
      <c r="J39" s="263"/>
      <c r="K39" s="179">
        <f>H16</f>
        <v>1</v>
      </c>
      <c r="L39" s="27">
        <f t="shared" si="7"/>
        <v>0</v>
      </c>
      <c r="M39" s="48"/>
      <c r="N39" s="31">
        <f t="shared" si="8"/>
        <v>0</v>
      </c>
      <c r="O39" s="32" t="str">
        <f t="shared" si="9"/>
        <v/>
      </c>
    </row>
    <row r="40" spans="2:15" x14ac:dyDescent="0.25">
      <c r="B40" s="296"/>
      <c r="C40" s="22"/>
      <c r="D40" s="23" t="s">
        <v>70</v>
      </c>
      <c r="E40" s="24"/>
      <c r="F40" s="25"/>
      <c r="G40" s="179">
        <f>H16</f>
        <v>1</v>
      </c>
      <c r="H40" s="27">
        <f t="shared" si="6"/>
        <v>0</v>
      </c>
      <c r="I40" s="47"/>
      <c r="J40" s="263"/>
      <c r="K40" s="179">
        <f>H16</f>
        <v>1</v>
      </c>
      <c r="L40" s="27">
        <f t="shared" si="7"/>
        <v>0</v>
      </c>
      <c r="M40" s="48"/>
      <c r="N40" s="31">
        <f t="shared" si="8"/>
        <v>0</v>
      </c>
      <c r="O40" s="32" t="str">
        <f t="shared" si="9"/>
        <v/>
      </c>
    </row>
    <row r="41" spans="2:15" ht="30" customHeight="1" x14ac:dyDescent="0.25">
      <c r="B41" s="296" t="s">
        <v>74</v>
      </c>
      <c r="C41" s="22"/>
      <c r="D41" s="23" t="s">
        <v>70</v>
      </c>
      <c r="E41" s="24"/>
      <c r="F41" s="29">
        <v>0.21390000000000001</v>
      </c>
      <c r="G41" s="179">
        <f>H16</f>
        <v>1</v>
      </c>
      <c r="H41" s="27">
        <f t="shared" si="6"/>
        <v>0.21390000000000001</v>
      </c>
      <c r="I41" s="47"/>
      <c r="J41" s="263">
        <f>1.1196+0.2139</f>
        <v>1.3334999999999999</v>
      </c>
      <c r="K41" s="179">
        <f>H16</f>
        <v>1</v>
      </c>
      <c r="L41" s="27">
        <f t="shared" si="7"/>
        <v>1.3334999999999999</v>
      </c>
      <c r="M41" s="48"/>
      <c r="N41" s="31">
        <f t="shared" si="8"/>
        <v>1.1195999999999999</v>
      </c>
      <c r="O41" s="32">
        <f t="shared" si="9"/>
        <v>5.2342215988779799</v>
      </c>
    </row>
    <row r="42" spans="2:15" x14ac:dyDescent="0.25">
      <c r="B42" s="49" t="s">
        <v>24</v>
      </c>
      <c r="C42" s="22"/>
      <c r="D42" s="23" t="s">
        <v>70</v>
      </c>
      <c r="E42" s="24"/>
      <c r="F42" s="25">
        <v>3.4099999999999998E-2</v>
      </c>
      <c r="G42" s="179">
        <f>H16</f>
        <v>1</v>
      </c>
      <c r="H42" s="27">
        <f t="shared" si="6"/>
        <v>3.4099999999999998E-2</v>
      </c>
      <c r="I42" s="28"/>
      <c r="J42" s="263">
        <v>5.7000000000000002E-2</v>
      </c>
      <c r="K42" s="179">
        <f>H16</f>
        <v>1</v>
      </c>
      <c r="L42" s="27">
        <f t="shared" si="7"/>
        <v>5.7000000000000002E-2</v>
      </c>
      <c r="M42" s="28"/>
      <c r="N42" s="31">
        <f t="shared" si="8"/>
        <v>2.2900000000000004E-2</v>
      </c>
      <c r="O42" s="32">
        <f t="shared" si="9"/>
        <v>0.67155425219941367</v>
      </c>
    </row>
    <row r="43" spans="2:15" s="34" customFormat="1" x14ac:dyDescent="0.25">
      <c r="B43" s="181" t="s">
        <v>25</v>
      </c>
      <c r="C43" s="24"/>
      <c r="D43" s="182" t="s">
        <v>61</v>
      </c>
      <c r="E43" s="24"/>
      <c r="F43" s="342">
        <f>+F53</f>
        <v>0.10186000000000001</v>
      </c>
      <c r="G43" s="26">
        <f>$F$16*(1+$F$72)-$F$16</f>
        <v>6.0600000000000023</v>
      </c>
      <c r="H43" s="184">
        <f t="shared" si="6"/>
        <v>0.61727160000000025</v>
      </c>
      <c r="I43" s="57"/>
      <c r="J43" s="342">
        <f>+J53</f>
        <v>0.10186000000000001</v>
      </c>
      <c r="K43" s="26">
        <f>$F$16*(1+$J$72)-$F$16</f>
        <v>5.4300000000000068</v>
      </c>
      <c r="L43" s="184">
        <f t="shared" si="7"/>
        <v>0.5530998000000007</v>
      </c>
      <c r="M43" s="57"/>
      <c r="N43" s="186">
        <f t="shared" si="8"/>
        <v>-6.4171799999999557E-2</v>
      </c>
      <c r="O43" s="187">
        <f t="shared" si="9"/>
        <v>-0.10396039603960321</v>
      </c>
    </row>
    <row r="44" spans="2:15" ht="14.45" x14ac:dyDescent="0.3">
      <c r="B44" s="49"/>
      <c r="C44" s="22"/>
      <c r="D44" s="23" t="s">
        <v>60</v>
      </c>
      <c r="E44" s="24"/>
      <c r="F44" s="178"/>
      <c r="G44" s="26">
        <v>0</v>
      </c>
      <c r="H44" s="27">
        <f t="shared" si="6"/>
        <v>0</v>
      </c>
      <c r="I44" s="28"/>
      <c r="J44" s="178"/>
      <c r="K44" s="26">
        <v>0</v>
      </c>
      <c r="L44" s="27">
        <f t="shared" si="7"/>
        <v>0</v>
      </c>
      <c r="M44" s="28"/>
      <c r="N44" s="31">
        <f t="shared" si="8"/>
        <v>0</v>
      </c>
      <c r="O44" s="32"/>
    </row>
    <row r="45" spans="2:15" ht="14.45" x14ac:dyDescent="0.3">
      <c r="B45" s="50" t="s">
        <v>27</v>
      </c>
      <c r="C45" s="51"/>
      <c r="D45" s="51"/>
      <c r="E45" s="51"/>
      <c r="F45" s="304"/>
      <c r="G45" s="53"/>
      <c r="H45" s="54">
        <f>SUM(H38:H44)+H37</f>
        <v>9.3377715999999999</v>
      </c>
      <c r="I45" s="41"/>
      <c r="J45" s="53"/>
      <c r="K45" s="55"/>
      <c r="L45" s="54">
        <f>SUM(L38:L44)+L37</f>
        <v>11.352999800000003</v>
      </c>
      <c r="M45" s="41"/>
      <c r="N45" s="44">
        <f t="shared" ref="N45:N63" si="10">L45-H45</f>
        <v>2.0152282000000028</v>
      </c>
      <c r="O45" s="45">
        <f t="shared" ref="O45:O63" si="11">IF((H45)=0,"",(N45/H45))</f>
        <v>0.2158146810958626</v>
      </c>
    </row>
    <row r="46" spans="2:15" ht="14.45" x14ac:dyDescent="0.3">
      <c r="B46" s="28" t="s">
        <v>28</v>
      </c>
      <c r="C46" s="28"/>
      <c r="D46" s="56" t="s">
        <v>70</v>
      </c>
      <c r="E46" s="57"/>
      <c r="F46" s="263">
        <v>2.1436999999999999</v>
      </c>
      <c r="G46" s="289">
        <f>H16</f>
        <v>1</v>
      </c>
      <c r="H46" s="27">
        <f>G46*F46</f>
        <v>2.1436999999999999</v>
      </c>
      <c r="I46" s="28"/>
      <c r="J46" s="263">
        <v>2.0924</v>
      </c>
      <c r="K46" s="290">
        <f>+G46</f>
        <v>1</v>
      </c>
      <c r="L46" s="27">
        <f>K46*J46</f>
        <v>2.0924</v>
      </c>
      <c r="M46" s="28"/>
      <c r="N46" s="31">
        <f t="shared" si="10"/>
        <v>-5.1299999999999901E-2</v>
      </c>
      <c r="O46" s="32">
        <f t="shared" si="11"/>
        <v>-2.3930587302327704E-2</v>
      </c>
    </row>
    <row r="47" spans="2:15" ht="14.45" x14ac:dyDescent="0.3">
      <c r="B47" s="59" t="s">
        <v>29</v>
      </c>
      <c r="C47" s="28"/>
      <c r="D47" s="56" t="s">
        <v>70</v>
      </c>
      <c r="E47" s="57"/>
      <c r="F47" s="263">
        <v>0.63100000000000001</v>
      </c>
      <c r="G47" s="289">
        <f>G46</f>
        <v>1</v>
      </c>
      <c r="H47" s="27">
        <f>G47*F47</f>
        <v>0.63100000000000001</v>
      </c>
      <c r="I47" s="28"/>
      <c r="J47" s="263">
        <v>0.621</v>
      </c>
      <c r="K47" s="290">
        <f>K46</f>
        <v>1</v>
      </c>
      <c r="L47" s="27">
        <f>K47*J47</f>
        <v>0.621</v>
      </c>
      <c r="M47" s="28"/>
      <c r="N47" s="31">
        <f t="shared" si="10"/>
        <v>-1.0000000000000009E-2</v>
      </c>
      <c r="O47" s="32">
        <f t="shared" si="11"/>
        <v>-1.5847860538827273E-2</v>
      </c>
    </row>
    <row r="48" spans="2:15" ht="14.45" x14ac:dyDescent="0.3">
      <c r="B48" s="50" t="s">
        <v>30</v>
      </c>
      <c r="C48" s="36"/>
      <c r="D48" s="36"/>
      <c r="E48" s="36"/>
      <c r="F48" s="60"/>
      <c r="G48" s="53"/>
      <c r="H48" s="54">
        <f>SUM(H45:H47)</f>
        <v>12.112471599999999</v>
      </c>
      <c r="I48" s="61"/>
      <c r="J48" s="62"/>
      <c r="K48" s="63"/>
      <c r="L48" s="54">
        <f>SUM(L45:L47)</f>
        <v>14.066399800000003</v>
      </c>
      <c r="M48" s="61"/>
      <c r="N48" s="44">
        <f t="shared" si="10"/>
        <v>1.9539282000000036</v>
      </c>
      <c r="O48" s="45">
        <f t="shared" si="11"/>
        <v>0.16131539990566449</v>
      </c>
    </row>
    <row r="49" spans="2:19" ht="14.45" x14ac:dyDescent="0.3">
      <c r="B49" s="64" t="s">
        <v>31</v>
      </c>
      <c r="C49" s="22"/>
      <c r="D49" s="23" t="s">
        <v>61</v>
      </c>
      <c r="E49" s="24"/>
      <c r="F49" s="65">
        <v>4.4000000000000003E-3</v>
      </c>
      <c r="G49" s="289">
        <f>F16*(1+F72)</f>
        <v>156.06</v>
      </c>
      <c r="H49" s="66">
        <f t="shared" ref="H49:H55" si="12">G49*F49</f>
        <v>0.68666400000000005</v>
      </c>
      <c r="I49" s="28"/>
      <c r="J49" s="263">
        <f>+F49</f>
        <v>4.4000000000000003E-3</v>
      </c>
      <c r="K49" s="290">
        <f>F16*(1+J72)</f>
        <v>155.43</v>
      </c>
      <c r="L49" s="66">
        <f t="shared" ref="L49:L55" si="13">K49*J49</f>
        <v>0.68389200000000006</v>
      </c>
      <c r="M49" s="28"/>
      <c r="N49" s="31">
        <f t="shared" si="10"/>
        <v>-2.7719999999999967E-3</v>
      </c>
      <c r="O49" s="68">
        <f t="shared" si="11"/>
        <v>-4.0369088811995331E-3</v>
      </c>
    </row>
    <row r="50" spans="2:19" ht="14.45" x14ac:dyDescent="0.3">
      <c r="B50" s="64" t="s">
        <v>32</v>
      </c>
      <c r="C50" s="22"/>
      <c r="D50" s="23" t="s">
        <v>61</v>
      </c>
      <c r="E50" s="24"/>
      <c r="F50" s="65">
        <v>1.2999999999999999E-3</v>
      </c>
      <c r="G50" s="289">
        <f>G49</f>
        <v>156.06</v>
      </c>
      <c r="H50" s="66">
        <f t="shared" si="12"/>
        <v>0.202878</v>
      </c>
      <c r="I50" s="28"/>
      <c r="J50" s="263">
        <f>+F50</f>
        <v>1.2999999999999999E-3</v>
      </c>
      <c r="K50" s="290">
        <f>K49</f>
        <v>155.43</v>
      </c>
      <c r="L50" s="66">
        <f t="shared" si="13"/>
        <v>0.20205899999999999</v>
      </c>
      <c r="M50" s="28"/>
      <c r="N50" s="31">
        <f t="shared" si="10"/>
        <v>-8.1900000000001416E-4</v>
      </c>
      <c r="O50" s="68">
        <f t="shared" si="11"/>
        <v>-4.0369088811996086E-3</v>
      </c>
    </row>
    <row r="51" spans="2:19" ht="14.45" x14ac:dyDescent="0.3">
      <c r="B51" s="22" t="s">
        <v>33</v>
      </c>
      <c r="C51" s="22"/>
      <c r="D51" s="23" t="s">
        <v>60</v>
      </c>
      <c r="E51" s="24"/>
      <c r="F51" s="176">
        <v>0.25</v>
      </c>
      <c r="G51" s="26">
        <v>1</v>
      </c>
      <c r="H51" s="66">
        <f t="shared" si="12"/>
        <v>0.25</v>
      </c>
      <c r="I51" s="28"/>
      <c r="J51" s="283">
        <f>+F51</f>
        <v>0.25</v>
      </c>
      <c r="K51" s="30">
        <v>1</v>
      </c>
      <c r="L51" s="66">
        <f t="shared" si="13"/>
        <v>0.25</v>
      </c>
      <c r="M51" s="28"/>
      <c r="N51" s="31">
        <f t="shared" si="10"/>
        <v>0</v>
      </c>
      <c r="O51" s="68">
        <f t="shared" si="11"/>
        <v>0</v>
      </c>
    </row>
    <row r="52" spans="2:19" ht="14.45" x14ac:dyDescent="0.3">
      <c r="B52" s="24" t="s">
        <v>34</v>
      </c>
      <c r="C52" s="22"/>
      <c r="D52" s="23" t="s">
        <v>61</v>
      </c>
      <c r="E52" s="24"/>
      <c r="F52" s="65">
        <v>7.0000000000000001E-3</v>
      </c>
      <c r="G52" s="69">
        <f>F16</f>
        <v>150</v>
      </c>
      <c r="H52" s="66">
        <f t="shared" si="12"/>
        <v>1.05</v>
      </c>
      <c r="I52" s="28"/>
      <c r="J52" s="263">
        <f>+F52</f>
        <v>7.0000000000000001E-3</v>
      </c>
      <c r="K52" s="70">
        <f>F16</f>
        <v>150</v>
      </c>
      <c r="L52" s="66">
        <f t="shared" si="13"/>
        <v>1.05</v>
      </c>
      <c r="M52" s="28"/>
      <c r="N52" s="31">
        <f t="shared" si="10"/>
        <v>0</v>
      </c>
      <c r="O52" s="68">
        <f t="shared" si="11"/>
        <v>0</v>
      </c>
    </row>
    <row r="53" spans="2:19" x14ac:dyDescent="0.25">
      <c r="B53" s="22" t="s">
        <v>98</v>
      </c>
      <c r="C53" s="22"/>
      <c r="D53" s="23" t="s">
        <v>61</v>
      </c>
      <c r="E53" s="24"/>
      <c r="F53" s="335">
        <f>+'GS 50-4999 (60kW)'!F53</f>
        <v>0.10186000000000001</v>
      </c>
      <c r="G53" s="69">
        <f>F16</f>
        <v>150</v>
      </c>
      <c r="H53" s="66">
        <f t="shared" si="12"/>
        <v>15.279000000000002</v>
      </c>
      <c r="I53" s="28"/>
      <c r="J53" s="336">
        <f>+F53</f>
        <v>0.10186000000000001</v>
      </c>
      <c r="K53" s="69">
        <f>F16</f>
        <v>150</v>
      </c>
      <c r="L53" s="66">
        <f t="shared" si="13"/>
        <v>15.279000000000002</v>
      </c>
      <c r="M53" s="28"/>
      <c r="N53" s="31">
        <f t="shared" si="10"/>
        <v>0</v>
      </c>
      <c r="O53" s="68">
        <f t="shared" si="11"/>
        <v>0</v>
      </c>
      <c r="S53" s="72"/>
    </row>
    <row r="54" spans="2:19" x14ac:dyDescent="0.25">
      <c r="B54" s="49" t="s">
        <v>36</v>
      </c>
      <c r="C54" s="22"/>
      <c r="D54" s="23"/>
      <c r="E54" s="24"/>
      <c r="F54" s="71">
        <v>0.104</v>
      </c>
      <c r="G54" s="69">
        <v>0</v>
      </c>
      <c r="H54" s="66">
        <f t="shared" si="12"/>
        <v>0</v>
      </c>
      <c r="I54" s="28"/>
      <c r="J54" s="65">
        <v>0.104</v>
      </c>
      <c r="K54" s="69">
        <v>0</v>
      </c>
      <c r="L54" s="66">
        <f t="shared" si="13"/>
        <v>0</v>
      </c>
      <c r="M54" s="28"/>
      <c r="N54" s="31">
        <f t="shared" si="10"/>
        <v>0</v>
      </c>
      <c r="O54" s="68" t="str">
        <f t="shared" si="11"/>
        <v/>
      </c>
      <c r="S54" s="72"/>
    </row>
    <row r="55" spans="2:19" x14ac:dyDescent="0.25">
      <c r="B55" s="12" t="s">
        <v>37</v>
      </c>
      <c r="C55" s="22"/>
      <c r="D55" s="23"/>
      <c r="E55" s="24"/>
      <c r="F55" s="71">
        <v>0.124</v>
      </c>
      <c r="G55" s="69">
        <v>0</v>
      </c>
      <c r="H55" s="66">
        <f t="shared" si="12"/>
        <v>0</v>
      </c>
      <c r="I55" s="28"/>
      <c r="J55" s="65">
        <v>0.124</v>
      </c>
      <c r="K55" s="69">
        <v>0</v>
      </c>
      <c r="L55" s="66">
        <f t="shared" si="13"/>
        <v>0</v>
      </c>
      <c r="M55" s="28"/>
      <c r="N55" s="31">
        <f t="shared" si="10"/>
        <v>0</v>
      </c>
      <c r="O55" s="68" t="str">
        <f t="shared" si="11"/>
        <v/>
      </c>
      <c r="S55" s="72"/>
    </row>
    <row r="56" spans="2:19" s="73" customFormat="1" x14ac:dyDescent="0.2">
      <c r="B56" s="180" t="s">
        <v>38</v>
      </c>
      <c r="C56" s="75"/>
      <c r="D56" s="76"/>
      <c r="E56" s="77"/>
      <c r="F56" s="71">
        <v>7.4999999999999997E-2</v>
      </c>
      <c r="G56" s="78">
        <f>IF(AND($T$1=1, F16&gt;=600), 600, IF(AND($T$1=1, AND(F16&lt;600, F16&gt;=0)), F16, IF(AND($T$1=2, F16&gt;=1000), 1000, IF(AND($T$1=2, AND(F16&lt;1000, F16&gt;=0)), F16))))</f>
        <v>150</v>
      </c>
      <c r="H56" s="66">
        <f>G56*F56</f>
        <v>11.25</v>
      </c>
      <c r="I56" s="79"/>
      <c r="J56" s="65">
        <v>7.4999999999999997E-2</v>
      </c>
      <c r="K56" s="78">
        <f>G56</f>
        <v>150</v>
      </c>
      <c r="L56" s="66">
        <f>K56*J56</f>
        <v>11.25</v>
      </c>
      <c r="M56" s="79"/>
      <c r="N56" s="80">
        <f t="shared" si="10"/>
        <v>0</v>
      </c>
      <c r="O56" s="68">
        <f t="shared" si="11"/>
        <v>0</v>
      </c>
    </row>
    <row r="57" spans="2:19" s="73" customFormat="1" ht="15.75" thickBot="1" x14ac:dyDescent="0.25">
      <c r="B57" s="180" t="s">
        <v>39</v>
      </c>
      <c r="C57" s="75"/>
      <c r="D57" s="76"/>
      <c r="E57" s="77"/>
      <c r="F57" s="71">
        <v>8.7999999999999995E-2</v>
      </c>
      <c r="G57" s="78">
        <f>IF(AND($T$1=1, F16&gt;=600), F16-600, IF(AND($T$1=1, AND(F16&lt;600, F16&gt;=0)), 0, IF(AND($T$1=2, F16&gt;=1000), F16-1000, IF(AND($T$1=2, AND(F16&lt;1000, F16&gt;=0)), 0))))</f>
        <v>0</v>
      </c>
      <c r="H57" s="66">
        <f>G57*F57</f>
        <v>0</v>
      </c>
      <c r="I57" s="79"/>
      <c r="J57" s="65">
        <v>8.7999999999999995E-2</v>
      </c>
      <c r="K57" s="78">
        <f>G57</f>
        <v>0</v>
      </c>
      <c r="L57" s="66">
        <f>K57*J57</f>
        <v>0</v>
      </c>
      <c r="M57" s="79"/>
      <c r="N57" s="80">
        <f t="shared" si="10"/>
        <v>0</v>
      </c>
      <c r="O57" s="68" t="str">
        <f t="shared" si="11"/>
        <v/>
      </c>
    </row>
    <row r="58" spans="2:19" ht="8.25" customHeight="1" thickBot="1" x14ac:dyDescent="0.3">
      <c r="B58" s="81"/>
      <c r="C58" s="82"/>
      <c r="D58" s="83"/>
      <c r="E58" s="82"/>
      <c r="F58" s="84"/>
      <c r="G58" s="85"/>
      <c r="H58" s="86"/>
      <c r="I58" s="87"/>
      <c r="J58" s="84"/>
      <c r="K58" s="88"/>
      <c r="L58" s="86"/>
      <c r="M58" s="87"/>
      <c r="N58" s="89"/>
      <c r="O58" s="90"/>
    </row>
    <row r="59" spans="2:19" x14ac:dyDescent="0.25">
      <c r="B59" s="91" t="s">
        <v>40</v>
      </c>
      <c r="C59" s="22"/>
      <c r="D59" s="22"/>
      <c r="E59" s="22"/>
      <c r="F59" s="92"/>
      <c r="G59" s="93"/>
      <c r="H59" s="94">
        <f>SUM(H49:H55,H48)</f>
        <v>29.581013600000002</v>
      </c>
      <c r="I59" s="95"/>
      <c r="J59" s="96"/>
      <c r="K59" s="96"/>
      <c r="L59" s="94">
        <f>SUM(L49:L55,L48)</f>
        <v>31.531350800000006</v>
      </c>
      <c r="M59" s="97"/>
      <c r="N59" s="98">
        <f>L59-H59</f>
        <v>1.9503372000000034</v>
      </c>
      <c r="O59" s="99">
        <f>IF((H59)=0,"",(N59/H59))</f>
        <v>6.5932061232682151E-2</v>
      </c>
      <c r="S59" s="72"/>
    </row>
    <row r="60" spans="2:19" x14ac:dyDescent="0.25">
      <c r="B60" s="100" t="s">
        <v>41</v>
      </c>
      <c r="C60" s="22"/>
      <c r="D60" s="22"/>
      <c r="E60" s="22"/>
      <c r="F60" s="101">
        <v>0.13</v>
      </c>
      <c r="G60" s="102"/>
      <c r="H60" s="103">
        <f>H59*F60</f>
        <v>3.8455317680000003</v>
      </c>
      <c r="I60" s="104"/>
      <c r="J60" s="105">
        <v>0.13</v>
      </c>
      <c r="K60" s="104"/>
      <c r="L60" s="106">
        <f>L59*J60</f>
        <v>4.0990756040000011</v>
      </c>
      <c r="M60" s="107"/>
      <c r="N60" s="108">
        <f t="shared" si="10"/>
        <v>0.25354383600000086</v>
      </c>
      <c r="O60" s="109">
        <f t="shared" si="11"/>
        <v>6.5932061232682249E-2</v>
      </c>
      <c r="S60" s="72"/>
    </row>
    <row r="61" spans="2:19" x14ac:dyDescent="0.25">
      <c r="B61" s="110" t="s">
        <v>42</v>
      </c>
      <c r="C61" s="22"/>
      <c r="D61" s="22"/>
      <c r="E61" s="22"/>
      <c r="F61" s="111"/>
      <c r="G61" s="102"/>
      <c r="H61" s="103">
        <f>H59+H60</f>
        <v>33.426545367999999</v>
      </c>
      <c r="I61" s="104"/>
      <c r="J61" s="104"/>
      <c r="K61" s="104"/>
      <c r="L61" s="106">
        <f>L59+L60</f>
        <v>35.630426404000005</v>
      </c>
      <c r="M61" s="107"/>
      <c r="N61" s="108">
        <f t="shared" si="10"/>
        <v>2.2038810360000056</v>
      </c>
      <c r="O61" s="109">
        <f t="shared" si="11"/>
        <v>6.5932061232682207E-2</v>
      </c>
      <c r="S61" s="72"/>
    </row>
    <row r="62" spans="2:19" x14ac:dyDescent="0.25">
      <c r="B62" s="388" t="s">
        <v>43</v>
      </c>
      <c r="C62" s="388"/>
      <c r="D62" s="388"/>
      <c r="E62" s="22"/>
      <c r="F62" s="111"/>
      <c r="G62" s="102"/>
      <c r="H62" s="112">
        <f>ROUND(-H61*10%,2)</f>
        <v>-3.34</v>
      </c>
      <c r="I62" s="104"/>
      <c r="J62" s="104"/>
      <c r="K62" s="104"/>
      <c r="L62" s="113">
        <f>ROUND(-L61*10%,2)</f>
        <v>-3.56</v>
      </c>
      <c r="M62" s="107"/>
      <c r="N62" s="114">
        <f t="shared" si="10"/>
        <v>-0.2200000000000002</v>
      </c>
      <c r="O62" s="115">
        <f t="shared" si="11"/>
        <v>6.5868263473053953E-2</v>
      </c>
    </row>
    <row r="63" spans="2:19" ht="15.75" thickBot="1" x14ac:dyDescent="0.3">
      <c r="B63" s="384" t="s">
        <v>44</v>
      </c>
      <c r="C63" s="384"/>
      <c r="D63" s="384"/>
      <c r="E63" s="116"/>
      <c r="F63" s="117"/>
      <c r="G63" s="118"/>
      <c r="H63" s="119">
        <f>H61+H62</f>
        <v>30.086545367999999</v>
      </c>
      <c r="I63" s="120"/>
      <c r="J63" s="120"/>
      <c r="K63" s="120"/>
      <c r="L63" s="121">
        <f>L61+L62</f>
        <v>32.070426404000003</v>
      </c>
      <c r="M63" s="122"/>
      <c r="N63" s="123">
        <f t="shared" si="10"/>
        <v>1.9838810360000032</v>
      </c>
      <c r="O63" s="124">
        <f t="shared" si="11"/>
        <v>6.5939143618331669E-2</v>
      </c>
    </row>
    <row r="64" spans="2:19" s="73" customFormat="1" ht="8.25" hidden="1" customHeight="1" x14ac:dyDescent="0.25">
      <c r="B64" s="125"/>
      <c r="C64" s="126"/>
      <c r="D64" s="127"/>
      <c r="E64" s="126"/>
      <c r="F64" s="84"/>
      <c r="G64" s="128"/>
      <c r="H64" s="86"/>
      <c r="I64" s="129"/>
      <c r="J64" s="84"/>
      <c r="K64" s="130"/>
      <c r="L64" s="86"/>
      <c r="M64" s="129"/>
      <c r="N64" s="131"/>
      <c r="O64" s="90"/>
    </row>
    <row r="65" spans="1:15" s="73" customFormat="1" ht="12.75" x14ac:dyDescent="0.2">
      <c r="B65" s="132" t="s">
        <v>45</v>
      </c>
      <c r="C65" s="75"/>
      <c r="D65" s="75"/>
      <c r="E65" s="75"/>
      <c r="F65" s="133"/>
      <c r="G65" s="134"/>
      <c r="H65" s="135">
        <f>SUM(H53,H48,H49:H52)</f>
        <v>29.581013600000002</v>
      </c>
      <c r="I65" s="136"/>
      <c r="J65" s="137"/>
      <c r="K65" s="137"/>
      <c r="L65" s="189">
        <f>SUM(L53,L48,L49:L52)</f>
        <v>31.531350800000002</v>
      </c>
      <c r="M65" s="138"/>
      <c r="N65" s="139">
        <f>L65-H65</f>
        <v>1.9503371999999999</v>
      </c>
      <c r="O65" s="99">
        <f>IF((H65)=0,"",(N65/H65))</f>
        <v>6.5932061232682027E-2</v>
      </c>
    </row>
    <row r="66" spans="1:15" s="73" customFormat="1" ht="13.15" x14ac:dyDescent="0.25">
      <c r="B66" s="140" t="s">
        <v>41</v>
      </c>
      <c r="C66" s="75"/>
      <c r="D66" s="75"/>
      <c r="E66" s="75"/>
      <c r="F66" s="141">
        <v>0.13</v>
      </c>
      <c r="G66" s="134"/>
      <c r="H66" s="142">
        <f>H65*F66</f>
        <v>3.8455317680000003</v>
      </c>
      <c r="I66" s="143"/>
      <c r="J66" s="144">
        <v>0.13</v>
      </c>
      <c r="K66" s="145"/>
      <c r="L66" s="146">
        <f>L65*J66</f>
        <v>4.0990756040000003</v>
      </c>
      <c r="M66" s="147"/>
      <c r="N66" s="148">
        <f>L66-H66</f>
        <v>0.25354383599999997</v>
      </c>
      <c r="O66" s="109">
        <f>IF((H66)=0,"",(N66/H66))</f>
        <v>6.5932061232682027E-2</v>
      </c>
    </row>
    <row r="67" spans="1:15" s="73" customFormat="1" ht="12.75" x14ac:dyDescent="0.2">
      <c r="B67" s="149" t="s">
        <v>42</v>
      </c>
      <c r="C67" s="75"/>
      <c r="D67" s="75"/>
      <c r="E67" s="75"/>
      <c r="F67" s="150"/>
      <c r="G67" s="151"/>
      <c r="H67" s="142">
        <f>H65+H66</f>
        <v>33.426545367999999</v>
      </c>
      <c r="I67" s="143"/>
      <c r="J67" s="143"/>
      <c r="K67" s="143"/>
      <c r="L67" s="146">
        <f>L65+L66</f>
        <v>35.630426404000005</v>
      </c>
      <c r="M67" s="147"/>
      <c r="N67" s="148">
        <f>L67-H67</f>
        <v>2.2038810360000056</v>
      </c>
      <c r="O67" s="109">
        <f>IF((H67)=0,"",(N67/H67))</f>
        <v>6.5932061232682207E-2</v>
      </c>
    </row>
    <row r="68" spans="1:15" s="73" customFormat="1" ht="15.75" customHeight="1" x14ac:dyDescent="0.2">
      <c r="B68" s="389" t="s">
        <v>43</v>
      </c>
      <c r="C68" s="389"/>
      <c r="D68" s="389"/>
      <c r="E68" s="75"/>
      <c r="F68" s="150"/>
      <c r="G68" s="151"/>
      <c r="H68" s="152"/>
      <c r="I68" s="143"/>
      <c r="J68" s="143"/>
      <c r="K68" s="143"/>
      <c r="L68" s="153"/>
      <c r="M68" s="147"/>
      <c r="N68" s="148">
        <f>L68-H68</f>
        <v>0</v>
      </c>
      <c r="O68" s="115" t="str">
        <f>IF((H68)=0,"",(N68/H68))</f>
        <v/>
      </c>
    </row>
    <row r="69" spans="1:15" s="73" customFormat="1" ht="13.5" thickBot="1" x14ac:dyDescent="0.25">
      <c r="B69" s="376" t="s">
        <v>46</v>
      </c>
      <c r="C69" s="376"/>
      <c r="D69" s="376"/>
      <c r="E69" s="155"/>
      <c r="F69" s="156"/>
      <c r="G69" s="157"/>
      <c r="H69" s="158">
        <f>SUM(H67:H68)</f>
        <v>33.426545367999999</v>
      </c>
      <c r="I69" s="159"/>
      <c r="J69" s="159"/>
      <c r="K69" s="159"/>
      <c r="L69" s="160">
        <f>SUM(L67:L68)</f>
        <v>35.630426404000005</v>
      </c>
      <c r="M69" s="161"/>
      <c r="N69" s="162">
        <f>L69-H69</f>
        <v>2.2038810360000056</v>
      </c>
      <c r="O69" s="163">
        <f>IF((H69)=0,"",(N69/H69))</f>
        <v>6.5932061232682207E-2</v>
      </c>
    </row>
    <row r="70" spans="1:15" s="73" customFormat="1" ht="8.25" customHeight="1" thickBot="1" x14ac:dyDescent="0.25">
      <c r="B70" s="125"/>
      <c r="C70" s="126"/>
      <c r="D70" s="127"/>
      <c r="E70" s="126"/>
      <c r="F70" s="164"/>
      <c r="G70" s="165"/>
      <c r="H70" s="166"/>
      <c r="I70" s="167"/>
      <c r="J70" s="164"/>
      <c r="K70" s="128"/>
      <c r="L70" s="168"/>
      <c r="M70" s="129"/>
      <c r="N70" s="169"/>
      <c r="O70" s="90"/>
    </row>
    <row r="71" spans="1:15" ht="10.5" customHeight="1" x14ac:dyDescent="0.25">
      <c r="L71" s="72"/>
    </row>
    <row r="72" spans="1:15" x14ac:dyDescent="0.25">
      <c r="B72" s="13" t="s">
        <v>47</v>
      </c>
      <c r="F72" s="170">
        <f>+'Res (100kWh)'!$F$73</f>
        <v>4.0399999999999998E-2</v>
      </c>
      <c r="J72" s="170">
        <f>+'Res (100kWh)'!$J$73</f>
        <v>3.6200000000000003E-2</v>
      </c>
    </row>
    <row r="73" spans="1:15" ht="10.5" customHeight="1" x14ac:dyDescent="0.25"/>
    <row r="74" spans="1:15" x14ac:dyDescent="0.25">
      <c r="A74" s="171" t="s">
        <v>48</v>
      </c>
    </row>
    <row r="75" spans="1:15" ht="10.5" customHeight="1" x14ac:dyDescent="0.25"/>
    <row r="76" spans="1:15" x14ac:dyDescent="0.25">
      <c r="A76" s="7" t="s">
        <v>49</v>
      </c>
    </row>
    <row r="77" spans="1:15" x14ac:dyDescent="0.25">
      <c r="A77" s="7" t="s">
        <v>50</v>
      </c>
    </row>
    <row r="79" spans="1:15" x14ac:dyDescent="0.25">
      <c r="A79" s="12" t="s">
        <v>51</v>
      </c>
    </row>
    <row r="80" spans="1:15" x14ac:dyDescent="0.25">
      <c r="A80" s="12" t="s">
        <v>52</v>
      </c>
    </row>
    <row r="82" spans="1:2" x14ac:dyDescent="0.25">
      <c r="A82" s="7" t="s">
        <v>53</v>
      </c>
    </row>
    <row r="83" spans="1:2" x14ac:dyDescent="0.25">
      <c r="A83" s="7" t="s">
        <v>54</v>
      </c>
    </row>
    <row r="84" spans="1:2" x14ac:dyDescent="0.25">
      <c r="A84" s="7" t="s">
        <v>55</v>
      </c>
    </row>
    <row r="85" spans="1:2" x14ac:dyDescent="0.25">
      <c r="A85" s="7" t="s">
        <v>56</v>
      </c>
    </row>
    <row r="86" spans="1:2" x14ac:dyDescent="0.25">
      <c r="A86" s="7" t="s">
        <v>57</v>
      </c>
    </row>
    <row r="88" spans="1:2" x14ac:dyDescent="0.25">
      <c r="A88" s="172"/>
      <c r="B88" s="7" t="s">
        <v>58</v>
      </c>
    </row>
  </sheetData>
  <mergeCells count="17">
    <mergeCell ref="J18:L18"/>
    <mergeCell ref="N18:O18"/>
    <mergeCell ref="N1:O1"/>
    <mergeCell ref="N2:O2"/>
    <mergeCell ref="N5:O5"/>
    <mergeCell ref="B8:O8"/>
    <mergeCell ref="B9:O9"/>
    <mergeCell ref="D12:O12"/>
    <mergeCell ref="F18:H18"/>
    <mergeCell ref="N3:O3"/>
    <mergeCell ref="B69:D69"/>
    <mergeCell ref="D19:D20"/>
    <mergeCell ref="N19:N20"/>
    <mergeCell ref="O19:O20"/>
    <mergeCell ref="B62:D62"/>
    <mergeCell ref="B63:D63"/>
    <mergeCell ref="B68:D68"/>
  </mergeCells>
  <dataValidations count="4">
    <dataValidation type="list" allowBlank="1" showInputMessage="1" showErrorMessage="1" sqref="D14">
      <formula1>"TOU, non-TOU"</formula1>
    </dataValidation>
    <dataValidation type="list" allowBlank="1" showInputMessage="1" showErrorMessage="1" sqref="E70 E64 E56:E57">
      <formula1>#REF!</formula1>
    </dataValidation>
    <dataValidation type="list" allowBlank="1" showInputMessage="1" showErrorMessage="1" prompt="Select Charge Unit - monthly, per kWh, per kW" sqref="D46:D47 D38:D44 D64 D21:D36 D70 D49:D58">
      <formula1>"Monthly, per kWh, per kW"</formula1>
    </dataValidation>
    <dataValidation type="list" allowBlank="1" showInputMessage="1" showErrorMessage="1" sqref="E46:E47 E38:E44 E21:E36 E49:E55 E58">
      <formula1>#REF!</formula1>
    </dataValidation>
  </dataValidations>
  <pageMargins left="0.7" right="0.7" top="0.75" bottom="0.75" header="0.3" footer="0.3"/>
  <pageSetup scale="56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T89"/>
  <sheetViews>
    <sheetView showGridLines="0" topLeftCell="A12" workbookViewId="0">
      <selection activeCell="J29" sqref="J29"/>
    </sheetView>
  </sheetViews>
  <sheetFormatPr defaultColWidth="9.140625" defaultRowHeight="15" x14ac:dyDescent="0.25"/>
  <cols>
    <col min="1" max="1" width="2.140625" style="7" customWidth="1"/>
    <col min="2" max="2" width="44.5703125" style="7" customWidth="1"/>
    <col min="3" max="3" width="1.28515625" style="7" customWidth="1"/>
    <col min="4" max="4" width="11.28515625" style="7" customWidth="1"/>
    <col min="5" max="5" width="1.28515625" style="7" customWidth="1"/>
    <col min="6" max="6" width="12.28515625" style="7" customWidth="1"/>
    <col min="7" max="7" width="8.5703125" style="7" customWidth="1"/>
    <col min="8" max="8" width="9.7109375" style="7" customWidth="1"/>
    <col min="9" max="9" width="2.85546875" style="7" customWidth="1"/>
    <col min="10" max="10" width="12.140625" style="7" customWidth="1"/>
    <col min="11" max="11" width="8.5703125" style="7" customWidth="1"/>
    <col min="12" max="12" width="9.7109375" style="7" customWidth="1"/>
    <col min="13" max="13" width="2.85546875" style="7" customWidth="1"/>
    <col min="14" max="14" width="12.7109375" style="7" bestFit="1" customWidth="1"/>
    <col min="15" max="15" width="10.85546875" style="7" bestFit="1" customWidth="1"/>
    <col min="16" max="16" width="6.28515625" style="7" customWidth="1"/>
    <col min="17" max="19" width="9.140625" style="7"/>
    <col min="20" max="20" width="9.140625" style="7" customWidth="1"/>
    <col min="21" max="16384" width="9.140625" style="7"/>
  </cols>
  <sheetData>
    <row r="1" spans="1:20" s="2" customFormat="1" ht="15" customHeigh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3" t="s">
        <v>0</v>
      </c>
      <c r="N1" s="368" t="s">
        <v>94</v>
      </c>
      <c r="O1" s="368"/>
      <c r="T1" s="2">
        <v>1</v>
      </c>
    </row>
    <row r="2" spans="1:20" s="2" customFormat="1" ht="15" customHeight="1" x14ac:dyDescent="0.3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3" t="s">
        <v>95</v>
      </c>
      <c r="N2" s="369">
        <v>8</v>
      </c>
      <c r="O2" s="369"/>
    </row>
    <row r="3" spans="1:20" s="2" customFormat="1" ht="15" customHeight="1" x14ac:dyDescent="0.3">
      <c r="C3" s="6"/>
      <c r="D3" s="6"/>
      <c r="E3" s="6"/>
      <c r="L3" s="3" t="s">
        <v>96</v>
      </c>
      <c r="N3" s="370" t="s">
        <v>97</v>
      </c>
      <c r="O3" s="370"/>
    </row>
    <row r="4" spans="1:20" s="2" customFormat="1" ht="9" customHeight="1" x14ac:dyDescent="0.3">
      <c r="L4" s="3"/>
      <c r="N4" s="310"/>
      <c r="O4"/>
    </row>
    <row r="5" spans="1:20" s="2" customFormat="1" ht="14.45" x14ac:dyDescent="0.3">
      <c r="L5" s="3" t="s">
        <v>76</v>
      </c>
      <c r="N5" s="387">
        <v>42124</v>
      </c>
      <c r="O5" s="387"/>
    </row>
    <row r="6" spans="1:20" s="2" customFormat="1" ht="15" customHeight="1" x14ac:dyDescent="0.3">
      <c r="N6" s="7"/>
      <c r="O6"/>
      <c r="P6"/>
    </row>
    <row r="7" spans="1:20" ht="7.5" customHeight="1" x14ac:dyDescent="0.3">
      <c r="L7"/>
      <c r="M7"/>
      <c r="N7"/>
      <c r="O7"/>
      <c r="P7"/>
    </row>
    <row r="8" spans="1:20" ht="18.75" customHeight="1" x14ac:dyDescent="0.3">
      <c r="B8" s="367" t="s">
        <v>1</v>
      </c>
      <c r="C8" s="367"/>
      <c r="D8" s="367"/>
      <c r="E8" s="367"/>
      <c r="F8" s="367"/>
      <c r="G8" s="367"/>
      <c r="H8" s="367"/>
      <c r="I8" s="367"/>
      <c r="J8" s="367"/>
      <c r="K8" s="367"/>
      <c r="L8" s="367"/>
      <c r="M8" s="367"/>
      <c r="N8" s="367"/>
      <c r="O8" s="367"/>
      <c r="P8"/>
    </row>
    <row r="9" spans="1:20" ht="18.75" customHeight="1" x14ac:dyDescent="0.3">
      <c r="B9" s="367" t="s">
        <v>2</v>
      </c>
      <c r="C9" s="367"/>
      <c r="D9" s="367"/>
      <c r="E9" s="367"/>
      <c r="F9" s="367"/>
      <c r="G9" s="367"/>
      <c r="H9" s="367"/>
      <c r="I9" s="367"/>
      <c r="J9" s="367"/>
      <c r="K9" s="367"/>
      <c r="L9" s="367"/>
      <c r="M9" s="367"/>
      <c r="N9" s="367"/>
      <c r="O9" s="367"/>
      <c r="P9"/>
    </row>
    <row r="10" spans="1:20" ht="7.5" customHeight="1" x14ac:dyDescent="0.3">
      <c r="L10"/>
      <c r="M10"/>
      <c r="N10"/>
      <c r="O10"/>
      <c r="P10"/>
    </row>
    <row r="11" spans="1:20" ht="7.5" customHeight="1" x14ac:dyDescent="0.3">
      <c r="L11"/>
      <c r="M11"/>
      <c r="N11"/>
      <c r="O11"/>
      <c r="P11"/>
    </row>
    <row r="12" spans="1:20" ht="15.6" x14ac:dyDescent="0.3">
      <c r="B12" s="8" t="s">
        <v>3</v>
      </c>
      <c r="D12" s="386" t="s">
        <v>59</v>
      </c>
      <c r="E12" s="386"/>
      <c r="F12" s="386"/>
      <c r="G12" s="386"/>
      <c r="H12" s="386"/>
      <c r="I12" s="386"/>
      <c r="J12" s="386"/>
      <c r="K12" s="386"/>
      <c r="L12" s="386"/>
      <c r="M12" s="386"/>
      <c r="N12" s="386"/>
      <c r="O12" s="386"/>
    </row>
    <row r="13" spans="1:20" ht="7.5" customHeight="1" x14ac:dyDescent="0.3">
      <c r="B13" s="9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</row>
    <row r="14" spans="1:20" ht="15.6" x14ac:dyDescent="0.3">
      <c r="B14" s="8" t="s">
        <v>4</v>
      </c>
      <c r="D14" s="11" t="s">
        <v>5</v>
      </c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</row>
    <row r="15" spans="1:20" ht="15.6" x14ac:dyDescent="0.3">
      <c r="B15" s="9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</row>
    <row r="16" spans="1:20" ht="14.45" x14ac:dyDescent="0.3">
      <c r="B16" s="12"/>
      <c r="D16" s="13" t="s">
        <v>6</v>
      </c>
      <c r="E16" s="13"/>
      <c r="F16" s="14">
        <v>250</v>
      </c>
      <c r="G16" s="13" t="s">
        <v>7</v>
      </c>
    </row>
    <row r="17" spans="2:15" ht="14.45" x14ac:dyDescent="0.3">
      <c r="B17" s="12"/>
    </row>
    <row r="18" spans="2:15" ht="14.45" x14ac:dyDescent="0.3">
      <c r="B18" s="12"/>
      <c r="D18" s="15"/>
      <c r="E18" s="15"/>
      <c r="F18" s="373" t="s">
        <v>8</v>
      </c>
      <c r="G18" s="374"/>
      <c r="H18" s="375"/>
      <c r="J18" s="373" t="s">
        <v>9</v>
      </c>
      <c r="K18" s="374"/>
      <c r="L18" s="375"/>
      <c r="N18" s="373" t="s">
        <v>10</v>
      </c>
      <c r="O18" s="375"/>
    </row>
    <row r="19" spans="2:15" x14ac:dyDescent="0.25">
      <c r="B19" s="12"/>
      <c r="D19" s="377" t="s">
        <v>11</v>
      </c>
      <c r="E19" s="16"/>
      <c r="F19" s="17" t="s">
        <v>12</v>
      </c>
      <c r="G19" s="17" t="s">
        <v>13</v>
      </c>
      <c r="H19" s="18" t="s">
        <v>14</v>
      </c>
      <c r="J19" s="17" t="s">
        <v>12</v>
      </c>
      <c r="K19" s="19" t="s">
        <v>13</v>
      </c>
      <c r="L19" s="18" t="s">
        <v>14</v>
      </c>
      <c r="N19" s="379" t="s">
        <v>15</v>
      </c>
      <c r="O19" s="381" t="s">
        <v>16</v>
      </c>
    </row>
    <row r="20" spans="2:15" x14ac:dyDescent="0.25">
      <c r="B20" s="12"/>
      <c r="D20" s="378"/>
      <c r="E20" s="16"/>
      <c r="F20" s="20" t="s">
        <v>17</v>
      </c>
      <c r="G20" s="20"/>
      <c r="H20" s="21" t="s">
        <v>17</v>
      </c>
      <c r="J20" s="20" t="s">
        <v>17</v>
      </c>
      <c r="K20" s="21"/>
      <c r="L20" s="21" t="s">
        <v>17</v>
      </c>
      <c r="N20" s="380"/>
      <c r="O20" s="382"/>
    </row>
    <row r="21" spans="2:15" ht="22.5" customHeight="1" x14ac:dyDescent="0.3">
      <c r="B21" s="22" t="s">
        <v>18</v>
      </c>
      <c r="C21" s="22"/>
      <c r="D21" s="23" t="s">
        <v>60</v>
      </c>
      <c r="E21" s="24"/>
      <c r="F21" s="174">
        <f>+'Res (100kWh)'!$F$21</f>
        <v>15.2</v>
      </c>
      <c r="G21" s="26">
        <v>1</v>
      </c>
      <c r="H21" s="27">
        <f>G21*F21</f>
        <v>15.2</v>
      </c>
      <c r="I21" s="28"/>
      <c r="J21" s="173">
        <f>+'Res (100kWh)'!$J$21</f>
        <v>19.87</v>
      </c>
      <c r="K21" s="30">
        <v>1</v>
      </c>
      <c r="L21" s="27">
        <f>K21*J21</f>
        <v>19.87</v>
      </c>
      <c r="M21" s="28"/>
      <c r="N21" s="31">
        <f>L21-H21</f>
        <v>4.6700000000000017</v>
      </c>
      <c r="O21" s="32">
        <f>IF((H21)=0,"",(N21/H21))</f>
        <v>0.30723684210526331</v>
      </c>
    </row>
    <row r="22" spans="2:15" ht="36.75" customHeight="1" x14ac:dyDescent="0.3">
      <c r="B22" s="64" t="s">
        <v>62</v>
      </c>
      <c r="C22" s="22"/>
      <c r="D22" s="56" t="s">
        <v>60</v>
      </c>
      <c r="E22" s="24"/>
      <c r="F22" s="173">
        <f>+'Res (100kWh)'!$F$22</f>
        <v>0</v>
      </c>
      <c r="G22" s="26">
        <v>1</v>
      </c>
      <c r="H22" s="27">
        <f t="shared" ref="H22:H36" si="0">G22*F22</f>
        <v>0</v>
      </c>
      <c r="I22" s="28"/>
      <c r="J22" s="29"/>
      <c r="K22" s="30">
        <v>1</v>
      </c>
      <c r="L22" s="27">
        <f>K22*J22</f>
        <v>0</v>
      </c>
      <c r="M22" s="28"/>
      <c r="N22" s="31">
        <f>L22-H22</f>
        <v>0</v>
      </c>
      <c r="O22" s="32" t="str">
        <f>IF((H22)=0,"",(N22/H22))</f>
        <v/>
      </c>
    </row>
    <row r="23" spans="2:15" ht="36.75" customHeight="1" x14ac:dyDescent="0.3">
      <c r="B23" s="297" t="s">
        <v>63</v>
      </c>
      <c r="C23" s="22"/>
      <c r="D23" s="56" t="s">
        <v>60</v>
      </c>
      <c r="E23" s="57"/>
      <c r="F23" s="173">
        <f>+'Res (100kWh)'!$F$23</f>
        <v>2.11</v>
      </c>
      <c r="G23" s="26">
        <v>1</v>
      </c>
      <c r="H23" s="27">
        <f t="shared" si="0"/>
        <v>2.11</v>
      </c>
      <c r="I23" s="28"/>
      <c r="J23" s="29"/>
      <c r="K23" s="30">
        <v>1</v>
      </c>
      <c r="L23" s="27">
        <f t="shared" ref="L23:L36" si="1">K23*J23</f>
        <v>0</v>
      </c>
      <c r="M23" s="28"/>
      <c r="N23" s="31">
        <f t="shared" ref="N23:N64" si="2">L23-H23</f>
        <v>-2.11</v>
      </c>
      <c r="O23" s="32">
        <f t="shared" ref="O23:O44" si="3">IF((H23)=0,"",(N23/H23))</f>
        <v>-1</v>
      </c>
    </row>
    <row r="24" spans="2:15" ht="14.45" x14ac:dyDescent="0.3">
      <c r="B24" s="297" t="s">
        <v>64</v>
      </c>
      <c r="C24" s="22"/>
      <c r="D24" s="23" t="s">
        <v>60</v>
      </c>
      <c r="E24" s="24"/>
      <c r="F24" s="25">
        <f>+'Res (100kWh)'!$F$24</f>
        <v>0</v>
      </c>
      <c r="G24" s="26">
        <v>1</v>
      </c>
      <c r="H24" s="27">
        <f t="shared" si="0"/>
        <v>0</v>
      </c>
      <c r="I24" s="28"/>
      <c r="J24" s="173">
        <f>+'Res (100kWh)'!$J$24</f>
        <v>0.5751915487210707</v>
      </c>
      <c r="K24" s="30">
        <v>1</v>
      </c>
      <c r="L24" s="27">
        <f t="shared" si="1"/>
        <v>0.5751915487210707</v>
      </c>
      <c r="M24" s="28"/>
      <c r="N24" s="31">
        <f t="shared" si="2"/>
        <v>0.5751915487210707</v>
      </c>
      <c r="O24" s="32" t="str">
        <f t="shared" si="3"/>
        <v/>
      </c>
    </row>
    <row r="25" spans="2:15" ht="14.45" x14ac:dyDescent="0.3">
      <c r="B25" s="296" t="s">
        <v>65</v>
      </c>
      <c r="C25" s="22"/>
      <c r="D25" s="23" t="s">
        <v>61</v>
      </c>
      <c r="E25" s="24"/>
      <c r="F25" s="25">
        <f>+'Res (100kWh)'!$F$25</f>
        <v>-1E-4</v>
      </c>
      <c r="G25" s="26">
        <f>$F$16</f>
        <v>250</v>
      </c>
      <c r="H25" s="27">
        <f t="shared" si="0"/>
        <v>-2.5000000000000001E-2</v>
      </c>
      <c r="I25" s="28"/>
      <c r="J25" s="173">
        <f>+'Res (100kWh)'!$J$25</f>
        <v>-1E-4</v>
      </c>
      <c r="K25" s="26">
        <f>$F$16</f>
        <v>250</v>
      </c>
      <c r="L25" s="27">
        <f t="shared" si="1"/>
        <v>-2.5000000000000001E-2</v>
      </c>
      <c r="M25" s="28"/>
      <c r="N25" s="31">
        <f t="shared" si="2"/>
        <v>0</v>
      </c>
      <c r="O25" s="32">
        <f t="shared" si="3"/>
        <v>0</v>
      </c>
    </row>
    <row r="26" spans="2:15" x14ac:dyDescent="0.25">
      <c r="B26" s="296" t="s">
        <v>66</v>
      </c>
      <c r="C26" s="22"/>
      <c r="D26" s="23" t="s">
        <v>61</v>
      </c>
      <c r="E26" s="24"/>
      <c r="F26" s="25">
        <f>+'Res (100kWh)'!$F$26</f>
        <v>0</v>
      </c>
      <c r="G26" s="26">
        <f>$F$16</f>
        <v>250</v>
      </c>
      <c r="H26" s="27">
        <f t="shared" si="0"/>
        <v>0</v>
      </c>
      <c r="I26" s="28"/>
      <c r="J26" s="29">
        <f>+'Res (100kWh)'!$J$26</f>
        <v>-1.6000000000000001E-3</v>
      </c>
      <c r="K26" s="26">
        <f>$F$16</f>
        <v>250</v>
      </c>
      <c r="L26" s="27">
        <f t="shared" si="1"/>
        <v>-0.4</v>
      </c>
      <c r="M26" s="28"/>
      <c r="N26" s="31">
        <f t="shared" si="2"/>
        <v>-0.4</v>
      </c>
      <c r="O26" s="32" t="str">
        <f t="shared" si="3"/>
        <v/>
      </c>
    </row>
    <row r="27" spans="2:15" x14ac:dyDescent="0.25">
      <c r="B27" s="22" t="s">
        <v>19</v>
      </c>
      <c r="C27" s="22"/>
      <c r="D27" s="23" t="s">
        <v>61</v>
      </c>
      <c r="E27" s="24"/>
      <c r="F27" s="25">
        <f>+'Res (100kWh)'!$F$27</f>
        <v>1.9199999999999998E-2</v>
      </c>
      <c r="G27" s="26">
        <f>$F$16</f>
        <v>250</v>
      </c>
      <c r="H27" s="27">
        <f t="shared" si="0"/>
        <v>4.8</v>
      </c>
      <c r="I27" s="28"/>
      <c r="J27" s="29">
        <f>+'Res (100kWh)'!$J$27</f>
        <v>1.55E-2</v>
      </c>
      <c r="K27" s="26">
        <f>$F$16</f>
        <v>250</v>
      </c>
      <c r="L27" s="27">
        <f t="shared" si="1"/>
        <v>3.875</v>
      </c>
      <c r="M27" s="28"/>
      <c r="N27" s="31">
        <f t="shared" si="2"/>
        <v>-0.92499999999999982</v>
      </c>
      <c r="O27" s="32">
        <f t="shared" si="3"/>
        <v>-0.19270833333333331</v>
      </c>
    </row>
    <row r="28" spans="2:15" x14ac:dyDescent="0.25">
      <c r="B28" s="22" t="s">
        <v>20</v>
      </c>
      <c r="C28" s="22"/>
      <c r="D28" s="23"/>
      <c r="E28" s="24"/>
      <c r="F28" s="25"/>
      <c r="G28" s="26">
        <f>$F$16</f>
        <v>250</v>
      </c>
      <c r="H28" s="27">
        <f t="shared" si="0"/>
        <v>0</v>
      </c>
      <c r="I28" s="28"/>
      <c r="J28" s="29"/>
      <c r="K28" s="26">
        <f t="shared" ref="K28:K36" si="4">$F$16</f>
        <v>250</v>
      </c>
      <c r="L28" s="27">
        <f t="shared" si="1"/>
        <v>0</v>
      </c>
      <c r="M28" s="28"/>
      <c r="N28" s="31">
        <f t="shared" si="2"/>
        <v>0</v>
      </c>
      <c r="O28" s="32" t="str">
        <f t="shared" si="3"/>
        <v/>
      </c>
    </row>
    <row r="29" spans="2:15" x14ac:dyDescent="0.25">
      <c r="B29" s="22" t="s">
        <v>21</v>
      </c>
      <c r="C29" s="22"/>
      <c r="D29" s="23"/>
      <c r="E29" s="24"/>
      <c r="F29" s="25"/>
      <c r="G29" s="26">
        <f>$F$16</f>
        <v>250</v>
      </c>
      <c r="H29" s="27">
        <f t="shared" si="0"/>
        <v>0</v>
      </c>
      <c r="I29" s="28"/>
      <c r="J29" s="29">
        <f>+'Res (100kWh)'!$J$29</f>
        <v>2.0000000000000001E-4</v>
      </c>
      <c r="K29" s="26">
        <f t="shared" si="4"/>
        <v>250</v>
      </c>
      <c r="L29" s="27">
        <f t="shared" si="1"/>
        <v>0.05</v>
      </c>
      <c r="M29" s="28"/>
      <c r="N29" s="31">
        <f t="shared" si="2"/>
        <v>0.05</v>
      </c>
      <c r="O29" s="32" t="str">
        <f t="shared" si="3"/>
        <v/>
      </c>
    </row>
    <row r="30" spans="2:15" x14ac:dyDescent="0.25">
      <c r="B30" s="33"/>
      <c r="C30" s="22"/>
      <c r="D30" s="23"/>
      <c r="E30" s="24"/>
      <c r="F30" s="25"/>
      <c r="G30" s="26">
        <f t="shared" ref="G30:G36" si="5">$F$16</f>
        <v>250</v>
      </c>
      <c r="H30" s="27">
        <f t="shared" si="0"/>
        <v>0</v>
      </c>
      <c r="I30" s="28"/>
      <c r="J30" s="29"/>
      <c r="K30" s="26">
        <f t="shared" si="4"/>
        <v>250</v>
      </c>
      <c r="L30" s="27">
        <f t="shared" si="1"/>
        <v>0</v>
      </c>
      <c r="M30" s="28"/>
      <c r="N30" s="31">
        <f t="shared" si="2"/>
        <v>0</v>
      </c>
      <c r="O30" s="32" t="str">
        <f t="shared" si="3"/>
        <v/>
      </c>
    </row>
    <row r="31" spans="2:15" x14ac:dyDescent="0.25">
      <c r="B31" s="33"/>
      <c r="C31" s="22"/>
      <c r="D31" s="23"/>
      <c r="E31" s="24"/>
      <c r="F31" s="25"/>
      <c r="G31" s="26">
        <f t="shared" si="5"/>
        <v>250</v>
      </c>
      <c r="H31" s="27">
        <f t="shared" si="0"/>
        <v>0</v>
      </c>
      <c r="I31" s="28"/>
      <c r="J31" s="29"/>
      <c r="K31" s="26">
        <f t="shared" si="4"/>
        <v>250</v>
      </c>
      <c r="L31" s="27">
        <f t="shared" si="1"/>
        <v>0</v>
      </c>
      <c r="M31" s="28"/>
      <c r="N31" s="31">
        <f t="shared" si="2"/>
        <v>0</v>
      </c>
      <c r="O31" s="32" t="str">
        <f t="shared" si="3"/>
        <v/>
      </c>
    </row>
    <row r="32" spans="2:15" x14ac:dyDescent="0.25">
      <c r="B32" s="33"/>
      <c r="C32" s="22"/>
      <c r="D32" s="23"/>
      <c r="E32" s="24"/>
      <c r="F32" s="25"/>
      <c r="G32" s="26">
        <f t="shared" si="5"/>
        <v>250</v>
      </c>
      <c r="H32" s="27">
        <f t="shared" si="0"/>
        <v>0</v>
      </c>
      <c r="I32" s="28"/>
      <c r="J32" s="29"/>
      <c r="K32" s="26">
        <f t="shared" si="4"/>
        <v>250</v>
      </c>
      <c r="L32" s="27">
        <f t="shared" si="1"/>
        <v>0</v>
      </c>
      <c r="M32" s="28"/>
      <c r="N32" s="31">
        <f t="shared" si="2"/>
        <v>0</v>
      </c>
      <c r="O32" s="32" t="str">
        <f t="shared" si="3"/>
        <v/>
      </c>
    </row>
    <row r="33" spans="2:15" x14ac:dyDescent="0.25">
      <c r="B33" s="33"/>
      <c r="C33" s="22"/>
      <c r="D33" s="23"/>
      <c r="E33" s="24"/>
      <c r="F33" s="25"/>
      <c r="G33" s="26">
        <f t="shared" si="5"/>
        <v>250</v>
      </c>
      <c r="H33" s="27">
        <f t="shared" si="0"/>
        <v>0</v>
      </c>
      <c r="I33" s="28"/>
      <c r="J33" s="29"/>
      <c r="K33" s="26">
        <f t="shared" si="4"/>
        <v>250</v>
      </c>
      <c r="L33" s="27">
        <f t="shared" si="1"/>
        <v>0</v>
      </c>
      <c r="M33" s="28"/>
      <c r="N33" s="31">
        <f t="shared" si="2"/>
        <v>0</v>
      </c>
      <c r="O33" s="32" t="str">
        <f t="shared" si="3"/>
        <v/>
      </c>
    </row>
    <row r="34" spans="2:15" x14ac:dyDescent="0.25">
      <c r="B34" s="33"/>
      <c r="C34" s="22"/>
      <c r="D34" s="23"/>
      <c r="E34" s="24"/>
      <c r="F34" s="25"/>
      <c r="G34" s="26">
        <f t="shared" si="5"/>
        <v>250</v>
      </c>
      <c r="H34" s="27">
        <f t="shared" si="0"/>
        <v>0</v>
      </c>
      <c r="I34" s="28"/>
      <c r="J34" s="29"/>
      <c r="K34" s="26">
        <f t="shared" si="4"/>
        <v>250</v>
      </c>
      <c r="L34" s="27">
        <f t="shared" si="1"/>
        <v>0</v>
      </c>
      <c r="M34" s="28"/>
      <c r="N34" s="31">
        <f t="shared" si="2"/>
        <v>0</v>
      </c>
      <c r="O34" s="32" t="str">
        <f t="shared" si="3"/>
        <v/>
      </c>
    </row>
    <row r="35" spans="2:15" x14ac:dyDescent="0.25">
      <c r="B35" s="33"/>
      <c r="C35" s="22"/>
      <c r="D35" s="23"/>
      <c r="E35" s="24"/>
      <c r="F35" s="25"/>
      <c r="G35" s="26">
        <f t="shared" si="5"/>
        <v>250</v>
      </c>
      <c r="H35" s="27">
        <f t="shared" si="0"/>
        <v>0</v>
      </c>
      <c r="I35" s="28"/>
      <c r="J35" s="29"/>
      <c r="K35" s="26">
        <f t="shared" si="4"/>
        <v>250</v>
      </c>
      <c r="L35" s="27">
        <f t="shared" si="1"/>
        <v>0</v>
      </c>
      <c r="M35" s="28"/>
      <c r="N35" s="31">
        <f t="shared" si="2"/>
        <v>0</v>
      </c>
      <c r="O35" s="32" t="str">
        <f t="shared" si="3"/>
        <v/>
      </c>
    </row>
    <row r="36" spans="2:15" x14ac:dyDescent="0.25">
      <c r="B36" s="33"/>
      <c r="C36" s="22"/>
      <c r="D36" s="23"/>
      <c r="E36" s="24"/>
      <c r="F36" s="25"/>
      <c r="G36" s="26">
        <f t="shared" si="5"/>
        <v>250</v>
      </c>
      <c r="H36" s="27">
        <f t="shared" si="0"/>
        <v>0</v>
      </c>
      <c r="I36" s="28"/>
      <c r="J36" s="29"/>
      <c r="K36" s="26">
        <f t="shared" si="4"/>
        <v>250</v>
      </c>
      <c r="L36" s="27">
        <f t="shared" si="1"/>
        <v>0</v>
      </c>
      <c r="M36" s="28"/>
      <c r="N36" s="31">
        <f t="shared" si="2"/>
        <v>0</v>
      </c>
      <c r="O36" s="32" t="str">
        <f t="shared" si="3"/>
        <v/>
      </c>
    </row>
    <row r="37" spans="2:15" s="34" customFormat="1" x14ac:dyDescent="0.25">
      <c r="B37" s="35" t="s">
        <v>22</v>
      </c>
      <c r="C37" s="36"/>
      <c r="D37" s="37"/>
      <c r="E37" s="36"/>
      <c r="F37" s="38"/>
      <c r="G37" s="39"/>
      <c r="H37" s="40">
        <f>SUM(H21:H36)</f>
        <v>22.085000000000001</v>
      </c>
      <c r="I37" s="41"/>
      <c r="J37" s="42"/>
      <c r="K37" s="43"/>
      <c r="L37" s="40">
        <f>SUM(L21:L36)</f>
        <v>23.945191548721077</v>
      </c>
      <c r="M37" s="41"/>
      <c r="N37" s="44">
        <f t="shared" si="2"/>
        <v>1.8601915487210761</v>
      </c>
      <c r="O37" s="45">
        <f t="shared" si="3"/>
        <v>8.4228732113247717E-2</v>
      </c>
    </row>
    <row r="38" spans="2:15" x14ac:dyDescent="0.25">
      <c r="B38" s="175"/>
      <c r="C38" s="22"/>
      <c r="D38" s="56" t="s">
        <v>60</v>
      </c>
      <c r="E38" s="24"/>
      <c r="F38" s="25"/>
      <c r="G38" s="26">
        <v>1</v>
      </c>
      <c r="H38" s="27">
        <f>G38*F38</f>
        <v>0</v>
      </c>
      <c r="I38" s="28"/>
      <c r="J38" s="173"/>
      <c r="K38" s="30">
        <v>1</v>
      </c>
      <c r="L38" s="27">
        <f>K38*J38</f>
        <v>0</v>
      </c>
      <c r="M38" s="28"/>
      <c r="N38" s="31">
        <f>L38-H38</f>
        <v>0</v>
      </c>
      <c r="O38" s="32" t="str">
        <f>IF((H38)=0,"",(N38/H38))</f>
        <v/>
      </c>
    </row>
    <row r="39" spans="2:15" x14ac:dyDescent="0.25">
      <c r="B39" s="296" t="s">
        <v>23</v>
      </c>
      <c r="C39" s="22"/>
      <c r="D39" s="56" t="s">
        <v>61</v>
      </c>
      <c r="E39" s="57"/>
      <c r="F39" s="29">
        <f>+'Res (100kWh)'!$F$39</f>
        <v>-1.4E-3</v>
      </c>
      <c r="G39" s="26">
        <f>$F$16</f>
        <v>250</v>
      </c>
      <c r="H39" s="27">
        <f t="shared" ref="H39:H45" si="6">G39*F39</f>
        <v>-0.35</v>
      </c>
      <c r="I39" s="28"/>
      <c r="J39" s="29">
        <f>+'Res (100kWh)'!$J$39</f>
        <v>2.0000000000000009E-4</v>
      </c>
      <c r="K39" s="26">
        <f>$F$16</f>
        <v>250</v>
      </c>
      <c r="L39" s="27">
        <f t="shared" ref="L39:L45" si="7">K39*J39</f>
        <v>5.0000000000000024E-2</v>
      </c>
      <c r="M39" s="28"/>
      <c r="N39" s="31">
        <f t="shared" si="2"/>
        <v>0.4</v>
      </c>
      <c r="O39" s="32">
        <f t="shared" si="3"/>
        <v>-1.142857142857143</v>
      </c>
    </row>
    <row r="40" spans="2:15" x14ac:dyDescent="0.25">
      <c r="B40" s="46"/>
      <c r="C40" s="22"/>
      <c r="D40" s="23" t="s">
        <v>61</v>
      </c>
      <c r="E40" s="24"/>
      <c r="F40" s="25"/>
      <c r="G40" s="26">
        <f>$F$16</f>
        <v>250</v>
      </c>
      <c r="H40" s="27">
        <f t="shared" si="6"/>
        <v>0</v>
      </c>
      <c r="I40" s="47"/>
      <c r="J40" s="29"/>
      <c r="K40" s="26">
        <f>$F$16</f>
        <v>250</v>
      </c>
      <c r="L40" s="27">
        <f t="shared" si="7"/>
        <v>0</v>
      </c>
      <c r="M40" s="48"/>
      <c r="N40" s="31">
        <f t="shared" si="2"/>
        <v>0</v>
      </c>
      <c r="O40" s="32" t="str">
        <f t="shared" si="3"/>
        <v/>
      </c>
    </row>
    <row r="41" spans="2:15" x14ac:dyDescent="0.25">
      <c r="B41" s="46"/>
      <c r="C41" s="22"/>
      <c r="D41" s="23" t="s">
        <v>61</v>
      </c>
      <c r="E41" s="24"/>
      <c r="F41" s="25"/>
      <c r="G41" s="26">
        <f>$F$16</f>
        <v>250</v>
      </c>
      <c r="H41" s="27">
        <f t="shared" si="6"/>
        <v>0</v>
      </c>
      <c r="I41" s="47"/>
      <c r="J41" s="29"/>
      <c r="K41" s="26">
        <f>$F$16</f>
        <v>250</v>
      </c>
      <c r="L41" s="27">
        <f t="shared" si="7"/>
        <v>0</v>
      </c>
      <c r="M41" s="48"/>
      <c r="N41" s="31">
        <f t="shared" si="2"/>
        <v>0</v>
      </c>
      <c r="O41" s="32" t="str">
        <f t="shared" si="3"/>
        <v/>
      </c>
    </row>
    <row r="42" spans="2:15" x14ac:dyDescent="0.25">
      <c r="B42" s="46"/>
      <c r="C42" s="22"/>
      <c r="D42" s="23"/>
      <c r="E42" s="24"/>
      <c r="F42" s="25"/>
      <c r="G42" s="26">
        <f>$F$16</f>
        <v>250</v>
      </c>
      <c r="H42" s="27">
        <f t="shared" si="6"/>
        <v>0</v>
      </c>
      <c r="I42" s="47"/>
      <c r="J42" s="29"/>
      <c r="K42" s="26">
        <f>$F$16</f>
        <v>250</v>
      </c>
      <c r="L42" s="27">
        <f t="shared" si="7"/>
        <v>0</v>
      </c>
      <c r="M42" s="48"/>
      <c r="N42" s="31">
        <f t="shared" si="2"/>
        <v>0</v>
      </c>
      <c r="O42" s="32" t="str">
        <f t="shared" si="3"/>
        <v/>
      </c>
    </row>
    <row r="43" spans="2:15" x14ac:dyDescent="0.25">
      <c r="B43" s="49" t="s">
        <v>24</v>
      </c>
      <c r="C43" s="22"/>
      <c r="D43" s="23" t="s">
        <v>61</v>
      </c>
      <c r="E43" s="24"/>
      <c r="F43" s="25">
        <f>+'Res (100kWh)'!$F$43</f>
        <v>1E-4</v>
      </c>
      <c r="G43" s="26">
        <f>$F$16</f>
        <v>250</v>
      </c>
      <c r="H43" s="27">
        <f t="shared" si="6"/>
        <v>2.5000000000000001E-2</v>
      </c>
      <c r="I43" s="28"/>
      <c r="J43" s="29">
        <f>+'Res (100kWh)'!$J$43</f>
        <v>2.0000000000000001E-4</v>
      </c>
      <c r="K43" s="26">
        <f>$F$16</f>
        <v>250</v>
      </c>
      <c r="L43" s="27">
        <f t="shared" si="7"/>
        <v>0.05</v>
      </c>
      <c r="M43" s="28"/>
      <c r="N43" s="31">
        <f t="shared" si="2"/>
        <v>2.5000000000000001E-2</v>
      </c>
      <c r="O43" s="32">
        <f t="shared" si="3"/>
        <v>1</v>
      </c>
    </row>
    <row r="44" spans="2:15" s="34" customFormat="1" x14ac:dyDescent="0.25">
      <c r="B44" s="181" t="s">
        <v>25</v>
      </c>
      <c r="C44" s="24"/>
      <c r="D44" s="182" t="s">
        <v>61</v>
      </c>
      <c r="E44" s="24"/>
      <c r="F44" s="183">
        <f>IF(ISBLANK(D14)=TRUE, 0, IF(D14="TOU", 0.64*$F$54+0.18*$F$55+0.18*$F$56, IF(AND(D14="non-TOU", G58&gt;0), F58,F57)))</f>
        <v>9.5000000000000001E-2</v>
      </c>
      <c r="G44" s="26">
        <f>$F$16*(1+$F$73)-$F$16</f>
        <v>10.100000000000023</v>
      </c>
      <c r="H44" s="184">
        <f t="shared" si="6"/>
        <v>0.95950000000000213</v>
      </c>
      <c r="I44" s="57"/>
      <c r="J44" s="185">
        <f>0.64*$F$54+0.18*$F$55+0.18*$F$56</f>
        <v>9.5000000000000001E-2</v>
      </c>
      <c r="K44" s="26">
        <f>$F$16*(1+$J$73)-$F$16</f>
        <v>9.0500000000000114</v>
      </c>
      <c r="L44" s="184">
        <f t="shared" si="7"/>
        <v>0.85975000000000112</v>
      </c>
      <c r="M44" s="57"/>
      <c r="N44" s="186">
        <f t="shared" si="2"/>
        <v>-9.9750000000001005E-2</v>
      </c>
      <c r="O44" s="187">
        <f t="shared" si="3"/>
        <v>-0.10396039603960477</v>
      </c>
    </row>
    <row r="45" spans="2:15" ht="14.45" x14ac:dyDescent="0.3">
      <c r="B45" s="49" t="s">
        <v>26</v>
      </c>
      <c r="C45" s="22"/>
      <c r="D45" s="23" t="s">
        <v>60</v>
      </c>
      <c r="E45" s="24"/>
      <c r="F45" s="174">
        <f>+'Res (100kWh)'!$F$45</f>
        <v>0.79</v>
      </c>
      <c r="G45" s="26">
        <v>1</v>
      </c>
      <c r="H45" s="27">
        <f t="shared" si="6"/>
        <v>0.79</v>
      </c>
      <c r="I45" s="28"/>
      <c r="J45" s="174">
        <f>+'Res (100kWh)'!$J$45</f>
        <v>0.79</v>
      </c>
      <c r="K45" s="26">
        <v>1</v>
      </c>
      <c r="L45" s="27">
        <f t="shared" si="7"/>
        <v>0.79</v>
      </c>
      <c r="M45" s="28"/>
      <c r="N45" s="31">
        <f t="shared" si="2"/>
        <v>0</v>
      </c>
      <c r="O45" s="32"/>
    </row>
    <row r="46" spans="2:15" ht="14.45" x14ac:dyDescent="0.3">
      <c r="B46" s="50" t="s">
        <v>27</v>
      </c>
      <c r="C46" s="51"/>
      <c r="D46" s="51"/>
      <c r="E46" s="51"/>
      <c r="F46" s="52"/>
      <c r="G46" s="53"/>
      <c r="H46" s="54">
        <f>SUM(H38:H45)+H37</f>
        <v>23.509500000000003</v>
      </c>
      <c r="I46" s="41"/>
      <c r="J46" s="53"/>
      <c r="K46" s="55"/>
      <c r="L46" s="54">
        <f>SUM(L38:L45)+L37</f>
        <v>25.694941548721079</v>
      </c>
      <c r="M46" s="41"/>
      <c r="N46" s="44">
        <f t="shared" si="2"/>
        <v>2.1854415487210765</v>
      </c>
      <c r="O46" s="45">
        <f t="shared" ref="O46:O64" si="8">IF((H46)=0,"",(N46/H46))</f>
        <v>9.2959933164085851E-2</v>
      </c>
    </row>
    <row r="47" spans="2:15" ht="14.45" x14ac:dyDescent="0.3">
      <c r="B47" s="28" t="s">
        <v>28</v>
      </c>
      <c r="C47" s="28"/>
      <c r="D47" s="56" t="s">
        <v>61</v>
      </c>
      <c r="E47" s="57"/>
      <c r="F47" s="29">
        <f>+'Res (100kWh)'!$F$47</f>
        <v>7.6E-3</v>
      </c>
      <c r="G47" s="69">
        <f>F16*(1+F73)</f>
        <v>260.10000000000002</v>
      </c>
      <c r="H47" s="27">
        <f>G47*F47</f>
        <v>1.9767600000000001</v>
      </c>
      <c r="I47" s="28"/>
      <c r="J47" s="263">
        <f>+'Res (100kWh)'!$J$47</f>
        <v>7.4000000000000003E-3</v>
      </c>
      <c r="K47" s="70">
        <f>F16*(1+J73)</f>
        <v>259.05</v>
      </c>
      <c r="L47" s="27">
        <f>K47*J47</f>
        <v>1.9169700000000001</v>
      </c>
      <c r="M47" s="28"/>
      <c r="N47" s="31">
        <f t="shared" si="2"/>
        <v>-5.979000000000001E-2</v>
      </c>
      <c r="O47" s="32">
        <f t="shared" si="8"/>
        <v>-3.0246463910641661E-2</v>
      </c>
    </row>
    <row r="48" spans="2:15" ht="14.45" x14ac:dyDescent="0.3">
      <c r="B48" s="59" t="s">
        <v>29</v>
      </c>
      <c r="C48" s="28"/>
      <c r="D48" s="56" t="s">
        <v>61</v>
      </c>
      <c r="E48" s="57"/>
      <c r="F48" s="29">
        <f>+'Res (100kWh)'!$F$48</f>
        <v>2.3E-3</v>
      </c>
      <c r="G48" s="69">
        <f>G47</f>
        <v>260.10000000000002</v>
      </c>
      <c r="H48" s="27">
        <f>G48*F48</f>
        <v>0.59823000000000004</v>
      </c>
      <c r="I48" s="28"/>
      <c r="J48" s="263">
        <f>+'Res (100kWh)'!$J$48</f>
        <v>2.3E-3</v>
      </c>
      <c r="K48" s="70">
        <f>K47</f>
        <v>259.05</v>
      </c>
      <c r="L48" s="27">
        <f>K48*J48</f>
        <v>0.59581499999999998</v>
      </c>
      <c r="M48" s="28"/>
      <c r="N48" s="31">
        <f t="shared" si="2"/>
        <v>-2.415000000000056E-3</v>
      </c>
      <c r="O48" s="32">
        <f t="shared" si="8"/>
        <v>-4.036908881199632E-3</v>
      </c>
    </row>
    <row r="49" spans="2:19" ht="14.45" x14ac:dyDescent="0.3">
      <c r="B49" s="50" t="s">
        <v>30</v>
      </c>
      <c r="C49" s="36"/>
      <c r="D49" s="36"/>
      <c r="E49" s="36"/>
      <c r="F49" s="60"/>
      <c r="G49" s="60"/>
      <c r="H49" s="54">
        <f>SUM(H46:H48)</f>
        <v>26.084490000000002</v>
      </c>
      <c r="I49" s="61"/>
      <c r="J49" s="62"/>
      <c r="K49" s="62"/>
      <c r="L49" s="54">
        <f>SUM(L46:L48)</f>
        <v>28.207726548721077</v>
      </c>
      <c r="M49" s="61"/>
      <c r="N49" s="44">
        <f t="shared" si="2"/>
        <v>2.1232365487210743</v>
      </c>
      <c r="O49" s="45">
        <f t="shared" si="8"/>
        <v>8.139843058925339E-2</v>
      </c>
    </row>
    <row r="50" spans="2:19" ht="14.45" x14ac:dyDescent="0.3">
      <c r="B50" s="64" t="s">
        <v>31</v>
      </c>
      <c r="C50" s="22"/>
      <c r="D50" s="23" t="s">
        <v>61</v>
      </c>
      <c r="E50" s="24"/>
      <c r="F50" s="65">
        <f>+'Res (100kWh)'!$F$50</f>
        <v>4.4000000000000003E-3</v>
      </c>
      <c r="G50" s="69">
        <f>G48</f>
        <v>260.10000000000002</v>
      </c>
      <c r="H50" s="66">
        <f t="shared" ref="H50:H56" si="9">G50*F50</f>
        <v>1.1444400000000001</v>
      </c>
      <c r="I50" s="28"/>
      <c r="J50" s="263">
        <f>+'Res (100kWh)'!$J$50</f>
        <v>4.4000000000000003E-3</v>
      </c>
      <c r="K50" s="70">
        <f>K48</f>
        <v>259.05</v>
      </c>
      <c r="L50" s="66">
        <f t="shared" ref="L50:L56" si="10">K50*J50</f>
        <v>1.1398200000000001</v>
      </c>
      <c r="M50" s="28"/>
      <c r="N50" s="31">
        <f t="shared" si="2"/>
        <v>-4.6200000000000685E-3</v>
      </c>
      <c r="O50" s="68">
        <f t="shared" si="8"/>
        <v>-4.0369088811995982E-3</v>
      </c>
    </row>
    <row r="51" spans="2:19" x14ac:dyDescent="0.25">
      <c r="B51" s="64" t="s">
        <v>32</v>
      </c>
      <c r="C51" s="22"/>
      <c r="D51" s="23" t="s">
        <v>61</v>
      </c>
      <c r="E51" s="24"/>
      <c r="F51" s="65">
        <f>+'Res (100kWh)'!$F$51</f>
        <v>1.2999999999999999E-3</v>
      </c>
      <c r="G51" s="69">
        <f>G48</f>
        <v>260.10000000000002</v>
      </c>
      <c r="H51" s="66">
        <f t="shared" si="9"/>
        <v>0.33813000000000004</v>
      </c>
      <c r="I51" s="28"/>
      <c r="J51" s="263">
        <f>+'Res (100kWh)'!$J$51</f>
        <v>1.2999999999999999E-3</v>
      </c>
      <c r="K51" s="70">
        <f>K48</f>
        <v>259.05</v>
      </c>
      <c r="L51" s="66">
        <f t="shared" si="10"/>
        <v>0.33676499999999998</v>
      </c>
      <c r="M51" s="28"/>
      <c r="N51" s="31">
        <f t="shared" si="2"/>
        <v>-1.3650000000000606E-3</v>
      </c>
      <c r="O51" s="68">
        <f t="shared" si="8"/>
        <v>-4.036908881199717E-3</v>
      </c>
    </row>
    <row r="52" spans="2:19" x14ac:dyDescent="0.25">
      <c r="B52" s="22" t="s">
        <v>33</v>
      </c>
      <c r="C52" s="22"/>
      <c r="D52" s="23" t="s">
        <v>60</v>
      </c>
      <c r="E52" s="24"/>
      <c r="F52" s="176">
        <f>+'Res (100kWh)'!$F$52</f>
        <v>0.25</v>
      </c>
      <c r="G52" s="26">
        <v>1</v>
      </c>
      <c r="H52" s="66">
        <f t="shared" si="9"/>
        <v>0.25</v>
      </c>
      <c r="I52" s="28"/>
      <c r="J52" s="283">
        <f>+'Res (100kWh)'!$J$52</f>
        <v>0.25</v>
      </c>
      <c r="K52" s="30">
        <v>1</v>
      </c>
      <c r="L52" s="66">
        <f t="shared" si="10"/>
        <v>0.25</v>
      </c>
      <c r="M52" s="28"/>
      <c r="N52" s="31">
        <f t="shared" si="2"/>
        <v>0</v>
      </c>
      <c r="O52" s="68">
        <f t="shared" si="8"/>
        <v>0</v>
      </c>
    </row>
    <row r="53" spans="2:19" x14ac:dyDescent="0.25">
      <c r="B53" s="24" t="s">
        <v>34</v>
      </c>
      <c r="C53" s="22"/>
      <c r="D53" s="23" t="s">
        <v>61</v>
      </c>
      <c r="E53" s="24"/>
      <c r="F53" s="65">
        <f>+'Res (100kWh)'!$F$53</f>
        <v>7.0000000000000001E-3</v>
      </c>
      <c r="G53" s="69">
        <f>F16</f>
        <v>250</v>
      </c>
      <c r="H53" s="66">
        <f t="shared" si="9"/>
        <v>1.75</v>
      </c>
      <c r="I53" s="28"/>
      <c r="J53" s="263">
        <f>+'Res (100kWh)'!$J$53</f>
        <v>7.0000000000000001E-3</v>
      </c>
      <c r="K53" s="70">
        <f>F16</f>
        <v>250</v>
      </c>
      <c r="L53" s="66">
        <f t="shared" si="10"/>
        <v>1.75</v>
      </c>
      <c r="M53" s="28"/>
      <c r="N53" s="31">
        <f t="shared" si="2"/>
        <v>0</v>
      </c>
      <c r="O53" s="68">
        <f t="shared" si="8"/>
        <v>0</v>
      </c>
    </row>
    <row r="54" spans="2:19" x14ac:dyDescent="0.25">
      <c r="B54" s="49" t="s">
        <v>35</v>
      </c>
      <c r="C54" s="22"/>
      <c r="D54" s="23" t="s">
        <v>61</v>
      </c>
      <c r="E54" s="24"/>
      <c r="F54" s="65">
        <f>+'Res (100kWh)'!$F$54</f>
        <v>7.6999999999999999E-2</v>
      </c>
      <c r="G54" s="69">
        <f>0.64*$F$16</f>
        <v>160</v>
      </c>
      <c r="H54" s="66">
        <f t="shared" si="9"/>
        <v>12.32</v>
      </c>
      <c r="I54" s="28"/>
      <c r="J54" s="263">
        <f>+'Res (100kWh)'!$J$54</f>
        <v>7.6999999999999999E-2</v>
      </c>
      <c r="K54" s="69">
        <f>G54</f>
        <v>160</v>
      </c>
      <c r="L54" s="66">
        <f t="shared" si="10"/>
        <v>12.32</v>
      </c>
      <c r="M54" s="28"/>
      <c r="N54" s="31">
        <f t="shared" si="2"/>
        <v>0</v>
      </c>
      <c r="O54" s="68">
        <f t="shared" si="8"/>
        <v>0</v>
      </c>
      <c r="S54" s="72"/>
    </row>
    <row r="55" spans="2:19" x14ac:dyDescent="0.25">
      <c r="B55" s="49" t="s">
        <v>36</v>
      </c>
      <c r="C55" s="22"/>
      <c r="D55" s="23" t="s">
        <v>61</v>
      </c>
      <c r="E55" s="24"/>
      <c r="F55" s="65">
        <f>+'Res (100kWh)'!$F$55</f>
        <v>0.114</v>
      </c>
      <c r="G55" s="69">
        <f>0.18*$F$16</f>
        <v>45</v>
      </c>
      <c r="H55" s="66">
        <f t="shared" si="9"/>
        <v>5.13</v>
      </c>
      <c r="I55" s="28"/>
      <c r="J55" s="263">
        <f>+'Res (100kWh)'!$J$55</f>
        <v>0.114</v>
      </c>
      <c r="K55" s="69">
        <f>G55</f>
        <v>45</v>
      </c>
      <c r="L55" s="66">
        <f t="shared" si="10"/>
        <v>5.13</v>
      </c>
      <c r="M55" s="28"/>
      <c r="N55" s="31">
        <f t="shared" si="2"/>
        <v>0</v>
      </c>
      <c r="O55" s="68">
        <f t="shared" si="8"/>
        <v>0</v>
      </c>
      <c r="S55" s="72"/>
    </row>
    <row r="56" spans="2:19" x14ac:dyDescent="0.25">
      <c r="B56" s="12" t="s">
        <v>37</v>
      </c>
      <c r="C56" s="22"/>
      <c r="D56" s="23" t="s">
        <v>61</v>
      </c>
      <c r="E56" s="24"/>
      <c r="F56" s="65">
        <f>+'Res (100kWh)'!$F$56</f>
        <v>0.14000000000000001</v>
      </c>
      <c r="G56" s="69">
        <f>0.18*$F$16</f>
        <v>45</v>
      </c>
      <c r="H56" s="66">
        <f t="shared" si="9"/>
        <v>6.3000000000000007</v>
      </c>
      <c r="I56" s="28"/>
      <c r="J56" s="263">
        <f>+'Res (100kWh)'!$J$56</f>
        <v>0.14000000000000001</v>
      </c>
      <c r="K56" s="69">
        <f>G56</f>
        <v>45</v>
      </c>
      <c r="L56" s="66">
        <f t="shared" si="10"/>
        <v>6.3000000000000007</v>
      </c>
      <c r="M56" s="28"/>
      <c r="N56" s="31">
        <f t="shared" si="2"/>
        <v>0</v>
      </c>
      <c r="O56" s="68">
        <f t="shared" si="8"/>
        <v>0</v>
      </c>
      <c r="S56" s="72"/>
    </row>
    <row r="57" spans="2:19" s="73" customFormat="1" x14ac:dyDescent="0.2">
      <c r="B57" s="74" t="s">
        <v>38</v>
      </c>
      <c r="C57" s="75"/>
      <c r="D57" s="76" t="s">
        <v>61</v>
      </c>
      <c r="E57" s="77"/>
      <c r="F57" s="65">
        <f>+'Res (100kWh)'!$F$57</f>
        <v>8.7999999999999995E-2</v>
      </c>
      <c r="G57" s="78">
        <f>IF(AND($T$1=1, F16&gt;=600), 600, IF(AND($T$1=1, AND(F16&lt;600, F16&gt;=0)), F16, IF(AND($T$1=2, F16&gt;=1000), 1000, IF(AND($T$1=2, AND(F16&lt;1000, F16&gt;=0)), F16))))</f>
        <v>250</v>
      </c>
      <c r="H57" s="66">
        <f>G57*F57</f>
        <v>22</v>
      </c>
      <c r="I57" s="79"/>
      <c r="J57" s="263">
        <f>+'Res (100kWh)'!$J$57</f>
        <v>8.7999999999999995E-2</v>
      </c>
      <c r="K57" s="78">
        <f>G57</f>
        <v>250</v>
      </c>
      <c r="L57" s="66">
        <f>K57*J57</f>
        <v>22</v>
      </c>
      <c r="M57" s="79"/>
      <c r="N57" s="80">
        <f t="shared" si="2"/>
        <v>0</v>
      </c>
      <c r="O57" s="68">
        <f t="shared" si="8"/>
        <v>0</v>
      </c>
    </row>
    <row r="58" spans="2:19" s="73" customFormat="1" ht="15.75" thickBot="1" x14ac:dyDescent="0.25">
      <c r="B58" s="74" t="s">
        <v>39</v>
      </c>
      <c r="C58" s="75"/>
      <c r="D58" s="76" t="s">
        <v>61</v>
      </c>
      <c r="E58" s="77"/>
      <c r="F58" s="65">
        <f>+'Res (100kWh)'!$F$58</f>
        <v>0.10299999999999999</v>
      </c>
      <c r="G58" s="78">
        <f>IF(AND($T$1=1, F16&gt;=600), F16-600, IF(AND($T$1=1, AND(F16&lt;600, F16&gt;=0)), 0, IF(AND($T$1=2, F16&gt;=1000), F16-1000, IF(AND($T$1=2, AND(F16&lt;1000, F16&gt;=0)), 0))))</f>
        <v>0</v>
      </c>
      <c r="H58" s="66">
        <f>G58*F58</f>
        <v>0</v>
      </c>
      <c r="I58" s="79"/>
      <c r="J58" s="263">
        <f>+'Res (100kWh)'!$J$58</f>
        <v>0.10299999999999999</v>
      </c>
      <c r="K58" s="78">
        <f>G58</f>
        <v>0</v>
      </c>
      <c r="L58" s="66">
        <f>K58*J58</f>
        <v>0</v>
      </c>
      <c r="M58" s="79"/>
      <c r="N58" s="80">
        <f t="shared" si="2"/>
        <v>0</v>
      </c>
      <c r="O58" s="68" t="str">
        <f t="shared" si="8"/>
        <v/>
      </c>
    </row>
    <row r="59" spans="2:19" ht="8.25" customHeight="1" thickBot="1" x14ac:dyDescent="0.3">
      <c r="B59" s="81"/>
      <c r="C59" s="82"/>
      <c r="D59" s="83"/>
      <c r="E59" s="82"/>
      <c r="F59" s="84"/>
      <c r="G59" s="85"/>
      <c r="H59" s="86"/>
      <c r="I59" s="87"/>
      <c r="J59" s="84"/>
      <c r="K59" s="88"/>
      <c r="L59" s="86"/>
      <c r="M59" s="87"/>
      <c r="N59" s="89"/>
      <c r="O59" s="90"/>
    </row>
    <row r="60" spans="2:19" x14ac:dyDescent="0.25">
      <c r="B60" s="91" t="s">
        <v>40</v>
      </c>
      <c r="C60" s="22"/>
      <c r="D60" s="22"/>
      <c r="E60" s="22"/>
      <c r="F60" s="92"/>
      <c r="G60" s="93"/>
      <c r="H60" s="94">
        <f>SUM(H50:H56,H49)</f>
        <v>53.317059999999998</v>
      </c>
      <c r="I60" s="95"/>
      <c r="J60" s="96"/>
      <c r="K60" s="96"/>
      <c r="L60" s="190">
        <f>SUM(L50:L56,L49)</f>
        <v>55.434311548721077</v>
      </c>
      <c r="M60" s="97"/>
      <c r="N60" s="98">
        <f>L60-H60</f>
        <v>2.1172515487210788</v>
      </c>
      <c r="O60" s="99">
        <f>IF((H60)=0,"",(N60/H60))</f>
        <v>3.9710583230228351E-2</v>
      </c>
      <c r="S60" s="72"/>
    </row>
    <row r="61" spans="2:19" x14ac:dyDescent="0.25">
      <c r="B61" s="100" t="s">
        <v>41</v>
      </c>
      <c r="C61" s="22"/>
      <c r="D61" s="22"/>
      <c r="E61" s="22"/>
      <c r="F61" s="101">
        <v>0.13</v>
      </c>
      <c r="G61" s="102"/>
      <c r="H61" s="103">
        <f>H60*F61</f>
        <v>6.9312177999999998</v>
      </c>
      <c r="I61" s="104"/>
      <c r="J61" s="105">
        <v>0.13</v>
      </c>
      <c r="K61" s="104"/>
      <c r="L61" s="106">
        <f>L60*J61</f>
        <v>7.2064605013337406</v>
      </c>
      <c r="M61" s="107"/>
      <c r="N61" s="108">
        <f t="shared" si="2"/>
        <v>0.27524270133374085</v>
      </c>
      <c r="O61" s="109">
        <f t="shared" si="8"/>
        <v>3.9710583230228441E-2</v>
      </c>
      <c r="S61" s="72"/>
    </row>
    <row r="62" spans="2:19" x14ac:dyDescent="0.25">
      <c r="B62" s="110" t="s">
        <v>42</v>
      </c>
      <c r="C62" s="22"/>
      <c r="D62" s="22"/>
      <c r="E62" s="22"/>
      <c r="F62" s="111"/>
      <c r="G62" s="102"/>
      <c r="H62" s="103">
        <f>H60+H61</f>
        <v>60.248277799999997</v>
      </c>
      <c r="I62" s="104"/>
      <c r="J62" s="104"/>
      <c r="K62" s="104"/>
      <c r="L62" s="106">
        <f>L60+L61</f>
        <v>62.640772050054821</v>
      </c>
      <c r="M62" s="107"/>
      <c r="N62" s="108">
        <f t="shared" si="2"/>
        <v>2.3924942500548241</v>
      </c>
      <c r="O62" s="109">
        <f t="shared" si="8"/>
        <v>3.9710583230228434E-2</v>
      </c>
      <c r="S62" s="72"/>
    </row>
    <row r="63" spans="2:19" ht="15.75" customHeight="1" x14ac:dyDescent="0.25">
      <c r="B63" s="383" t="s">
        <v>43</v>
      </c>
      <c r="C63" s="383"/>
      <c r="D63" s="383"/>
      <c r="E63" s="22"/>
      <c r="F63" s="111"/>
      <c r="G63" s="102"/>
      <c r="H63" s="112">
        <f>ROUND(-H62*10%,2)</f>
        <v>-6.02</v>
      </c>
      <c r="I63" s="104"/>
      <c r="J63" s="104"/>
      <c r="K63" s="104"/>
      <c r="L63" s="113">
        <f>ROUND(-L62*10%,2)</f>
        <v>-6.26</v>
      </c>
      <c r="M63" s="107"/>
      <c r="N63" s="114">
        <f t="shared" si="2"/>
        <v>-0.24000000000000021</v>
      </c>
      <c r="O63" s="115">
        <f t="shared" si="8"/>
        <v>3.9867109634551534E-2</v>
      </c>
    </row>
    <row r="64" spans="2:19" ht="15.75" thickBot="1" x14ac:dyDescent="0.3">
      <c r="B64" s="384" t="s">
        <v>44</v>
      </c>
      <c r="C64" s="384"/>
      <c r="D64" s="384"/>
      <c r="E64" s="116"/>
      <c r="F64" s="117"/>
      <c r="G64" s="118"/>
      <c r="H64" s="119">
        <f>H62+H63</f>
        <v>54.228277800000001</v>
      </c>
      <c r="I64" s="120"/>
      <c r="J64" s="120"/>
      <c r="K64" s="120"/>
      <c r="L64" s="121">
        <f>L62+L63</f>
        <v>56.380772050054823</v>
      </c>
      <c r="M64" s="122"/>
      <c r="N64" s="123">
        <f t="shared" si="2"/>
        <v>2.1524942500548221</v>
      </c>
      <c r="O64" s="124">
        <f t="shared" si="8"/>
        <v>3.9693206890940982E-2</v>
      </c>
    </row>
    <row r="65" spans="1:15" s="73" customFormat="1" ht="8.25" customHeight="1" thickBot="1" x14ac:dyDescent="0.25">
      <c r="B65" s="125"/>
      <c r="C65" s="126"/>
      <c r="D65" s="127"/>
      <c r="E65" s="126"/>
      <c r="F65" s="84"/>
      <c r="G65" s="128"/>
      <c r="H65" s="86"/>
      <c r="I65" s="129"/>
      <c r="J65" s="84"/>
      <c r="K65" s="130"/>
      <c r="L65" s="86"/>
      <c r="M65" s="129"/>
      <c r="N65" s="131"/>
      <c r="O65" s="90"/>
    </row>
    <row r="66" spans="1:15" s="73" customFormat="1" ht="12.75" x14ac:dyDescent="0.2">
      <c r="B66" s="132" t="s">
        <v>45</v>
      </c>
      <c r="C66" s="75"/>
      <c r="D66" s="75"/>
      <c r="E66" s="75"/>
      <c r="F66" s="133"/>
      <c r="G66" s="134"/>
      <c r="H66" s="135">
        <f>SUM(H57:H58,H49,H50:H53)</f>
        <v>51.567060000000005</v>
      </c>
      <c r="I66" s="136"/>
      <c r="J66" s="137"/>
      <c r="K66" s="137"/>
      <c r="L66" s="189">
        <f>SUM(L57:L58,L49,L50:L53)</f>
        <v>53.684311548721077</v>
      </c>
      <c r="M66" s="138"/>
      <c r="N66" s="139">
        <f>L66-H66</f>
        <v>2.1172515487210717</v>
      </c>
      <c r="O66" s="99">
        <f>IF((H66)=0,"",(N66/H66))</f>
        <v>4.1058217178196146E-2</v>
      </c>
    </row>
    <row r="67" spans="1:15" s="73" customFormat="1" ht="12.75" x14ac:dyDescent="0.2">
      <c r="B67" s="140" t="s">
        <v>41</v>
      </c>
      <c r="C67" s="75"/>
      <c r="D67" s="75"/>
      <c r="E67" s="75"/>
      <c r="F67" s="141">
        <v>0.13</v>
      </c>
      <c r="G67" s="134"/>
      <c r="H67" s="142">
        <f>H66*F67</f>
        <v>6.7037178000000006</v>
      </c>
      <c r="I67" s="143"/>
      <c r="J67" s="144">
        <v>0.13</v>
      </c>
      <c r="K67" s="145"/>
      <c r="L67" s="146">
        <f>L66*J67</f>
        <v>6.9789605013337406</v>
      </c>
      <c r="M67" s="147"/>
      <c r="N67" s="148">
        <f>L67-H67</f>
        <v>0.27524270133373996</v>
      </c>
      <c r="O67" s="109">
        <f>IF((H67)=0,"",(N67/H67))</f>
        <v>4.1058217178196244E-2</v>
      </c>
    </row>
    <row r="68" spans="1:15" s="73" customFormat="1" ht="12.75" x14ac:dyDescent="0.2">
      <c r="B68" s="149" t="s">
        <v>42</v>
      </c>
      <c r="C68" s="75"/>
      <c r="D68" s="75"/>
      <c r="E68" s="75"/>
      <c r="F68" s="150"/>
      <c r="G68" s="151"/>
      <c r="H68" s="142">
        <f>H66+H67</f>
        <v>58.270777800000005</v>
      </c>
      <c r="I68" s="143"/>
      <c r="J68" s="143"/>
      <c r="K68" s="143"/>
      <c r="L68" s="146">
        <f>L66+L67</f>
        <v>60.663272050054815</v>
      </c>
      <c r="M68" s="147"/>
      <c r="N68" s="148">
        <f>L68-H68</f>
        <v>2.3924942500548099</v>
      </c>
      <c r="O68" s="109">
        <f>IF((H68)=0,"",(N68/H68))</f>
        <v>4.1058217178196132E-2</v>
      </c>
    </row>
    <row r="69" spans="1:15" s="73" customFormat="1" ht="15.75" customHeight="1" x14ac:dyDescent="0.2">
      <c r="B69" s="385" t="s">
        <v>43</v>
      </c>
      <c r="C69" s="385"/>
      <c r="D69" s="385"/>
      <c r="E69" s="75"/>
      <c r="F69" s="150"/>
      <c r="G69" s="151"/>
      <c r="H69" s="152">
        <f>ROUND(-H68*10%,2)</f>
        <v>-5.83</v>
      </c>
      <c r="I69" s="143"/>
      <c r="J69" s="143"/>
      <c r="K69" s="143"/>
      <c r="L69" s="153">
        <f>ROUND(-L68*10%,2)</f>
        <v>-6.07</v>
      </c>
      <c r="M69" s="147"/>
      <c r="N69" s="154">
        <f>L69-H69</f>
        <v>-0.24000000000000021</v>
      </c>
      <c r="O69" s="115">
        <f>IF((H69)=0,"",(N69/H69))</f>
        <v>4.1166380789022336E-2</v>
      </c>
    </row>
    <row r="70" spans="1:15" s="73" customFormat="1" ht="13.5" thickBot="1" x14ac:dyDescent="0.25">
      <c r="B70" s="376" t="s">
        <v>46</v>
      </c>
      <c r="C70" s="376"/>
      <c r="D70" s="376"/>
      <c r="E70" s="155"/>
      <c r="F70" s="156"/>
      <c r="G70" s="157"/>
      <c r="H70" s="158">
        <f>SUM(H68:H69)</f>
        <v>52.440777800000006</v>
      </c>
      <c r="I70" s="159"/>
      <c r="J70" s="159"/>
      <c r="K70" s="159"/>
      <c r="L70" s="160">
        <f>SUM(L68:L69)</f>
        <v>54.593272050054814</v>
      </c>
      <c r="M70" s="161"/>
      <c r="N70" s="162">
        <f>L70-H70</f>
        <v>2.1524942500548079</v>
      </c>
      <c r="O70" s="163">
        <f>IF((H70)=0,"",(N70/H70))</f>
        <v>4.1046192302182205E-2</v>
      </c>
    </row>
    <row r="71" spans="1:15" s="73" customFormat="1" ht="8.25" customHeight="1" thickBot="1" x14ac:dyDescent="0.25">
      <c r="B71" s="125"/>
      <c r="C71" s="126"/>
      <c r="D71" s="127"/>
      <c r="E71" s="126"/>
      <c r="F71" s="164"/>
      <c r="G71" s="165"/>
      <c r="H71" s="166"/>
      <c r="I71" s="167"/>
      <c r="J71" s="164"/>
      <c r="K71" s="128"/>
      <c r="L71" s="168"/>
      <c r="M71" s="129"/>
      <c r="N71" s="169"/>
      <c r="O71" s="90"/>
    </row>
    <row r="72" spans="1:15" ht="10.5" customHeight="1" x14ac:dyDescent="0.25">
      <c r="L72" s="72"/>
    </row>
    <row r="73" spans="1:15" x14ac:dyDescent="0.25">
      <c r="B73" s="13" t="s">
        <v>47</v>
      </c>
      <c r="F73" s="170">
        <f>+'Res (100kWh)'!$F$73</f>
        <v>4.0399999999999998E-2</v>
      </c>
      <c r="J73" s="170">
        <f>+'Res (100kWh)'!$J$73</f>
        <v>3.6200000000000003E-2</v>
      </c>
    </row>
    <row r="74" spans="1:15" ht="10.5" customHeight="1" x14ac:dyDescent="0.25"/>
    <row r="75" spans="1:15" x14ac:dyDescent="0.25">
      <c r="A75" s="171" t="s">
        <v>48</v>
      </c>
    </row>
    <row r="76" spans="1:15" ht="10.5" customHeight="1" x14ac:dyDescent="0.25"/>
    <row r="77" spans="1:15" x14ac:dyDescent="0.25">
      <c r="A77" s="7" t="s">
        <v>49</v>
      </c>
    </row>
    <row r="78" spans="1:15" x14ac:dyDescent="0.25">
      <c r="A78" s="7" t="s">
        <v>50</v>
      </c>
    </row>
    <row r="80" spans="1:15" x14ac:dyDescent="0.25">
      <c r="A80" s="12" t="s">
        <v>51</v>
      </c>
    </row>
    <row r="81" spans="1:2" x14ac:dyDescent="0.25">
      <c r="A81" s="12" t="s">
        <v>52</v>
      </c>
    </row>
    <row r="83" spans="1:2" x14ac:dyDescent="0.25">
      <c r="A83" s="7" t="s">
        <v>53</v>
      </c>
    </row>
    <row r="84" spans="1:2" x14ac:dyDescent="0.25">
      <c r="A84" s="7" t="s">
        <v>54</v>
      </c>
    </row>
    <row r="85" spans="1:2" x14ac:dyDescent="0.25">
      <c r="A85" s="7" t="s">
        <v>55</v>
      </c>
    </row>
    <row r="86" spans="1:2" x14ac:dyDescent="0.25">
      <c r="A86" s="7" t="s">
        <v>56</v>
      </c>
    </row>
    <row r="87" spans="1:2" x14ac:dyDescent="0.25">
      <c r="A87" s="7" t="s">
        <v>57</v>
      </c>
    </row>
    <row r="89" spans="1:2" x14ac:dyDescent="0.25">
      <c r="A89" s="172"/>
      <c r="B89" s="7" t="s">
        <v>58</v>
      </c>
    </row>
  </sheetData>
  <mergeCells count="17">
    <mergeCell ref="B69:D69"/>
    <mergeCell ref="F18:H18"/>
    <mergeCell ref="J18:L18"/>
    <mergeCell ref="N18:O18"/>
    <mergeCell ref="B70:D70"/>
    <mergeCell ref="D19:D20"/>
    <mergeCell ref="N19:N20"/>
    <mergeCell ref="O19:O20"/>
    <mergeCell ref="B63:D63"/>
    <mergeCell ref="B64:D64"/>
    <mergeCell ref="D12:O12"/>
    <mergeCell ref="N1:O1"/>
    <mergeCell ref="N2:O2"/>
    <mergeCell ref="N5:O5"/>
    <mergeCell ref="B8:O8"/>
    <mergeCell ref="B9:O9"/>
    <mergeCell ref="N3:O3"/>
  </mergeCells>
  <dataValidations count="4">
    <dataValidation type="list" allowBlank="1" showInputMessage="1" showErrorMessage="1" sqref="E47:E48 E50:E56 E59 E38:E45 E21:E36">
      <formula1>#REF!</formula1>
    </dataValidation>
    <dataValidation type="list" allowBlank="1" showInputMessage="1" showErrorMessage="1" prompt="Select Charge Unit - monthly, per kWh, per kW" sqref="D47:D48 D65 D71 D50:D59 D38:D45 D21:D36">
      <formula1>"Monthly, per kWh, per kW"</formula1>
    </dataValidation>
    <dataValidation type="list" allowBlank="1" showInputMessage="1" showErrorMessage="1" sqref="E71 E65 E57:E58">
      <formula1>#REF!</formula1>
    </dataValidation>
    <dataValidation type="list" allowBlank="1" showInputMessage="1" showErrorMessage="1" sqref="D14">
      <formula1>"TOU, non-TOU"</formula1>
    </dataValidation>
  </dataValidations>
  <pageMargins left="0.7" right="0.7" top="0.75" bottom="0.75" header="0.3" footer="0.3"/>
  <pageSetup scale="59" orientation="portrait" r:id="rId1"/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0" tint="-0.499984740745262"/>
    <pageSetUpPr fitToPage="1"/>
  </sheetPr>
  <dimension ref="A1:T88"/>
  <sheetViews>
    <sheetView showGridLines="0" topLeftCell="A19" zoomScaleNormal="100" workbookViewId="0">
      <selection activeCell="J38" sqref="J38:J42"/>
    </sheetView>
  </sheetViews>
  <sheetFormatPr defaultColWidth="9.140625" defaultRowHeight="15" x14ac:dyDescent="0.25"/>
  <cols>
    <col min="1" max="1" width="2.140625" style="7" customWidth="1"/>
    <col min="2" max="2" width="44.5703125" style="7" customWidth="1"/>
    <col min="3" max="3" width="1.28515625" style="7" customWidth="1"/>
    <col min="4" max="4" width="11.28515625" style="7" customWidth="1"/>
    <col min="5" max="5" width="1.28515625" style="7" customWidth="1"/>
    <col min="6" max="6" width="12.28515625" style="7" customWidth="1"/>
    <col min="7" max="7" width="9" style="7" bestFit="1" customWidth="1"/>
    <col min="8" max="8" width="14.28515625" style="7" bestFit="1" customWidth="1"/>
    <col min="9" max="9" width="2.85546875" style="7" customWidth="1"/>
    <col min="10" max="10" width="12.140625" style="7" customWidth="1"/>
    <col min="11" max="11" width="9" style="7" bestFit="1" customWidth="1"/>
    <col min="12" max="12" width="14.28515625" style="7" bestFit="1" customWidth="1"/>
    <col min="13" max="13" width="2.85546875" style="7" customWidth="1"/>
    <col min="14" max="14" width="12.7109375" style="7" bestFit="1" customWidth="1"/>
    <col min="15" max="15" width="10.85546875" style="7" bestFit="1" customWidth="1"/>
    <col min="16" max="16" width="3.85546875" style="7" customWidth="1"/>
    <col min="17" max="19" width="9.140625" style="7"/>
    <col min="20" max="20" width="9.140625" style="7" customWidth="1"/>
    <col min="21" max="16384" width="9.140625" style="7"/>
  </cols>
  <sheetData>
    <row r="1" spans="1:20" s="2" customFormat="1" ht="15" customHeigh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3" t="s">
        <v>0</v>
      </c>
      <c r="N1" s="368" t="s">
        <v>94</v>
      </c>
      <c r="O1" s="368"/>
      <c r="P1"/>
      <c r="T1" s="2">
        <v>1</v>
      </c>
    </row>
    <row r="2" spans="1:20" s="2" customFormat="1" ht="15" customHeight="1" x14ac:dyDescent="0.3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3" t="s">
        <v>95</v>
      </c>
      <c r="N2" s="369">
        <v>8</v>
      </c>
      <c r="O2" s="369"/>
      <c r="P2"/>
    </row>
    <row r="3" spans="1:20" s="2" customFormat="1" ht="15" customHeight="1" x14ac:dyDescent="0.3">
      <c r="C3" s="6"/>
      <c r="D3" s="6"/>
      <c r="E3" s="6"/>
      <c r="L3" s="3" t="s">
        <v>96</v>
      </c>
      <c r="N3" s="370" t="s">
        <v>97</v>
      </c>
      <c r="O3" s="370"/>
      <c r="P3"/>
    </row>
    <row r="4" spans="1:20" s="2" customFormat="1" ht="9" customHeight="1" x14ac:dyDescent="0.3">
      <c r="L4" s="3"/>
      <c r="N4" s="310"/>
      <c r="O4"/>
      <c r="P4"/>
    </row>
    <row r="5" spans="1:20" s="2" customFormat="1" ht="14.45" x14ac:dyDescent="0.3">
      <c r="L5" s="3" t="s">
        <v>76</v>
      </c>
      <c r="N5" s="387">
        <v>42124</v>
      </c>
      <c r="O5" s="387"/>
      <c r="P5"/>
    </row>
    <row r="6" spans="1:20" s="2" customFormat="1" ht="15" customHeight="1" x14ac:dyDescent="0.3">
      <c r="N6" s="7"/>
      <c r="O6"/>
      <c r="P6"/>
    </row>
    <row r="7" spans="1:20" ht="7.5" customHeight="1" x14ac:dyDescent="0.3">
      <c r="L7"/>
      <c r="M7"/>
      <c r="N7"/>
      <c r="O7"/>
      <c r="P7"/>
    </row>
    <row r="8" spans="1:20" ht="18.75" customHeight="1" x14ac:dyDescent="0.3">
      <c r="B8" s="367" t="s">
        <v>1</v>
      </c>
      <c r="C8" s="367"/>
      <c r="D8" s="367"/>
      <c r="E8" s="367"/>
      <c r="F8" s="367"/>
      <c r="G8" s="367"/>
      <c r="H8" s="367"/>
      <c r="I8" s="367"/>
      <c r="J8" s="367"/>
      <c r="K8" s="367"/>
      <c r="L8" s="367"/>
      <c r="M8" s="367"/>
      <c r="N8" s="367"/>
      <c r="O8" s="367"/>
      <c r="P8"/>
    </row>
    <row r="9" spans="1:20" ht="18.75" customHeight="1" x14ac:dyDescent="0.3">
      <c r="B9" s="367" t="s">
        <v>2</v>
      </c>
      <c r="C9" s="367"/>
      <c r="D9" s="367"/>
      <c r="E9" s="367"/>
      <c r="F9" s="367"/>
      <c r="G9" s="367"/>
      <c r="H9" s="367"/>
      <c r="I9" s="367"/>
      <c r="J9" s="367"/>
      <c r="K9" s="367"/>
      <c r="L9" s="367"/>
      <c r="M9" s="367"/>
      <c r="N9" s="367"/>
      <c r="O9" s="367"/>
      <c r="P9"/>
    </row>
    <row r="10" spans="1:20" ht="7.5" customHeight="1" x14ac:dyDescent="0.3">
      <c r="L10"/>
      <c r="M10"/>
      <c r="N10"/>
      <c r="O10"/>
      <c r="P10"/>
    </row>
    <row r="11" spans="1:20" ht="7.5" customHeight="1" x14ac:dyDescent="0.3">
      <c r="L11"/>
      <c r="M11"/>
      <c r="N11"/>
      <c r="O11"/>
      <c r="P11"/>
    </row>
    <row r="12" spans="1:20" ht="15.6" x14ac:dyDescent="0.3">
      <c r="B12" s="8" t="s">
        <v>3</v>
      </c>
      <c r="D12" s="386" t="s">
        <v>72</v>
      </c>
      <c r="E12" s="386"/>
      <c r="F12" s="386"/>
      <c r="G12" s="386"/>
      <c r="H12" s="386"/>
      <c r="I12" s="386"/>
      <c r="J12" s="386"/>
      <c r="K12" s="386"/>
      <c r="L12" s="386"/>
      <c r="M12" s="386"/>
      <c r="N12" s="386"/>
      <c r="O12" s="386"/>
    </row>
    <row r="13" spans="1:20" ht="7.5" customHeight="1" x14ac:dyDescent="0.3">
      <c r="B13" s="9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</row>
    <row r="14" spans="1:20" ht="15.6" x14ac:dyDescent="0.3">
      <c r="B14" s="8" t="s">
        <v>4</v>
      </c>
      <c r="D14" s="11" t="s">
        <v>68</v>
      </c>
      <c r="E14" s="10"/>
      <c r="F14" s="10"/>
      <c r="G14" s="10"/>
      <c r="H14" s="10"/>
      <c r="I14" s="10"/>
      <c r="J14" s="278"/>
      <c r="K14" s="10"/>
      <c r="L14" s="10"/>
      <c r="M14" s="10"/>
      <c r="N14" s="10"/>
      <c r="O14" s="10"/>
    </row>
    <row r="15" spans="1:20" ht="15.6" x14ac:dyDescent="0.3">
      <c r="B15" s="9"/>
      <c r="D15" s="10"/>
      <c r="E15" s="10"/>
      <c r="F15" s="10"/>
      <c r="G15" s="10"/>
      <c r="H15" s="10"/>
      <c r="I15" s="10"/>
      <c r="J15" s="278"/>
      <c r="K15" s="10"/>
      <c r="L15" s="10"/>
      <c r="M15" s="10"/>
      <c r="N15" s="10"/>
      <c r="O15" s="10"/>
    </row>
    <row r="16" spans="1:20" ht="14.45" x14ac:dyDescent="0.3">
      <c r="B16" s="12"/>
      <c r="D16" s="13" t="s">
        <v>6</v>
      </c>
      <c r="E16" s="13"/>
      <c r="F16" s="14">
        <v>50</v>
      </c>
      <c r="G16" s="13" t="s">
        <v>7</v>
      </c>
      <c r="H16" s="264">
        <v>0.14000000000000001</v>
      </c>
      <c r="I16" s="13" t="s">
        <v>69</v>
      </c>
      <c r="J16" s="280"/>
    </row>
    <row r="17" spans="2:15" ht="14.45" x14ac:dyDescent="0.3">
      <c r="B17" s="12"/>
      <c r="F17" s="281"/>
      <c r="G17" s="34"/>
      <c r="H17" s="34"/>
      <c r="J17" s="281"/>
    </row>
    <row r="18" spans="2:15" ht="14.45" x14ac:dyDescent="0.3">
      <c r="B18" s="12"/>
      <c r="D18" s="15"/>
      <c r="E18" s="15"/>
      <c r="F18" s="373" t="s">
        <v>8</v>
      </c>
      <c r="G18" s="374"/>
      <c r="H18" s="375"/>
      <c r="J18" s="373" t="s">
        <v>9</v>
      </c>
      <c r="K18" s="374"/>
      <c r="L18" s="375"/>
      <c r="N18" s="373" t="s">
        <v>10</v>
      </c>
      <c r="O18" s="375"/>
    </row>
    <row r="19" spans="2:15" x14ac:dyDescent="0.25">
      <c r="B19" s="12"/>
      <c r="D19" s="377" t="s">
        <v>11</v>
      </c>
      <c r="E19" s="16"/>
      <c r="F19" s="17" t="s">
        <v>12</v>
      </c>
      <c r="G19" s="17" t="s">
        <v>13</v>
      </c>
      <c r="H19" s="18" t="s">
        <v>14</v>
      </c>
      <c r="J19" s="17" t="s">
        <v>12</v>
      </c>
      <c r="K19" s="19" t="s">
        <v>13</v>
      </c>
      <c r="L19" s="18" t="s">
        <v>14</v>
      </c>
      <c r="N19" s="379" t="s">
        <v>15</v>
      </c>
      <c r="O19" s="381" t="s">
        <v>16</v>
      </c>
    </row>
    <row r="20" spans="2:15" x14ac:dyDescent="0.25">
      <c r="B20" s="12"/>
      <c r="D20" s="378"/>
      <c r="E20" s="16"/>
      <c r="F20" s="20" t="s">
        <v>17</v>
      </c>
      <c r="G20" s="20"/>
      <c r="H20" s="21" t="s">
        <v>17</v>
      </c>
      <c r="J20" s="20" t="s">
        <v>17</v>
      </c>
      <c r="K20" s="21"/>
      <c r="L20" s="21" t="s">
        <v>17</v>
      </c>
      <c r="N20" s="380"/>
      <c r="O20" s="382"/>
    </row>
    <row r="21" spans="2:15" ht="22.5" customHeight="1" x14ac:dyDescent="0.3">
      <c r="B21" s="22" t="s">
        <v>18</v>
      </c>
      <c r="C21" s="22"/>
      <c r="D21" s="23" t="s">
        <v>60</v>
      </c>
      <c r="E21" s="24"/>
      <c r="F21" s="174">
        <v>0.33</v>
      </c>
      <c r="G21" s="265">
        <v>1</v>
      </c>
      <c r="H21" s="27">
        <f>G21*F21</f>
        <v>0.33</v>
      </c>
      <c r="I21" s="28"/>
      <c r="J21" s="173">
        <f>+'SL (1kW)'!J21</f>
        <v>0.33</v>
      </c>
      <c r="K21" s="270">
        <v>1</v>
      </c>
      <c r="L21" s="27">
        <f>K21*J21</f>
        <v>0.33</v>
      </c>
      <c r="M21" s="28"/>
      <c r="N21" s="31">
        <f>L21-H21</f>
        <v>0</v>
      </c>
      <c r="O21" s="32">
        <f>IF((H21)=0,"",(N21/H21))</f>
        <v>0</v>
      </c>
    </row>
    <row r="22" spans="2:15" ht="36.75" customHeight="1" x14ac:dyDescent="0.25">
      <c r="B22" s="64" t="s">
        <v>62</v>
      </c>
      <c r="C22" s="22"/>
      <c r="D22" s="56" t="s">
        <v>60</v>
      </c>
      <c r="E22" s="24"/>
      <c r="F22" s="173"/>
      <c r="G22" s="265">
        <v>1</v>
      </c>
      <c r="H22" s="27">
        <f t="shared" ref="H22:H36" si="0">G22*F22</f>
        <v>0</v>
      </c>
      <c r="I22" s="28"/>
      <c r="J22" s="29"/>
      <c r="K22" s="270">
        <v>1</v>
      </c>
      <c r="L22" s="27">
        <f>K22*J22</f>
        <v>0</v>
      </c>
      <c r="M22" s="28"/>
      <c r="N22" s="31">
        <f>L22-H22</f>
        <v>0</v>
      </c>
      <c r="O22" s="32" t="str">
        <f>IF((H22)=0,"",(N22/H22))</f>
        <v/>
      </c>
    </row>
    <row r="23" spans="2:15" x14ac:dyDescent="0.25">
      <c r="B23" s="175"/>
      <c r="C23" s="22"/>
      <c r="D23" s="56" t="s">
        <v>60</v>
      </c>
      <c r="E23" s="57"/>
      <c r="F23" s="173"/>
      <c r="G23" s="265">
        <v>1</v>
      </c>
      <c r="H23" s="27">
        <f t="shared" si="0"/>
        <v>0</v>
      </c>
      <c r="I23" s="28"/>
      <c r="J23" s="29"/>
      <c r="K23" s="270">
        <v>1</v>
      </c>
      <c r="L23" s="27">
        <f t="shared" ref="L23:L36" si="1">K23*J23</f>
        <v>0</v>
      </c>
      <c r="M23" s="28"/>
      <c r="N23" s="31">
        <f t="shared" ref="N23:N63" si="2">L23-H23</f>
        <v>0</v>
      </c>
      <c r="O23" s="32" t="str">
        <f t="shared" ref="O23:O43" si="3">IF((H23)=0,"",(N23/H23))</f>
        <v/>
      </c>
    </row>
    <row r="24" spans="2:15" x14ac:dyDescent="0.25">
      <c r="B24" s="175"/>
      <c r="C24" s="22"/>
      <c r="D24" s="56" t="s">
        <v>60</v>
      </c>
      <c r="E24" s="24"/>
      <c r="F24" s="25"/>
      <c r="G24" s="265">
        <v>1</v>
      </c>
      <c r="H24" s="27">
        <f t="shared" si="0"/>
        <v>0</v>
      </c>
      <c r="I24" s="28"/>
      <c r="J24" s="173"/>
      <c r="K24" s="270">
        <v>1</v>
      </c>
      <c r="L24" s="27">
        <f t="shared" si="1"/>
        <v>0</v>
      </c>
      <c r="M24" s="28"/>
      <c r="N24" s="31">
        <f t="shared" si="2"/>
        <v>0</v>
      </c>
      <c r="O24" s="32" t="str">
        <f t="shared" si="3"/>
        <v/>
      </c>
    </row>
    <row r="25" spans="2:15" x14ac:dyDescent="0.25">
      <c r="B25" s="296" t="s">
        <v>65</v>
      </c>
      <c r="C25" s="22"/>
      <c r="D25" s="23" t="s">
        <v>70</v>
      </c>
      <c r="E25" s="24"/>
      <c r="F25" s="25">
        <v>-2.0799999999999999E-2</v>
      </c>
      <c r="G25" s="265">
        <f>$H$16</f>
        <v>0.14000000000000001</v>
      </c>
      <c r="H25" s="27">
        <f t="shared" si="0"/>
        <v>-2.9120000000000001E-3</v>
      </c>
      <c r="I25" s="28"/>
      <c r="J25" s="263">
        <v>-2.0799999999999999E-2</v>
      </c>
      <c r="K25" s="265">
        <f>$H$16</f>
        <v>0.14000000000000001</v>
      </c>
      <c r="L25" s="27">
        <f t="shared" si="1"/>
        <v>-2.9120000000000001E-3</v>
      </c>
      <c r="M25" s="28"/>
      <c r="N25" s="31">
        <f t="shared" si="2"/>
        <v>0</v>
      </c>
      <c r="O25" s="32">
        <f t="shared" si="3"/>
        <v>0</v>
      </c>
    </row>
    <row r="26" spans="2:15" x14ac:dyDescent="0.25">
      <c r="B26" s="296" t="s">
        <v>66</v>
      </c>
      <c r="C26" s="22"/>
      <c r="D26" s="23" t="s">
        <v>70</v>
      </c>
      <c r="E26" s="24"/>
      <c r="F26" s="173"/>
      <c r="G26" s="265">
        <f>$H$16</f>
        <v>0.14000000000000001</v>
      </c>
      <c r="H26" s="27">
        <f t="shared" si="0"/>
        <v>0</v>
      </c>
      <c r="I26" s="28"/>
      <c r="J26" s="366">
        <f>+'SL (1kW)'!J26</f>
        <v>-0.56559999999999999</v>
      </c>
      <c r="K26" s="265">
        <f>$H$16</f>
        <v>0.14000000000000001</v>
      </c>
      <c r="L26" s="27">
        <f t="shared" si="1"/>
        <v>-7.9184000000000004E-2</v>
      </c>
      <c r="M26" s="28"/>
      <c r="N26" s="31">
        <f t="shared" si="2"/>
        <v>-7.9184000000000004E-2</v>
      </c>
      <c r="O26" s="32" t="str">
        <f t="shared" si="3"/>
        <v/>
      </c>
    </row>
    <row r="27" spans="2:15" x14ac:dyDescent="0.25">
      <c r="B27" s="22" t="s">
        <v>19</v>
      </c>
      <c r="C27" s="22"/>
      <c r="D27" s="23" t="s">
        <v>70</v>
      </c>
      <c r="E27" s="24"/>
      <c r="F27" s="25">
        <v>8.6831999999999994</v>
      </c>
      <c r="G27" s="265">
        <f>$H$16</f>
        <v>0.14000000000000001</v>
      </c>
      <c r="H27" s="27">
        <f t="shared" si="0"/>
        <v>1.2156480000000001</v>
      </c>
      <c r="I27" s="28"/>
      <c r="J27" s="263">
        <f>+'SL (1kW)'!J27</f>
        <v>9.4838000000000005</v>
      </c>
      <c r="K27" s="265">
        <f>$H$16</f>
        <v>0.14000000000000001</v>
      </c>
      <c r="L27" s="27">
        <f t="shared" si="1"/>
        <v>1.3277320000000001</v>
      </c>
      <c r="M27" s="28"/>
      <c r="N27" s="31">
        <f t="shared" si="2"/>
        <v>0.11208400000000007</v>
      </c>
      <c r="O27" s="32">
        <f t="shared" si="3"/>
        <v>9.2201031877648845E-2</v>
      </c>
    </row>
    <row r="28" spans="2:15" x14ac:dyDescent="0.25">
      <c r="B28" s="22" t="s">
        <v>20</v>
      </c>
      <c r="C28" s="22"/>
      <c r="D28" s="23"/>
      <c r="E28" s="24"/>
      <c r="F28" s="25"/>
      <c r="G28" s="265">
        <f>$F$16</f>
        <v>50</v>
      </c>
      <c r="H28" s="27">
        <f t="shared" si="0"/>
        <v>0</v>
      </c>
      <c r="I28" s="28"/>
      <c r="J28" s="29"/>
      <c r="K28" s="265">
        <f t="shared" ref="K28:K36" si="4">$F$16</f>
        <v>50</v>
      </c>
      <c r="L28" s="27">
        <f t="shared" si="1"/>
        <v>0</v>
      </c>
      <c r="M28" s="28"/>
      <c r="N28" s="31">
        <f t="shared" si="2"/>
        <v>0</v>
      </c>
      <c r="O28" s="32" t="str">
        <f t="shared" si="3"/>
        <v/>
      </c>
    </row>
    <row r="29" spans="2:15" x14ac:dyDescent="0.25">
      <c r="B29" s="22" t="s">
        <v>21</v>
      </c>
      <c r="C29" s="22"/>
      <c r="D29" s="23"/>
      <c r="E29" s="24"/>
      <c r="F29" s="25"/>
      <c r="G29" s="265">
        <f>$F$16</f>
        <v>50</v>
      </c>
      <c r="H29" s="27">
        <f t="shared" si="0"/>
        <v>0</v>
      </c>
      <c r="I29" s="28"/>
      <c r="J29" s="29"/>
      <c r="K29" s="265">
        <f t="shared" si="4"/>
        <v>50</v>
      </c>
      <c r="L29" s="27">
        <f t="shared" si="1"/>
        <v>0</v>
      </c>
      <c r="M29" s="28"/>
      <c r="N29" s="31">
        <f t="shared" si="2"/>
        <v>0</v>
      </c>
      <c r="O29" s="32" t="str">
        <f t="shared" si="3"/>
        <v/>
      </c>
    </row>
    <row r="30" spans="2:15" x14ac:dyDescent="0.25">
      <c r="B30" s="33"/>
      <c r="C30" s="22"/>
      <c r="D30" s="23"/>
      <c r="E30" s="24"/>
      <c r="F30" s="25"/>
      <c r="G30" s="265">
        <f t="shared" ref="G30:G36" si="5">$F$16</f>
        <v>50</v>
      </c>
      <c r="H30" s="27">
        <f t="shared" si="0"/>
        <v>0</v>
      </c>
      <c r="I30" s="28"/>
      <c r="J30" s="29"/>
      <c r="K30" s="265">
        <f t="shared" si="4"/>
        <v>50</v>
      </c>
      <c r="L30" s="27">
        <f t="shared" si="1"/>
        <v>0</v>
      </c>
      <c r="M30" s="28"/>
      <c r="N30" s="31">
        <f t="shared" si="2"/>
        <v>0</v>
      </c>
      <c r="O30" s="32" t="str">
        <f t="shared" si="3"/>
        <v/>
      </c>
    </row>
    <row r="31" spans="2:15" x14ac:dyDescent="0.25">
      <c r="B31" s="33"/>
      <c r="C31" s="22"/>
      <c r="D31" s="23"/>
      <c r="E31" s="24"/>
      <c r="F31" s="25"/>
      <c r="G31" s="265">
        <f t="shared" si="5"/>
        <v>50</v>
      </c>
      <c r="H31" s="27">
        <f t="shared" si="0"/>
        <v>0</v>
      </c>
      <c r="I31" s="28"/>
      <c r="J31" s="29"/>
      <c r="K31" s="265">
        <f t="shared" si="4"/>
        <v>50</v>
      </c>
      <c r="L31" s="27">
        <f t="shared" si="1"/>
        <v>0</v>
      </c>
      <c r="M31" s="28"/>
      <c r="N31" s="31">
        <f t="shared" si="2"/>
        <v>0</v>
      </c>
      <c r="O31" s="32" t="str">
        <f t="shared" si="3"/>
        <v/>
      </c>
    </row>
    <row r="32" spans="2:15" x14ac:dyDescent="0.25">
      <c r="B32" s="33"/>
      <c r="C32" s="22"/>
      <c r="D32" s="23"/>
      <c r="E32" s="24"/>
      <c r="F32" s="25"/>
      <c r="G32" s="265">
        <f t="shared" si="5"/>
        <v>50</v>
      </c>
      <c r="H32" s="27">
        <f t="shared" si="0"/>
        <v>0</v>
      </c>
      <c r="I32" s="28"/>
      <c r="J32" s="29"/>
      <c r="K32" s="265">
        <f t="shared" si="4"/>
        <v>50</v>
      </c>
      <c r="L32" s="27">
        <f t="shared" si="1"/>
        <v>0</v>
      </c>
      <c r="M32" s="28"/>
      <c r="N32" s="31">
        <f t="shared" si="2"/>
        <v>0</v>
      </c>
      <c r="O32" s="32" t="str">
        <f t="shared" si="3"/>
        <v/>
      </c>
    </row>
    <row r="33" spans="2:17" x14ac:dyDescent="0.25">
      <c r="B33" s="33"/>
      <c r="C33" s="22"/>
      <c r="D33" s="23"/>
      <c r="E33" s="24"/>
      <c r="F33" s="25"/>
      <c r="G33" s="265">
        <f t="shared" si="5"/>
        <v>50</v>
      </c>
      <c r="H33" s="27">
        <f t="shared" si="0"/>
        <v>0</v>
      </c>
      <c r="I33" s="28"/>
      <c r="J33" s="29"/>
      <c r="K33" s="265">
        <f t="shared" si="4"/>
        <v>50</v>
      </c>
      <c r="L33" s="27">
        <f t="shared" si="1"/>
        <v>0</v>
      </c>
      <c r="M33" s="28"/>
      <c r="N33" s="31">
        <f t="shared" si="2"/>
        <v>0</v>
      </c>
      <c r="O33" s="32" t="str">
        <f t="shared" si="3"/>
        <v/>
      </c>
    </row>
    <row r="34" spans="2:17" x14ac:dyDescent="0.25">
      <c r="B34" s="33"/>
      <c r="C34" s="22"/>
      <c r="D34" s="23"/>
      <c r="E34" s="24"/>
      <c r="F34" s="25"/>
      <c r="G34" s="265">
        <f t="shared" si="5"/>
        <v>50</v>
      </c>
      <c r="H34" s="27">
        <f t="shared" si="0"/>
        <v>0</v>
      </c>
      <c r="I34" s="28"/>
      <c r="J34" s="29"/>
      <c r="K34" s="265">
        <f t="shared" si="4"/>
        <v>50</v>
      </c>
      <c r="L34" s="27">
        <f t="shared" si="1"/>
        <v>0</v>
      </c>
      <c r="M34" s="28"/>
      <c r="N34" s="31">
        <f t="shared" si="2"/>
        <v>0</v>
      </c>
      <c r="O34" s="32" t="str">
        <f t="shared" si="3"/>
        <v/>
      </c>
    </row>
    <row r="35" spans="2:17" x14ac:dyDescent="0.25">
      <c r="B35" s="33"/>
      <c r="C35" s="22"/>
      <c r="D35" s="23"/>
      <c r="E35" s="24"/>
      <c r="F35" s="25"/>
      <c r="G35" s="265">
        <f t="shared" si="5"/>
        <v>50</v>
      </c>
      <c r="H35" s="27">
        <f t="shared" si="0"/>
        <v>0</v>
      </c>
      <c r="I35" s="28"/>
      <c r="J35" s="29"/>
      <c r="K35" s="265">
        <f t="shared" si="4"/>
        <v>50</v>
      </c>
      <c r="L35" s="27">
        <f t="shared" si="1"/>
        <v>0</v>
      </c>
      <c r="M35" s="28"/>
      <c r="N35" s="31">
        <f t="shared" si="2"/>
        <v>0</v>
      </c>
      <c r="O35" s="32" t="str">
        <f t="shared" si="3"/>
        <v/>
      </c>
    </row>
    <row r="36" spans="2:17" x14ac:dyDescent="0.25">
      <c r="B36" s="33"/>
      <c r="C36" s="22"/>
      <c r="D36" s="23"/>
      <c r="E36" s="24"/>
      <c r="F36" s="25"/>
      <c r="G36" s="265">
        <f t="shared" si="5"/>
        <v>50</v>
      </c>
      <c r="H36" s="27">
        <f t="shared" si="0"/>
        <v>0</v>
      </c>
      <c r="I36" s="28"/>
      <c r="J36" s="29"/>
      <c r="K36" s="265">
        <f t="shared" si="4"/>
        <v>50</v>
      </c>
      <c r="L36" s="27">
        <f t="shared" si="1"/>
        <v>0</v>
      </c>
      <c r="M36" s="28"/>
      <c r="N36" s="31">
        <f t="shared" si="2"/>
        <v>0</v>
      </c>
      <c r="O36" s="32" t="str">
        <f t="shared" si="3"/>
        <v/>
      </c>
    </row>
    <row r="37" spans="2:17" s="34" customFormat="1" x14ac:dyDescent="0.25">
      <c r="B37" s="35" t="s">
        <v>22</v>
      </c>
      <c r="C37" s="36"/>
      <c r="D37" s="37"/>
      <c r="E37" s="36"/>
      <c r="F37" s="38"/>
      <c r="G37" s="266"/>
      <c r="H37" s="40">
        <f>SUM(H21:H36)</f>
        <v>1.5427360000000001</v>
      </c>
      <c r="I37" s="41"/>
      <c r="J37" s="271"/>
      <c r="K37" s="271"/>
      <c r="L37" s="40">
        <f>SUM(L21:L36)</f>
        <v>1.575636</v>
      </c>
      <c r="M37" s="41"/>
      <c r="N37" s="44">
        <f t="shared" si="2"/>
        <v>3.2899999999999929E-2</v>
      </c>
      <c r="O37" s="45">
        <f t="shared" si="3"/>
        <v>2.1325748540255707E-2</v>
      </c>
    </row>
    <row r="38" spans="2:17" x14ac:dyDescent="0.25">
      <c r="B38" s="296" t="s">
        <v>23</v>
      </c>
      <c r="C38" s="22"/>
      <c r="D38" s="56" t="s">
        <v>70</v>
      </c>
      <c r="E38" s="57"/>
      <c r="F38" s="29">
        <v>-0.51990000000000003</v>
      </c>
      <c r="G38" s="265">
        <f>G27</f>
        <v>0.14000000000000001</v>
      </c>
      <c r="H38" s="27">
        <f t="shared" ref="H38:H44" si="6">G38*F38</f>
        <v>-7.2786000000000017E-2</v>
      </c>
      <c r="I38" s="28"/>
      <c r="J38" s="263">
        <f>0.7019-0.5199</f>
        <v>0.18199999999999994</v>
      </c>
      <c r="K38" s="265">
        <f>H16</f>
        <v>0.14000000000000001</v>
      </c>
      <c r="L38" s="27">
        <f t="shared" ref="L38:L44" si="7">K38*J38</f>
        <v>2.5479999999999992E-2</v>
      </c>
      <c r="M38" s="28"/>
      <c r="N38" s="31">
        <f t="shared" si="2"/>
        <v>9.8266000000000006E-2</v>
      </c>
      <c r="O38" s="32">
        <f t="shared" si="3"/>
        <v>-1.350067320638584</v>
      </c>
      <c r="Q38" s="365"/>
    </row>
    <row r="39" spans="2:17" x14ac:dyDescent="0.25">
      <c r="B39" s="296"/>
      <c r="C39" s="22"/>
      <c r="D39" s="23" t="s">
        <v>70</v>
      </c>
      <c r="E39" s="24"/>
      <c r="F39" s="25"/>
      <c r="G39" s="265">
        <f>H16</f>
        <v>0.14000000000000001</v>
      </c>
      <c r="H39" s="27">
        <f t="shared" si="6"/>
        <v>0</v>
      </c>
      <c r="I39" s="47"/>
      <c r="J39" s="263"/>
      <c r="K39" s="265">
        <f>H16</f>
        <v>0.14000000000000001</v>
      </c>
      <c r="L39" s="27">
        <f t="shared" si="7"/>
        <v>0</v>
      </c>
      <c r="M39" s="48"/>
      <c r="N39" s="31">
        <f t="shared" si="2"/>
        <v>0</v>
      </c>
      <c r="O39" s="32" t="str">
        <f t="shared" si="3"/>
        <v/>
      </c>
    </row>
    <row r="40" spans="2:17" x14ac:dyDescent="0.25">
      <c r="B40" s="296"/>
      <c r="C40" s="22"/>
      <c r="D40" s="23" t="s">
        <v>70</v>
      </c>
      <c r="E40" s="24"/>
      <c r="F40" s="25"/>
      <c r="G40" s="265">
        <f>H16</f>
        <v>0.14000000000000001</v>
      </c>
      <c r="H40" s="27">
        <f t="shared" si="6"/>
        <v>0</v>
      </c>
      <c r="I40" s="47"/>
      <c r="J40" s="263"/>
      <c r="K40" s="265">
        <f>H16</f>
        <v>0.14000000000000001</v>
      </c>
      <c r="L40" s="27">
        <f t="shared" si="7"/>
        <v>0</v>
      </c>
      <c r="M40" s="48"/>
      <c r="N40" s="31">
        <f t="shared" si="2"/>
        <v>0</v>
      </c>
      <c r="O40" s="32" t="str">
        <f t="shared" si="3"/>
        <v/>
      </c>
    </row>
    <row r="41" spans="2:17" ht="30" customHeight="1" x14ac:dyDescent="0.25">
      <c r="B41" s="296" t="s">
        <v>74</v>
      </c>
      <c r="C41" s="22"/>
      <c r="D41" s="23" t="s">
        <v>70</v>
      </c>
      <c r="E41" s="24"/>
      <c r="F41" s="29">
        <v>0.21390000000000001</v>
      </c>
      <c r="G41" s="265">
        <f>H16</f>
        <v>0.14000000000000001</v>
      </c>
      <c r="H41" s="27">
        <f t="shared" si="6"/>
        <v>2.9946000000000004E-2</v>
      </c>
      <c r="I41" s="47"/>
      <c r="J41" s="263">
        <f>1.1196+0.2139</f>
        <v>1.3334999999999999</v>
      </c>
      <c r="K41" s="265">
        <f>H16</f>
        <v>0.14000000000000001</v>
      </c>
      <c r="L41" s="27">
        <f t="shared" si="7"/>
        <v>0.18668999999999999</v>
      </c>
      <c r="M41" s="48"/>
      <c r="N41" s="31">
        <f t="shared" si="2"/>
        <v>0.15674399999999999</v>
      </c>
      <c r="O41" s="32">
        <f t="shared" si="3"/>
        <v>5.2342215988779799</v>
      </c>
    </row>
    <row r="42" spans="2:17" x14ac:dyDescent="0.25">
      <c r="B42" s="49" t="s">
        <v>24</v>
      </c>
      <c r="C42" s="22"/>
      <c r="D42" s="23" t="s">
        <v>70</v>
      </c>
      <c r="E42" s="24"/>
      <c r="F42" s="25">
        <v>3.4099999999999998E-2</v>
      </c>
      <c r="G42" s="265">
        <f>H16</f>
        <v>0.14000000000000001</v>
      </c>
      <c r="H42" s="27">
        <f t="shared" si="6"/>
        <v>4.7740000000000005E-3</v>
      </c>
      <c r="I42" s="28"/>
      <c r="J42" s="263">
        <f>+'SL (1kW)'!J42</f>
        <v>5.7000000000000002E-2</v>
      </c>
      <c r="K42" s="265">
        <f>H16</f>
        <v>0.14000000000000001</v>
      </c>
      <c r="L42" s="27">
        <f t="shared" si="7"/>
        <v>7.980000000000001E-3</v>
      </c>
      <c r="M42" s="28"/>
      <c r="N42" s="31">
        <f t="shared" si="2"/>
        <v>3.2060000000000005E-3</v>
      </c>
      <c r="O42" s="32">
        <f t="shared" si="3"/>
        <v>0.67155425219941356</v>
      </c>
    </row>
    <row r="43" spans="2:17" s="34" customFormat="1" x14ac:dyDescent="0.25">
      <c r="B43" s="181" t="s">
        <v>25</v>
      </c>
      <c r="C43" s="24"/>
      <c r="D43" s="182" t="s">
        <v>61</v>
      </c>
      <c r="E43" s="24"/>
      <c r="F43" s="342">
        <f>+F53</f>
        <v>0.10186000000000001</v>
      </c>
      <c r="G43" s="265">
        <f>$F$16*(1+$F$72)-$F$16</f>
        <v>2.019999999999996</v>
      </c>
      <c r="H43" s="184">
        <f t="shared" si="6"/>
        <v>0.20575719999999961</v>
      </c>
      <c r="I43" s="57"/>
      <c r="J43" s="341">
        <f>+J53</f>
        <v>0.10186000000000001</v>
      </c>
      <c r="K43" s="265">
        <f>$F$16*(1+$J$72)-$F$16</f>
        <v>1.8100000000000023</v>
      </c>
      <c r="L43" s="184">
        <f t="shared" si="7"/>
        <v>0.18436660000000024</v>
      </c>
      <c r="M43" s="57"/>
      <c r="N43" s="186">
        <f t="shared" si="2"/>
        <v>-2.1390599999999371E-2</v>
      </c>
      <c r="O43" s="187">
        <f t="shared" si="3"/>
        <v>-0.1039603960396011</v>
      </c>
    </row>
    <row r="44" spans="2:17" ht="14.45" x14ac:dyDescent="0.3">
      <c r="B44" s="49"/>
      <c r="C44" s="22"/>
      <c r="D44" s="23" t="s">
        <v>60</v>
      </c>
      <c r="E44" s="24"/>
      <c r="F44" s="178"/>
      <c r="G44" s="26">
        <v>0</v>
      </c>
      <c r="H44" s="27">
        <f t="shared" si="6"/>
        <v>0</v>
      </c>
      <c r="I44" s="28"/>
      <c r="J44" s="178"/>
      <c r="K44" s="265">
        <v>0</v>
      </c>
      <c r="L44" s="27">
        <f t="shared" si="7"/>
        <v>0</v>
      </c>
      <c r="M44" s="28"/>
      <c r="N44" s="31">
        <f t="shared" si="2"/>
        <v>0</v>
      </c>
      <c r="O44" s="32"/>
    </row>
    <row r="45" spans="2:17" ht="14.45" x14ac:dyDescent="0.3">
      <c r="B45" s="50" t="s">
        <v>27</v>
      </c>
      <c r="C45" s="51"/>
      <c r="D45" s="51"/>
      <c r="E45" s="51"/>
      <c r="F45" s="52"/>
      <c r="G45" s="53"/>
      <c r="H45" s="54">
        <f>SUM(H38:H44)+H37</f>
        <v>1.7104271999999998</v>
      </c>
      <c r="I45" s="41"/>
      <c r="J45" s="288"/>
      <c r="K45" s="55"/>
      <c r="L45" s="54">
        <f>SUM(L38:L44)+L37</f>
        <v>1.9801526000000003</v>
      </c>
      <c r="M45" s="41"/>
      <c r="N45" s="44">
        <f t="shared" si="2"/>
        <v>0.26972540000000045</v>
      </c>
      <c r="O45" s="45">
        <f t="shared" ref="O45:O63" si="8">IF((H45)=0,"",(N45/H45))</f>
        <v>0.1576947560235247</v>
      </c>
    </row>
    <row r="46" spans="2:17" ht="14.45" x14ac:dyDescent="0.3">
      <c r="B46" s="28" t="s">
        <v>28</v>
      </c>
      <c r="C46" s="28"/>
      <c r="D46" s="56" t="s">
        <v>70</v>
      </c>
      <c r="E46" s="57"/>
      <c r="F46" s="263">
        <v>2.1436999999999999</v>
      </c>
      <c r="G46" s="308">
        <f>H16</f>
        <v>0.14000000000000001</v>
      </c>
      <c r="H46" s="27">
        <f>G46*F46</f>
        <v>0.300118</v>
      </c>
      <c r="I46" s="28"/>
      <c r="J46" s="263">
        <v>2.0924</v>
      </c>
      <c r="K46" s="309">
        <f>+G46</f>
        <v>0.14000000000000001</v>
      </c>
      <c r="L46" s="27">
        <f>K46*J46</f>
        <v>0.29293600000000003</v>
      </c>
      <c r="M46" s="28"/>
      <c r="N46" s="31">
        <f t="shared" si="2"/>
        <v>-7.1819999999999662E-3</v>
      </c>
      <c r="O46" s="32">
        <f t="shared" si="8"/>
        <v>-2.3930587302327638E-2</v>
      </c>
    </row>
    <row r="47" spans="2:17" ht="14.45" x14ac:dyDescent="0.3">
      <c r="B47" s="59" t="s">
        <v>29</v>
      </c>
      <c r="C47" s="28"/>
      <c r="D47" s="56" t="s">
        <v>70</v>
      </c>
      <c r="E47" s="57"/>
      <c r="F47" s="263">
        <v>0.63100000000000001</v>
      </c>
      <c r="G47" s="308">
        <f>G46</f>
        <v>0.14000000000000001</v>
      </c>
      <c r="H47" s="27">
        <f>G47*F47</f>
        <v>8.8340000000000016E-2</v>
      </c>
      <c r="I47" s="28"/>
      <c r="J47" s="263">
        <v>0.621</v>
      </c>
      <c r="K47" s="309">
        <f>K46</f>
        <v>0.14000000000000001</v>
      </c>
      <c r="L47" s="27">
        <f>K47*J47</f>
        <v>8.6940000000000003E-2</v>
      </c>
      <c r="M47" s="28"/>
      <c r="N47" s="31">
        <f t="shared" si="2"/>
        <v>-1.4000000000000123E-3</v>
      </c>
      <c r="O47" s="32">
        <f t="shared" si="8"/>
        <v>-1.5847860538827394E-2</v>
      </c>
    </row>
    <row r="48" spans="2:17" ht="14.45" x14ac:dyDescent="0.3">
      <c r="B48" s="50" t="s">
        <v>30</v>
      </c>
      <c r="C48" s="36"/>
      <c r="D48" s="36"/>
      <c r="E48" s="36"/>
      <c r="F48" s="60"/>
      <c r="G48" s="267"/>
      <c r="H48" s="54">
        <f>SUM(H45:H47)</f>
        <v>2.0988851999999998</v>
      </c>
      <c r="I48" s="61"/>
      <c r="J48" s="62"/>
      <c r="K48" s="269"/>
      <c r="L48" s="54">
        <f>SUM(L45:L47)</f>
        <v>2.3600286000000001</v>
      </c>
      <c r="M48" s="61"/>
      <c r="N48" s="44">
        <f t="shared" si="2"/>
        <v>0.26114340000000036</v>
      </c>
      <c r="O48" s="45">
        <f t="shared" si="8"/>
        <v>0.12442004927187079</v>
      </c>
    </row>
    <row r="49" spans="2:19" ht="14.45" x14ac:dyDescent="0.3">
      <c r="B49" s="64" t="s">
        <v>31</v>
      </c>
      <c r="C49" s="22"/>
      <c r="D49" s="23" t="s">
        <v>61</v>
      </c>
      <c r="E49" s="24"/>
      <c r="F49" s="65">
        <v>4.4000000000000003E-3</v>
      </c>
      <c r="G49" s="308">
        <f>F16*(1+F72)</f>
        <v>52.019999999999996</v>
      </c>
      <c r="H49" s="66">
        <f t="shared" ref="H49:H55" si="9">G49*F49</f>
        <v>0.22888800000000001</v>
      </c>
      <c r="I49" s="28"/>
      <c r="J49" s="263">
        <f>+F49</f>
        <v>4.4000000000000003E-3</v>
      </c>
      <c r="K49" s="309">
        <f>F16*(1+J72)</f>
        <v>51.81</v>
      </c>
      <c r="L49" s="66">
        <f t="shared" ref="L49:L55" si="10">K49*J49</f>
        <v>0.22796400000000003</v>
      </c>
      <c r="M49" s="28"/>
      <c r="N49" s="31">
        <f t="shared" si="2"/>
        <v>-9.2399999999998039E-4</v>
      </c>
      <c r="O49" s="68">
        <f t="shared" si="8"/>
        <v>-4.0369088811994525E-3</v>
      </c>
    </row>
    <row r="50" spans="2:19" ht="14.45" x14ac:dyDescent="0.3">
      <c r="B50" s="64" t="s">
        <v>32</v>
      </c>
      <c r="C50" s="22"/>
      <c r="D50" s="23" t="s">
        <v>61</v>
      </c>
      <c r="E50" s="24"/>
      <c r="F50" s="65">
        <v>1.2999999999999999E-3</v>
      </c>
      <c r="G50" s="308">
        <f>G49</f>
        <v>52.019999999999996</v>
      </c>
      <c r="H50" s="66">
        <f t="shared" si="9"/>
        <v>6.7625999999999992E-2</v>
      </c>
      <c r="I50" s="28"/>
      <c r="J50" s="263">
        <f>+F50</f>
        <v>1.2999999999999999E-3</v>
      </c>
      <c r="K50" s="309">
        <f>K49</f>
        <v>51.81</v>
      </c>
      <c r="L50" s="66">
        <f t="shared" si="10"/>
        <v>6.7352999999999996E-2</v>
      </c>
      <c r="M50" s="28"/>
      <c r="N50" s="31">
        <f t="shared" si="2"/>
        <v>-2.7299999999999547E-4</v>
      </c>
      <c r="O50" s="68">
        <f t="shared" si="8"/>
        <v>-4.0369088811994724E-3</v>
      </c>
    </row>
    <row r="51" spans="2:19" ht="14.45" x14ac:dyDescent="0.3">
      <c r="B51" s="22" t="s">
        <v>33</v>
      </c>
      <c r="C51" s="22"/>
      <c r="D51" s="23" t="s">
        <v>60</v>
      </c>
      <c r="E51" s="24"/>
      <c r="F51" s="176">
        <v>0.25</v>
      </c>
      <c r="G51" s="265">
        <v>1</v>
      </c>
      <c r="H51" s="66">
        <f t="shared" si="9"/>
        <v>0.25</v>
      </c>
      <c r="I51" s="28"/>
      <c r="J51" s="283">
        <f>+F51</f>
        <v>0.25</v>
      </c>
      <c r="K51" s="270">
        <v>1</v>
      </c>
      <c r="L51" s="66">
        <f t="shared" si="10"/>
        <v>0.25</v>
      </c>
      <c r="M51" s="28"/>
      <c r="N51" s="31">
        <f t="shared" si="2"/>
        <v>0</v>
      </c>
      <c r="O51" s="68">
        <f t="shared" si="8"/>
        <v>0</v>
      </c>
    </row>
    <row r="52" spans="2:19" ht="14.45" x14ac:dyDescent="0.3">
      <c r="B52" s="24" t="s">
        <v>34</v>
      </c>
      <c r="C52" s="22"/>
      <c r="D52" s="23" t="s">
        <v>61</v>
      </c>
      <c r="E52" s="24"/>
      <c r="F52" s="65">
        <v>7.0000000000000001E-3</v>
      </c>
      <c r="G52" s="265">
        <f>F16</f>
        <v>50</v>
      </c>
      <c r="H52" s="66">
        <f t="shared" si="9"/>
        <v>0.35000000000000003</v>
      </c>
      <c r="I52" s="28"/>
      <c r="J52" s="263">
        <f>+F52</f>
        <v>7.0000000000000001E-3</v>
      </c>
      <c r="K52" s="270">
        <f>F16</f>
        <v>50</v>
      </c>
      <c r="L52" s="66">
        <f t="shared" si="10"/>
        <v>0.35000000000000003</v>
      </c>
      <c r="M52" s="28"/>
      <c r="N52" s="31">
        <f t="shared" si="2"/>
        <v>0</v>
      </c>
      <c r="O52" s="68">
        <f t="shared" si="8"/>
        <v>0</v>
      </c>
    </row>
    <row r="53" spans="2:19" x14ac:dyDescent="0.25">
      <c r="B53" s="22" t="s">
        <v>98</v>
      </c>
      <c r="C53" s="22"/>
      <c r="D53" s="23" t="s">
        <v>61</v>
      </c>
      <c r="E53" s="24"/>
      <c r="F53" s="335">
        <f>+'GS 50-4999 (60kW)'!F53</f>
        <v>0.10186000000000001</v>
      </c>
      <c r="G53" s="265">
        <f>F16</f>
        <v>50</v>
      </c>
      <c r="H53" s="66">
        <f t="shared" si="9"/>
        <v>5.093</v>
      </c>
      <c r="I53" s="28"/>
      <c r="J53" s="336">
        <f>+F53</f>
        <v>0.10186000000000001</v>
      </c>
      <c r="K53" s="265">
        <f>F16</f>
        <v>50</v>
      </c>
      <c r="L53" s="66">
        <f t="shared" si="10"/>
        <v>5.093</v>
      </c>
      <c r="M53" s="28"/>
      <c r="N53" s="31">
        <f t="shared" si="2"/>
        <v>0</v>
      </c>
      <c r="O53" s="68">
        <f t="shared" si="8"/>
        <v>0</v>
      </c>
      <c r="S53" s="72"/>
    </row>
    <row r="54" spans="2:19" x14ac:dyDescent="0.25">
      <c r="B54" s="49" t="s">
        <v>36</v>
      </c>
      <c r="C54" s="22"/>
      <c r="D54" s="23"/>
      <c r="E54" s="24"/>
      <c r="F54" s="71">
        <v>0.104</v>
      </c>
      <c r="G54" s="265">
        <v>0</v>
      </c>
      <c r="H54" s="66">
        <f t="shared" si="9"/>
        <v>0</v>
      </c>
      <c r="I54" s="28"/>
      <c r="J54" s="65">
        <v>0.104</v>
      </c>
      <c r="K54" s="69">
        <v>0</v>
      </c>
      <c r="L54" s="66">
        <f t="shared" si="10"/>
        <v>0</v>
      </c>
      <c r="M54" s="28"/>
      <c r="N54" s="31">
        <f t="shared" si="2"/>
        <v>0</v>
      </c>
      <c r="O54" s="68" t="str">
        <f t="shared" si="8"/>
        <v/>
      </c>
      <c r="S54" s="72"/>
    </row>
    <row r="55" spans="2:19" x14ac:dyDescent="0.25">
      <c r="B55" s="12" t="s">
        <v>37</v>
      </c>
      <c r="C55" s="22"/>
      <c r="D55" s="23"/>
      <c r="E55" s="24"/>
      <c r="F55" s="71">
        <v>0.124</v>
      </c>
      <c r="G55" s="265">
        <v>0</v>
      </c>
      <c r="H55" s="66">
        <f t="shared" si="9"/>
        <v>0</v>
      </c>
      <c r="I55" s="28"/>
      <c r="J55" s="65">
        <v>0.124</v>
      </c>
      <c r="K55" s="69">
        <v>0</v>
      </c>
      <c r="L55" s="66">
        <f t="shared" si="10"/>
        <v>0</v>
      </c>
      <c r="M55" s="28"/>
      <c r="N55" s="31">
        <f t="shared" si="2"/>
        <v>0</v>
      </c>
      <c r="O55" s="68" t="str">
        <f t="shared" si="8"/>
        <v/>
      </c>
      <c r="S55" s="72"/>
    </row>
    <row r="56" spans="2:19" s="73" customFormat="1" x14ac:dyDescent="0.2">
      <c r="B56" s="180" t="s">
        <v>38</v>
      </c>
      <c r="C56" s="75"/>
      <c r="D56" s="76"/>
      <c r="E56" s="77"/>
      <c r="F56" s="71">
        <v>7.4999999999999997E-2</v>
      </c>
      <c r="G56" s="268">
        <f>IF(AND($T$1=1, F16&gt;=600), 600, IF(AND($T$1=1, AND(F16&lt;600, F16&gt;=0)), F16, IF(AND($T$1=2, F16&gt;=1000), 1000, IF(AND($T$1=2, AND(F16&lt;1000, F16&gt;=0)), F16))))</f>
        <v>50</v>
      </c>
      <c r="H56" s="66">
        <f>G56*F56</f>
        <v>3.75</v>
      </c>
      <c r="I56" s="79"/>
      <c r="J56" s="65">
        <v>7.4999999999999997E-2</v>
      </c>
      <c r="K56" s="78">
        <f>G56</f>
        <v>50</v>
      </c>
      <c r="L56" s="66">
        <f>K56*J56</f>
        <v>3.75</v>
      </c>
      <c r="M56" s="79"/>
      <c r="N56" s="80">
        <f t="shared" si="2"/>
        <v>0</v>
      </c>
      <c r="O56" s="68">
        <f t="shared" si="8"/>
        <v>0</v>
      </c>
    </row>
    <row r="57" spans="2:19" s="73" customFormat="1" ht="15.75" thickBot="1" x14ac:dyDescent="0.25">
      <c r="B57" s="180" t="s">
        <v>39</v>
      </c>
      <c r="C57" s="75"/>
      <c r="D57" s="76"/>
      <c r="E57" s="77"/>
      <c r="F57" s="71">
        <v>8.7999999999999995E-2</v>
      </c>
      <c r="G57" s="268">
        <f>IF(AND($T$1=1, F16&gt;=600), F16-600, IF(AND($T$1=1, AND(F16&lt;600, F16&gt;=0)), 0, IF(AND($T$1=2, F16&gt;=1000), F16-1000, IF(AND($T$1=2, AND(F16&lt;1000, F16&gt;=0)), 0))))</f>
        <v>0</v>
      </c>
      <c r="H57" s="66">
        <f>G57*F57</f>
        <v>0</v>
      </c>
      <c r="I57" s="79"/>
      <c r="J57" s="65">
        <v>8.7999999999999995E-2</v>
      </c>
      <c r="K57" s="78">
        <f>G57</f>
        <v>0</v>
      </c>
      <c r="L57" s="66">
        <f>K57*J57</f>
        <v>0</v>
      </c>
      <c r="M57" s="79"/>
      <c r="N57" s="80">
        <f t="shared" si="2"/>
        <v>0</v>
      </c>
      <c r="O57" s="68" t="str">
        <f t="shared" si="8"/>
        <v/>
      </c>
    </row>
    <row r="58" spans="2:19" ht="8.25" customHeight="1" thickBot="1" x14ac:dyDescent="0.3">
      <c r="B58" s="81"/>
      <c r="C58" s="82"/>
      <c r="D58" s="83"/>
      <c r="E58" s="82"/>
      <c r="F58" s="84"/>
      <c r="G58" s="85"/>
      <c r="H58" s="86"/>
      <c r="I58" s="87"/>
      <c r="J58" s="84"/>
      <c r="K58" s="88"/>
      <c r="L58" s="86"/>
      <c r="M58" s="87"/>
      <c r="N58" s="89"/>
      <c r="O58" s="90"/>
    </row>
    <row r="59" spans="2:19" x14ac:dyDescent="0.25">
      <c r="B59" s="91" t="s">
        <v>40</v>
      </c>
      <c r="C59" s="22"/>
      <c r="D59" s="22"/>
      <c r="E59" s="22"/>
      <c r="F59" s="92"/>
      <c r="G59" s="93"/>
      <c r="H59" s="94">
        <f>SUM(H49:H55,H48)</f>
        <v>8.0883991999999996</v>
      </c>
      <c r="I59" s="95"/>
      <c r="J59" s="96"/>
      <c r="K59" s="96"/>
      <c r="L59" s="94">
        <f>SUM(L49:L55,L48)</f>
        <v>8.3483456</v>
      </c>
      <c r="M59" s="97"/>
      <c r="N59" s="98">
        <f>L59-H59</f>
        <v>0.25994640000000047</v>
      </c>
      <c r="O59" s="99">
        <f>IF((H59)=0,"",(N59/H59))</f>
        <v>3.2138176364984616E-2</v>
      </c>
      <c r="S59" s="72"/>
    </row>
    <row r="60" spans="2:19" x14ac:dyDescent="0.25">
      <c r="B60" s="100" t="s">
        <v>41</v>
      </c>
      <c r="C60" s="22"/>
      <c r="D60" s="22"/>
      <c r="E60" s="22"/>
      <c r="F60" s="101">
        <v>0.13</v>
      </c>
      <c r="G60" s="102"/>
      <c r="H60" s="103">
        <f>H59*F60</f>
        <v>1.0514918959999999</v>
      </c>
      <c r="I60" s="104"/>
      <c r="J60" s="105">
        <v>0.13</v>
      </c>
      <c r="K60" s="104"/>
      <c r="L60" s="106">
        <f>L59*J60</f>
        <v>1.0852849280000001</v>
      </c>
      <c r="M60" s="107"/>
      <c r="N60" s="108">
        <f t="shared" si="2"/>
        <v>3.3793032000000167E-2</v>
      </c>
      <c r="O60" s="109">
        <f t="shared" si="8"/>
        <v>3.213817636498472E-2</v>
      </c>
      <c r="S60" s="72"/>
    </row>
    <row r="61" spans="2:19" x14ac:dyDescent="0.25">
      <c r="B61" s="110" t="s">
        <v>42</v>
      </c>
      <c r="C61" s="22"/>
      <c r="D61" s="22"/>
      <c r="E61" s="22"/>
      <c r="F61" s="111"/>
      <c r="G61" s="102"/>
      <c r="H61" s="103">
        <f>H59+H60</f>
        <v>9.1398910959999995</v>
      </c>
      <c r="I61" s="104"/>
      <c r="J61" s="104"/>
      <c r="K61" s="104"/>
      <c r="L61" s="106">
        <f>L59+L60</f>
        <v>9.4336305280000001</v>
      </c>
      <c r="M61" s="107"/>
      <c r="N61" s="108">
        <f t="shared" si="2"/>
        <v>0.29373943200000063</v>
      </c>
      <c r="O61" s="109">
        <f t="shared" si="8"/>
        <v>3.213817636498463E-2</v>
      </c>
      <c r="S61" s="72"/>
    </row>
    <row r="62" spans="2:19" x14ac:dyDescent="0.25">
      <c r="B62" s="388" t="s">
        <v>43</v>
      </c>
      <c r="C62" s="388"/>
      <c r="D62" s="388"/>
      <c r="E62" s="22"/>
      <c r="F62" s="111"/>
      <c r="G62" s="102"/>
      <c r="H62" s="112">
        <f>ROUND(-H61*10%,2)</f>
        <v>-0.91</v>
      </c>
      <c r="I62" s="104"/>
      <c r="J62" s="104"/>
      <c r="K62" s="104"/>
      <c r="L62" s="113">
        <f>ROUND(-L61*10%,2)</f>
        <v>-0.94</v>
      </c>
      <c r="M62" s="107"/>
      <c r="N62" s="114">
        <f t="shared" si="2"/>
        <v>-2.9999999999999916E-2</v>
      </c>
      <c r="O62" s="115">
        <f t="shared" si="8"/>
        <v>3.2967032967032871E-2</v>
      </c>
    </row>
    <row r="63" spans="2:19" ht="15.75" thickBot="1" x14ac:dyDescent="0.3">
      <c r="B63" s="384" t="s">
        <v>44</v>
      </c>
      <c r="C63" s="384"/>
      <c r="D63" s="384"/>
      <c r="E63" s="116"/>
      <c r="F63" s="117"/>
      <c r="G63" s="118"/>
      <c r="H63" s="119">
        <f>H61+H62</f>
        <v>8.2298910959999994</v>
      </c>
      <c r="I63" s="120"/>
      <c r="J63" s="120"/>
      <c r="K63" s="120"/>
      <c r="L63" s="121">
        <f>L61+L62</f>
        <v>8.4936305280000006</v>
      </c>
      <c r="M63" s="122"/>
      <c r="N63" s="123">
        <f t="shared" si="2"/>
        <v>0.26373943200000127</v>
      </c>
      <c r="O63" s="124">
        <f t="shared" si="8"/>
        <v>3.2046527581414463E-2</v>
      </c>
    </row>
    <row r="64" spans="2:19" s="73" customFormat="1" ht="8.25" hidden="1" customHeight="1" x14ac:dyDescent="0.25">
      <c r="B64" s="125"/>
      <c r="C64" s="126"/>
      <c r="D64" s="127"/>
      <c r="E64" s="126"/>
      <c r="F64" s="84"/>
      <c r="G64" s="128"/>
      <c r="H64" s="86"/>
      <c r="I64" s="129"/>
      <c r="J64" s="84"/>
      <c r="K64" s="130"/>
      <c r="L64" s="86"/>
      <c r="M64" s="129"/>
      <c r="N64" s="131"/>
      <c r="O64" s="90"/>
    </row>
    <row r="65" spans="1:15" s="73" customFormat="1" ht="12.75" x14ac:dyDescent="0.2">
      <c r="B65" s="132" t="s">
        <v>45</v>
      </c>
      <c r="C65" s="75"/>
      <c r="D65" s="75"/>
      <c r="E65" s="75"/>
      <c r="F65" s="133"/>
      <c r="G65" s="134"/>
      <c r="H65" s="135">
        <f>SUM(H53,H48,H49:H52)</f>
        <v>8.0883991999999996</v>
      </c>
      <c r="I65" s="136"/>
      <c r="J65" s="137"/>
      <c r="K65" s="137"/>
      <c r="L65" s="189">
        <f>SUM(L53,L48,L49:L52)</f>
        <v>8.3483456</v>
      </c>
      <c r="M65" s="138"/>
      <c r="N65" s="139">
        <f>L65-H65</f>
        <v>0.25994640000000047</v>
      </c>
      <c r="O65" s="99">
        <f>IF((H65)=0,"",(N65/H65))</f>
        <v>3.2138176364984616E-2</v>
      </c>
    </row>
    <row r="66" spans="1:15" s="73" customFormat="1" ht="13.15" x14ac:dyDescent="0.25">
      <c r="B66" s="140" t="s">
        <v>41</v>
      </c>
      <c r="C66" s="75"/>
      <c r="D66" s="75"/>
      <c r="E66" s="75"/>
      <c r="F66" s="141">
        <v>0.13</v>
      </c>
      <c r="G66" s="134"/>
      <c r="H66" s="142">
        <f>H65*F66</f>
        <v>1.0514918959999999</v>
      </c>
      <c r="I66" s="143"/>
      <c r="J66" s="144">
        <v>0.13</v>
      </c>
      <c r="K66" s="145"/>
      <c r="L66" s="146">
        <f>L65*J66</f>
        <v>1.0852849280000001</v>
      </c>
      <c r="M66" s="147"/>
      <c r="N66" s="148">
        <f>L66-H66</f>
        <v>3.3793032000000167E-2</v>
      </c>
      <c r="O66" s="109">
        <f>IF((H66)=0,"",(N66/H66))</f>
        <v>3.213817636498472E-2</v>
      </c>
    </row>
    <row r="67" spans="1:15" s="73" customFormat="1" ht="13.15" x14ac:dyDescent="0.25">
      <c r="B67" s="149" t="s">
        <v>42</v>
      </c>
      <c r="C67" s="75"/>
      <c r="D67" s="75"/>
      <c r="E67" s="75"/>
      <c r="F67" s="150"/>
      <c r="G67" s="151"/>
      <c r="H67" s="142">
        <f>H65+H66</f>
        <v>9.1398910959999995</v>
      </c>
      <c r="I67" s="143"/>
      <c r="J67" s="143"/>
      <c r="K67" s="143"/>
      <c r="L67" s="146">
        <f>L65+L66</f>
        <v>9.4336305280000001</v>
      </c>
      <c r="M67" s="147"/>
      <c r="N67" s="148">
        <f>L67-H67</f>
        <v>0.29373943200000063</v>
      </c>
      <c r="O67" s="109">
        <f>IF((H67)=0,"",(N67/H67))</f>
        <v>3.213817636498463E-2</v>
      </c>
    </row>
    <row r="68" spans="1:15" s="73" customFormat="1" ht="15.75" customHeight="1" x14ac:dyDescent="0.25">
      <c r="B68" s="389" t="s">
        <v>43</v>
      </c>
      <c r="C68" s="389"/>
      <c r="D68" s="389"/>
      <c r="E68" s="75"/>
      <c r="F68" s="150"/>
      <c r="G68" s="151"/>
      <c r="H68" s="152"/>
      <c r="I68" s="143"/>
      <c r="J68" s="143"/>
      <c r="K68" s="143"/>
      <c r="L68" s="153"/>
      <c r="M68" s="147"/>
      <c r="N68" s="154">
        <f>L68-H68</f>
        <v>0</v>
      </c>
      <c r="O68" s="115" t="str">
        <f>IF((H68)=0,"",(N68/H68))</f>
        <v/>
      </c>
    </row>
    <row r="69" spans="1:15" s="73" customFormat="1" ht="13.9" thickBot="1" x14ac:dyDescent="0.3">
      <c r="B69" s="376" t="s">
        <v>46</v>
      </c>
      <c r="C69" s="376"/>
      <c r="D69" s="376"/>
      <c r="E69" s="155"/>
      <c r="F69" s="156"/>
      <c r="G69" s="157"/>
      <c r="H69" s="158">
        <f>SUM(H67:H68)</f>
        <v>9.1398910959999995</v>
      </c>
      <c r="I69" s="159"/>
      <c r="J69" s="159"/>
      <c r="K69" s="159"/>
      <c r="L69" s="160">
        <f>SUM(L67:L68)</f>
        <v>9.4336305280000001</v>
      </c>
      <c r="M69" s="161"/>
      <c r="N69" s="162">
        <f>L69-H69</f>
        <v>0.29373943200000063</v>
      </c>
      <c r="O69" s="163">
        <f>IF((H69)=0,"",(N69/H69))</f>
        <v>3.213817636498463E-2</v>
      </c>
    </row>
    <row r="70" spans="1:15" s="73" customFormat="1" ht="8.25" customHeight="1" thickBot="1" x14ac:dyDescent="0.25">
      <c r="B70" s="125"/>
      <c r="C70" s="126"/>
      <c r="D70" s="127"/>
      <c r="E70" s="126"/>
      <c r="F70" s="164"/>
      <c r="G70" s="165"/>
      <c r="H70" s="166"/>
      <c r="I70" s="167"/>
      <c r="J70" s="164"/>
      <c r="K70" s="128"/>
      <c r="L70" s="168"/>
      <c r="M70" s="129"/>
      <c r="N70" s="169"/>
      <c r="O70" s="90"/>
    </row>
    <row r="71" spans="1:15" ht="10.5" customHeight="1" x14ac:dyDescent="0.25">
      <c r="L71" s="72"/>
    </row>
    <row r="72" spans="1:15" x14ac:dyDescent="0.25">
      <c r="B72" s="13" t="s">
        <v>47</v>
      </c>
      <c r="F72" s="170">
        <f>+'Res (100kWh)'!$F$73</f>
        <v>4.0399999999999998E-2</v>
      </c>
      <c r="J72" s="170">
        <f>+'Res (100kWh)'!$J$73</f>
        <v>3.6200000000000003E-2</v>
      </c>
    </row>
    <row r="73" spans="1:15" ht="10.5" customHeight="1" x14ac:dyDescent="0.25"/>
    <row r="74" spans="1:15" x14ac:dyDescent="0.25">
      <c r="A74" s="171" t="s">
        <v>48</v>
      </c>
    </row>
    <row r="75" spans="1:15" ht="10.5" customHeight="1" x14ac:dyDescent="0.25"/>
    <row r="76" spans="1:15" x14ac:dyDescent="0.25">
      <c r="A76" s="7" t="s">
        <v>49</v>
      </c>
    </row>
    <row r="77" spans="1:15" x14ac:dyDescent="0.25">
      <c r="A77" s="7" t="s">
        <v>50</v>
      </c>
    </row>
    <row r="79" spans="1:15" x14ac:dyDescent="0.25">
      <c r="A79" s="12" t="s">
        <v>51</v>
      </c>
    </row>
    <row r="80" spans="1:15" x14ac:dyDescent="0.25">
      <c r="A80" s="12" t="s">
        <v>52</v>
      </c>
    </row>
    <row r="82" spans="1:2" x14ac:dyDescent="0.25">
      <c r="A82" s="7" t="s">
        <v>53</v>
      </c>
    </row>
    <row r="83" spans="1:2" x14ac:dyDescent="0.25">
      <c r="A83" s="7" t="s">
        <v>54</v>
      </c>
    </row>
    <row r="84" spans="1:2" x14ac:dyDescent="0.25">
      <c r="A84" s="7" t="s">
        <v>55</v>
      </c>
    </row>
    <row r="85" spans="1:2" x14ac:dyDescent="0.25">
      <c r="A85" s="7" t="s">
        <v>56</v>
      </c>
    </row>
    <row r="86" spans="1:2" x14ac:dyDescent="0.25">
      <c r="A86" s="7" t="s">
        <v>57</v>
      </c>
    </row>
    <row r="88" spans="1:2" x14ac:dyDescent="0.25">
      <c r="A88" s="172"/>
      <c r="B88" s="7" t="s">
        <v>58</v>
      </c>
    </row>
  </sheetData>
  <mergeCells count="17">
    <mergeCell ref="B9:O9"/>
    <mergeCell ref="N1:O1"/>
    <mergeCell ref="N2:O2"/>
    <mergeCell ref="N5:O5"/>
    <mergeCell ref="B8:O8"/>
    <mergeCell ref="N3:O3"/>
    <mergeCell ref="B62:D62"/>
    <mergeCell ref="B63:D63"/>
    <mergeCell ref="B68:D68"/>
    <mergeCell ref="B69:D69"/>
    <mergeCell ref="D12:O12"/>
    <mergeCell ref="F18:H18"/>
    <mergeCell ref="J18:L18"/>
    <mergeCell ref="N18:O18"/>
    <mergeCell ref="D19:D20"/>
    <mergeCell ref="N19:N20"/>
    <mergeCell ref="O19:O20"/>
  </mergeCells>
  <dataValidations count="3">
    <dataValidation type="list" allowBlank="1" showInputMessage="1" showErrorMessage="1" sqref="E46:E47 E38:E44 E21:E36 E49:E58 E70 E64">
      <formula1>#REF!</formula1>
    </dataValidation>
    <dataValidation type="list" allowBlank="1" showInputMessage="1" showErrorMessage="1" prompt="Select Charge Unit - monthly, per kWh, per kW" sqref="D46:D47 D38:D44 D64 D21:D36 D70 D49:D58">
      <formula1>"Monthly, per kWh, per kW"</formula1>
    </dataValidation>
    <dataValidation type="list" allowBlank="1" showInputMessage="1" showErrorMessage="1" sqref="D14">
      <formula1>"TOU, non-TOU"</formula1>
    </dataValidation>
  </dataValidations>
  <pageMargins left="0.7" right="0.7" top="0.75" bottom="0.75" header="0.3" footer="0.3"/>
  <pageSetup scale="56" orientation="portrait" verticalDpi="4" r:id="rId1"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A1:T88"/>
  <sheetViews>
    <sheetView showGridLines="0" topLeftCell="A19" zoomScaleNormal="100" workbookViewId="0">
      <selection activeCell="J21" sqref="J21:J27"/>
    </sheetView>
  </sheetViews>
  <sheetFormatPr defaultColWidth="9.140625" defaultRowHeight="15" x14ac:dyDescent="0.25"/>
  <cols>
    <col min="1" max="1" width="2.140625" style="7" customWidth="1"/>
    <col min="2" max="2" width="44.5703125" style="7" customWidth="1"/>
    <col min="3" max="3" width="1.28515625" style="7" customWidth="1"/>
    <col min="4" max="4" width="11.28515625" style="7" customWidth="1"/>
    <col min="5" max="5" width="1.28515625" style="7" customWidth="1"/>
    <col min="6" max="6" width="12.28515625" style="7" customWidth="1"/>
    <col min="7" max="7" width="9" style="7" bestFit="1" customWidth="1"/>
    <col min="8" max="8" width="14.28515625" style="7" bestFit="1" customWidth="1"/>
    <col min="9" max="9" width="2.85546875" style="7" customWidth="1"/>
    <col min="10" max="10" width="12.140625" style="7" customWidth="1"/>
    <col min="11" max="11" width="9" style="7" bestFit="1" customWidth="1"/>
    <col min="12" max="12" width="14.28515625" style="7" bestFit="1" customWidth="1"/>
    <col min="13" max="13" width="2.85546875" style="7" customWidth="1"/>
    <col min="14" max="14" width="12.7109375" style="7" bestFit="1" customWidth="1"/>
    <col min="15" max="15" width="10.85546875" style="7" bestFit="1" customWidth="1"/>
    <col min="16" max="16" width="3.85546875" style="7" customWidth="1"/>
    <col min="17" max="19" width="9.140625" style="7"/>
    <col min="20" max="20" width="9.140625" style="7" customWidth="1"/>
    <col min="21" max="16384" width="9.140625" style="7"/>
  </cols>
  <sheetData>
    <row r="1" spans="1:20" s="2" customFormat="1" ht="15" customHeigh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3" t="s">
        <v>0</v>
      </c>
      <c r="N1" s="368" t="s">
        <v>94</v>
      </c>
      <c r="O1" s="368"/>
      <c r="P1"/>
      <c r="T1" s="2">
        <v>1</v>
      </c>
    </row>
    <row r="2" spans="1:20" s="2" customFormat="1" ht="15" customHeight="1" x14ac:dyDescent="0.3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3" t="s">
        <v>95</v>
      </c>
      <c r="N2" s="369">
        <v>8</v>
      </c>
      <c r="O2" s="369"/>
      <c r="P2"/>
    </row>
    <row r="3" spans="1:20" s="2" customFormat="1" ht="15" customHeight="1" x14ac:dyDescent="0.3">
      <c r="C3" s="6"/>
      <c r="D3" s="6"/>
      <c r="E3" s="6"/>
      <c r="L3" s="3" t="s">
        <v>96</v>
      </c>
      <c r="N3" s="370" t="s">
        <v>97</v>
      </c>
      <c r="O3" s="370"/>
      <c r="P3"/>
    </row>
    <row r="4" spans="1:20" s="2" customFormat="1" ht="9" customHeight="1" x14ac:dyDescent="0.3">
      <c r="L4" s="3"/>
      <c r="N4" s="310"/>
      <c r="O4"/>
      <c r="P4"/>
    </row>
    <row r="5" spans="1:20" s="2" customFormat="1" ht="14.45" x14ac:dyDescent="0.3">
      <c r="L5" s="3" t="s">
        <v>76</v>
      </c>
      <c r="N5" s="387">
        <v>42124</v>
      </c>
      <c r="O5" s="387"/>
      <c r="P5"/>
    </row>
    <row r="6" spans="1:20" s="2" customFormat="1" ht="15" customHeight="1" x14ac:dyDescent="0.3">
      <c r="N6" s="7"/>
      <c r="O6"/>
      <c r="P6"/>
    </row>
    <row r="7" spans="1:20" ht="7.5" customHeight="1" x14ac:dyDescent="0.3">
      <c r="L7"/>
      <c r="M7"/>
      <c r="N7"/>
      <c r="O7"/>
      <c r="P7"/>
    </row>
    <row r="8" spans="1:20" ht="18.75" customHeight="1" x14ac:dyDescent="0.3">
      <c r="B8" s="367" t="s">
        <v>1</v>
      </c>
      <c r="C8" s="367"/>
      <c r="D8" s="367"/>
      <c r="E8" s="367"/>
      <c r="F8" s="367"/>
      <c r="G8" s="367"/>
      <c r="H8" s="367"/>
      <c r="I8" s="367"/>
      <c r="J8" s="367"/>
      <c r="K8" s="367"/>
      <c r="L8" s="367"/>
      <c r="M8" s="367"/>
      <c r="N8" s="367"/>
      <c r="O8" s="367"/>
      <c r="P8"/>
    </row>
    <row r="9" spans="1:20" ht="18.75" customHeight="1" x14ac:dyDescent="0.3">
      <c r="B9" s="367" t="s">
        <v>2</v>
      </c>
      <c r="C9" s="367"/>
      <c r="D9" s="367"/>
      <c r="E9" s="367"/>
      <c r="F9" s="367"/>
      <c r="G9" s="367"/>
      <c r="H9" s="367"/>
      <c r="I9" s="367"/>
      <c r="J9" s="367"/>
      <c r="K9" s="367"/>
      <c r="L9" s="367"/>
      <c r="M9" s="367"/>
      <c r="N9" s="367"/>
      <c r="O9" s="367"/>
      <c r="P9"/>
    </row>
    <row r="10" spans="1:20" ht="7.5" customHeight="1" x14ac:dyDescent="0.3">
      <c r="L10"/>
      <c r="M10"/>
      <c r="N10"/>
      <c r="O10"/>
      <c r="P10"/>
    </row>
    <row r="11" spans="1:20" ht="7.5" customHeight="1" x14ac:dyDescent="0.3">
      <c r="L11"/>
      <c r="M11"/>
      <c r="N11"/>
      <c r="O11"/>
      <c r="P11"/>
    </row>
    <row r="12" spans="1:20" ht="15.6" x14ac:dyDescent="0.3">
      <c r="B12" s="8" t="s">
        <v>3</v>
      </c>
      <c r="D12" s="386" t="s">
        <v>73</v>
      </c>
      <c r="E12" s="386"/>
      <c r="F12" s="386"/>
      <c r="G12" s="386"/>
      <c r="H12" s="386"/>
      <c r="I12" s="386"/>
      <c r="J12" s="386"/>
      <c r="K12" s="386"/>
      <c r="L12" s="386"/>
      <c r="M12" s="386"/>
      <c r="N12" s="386"/>
      <c r="O12" s="386"/>
    </row>
    <row r="13" spans="1:20" ht="7.5" customHeight="1" x14ac:dyDescent="0.3">
      <c r="B13" s="9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</row>
    <row r="14" spans="1:20" ht="15.6" x14ac:dyDescent="0.3">
      <c r="B14" s="8" t="s">
        <v>4</v>
      </c>
      <c r="D14" s="11" t="s">
        <v>68</v>
      </c>
      <c r="E14" s="10"/>
      <c r="F14" s="10"/>
      <c r="G14" s="10"/>
      <c r="H14" s="10"/>
      <c r="I14" s="10"/>
      <c r="J14" s="278"/>
      <c r="K14" s="10"/>
      <c r="L14" s="10"/>
      <c r="M14" s="10"/>
      <c r="N14" s="10"/>
      <c r="O14" s="10"/>
    </row>
    <row r="15" spans="1:20" ht="15.6" x14ac:dyDescent="0.3">
      <c r="B15" s="9"/>
      <c r="D15" s="10"/>
      <c r="E15" s="10"/>
      <c r="F15" s="10"/>
      <c r="G15" s="10"/>
      <c r="H15" s="10"/>
      <c r="I15" s="10"/>
      <c r="J15" s="278"/>
      <c r="K15" s="10"/>
      <c r="L15" s="10"/>
      <c r="M15" s="10"/>
      <c r="N15" s="10"/>
      <c r="O15" s="10"/>
    </row>
    <row r="16" spans="1:20" ht="14.45" x14ac:dyDescent="0.3">
      <c r="B16" s="12"/>
      <c r="D16" s="13" t="s">
        <v>6</v>
      </c>
      <c r="E16" s="13"/>
      <c r="F16" s="14">
        <v>150</v>
      </c>
      <c r="G16" s="13" t="s">
        <v>7</v>
      </c>
      <c r="H16" s="14"/>
      <c r="I16" s="13"/>
      <c r="J16" s="280"/>
    </row>
    <row r="17" spans="2:15" ht="14.45" x14ac:dyDescent="0.3">
      <c r="B17" s="12"/>
      <c r="F17" s="281"/>
      <c r="G17" s="34"/>
      <c r="H17" s="34"/>
      <c r="J17" s="281"/>
    </row>
    <row r="18" spans="2:15" ht="14.45" x14ac:dyDescent="0.3">
      <c r="B18" s="12"/>
      <c r="D18" s="15"/>
      <c r="E18" s="15"/>
      <c r="F18" s="373" t="s">
        <v>8</v>
      </c>
      <c r="G18" s="374"/>
      <c r="H18" s="375"/>
      <c r="J18" s="373" t="s">
        <v>9</v>
      </c>
      <c r="K18" s="374"/>
      <c r="L18" s="375"/>
      <c r="N18" s="373" t="s">
        <v>10</v>
      </c>
      <c r="O18" s="375"/>
    </row>
    <row r="19" spans="2:15" x14ac:dyDescent="0.25">
      <c r="B19" s="12"/>
      <c r="D19" s="377" t="s">
        <v>11</v>
      </c>
      <c r="E19" s="16"/>
      <c r="F19" s="17" t="s">
        <v>12</v>
      </c>
      <c r="G19" s="17" t="s">
        <v>13</v>
      </c>
      <c r="H19" s="18" t="s">
        <v>14</v>
      </c>
      <c r="J19" s="17" t="s">
        <v>12</v>
      </c>
      <c r="K19" s="19" t="s">
        <v>13</v>
      </c>
      <c r="L19" s="18" t="s">
        <v>14</v>
      </c>
      <c r="N19" s="379" t="s">
        <v>15</v>
      </c>
      <c r="O19" s="381" t="s">
        <v>16</v>
      </c>
    </row>
    <row r="20" spans="2:15" x14ac:dyDescent="0.25">
      <c r="B20" s="12"/>
      <c r="D20" s="378"/>
      <c r="E20" s="16"/>
      <c r="F20" s="20" t="s">
        <v>17</v>
      </c>
      <c r="G20" s="20"/>
      <c r="H20" s="21" t="s">
        <v>17</v>
      </c>
      <c r="J20" s="20" t="s">
        <v>17</v>
      </c>
      <c r="K20" s="21"/>
      <c r="L20" s="21" t="s">
        <v>17</v>
      </c>
      <c r="N20" s="380"/>
      <c r="O20" s="382"/>
    </row>
    <row r="21" spans="2:15" ht="22.5" customHeight="1" x14ac:dyDescent="0.25">
      <c r="B21" s="22" t="s">
        <v>18</v>
      </c>
      <c r="C21" s="22"/>
      <c r="D21" s="23" t="s">
        <v>60</v>
      </c>
      <c r="E21" s="24"/>
      <c r="F21" s="174">
        <v>15.98</v>
      </c>
      <c r="G21" s="26">
        <v>1</v>
      </c>
      <c r="H21" s="27">
        <f>G21*F21</f>
        <v>15.98</v>
      </c>
      <c r="I21" s="28"/>
      <c r="J21" s="283">
        <v>10.703099999999999</v>
      </c>
      <c r="K21" s="30">
        <v>1</v>
      </c>
      <c r="L21" s="27">
        <f>K21*J21</f>
        <v>10.703099999999999</v>
      </c>
      <c r="M21" s="28"/>
      <c r="N21" s="31">
        <f>L21-H21</f>
        <v>-5.2769000000000013</v>
      </c>
      <c r="O21" s="32">
        <f>IF((H21)=0,"",(N21/H21))</f>
        <v>-0.33021902377972473</v>
      </c>
    </row>
    <row r="22" spans="2:15" ht="36.75" customHeight="1" x14ac:dyDescent="0.25">
      <c r="B22" s="64" t="s">
        <v>62</v>
      </c>
      <c r="C22" s="22"/>
      <c r="D22" s="56" t="s">
        <v>60</v>
      </c>
      <c r="E22" s="24"/>
      <c r="F22" s="173"/>
      <c r="G22" s="26">
        <v>1</v>
      </c>
      <c r="H22" s="27">
        <f t="shared" ref="H22:H36" si="0">G22*F22</f>
        <v>0</v>
      </c>
      <c r="I22" s="28"/>
      <c r="J22" s="263"/>
      <c r="K22" s="30">
        <v>1</v>
      </c>
      <c r="L22" s="27">
        <f>K22*J22</f>
        <v>0</v>
      </c>
      <c r="M22" s="28"/>
      <c r="N22" s="31">
        <f>L22-H22</f>
        <v>0</v>
      </c>
      <c r="O22" s="32" t="str">
        <f>IF((H22)=0,"",(N22/H22))</f>
        <v/>
      </c>
    </row>
    <row r="23" spans="2:15" x14ac:dyDescent="0.25">
      <c r="B23" s="175"/>
      <c r="C23" s="22"/>
      <c r="D23" s="56" t="s">
        <v>60</v>
      </c>
      <c r="E23" s="57"/>
      <c r="F23" s="173"/>
      <c r="G23" s="26">
        <v>1</v>
      </c>
      <c r="H23" s="27">
        <f t="shared" si="0"/>
        <v>0</v>
      </c>
      <c r="I23" s="28"/>
      <c r="J23" s="263"/>
      <c r="K23" s="30">
        <v>1</v>
      </c>
      <c r="L23" s="27">
        <f t="shared" ref="L23:L36" si="1">K23*J23</f>
        <v>0</v>
      </c>
      <c r="M23" s="28"/>
      <c r="N23" s="31">
        <f t="shared" ref="N23:N37" si="2">L23-H23</f>
        <v>0</v>
      </c>
      <c r="O23" s="32" t="str">
        <f t="shared" ref="O23:O37" si="3">IF((H23)=0,"",(N23/H23))</f>
        <v/>
      </c>
    </row>
    <row r="24" spans="2:15" x14ac:dyDescent="0.25">
      <c r="B24" s="175"/>
      <c r="C24" s="22"/>
      <c r="D24" s="56" t="s">
        <v>60</v>
      </c>
      <c r="E24" s="24"/>
      <c r="F24" s="25"/>
      <c r="G24" s="26">
        <v>1</v>
      </c>
      <c r="H24" s="27">
        <f t="shared" si="0"/>
        <v>0</v>
      </c>
      <c r="I24" s="28"/>
      <c r="J24" s="283"/>
      <c r="K24" s="30">
        <v>1</v>
      </c>
      <c r="L24" s="27">
        <f t="shared" si="1"/>
        <v>0</v>
      </c>
      <c r="M24" s="28"/>
      <c r="N24" s="31">
        <f t="shared" si="2"/>
        <v>0</v>
      </c>
      <c r="O24" s="32" t="str">
        <f t="shared" si="3"/>
        <v/>
      </c>
    </row>
    <row r="25" spans="2:15" x14ac:dyDescent="0.25">
      <c r="B25" s="296" t="s">
        <v>65</v>
      </c>
      <c r="C25" s="22"/>
      <c r="D25" s="23" t="s">
        <v>61</v>
      </c>
      <c r="E25" s="24"/>
      <c r="F25" s="307">
        <v>-1.4999999999999999E-4</v>
      </c>
      <c r="G25" s="179">
        <f>$F$16</f>
        <v>150</v>
      </c>
      <c r="H25" s="27">
        <f t="shared" si="0"/>
        <v>-2.2499999999999999E-2</v>
      </c>
      <c r="I25" s="28"/>
      <c r="J25" s="263">
        <v>-1.4999999999999999E-4</v>
      </c>
      <c r="K25" s="179">
        <f>$F$16</f>
        <v>150</v>
      </c>
      <c r="L25" s="27">
        <f t="shared" si="1"/>
        <v>-2.2499999999999999E-2</v>
      </c>
      <c r="M25" s="28"/>
      <c r="N25" s="31">
        <f t="shared" si="2"/>
        <v>0</v>
      </c>
      <c r="O25" s="32">
        <f t="shared" si="3"/>
        <v>0</v>
      </c>
    </row>
    <row r="26" spans="2:15" x14ac:dyDescent="0.25">
      <c r="B26" s="296" t="s">
        <v>66</v>
      </c>
      <c r="C26" s="22"/>
      <c r="D26" s="23" t="s">
        <v>61</v>
      </c>
      <c r="E26" s="24"/>
      <c r="F26" s="173"/>
      <c r="G26" s="179">
        <f>$F$16</f>
        <v>150</v>
      </c>
      <c r="H26" s="27">
        <f t="shared" si="0"/>
        <v>0</v>
      </c>
      <c r="I26" s="28"/>
      <c r="J26" s="366">
        <v>-1.6000000000000001E-3</v>
      </c>
      <c r="K26" s="179">
        <f>$F$16</f>
        <v>150</v>
      </c>
      <c r="L26" s="27">
        <f t="shared" si="1"/>
        <v>-0.24000000000000002</v>
      </c>
      <c r="M26" s="28"/>
      <c r="N26" s="31">
        <f t="shared" si="2"/>
        <v>-0.24000000000000002</v>
      </c>
      <c r="O26" s="32" t="str">
        <f t="shared" si="3"/>
        <v/>
      </c>
    </row>
    <row r="27" spans="2:15" x14ac:dyDescent="0.25">
      <c r="B27" s="22" t="s">
        <v>19</v>
      </c>
      <c r="C27" s="22"/>
      <c r="D27" s="23" t="s">
        <v>61</v>
      </c>
      <c r="E27" s="24"/>
      <c r="F27" s="25">
        <v>1.9900000000000001E-2</v>
      </c>
      <c r="G27" s="179">
        <f>$F$16</f>
        <v>150</v>
      </c>
      <c r="H27" s="27">
        <f t="shared" si="0"/>
        <v>2.9850000000000003</v>
      </c>
      <c r="I27" s="28"/>
      <c r="J27" s="263">
        <v>1.3299999999999999E-2</v>
      </c>
      <c r="K27" s="179">
        <f>$F$16</f>
        <v>150</v>
      </c>
      <c r="L27" s="27">
        <f t="shared" si="1"/>
        <v>1.9949999999999999</v>
      </c>
      <c r="M27" s="28"/>
      <c r="N27" s="31">
        <f t="shared" si="2"/>
        <v>-0.99000000000000044</v>
      </c>
      <c r="O27" s="32">
        <f t="shared" si="3"/>
        <v>-0.33165829145728654</v>
      </c>
    </row>
    <row r="28" spans="2:15" x14ac:dyDescent="0.25">
      <c r="B28" s="22" t="s">
        <v>20</v>
      </c>
      <c r="C28" s="22"/>
      <c r="D28" s="23"/>
      <c r="E28" s="24"/>
      <c r="F28" s="25"/>
      <c r="G28" s="26">
        <f>$F$16</f>
        <v>150</v>
      </c>
      <c r="H28" s="27">
        <f t="shared" si="0"/>
        <v>0</v>
      </c>
      <c r="I28" s="28"/>
      <c r="J28" s="29"/>
      <c r="K28" s="26">
        <f t="shared" ref="K28:K36" si="4">$F$16</f>
        <v>150</v>
      </c>
      <c r="L28" s="27">
        <f t="shared" si="1"/>
        <v>0</v>
      </c>
      <c r="M28" s="28"/>
      <c r="N28" s="31">
        <f t="shared" si="2"/>
        <v>0</v>
      </c>
      <c r="O28" s="32" t="str">
        <f t="shared" si="3"/>
        <v/>
      </c>
    </row>
    <row r="29" spans="2:15" x14ac:dyDescent="0.25">
      <c r="B29" s="22" t="s">
        <v>21</v>
      </c>
      <c r="C29" s="22"/>
      <c r="D29" s="23"/>
      <c r="E29" s="24"/>
      <c r="F29" s="25"/>
      <c r="G29" s="26">
        <f>$F$16</f>
        <v>150</v>
      </c>
      <c r="H29" s="27">
        <f t="shared" si="0"/>
        <v>0</v>
      </c>
      <c r="I29" s="28"/>
      <c r="J29" s="29"/>
      <c r="K29" s="26">
        <f t="shared" si="4"/>
        <v>150</v>
      </c>
      <c r="L29" s="27">
        <f t="shared" si="1"/>
        <v>0</v>
      </c>
      <c r="M29" s="28"/>
      <c r="N29" s="31">
        <f t="shared" si="2"/>
        <v>0</v>
      </c>
      <c r="O29" s="32" t="str">
        <f t="shared" si="3"/>
        <v/>
      </c>
    </row>
    <row r="30" spans="2:15" x14ac:dyDescent="0.25">
      <c r="B30" s="33"/>
      <c r="C30" s="22"/>
      <c r="D30" s="23"/>
      <c r="E30" s="24"/>
      <c r="F30" s="25"/>
      <c r="G30" s="26">
        <f t="shared" ref="G30:G36" si="5">$F$16</f>
        <v>150</v>
      </c>
      <c r="H30" s="27">
        <f t="shared" si="0"/>
        <v>0</v>
      </c>
      <c r="I30" s="28"/>
      <c r="J30" s="29"/>
      <c r="K30" s="26">
        <f t="shared" si="4"/>
        <v>150</v>
      </c>
      <c r="L30" s="27">
        <f t="shared" si="1"/>
        <v>0</v>
      </c>
      <c r="M30" s="28"/>
      <c r="N30" s="31">
        <f t="shared" si="2"/>
        <v>0</v>
      </c>
      <c r="O30" s="32" t="str">
        <f t="shared" si="3"/>
        <v/>
      </c>
    </row>
    <row r="31" spans="2:15" x14ac:dyDescent="0.25">
      <c r="B31" s="33"/>
      <c r="C31" s="22"/>
      <c r="D31" s="23"/>
      <c r="E31" s="24"/>
      <c r="F31" s="25"/>
      <c r="G31" s="26">
        <f t="shared" si="5"/>
        <v>150</v>
      </c>
      <c r="H31" s="27">
        <f t="shared" si="0"/>
        <v>0</v>
      </c>
      <c r="I31" s="28"/>
      <c r="J31" s="29"/>
      <c r="K31" s="26">
        <f t="shared" si="4"/>
        <v>150</v>
      </c>
      <c r="L31" s="27">
        <f t="shared" si="1"/>
        <v>0</v>
      </c>
      <c r="M31" s="28"/>
      <c r="N31" s="31">
        <f t="shared" si="2"/>
        <v>0</v>
      </c>
      <c r="O31" s="32" t="str">
        <f t="shared" si="3"/>
        <v/>
      </c>
    </row>
    <row r="32" spans="2:15" x14ac:dyDescent="0.25">
      <c r="B32" s="33"/>
      <c r="C32" s="22"/>
      <c r="D32" s="23"/>
      <c r="E32" s="24"/>
      <c r="F32" s="25"/>
      <c r="G32" s="26">
        <f t="shared" si="5"/>
        <v>150</v>
      </c>
      <c r="H32" s="27">
        <f t="shared" si="0"/>
        <v>0</v>
      </c>
      <c r="I32" s="28"/>
      <c r="J32" s="29"/>
      <c r="K32" s="26">
        <f t="shared" si="4"/>
        <v>150</v>
      </c>
      <c r="L32" s="27">
        <f t="shared" si="1"/>
        <v>0</v>
      </c>
      <c r="M32" s="28"/>
      <c r="N32" s="31">
        <f t="shared" si="2"/>
        <v>0</v>
      </c>
      <c r="O32" s="32" t="str">
        <f t="shared" si="3"/>
        <v/>
      </c>
    </row>
    <row r="33" spans="2:15" x14ac:dyDescent="0.25">
      <c r="B33" s="33"/>
      <c r="C33" s="22"/>
      <c r="D33" s="23"/>
      <c r="E33" s="24"/>
      <c r="F33" s="25"/>
      <c r="G33" s="26">
        <f t="shared" si="5"/>
        <v>150</v>
      </c>
      <c r="H33" s="27">
        <f t="shared" si="0"/>
        <v>0</v>
      </c>
      <c r="I33" s="28"/>
      <c r="J33" s="29"/>
      <c r="K33" s="26">
        <f t="shared" si="4"/>
        <v>150</v>
      </c>
      <c r="L33" s="27">
        <f t="shared" si="1"/>
        <v>0</v>
      </c>
      <c r="M33" s="28"/>
      <c r="N33" s="31">
        <f t="shared" si="2"/>
        <v>0</v>
      </c>
      <c r="O33" s="32" t="str">
        <f t="shared" si="3"/>
        <v/>
      </c>
    </row>
    <row r="34" spans="2:15" x14ac:dyDescent="0.25">
      <c r="B34" s="33"/>
      <c r="C34" s="22"/>
      <c r="D34" s="23"/>
      <c r="E34" s="24"/>
      <c r="F34" s="25"/>
      <c r="G34" s="26">
        <f t="shared" si="5"/>
        <v>150</v>
      </c>
      <c r="H34" s="27">
        <f t="shared" si="0"/>
        <v>0</v>
      </c>
      <c r="I34" s="28"/>
      <c r="J34" s="29"/>
      <c r="K34" s="26">
        <f t="shared" si="4"/>
        <v>150</v>
      </c>
      <c r="L34" s="27">
        <f t="shared" si="1"/>
        <v>0</v>
      </c>
      <c r="M34" s="28"/>
      <c r="N34" s="31">
        <f t="shared" si="2"/>
        <v>0</v>
      </c>
      <c r="O34" s="32" t="str">
        <f t="shared" si="3"/>
        <v/>
      </c>
    </row>
    <row r="35" spans="2:15" x14ac:dyDescent="0.25">
      <c r="B35" s="33"/>
      <c r="C35" s="22"/>
      <c r="D35" s="23"/>
      <c r="E35" s="24"/>
      <c r="F35" s="25"/>
      <c r="G35" s="26">
        <f t="shared" si="5"/>
        <v>150</v>
      </c>
      <c r="H35" s="27">
        <f t="shared" si="0"/>
        <v>0</v>
      </c>
      <c r="I35" s="28"/>
      <c r="J35" s="29"/>
      <c r="K35" s="26">
        <f t="shared" si="4"/>
        <v>150</v>
      </c>
      <c r="L35" s="27">
        <f t="shared" si="1"/>
        <v>0</v>
      </c>
      <c r="M35" s="28"/>
      <c r="N35" s="31">
        <f t="shared" si="2"/>
        <v>0</v>
      </c>
      <c r="O35" s="32" t="str">
        <f t="shared" si="3"/>
        <v/>
      </c>
    </row>
    <row r="36" spans="2:15" x14ac:dyDescent="0.25">
      <c r="B36" s="33"/>
      <c r="C36" s="22"/>
      <c r="D36" s="23"/>
      <c r="E36" s="24"/>
      <c r="F36" s="25"/>
      <c r="G36" s="26">
        <f t="shared" si="5"/>
        <v>150</v>
      </c>
      <c r="H36" s="27">
        <f t="shared" si="0"/>
        <v>0</v>
      </c>
      <c r="I36" s="28"/>
      <c r="J36" s="29"/>
      <c r="K36" s="26">
        <f t="shared" si="4"/>
        <v>150</v>
      </c>
      <c r="L36" s="27">
        <f t="shared" si="1"/>
        <v>0</v>
      </c>
      <c r="M36" s="28"/>
      <c r="N36" s="31">
        <f t="shared" si="2"/>
        <v>0</v>
      </c>
      <c r="O36" s="32" t="str">
        <f t="shared" si="3"/>
        <v/>
      </c>
    </row>
    <row r="37" spans="2:15" s="34" customFormat="1" x14ac:dyDescent="0.25">
      <c r="B37" s="35" t="s">
        <v>22</v>
      </c>
      <c r="C37" s="36"/>
      <c r="D37" s="37"/>
      <c r="E37" s="36"/>
      <c r="F37" s="38"/>
      <c r="G37" s="39"/>
      <c r="H37" s="40">
        <f>SUM(H21:H36)</f>
        <v>18.942499999999999</v>
      </c>
      <c r="I37" s="41"/>
      <c r="J37" s="43"/>
      <c r="K37" s="43"/>
      <c r="L37" s="40">
        <f>SUM(L21:L36)</f>
        <v>12.435599999999997</v>
      </c>
      <c r="M37" s="41"/>
      <c r="N37" s="44">
        <f t="shared" si="2"/>
        <v>-6.5069000000000017</v>
      </c>
      <c r="O37" s="45">
        <f t="shared" si="3"/>
        <v>-0.34350798469051086</v>
      </c>
    </row>
    <row r="38" spans="2:15" x14ac:dyDescent="0.25">
      <c r="B38" s="296" t="s">
        <v>23</v>
      </c>
      <c r="C38" s="22"/>
      <c r="D38" s="56" t="s">
        <v>61</v>
      </c>
      <c r="E38" s="57"/>
      <c r="F38" s="29">
        <v>-1.5E-3</v>
      </c>
      <c r="G38" s="179">
        <f>F16</f>
        <v>150</v>
      </c>
      <c r="H38" s="27">
        <f t="shared" ref="H38:H44" si="6">G38*F38</f>
        <v>-0.22500000000000001</v>
      </c>
      <c r="I38" s="28"/>
      <c r="J38" s="263">
        <f>0.0016-0.0015</f>
        <v>1.0000000000000005E-4</v>
      </c>
      <c r="K38" s="179">
        <f>F16</f>
        <v>150</v>
      </c>
      <c r="L38" s="27">
        <f t="shared" ref="L38:L44" si="7">K38*J38</f>
        <v>1.5000000000000006E-2</v>
      </c>
      <c r="M38" s="28"/>
      <c r="N38" s="31">
        <f t="shared" ref="N38:N44" si="8">L38-H38</f>
        <v>0.24000000000000002</v>
      </c>
      <c r="O38" s="32">
        <f t="shared" ref="O38:O43" si="9">IF((H38)=0,"",(N38/H38))</f>
        <v>-1.0666666666666667</v>
      </c>
    </row>
    <row r="39" spans="2:15" x14ac:dyDescent="0.25">
      <c r="B39" s="296"/>
      <c r="C39" s="22"/>
      <c r="D39" s="23" t="s">
        <v>61</v>
      </c>
      <c r="E39" s="24"/>
      <c r="F39" s="25"/>
      <c r="G39" s="179">
        <f>F16</f>
        <v>150</v>
      </c>
      <c r="H39" s="27">
        <f t="shared" si="6"/>
        <v>0</v>
      </c>
      <c r="I39" s="47"/>
      <c r="J39" s="263"/>
      <c r="K39" s="179">
        <f>F16</f>
        <v>150</v>
      </c>
      <c r="L39" s="27">
        <f t="shared" si="7"/>
        <v>0</v>
      </c>
      <c r="M39" s="48"/>
      <c r="N39" s="31">
        <f t="shared" si="8"/>
        <v>0</v>
      </c>
      <c r="O39" s="32" t="str">
        <f t="shared" si="9"/>
        <v/>
      </c>
    </row>
    <row r="40" spans="2:15" x14ac:dyDescent="0.25">
      <c r="B40" s="296"/>
      <c r="C40" s="22"/>
      <c r="D40" s="23" t="s">
        <v>61</v>
      </c>
      <c r="E40" s="24"/>
      <c r="F40" s="25"/>
      <c r="G40" s="179">
        <f>F16</f>
        <v>150</v>
      </c>
      <c r="H40" s="27">
        <f t="shared" si="6"/>
        <v>0</v>
      </c>
      <c r="I40" s="47"/>
      <c r="J40" s="263"/>
      <c r="K40" s="179">
        <f>F16</f>
        <v>150</v>
      </c>
      <c r="L40" s="27">
        <f t="shared" si="7"/>
        <v>0</v>
      </c>
      <c r="M40" s="48"/>
      <c r="N40" s="31">
        <f t="shared" si="8"/>
        <v>0</v>
      </c>
      <c r="O40" s="32" t="str">
        <f t="shared" si="9"/>
        <v/>
      </c>
    </row>
    <row r="41" spans="2:15" ht="27.75" customHeight="1" x14ac:dyDescent="0.25">
      <c r="B41" s="296" t="s">
        <v>74</v>
      </c>
      <c r="C41" s="22"/>
      <c r="D41" s="23" t="s">
        <v>61</v>
      </c>
      <c r="E41" s="24"/>
      <c r="F41" s="29"/>
      <c r="G41" s="26">
        <f>$F$16</f>
        <v>150</v>
      </c>
      <c r="H41" s="27">
        <f t="shared" si="6"/>
        <v>0</v>
      </c>
      <c r="I41" s="47"/>
      <c r="J41" s="263">
        <v>0</v>
      </c>
      <c r="K41" s="26">
        <f>$F$16</f>
        <v>150</v>
      </c>
      <c r="L41" s="27">
        <f t="shared" si="7"/>
        <v>0</v>
      </c>
      <c r="M41" s="48"/>
      <c r="N41" s="31">
        <f t="shared" si="8"/>
        <v>0</v>
      </c>
      <c r="O41" s="32" t="str">
        <f t="shared" si="9"/>
        <v/>
      </c>
    </row>
    <row r="42" spans="2:15" x14ac:dyDescent="0.25">
      <c r="B42" s="49" t="s">
        <v>24</v>
      </c>
      <c r="C42" s="22"/>
      <c r="D42" s="23" t="s">
        <v>61</v>
      </c>
      <c r="E42" s="24"/>
      <c r="F42" s="25">
        <v>1E-4</v>
      </c>
      <c r="G42" s="179">
        <f>F16</f>
        <v>150</v>
      </c>
      <c r="H42" s="27">
        <f t="shared" si="6"/>
        <v>1.5000000000000001E-2</v>
      </c>
      <c r="I42" s="28"/>
      <c r="J42" s="29">
        <v>2.0000000000000001E-4</v>
      </c>
      <c r="K42" s="179">
        <f>F16</f>
        <v>150</v>
      </c>
      <c r="L42" s="27">
        <f t="shared" si="7"/>
        <v>3.0000000000000002E-2</v>
      </c>
      <c r="M42" s="28"/>
      <c r="N42" s="31">
        <f t="shared" si="8"/>
        <v>1.5000000000000001E-2</v>
      </c>
      <c r="O42" s="32">
        <f t="shared" si="9"/>
        <v>1</v>
      </c>
    </row>
    <row r="43" spans="2:15" s="34" customFormat="1" x14ac:dyDescent="0.25">
      <c r="B43" s="181" t="s">
        <v>25</v>
      </c>
      <c r="C43" s="24"/>
      <c r="D43" s="182" t="s">
        <v>61</v>
      </c>
      <c r="E43" s="24"/>
      <c r="F43" s="342">
        <f>+F53</f>
        <v>0.10186000000000001</v>
      </c>
      <c r="G43" s="26">
        <f>$F$16*(1+$F$72)-$F$16</f>
        <v>6.0600000000000023</v>
      </c>
      <c r="H43" s="184">
        <f t="shared" si="6"/>
        <v>0.61727160000000025</v>
      </c>
      <c r="I43" s="57"/>
      <c r="J43" s="341">
        <f>+J53</f>
        <v>0.10186000000000001</v>
      </c>
      <c r="K43" s="26">
        <f>$F$16*(1+$J$72)-$F$16</f>
        <v>5.4300000000000068</v>
      </c>
      <c r="L43" s="184">
        <f t="shared" si="7"/>
        <v>0.5530998000000007</v>
      </c>
      <c r="M43" s="57"/>
      <c r="N43" s="186">
        <f t="shared" si="8"/>
        <v>-6.4171799999999557E-2</v>
      </c>
      <c r="O43" s="187">
        <f t="shared" si="9"/>
        <v>-0.10396039603960321</v>
      </c>
    </row>
    <row r="44" spans="2:15" ht="14.45" x14ac:dyDescent="0.3">
      <c r="B44" s="49"/>
      <c r="C44" s="22"/>
      <c r="D44" s="23" t="s">
        <v>60</v>
      </c>
      <c r="E44" s="24"/>
      <c r="F44" s="178"/>
      <c r="G44" s="26">
        <v>0</v>
      </c>
      <c r="H44" s="27">
        <f t="shared" si="6"/>
        <v>0</v>
      </c>
      <c r="I44" s="28"/>
      <c r="J44" s="178"/>
      <c r="K44" s="26">
        <v>0</v>
      </c>
      <c r="L44" s="27">
        <f t="shared" si="7"/>
        <v>0</v>
      </c>
      <c r="M44" s="28"/>
      <c r="N44" s="31">
        <f t="shared" si="8"/>
        <v>0</v>
      </c>
      <c r="O44" s="32"/>
    </row>
    <row r="45" spans="2:15" ht="14.45" x14ac:dyDescent="0.3">
      <c r="B45" s="50" t="s">
        <v>27</v>
      </c>
      <c r="C45" s="51"/>
      <c r="D45" s="51"/>
      <c r="E45" s="51"/>
      <c r="F45" s="304"/>
      <c r="G45" s="53"/>
      <c r="H45" s="54">
        <f>SUM(H38:H44)+H37</f>
        <v>19.3497716</v>
      </c>
      <c r="I45" s="41"/>
      <c r="J45" s="53"/>
      <c r="K45" s="55"/>
      <c r="L45" s="54">
        <f>SUM(L38:L44)+L37</f>
        <v>13.033699799999997</v>
      </c>
      <c r="M45" s="41"/>
      <c r="N45" s="44">
        <f t="shared" ref="N45:N63" si="10">L45-H45</f>
        <v>-6.3160718000000031</v>
      </c>
      <c r="O45" s="45">
        <f t="shared" ref="O45:O63" si="11">IF((H45)=0,"",(N45/H45))</f>
        <v>-0.32641583221581816</v>
      </c>
    </row>
    <row r="46" spans="2:15" ht="14.45" x14ac:dyDescent="0.3">
      <c r="B46" s="28" t="s">
        <v>28</v>
      </c>
      <c r="C46" s="28"/>
      <c r="D46" s="56" t="s">
        <v>61</v>
      </c>
      <c r="E46" s="57"/>
      <c r="F46" s="263">
        <v>6.8999999999999999E-3</v>
      </c>
      <c r="G46" s="69">
        <f>F16*(1+F72)</f>
        <v>156.06</v>
      </c>
      <c r="H46" s="27">
        <f>G46*F46</f>
        <v>1.0768139999999999</v>
      </c>
      <c r="I46" s="28"/>
      <c r="J46" s="263">
        <v>6.7000000000000002E-3</v>
      </c>
      <c r="K46" s="70">
        <f>F16*(1+J72)</f>
        <v>155.43</v>
      </c>
      <c r="L46" s="27">
        <f>K46*J46</f>
        <v>1.0413810000000001</v>
      </c>
      <c r="M46" s="28"/>
      <c r="N46" s="31">
        <f t="shared" si="10"/>
        <v>-3.5432999999999826E-2</v>
      </c>
      <c r="O46" s="32">
        <f t="shared" si="11"/>
        <v>-3.2905404275947216E-2</v>
      </c>
    </row>
    <row r="47" spans="2:15" ht="14.45" x14ac:dyDescent="0.3">
      <c r="B47" s="59" t="s">
        <v>29</v>
      </c>
      <c r="C47" s="28"/>
      <c r="D47" s="56" t="s">
        <v>61</v>
      </c>
      <c r="E47" s="57"/>
      <c r="F47" s="263">
        <v>2.0999999999999999E-3</v>
      </c>
      <c r="G47" s="69">
        <f>G46</f>
        <v>156.06</v>
      </c>
      <c r="H47" s="27">
        <f>G47*F47</f>
        <v>0.32772599999999996</v>
      </c>
      <c r="I47" s="28"/>
      <c r="J47" s="263">
        <v>2.0999999999999999E-3</v>
      </c>
      <c r="K47" s="70">
        <f>K46</f>
        <v>155.43</v>
      </c>
      <c r="L47" s="27">
        <f>K47*J47</f>
        <v>0.326403</v>
      </c>
      <c r="M47" s="28"/>
      <c r="N47" s="31">
        <f t="shared" si="10"/>
        <v>-1.3229999999999631E-3</v>
      </c>
      <c r="O47" s="32">
        <f t="shared" si="11"/>
        <v>-4.0369088811994264E-3</v>
      </c>
    </row>
    <row r="48" spans="2:15" ht="14.45" x14ac:dyDescent="0.3">
      <c r="B48" s="50" t="s">
        <v>30</v>
      </c>
      <c r="C48" s="36"/>
      <c r="D48" s="36"/>
      <c r="E48" s="36"/>
      <c r="F48" s="60"/>
      <c r="G48" s="53"/>
      <c r="H48" s="54">
        <f>SUM(H45:H47)</f>
        <v>20.754311599999998</v>
      </c>
      <c r="I48" s="61"/>
      <c r="J48" s="62"/>
      <c r="K48" s="63"/>
      <c r="L48" s="54">
        <f>SUM(L45:L47)</f>
        <v>14.401483799999998</v>
      </c>
      <c r="M48" s="61"/>
      <c r="N48" s="44">
        <f t="shared" si="10"/>
        <v>-6.3528278</v>
      </c>
      <c r="O48" s="45">
        <f t="shared" si="11"/>
        <v>-0.30609677268216406</v>
      </c>
    </row>
    <row r="49" spans="2:19" ht="14.45" x14ac:dyDescent="0.3">
      <c r="B49" s="64" t="s">
        <v>31</v>
      </c>
      <c r="C49" s="22"/>
      <c r="D49" s="23" t="s">
        <v>61</v>
      </c>
      <c r="E49" s="24"/>
      <c r="F49" s="65">
        <v>4.4000000000000003E-3</v>
      </c>
      <c r="G49" s="69">
        <f>F16*(1+F72)</f>
        <v>156.06</v>
      </c>
      <c r="H49" s="66">
        <f t="shared" ref="H49:H55" si="12">G49*F49</f>
        <v>0.68666400000000005</v>
      </c>
      <c r="I49" s="28"/>
      <c r="J49" s="67">
        <f>+F49</f>
        <v>4.4000000000000003E-3</v>
      </c>
      <c r="K49" s="70">
        <f>F16*(1+J72)</f>
        <v>155.43</v>
      </c>
      <c r="L49" s="66">
        <f t="shared" ref="L49:L55" si="13">K49*J49</f>
        <v>0.68389200000000006</v>
      </c>
      <c r="M49" s="28"/>
      <c r="N49" s="31">
        <f t="shared" si="10"/>
        <v>-2.7719999999999967E-3</v>
      </c>
      <c r="O49" s="68">
        <f t="shared" si="11"/>
        <v>-4.0369088811995331E-3</v>
      </c>
    </row>
    <row r="50" spans="2:19" ht="14.45" x14ac:dyDescent="0.3">
      <c r="B50" s="64" t="s">
        <v>32</v>
      </c>
      <c r="C50" s="22"/>
      <c r="D50" s="23" t="s">
        <v>61</v>
      </c>
      <c r="E50" s="24"/>
      <c r="F50" s="65">
        <v>1.2999999999999999E-3</v>
      </c>
      <c r="G50" s="69">
        <f>G49</f>
        <v>156.06</v>
      </c>
      <c r="H50" s="66">
        <f t="shared" si="12"/>
        <v>0.202878</v>
      </c>
      <c r="I50" s="28"/>
      <c r="J50" s="67">
        <f>+F50</f>
        <v>1.2999999999999999E-3</v>
      </c>
      <c r="K50" s="70">
        <f>K49</f>
        <v>155.43</v>
      </c>
      <c r="L50" s="66">
        <f t="shared" si="13"/>
        <v>0.20205899999999999</v>
      </c>
      <c r="M50" s="28"/>
      <c r="N50" s="31">
        <f t="shared" si="10"/>
        <v>-8.1900000000001416E-4</v>
      </c>
      <c r="O50" s="68">
        <f t="shared" si="11"/>
        <v>-4.0369088811996086E-3</v>
      </c>
    </row>
    <row r="51" spans="2:19" ht="14.45" x14ac:dyDescent="0.3">
      <c r="B51" s="22" t="s">
        <v>33</v>
      </c>
      <c r="C51" s="22"/>
      <c r="D51" s="23" t="s">
        <v>60</v>
      </c>
      <c r="E51" s="24"/>
      <c r="F51" s="176">
        <v>0.25</v>
      </c>
      <c r="G51" s="26">
        <v>1</v>
      </c>
      <c r="H51" s="66">
        <f t="shared" si="12"/>
        <v>0.25</v>
      </c>
      <c r="I51" s="28"/>
      <c r="J51" s="177">
        <f>+F51</f>
        <v>0.25</v>
      </c>
      <c r="K51" s="30">
        <v>1</v>
      </c>
      <c r="L51" s="66">
        <f t="shared" si="13"/>
        <v>0.25</v>
      </c>
      <c r="M51" s="28"/>
      <c r="N51" s="31">
        <f t="shared" si="10"/>
        <v>0</v>
      </c>
      <c r="O51" s="68">
        <f t="shared" si="11"/>
        <v>0</v>
      </c>
    </row>
    <row r="52" spans="2:19" ht="14.45" x14ac:dyDescent="0.3">
      <c r="B52" s="24" t="s">
        <v>34</v>
      </c>
      <c r="C52" s="22"/>
      <c r="D52" s="23" t="s">
        <v>61</v>
      </c>
      <c r="E52" s="24"/>
      <c r="F52" s="65">
        <v>7.0000000000000001E-3</v>
      </c>
      <c r="G52" s="69">
        <f>F16</f>
        <v>150</v>
      </c>
      <c r="H52" s="66">
        <f t="shared" si="12"/>
        <v>1.05</v>
      </c>
      <c r="I52" s="28"/>
      <c r="J52" s="67">
        <f>+F52</f>
        <v>7.0000000000000001E-3</v>
      </c>
      <c r="K52" s="70">
        <f>F16</f>
        <v>150</v>
      </c>
      <c r="L52" s="66">
        <f t="shared" si="13"/>
        <v>1.05</v>
      </c>
      <c r="M52" s="28"/>
      <c r="N52" s="31">
        <f t="shared" si="10"/>
        <v>0</v>
      </c>
      <c r="O52" s="68">
        <f t="shared" si="11"/>
        <v>0</v>
      </c>
    </row>
    <row r="53" spans="2:19" x14ac:dyDescent="0.25">
      <c r="B53" s="22" t="s">
        <v>98</v>
      </c>
      <c r="C53" s="22"/>
      <c r="D53" s="23" t="s">
        <v>61</v>
      </c>
      <c r="E53" s="24"/>
      <c r="F53" s="305">
        <f>+'GS 50-4999 (60kW)'!F53</f>
        <v>0.10186000000000001</v>
      </c>
      <c r="G53" s="69">
        <f>F16</f>
        <v>150</v>
      </c>
      <c r="H53" s="66">
        <f t="shared" si="12"/>
        <v>15.279000000000002</v>
      </c>
      <c r="I53" s="28"/>
      <c r="J53" s="305">
        <f>+F53</f>
        <v>0.10186000000000001</v>
      </c>
      <c r="K53" s="69">
        <f>F16</f>
        <v>150</v>
      </c>
      <c r="L53" s="66">
        <f t="shared" si="13"/>
        <v>15.279000000000002</v>
      </c>
      <c r="M53" s="28"/>
      <c r="N53" s="31">
        <f t="shared" si="10"/>
        <v>0</v>
      </c>
      <c r="O53" s="68">
        <f t="shared" si="11"/>
        <v>0</v>
      </c>
      <c r="S53" s="72"/>
    </row>
    <row r="54" spans="2:19" x14ac:dyDescent="0.25">
      <c r="B54" s="49" t="s">
        <v>36</v>
      </c>
      <c r="C54" s="22"/>
      <c r="D54" s="23"/>
      <c r="E54" s="24"/>
      <c r="F54" s="71">
        <v>0.104</v>
      </c>
      <c r="G54" s="58">
        <v>0</v>
      </c>
      <c r="H54" s="66">
        <f t="shared" si="12"/>
        <v>0</v>
      </c>
      <c r="I54" s="28"/>
      <c r="J54" s="65">
        <v>0.104</v>
      </c>
      <c r="K54" s="58">
        <v>0</v>
      </c>
      <c r="L54" s="66">
        <f t="shared" si="13"/>
        <v>0</v>
      </c>
      <c r="M54" s="28"/>
      <c r="N54" s="31">
        <f t="shared" si="10"/>
        <v>0</v>
      </c>
      <c r="O54" s="68" t="str">
        <f t="shared" si="11"/>
        <v/>
      </c>
      <c r="S54" s="72"/>
    </row>
    <row r="55" spans="2:19" x14ac:dyDescent="0.25">
      <c r="B55" s="12" t="s">
        <v>37</v>
      </c>
      <c r="C55" s="22"/>
      <c r="D55" s="23"/>
      <c r="E55" s="24"/>
      <c r="F55" s="71">
        <v>0.124</v>
      </c>
      <c r="G55" s="58">
        <v>0</v>
      </c>
      <c r="H55" s="66">
        <f t="shared" si="12"/>
        <v>0</v>
      </c>
      <c r="I55" s="28"/>
      <c r="J55" s="65">
        <v>0.124</v>
      </c>
      <c r="K55" s="58">
        <v>0</v>
      </c>
      <c r="L55" s="66">
        <f t="shared" si="13"/>
        <v>0</v>
      </c>
      <c r="M55" s="28"/>
      <c r="N55" s="31">
        <f t="shared" si="10"/>
        <v>0</v>
      </c>
      <c r="O55" s="68" t="str">
        <f t="shared" si="11"/>
        <v/>
      </c>
      <c r="S55" s="72"/>
    </row>
    <row r="56" spans="2:19" s="73" customFormat="1" x14ac:dyDescent="0.2">
      <c r="B56" s="180" t="s">
        <v>38</v>
      </c>
      <c r="C56" s="75"/>
      <c r="D56" s="76"/>
      <c r="E56" s="77"/>
      <c r="F56" s="71">
        <v>7.4999999999999997E-2</v>
      </c>
      <c r="G56" s="78">
        <f>IF(AND($T$1=1, F16&gt;=600), 600, IF(AND($T$1=1, AND(F16&lt;600, F16&gt;=0)), F16, IF(AND($T$1=2, F16&gt;=1000), 1000, IF(AND($T$1=2, AND(F16&lt;1000, F16&gt;=0)), F16))))</f>
        <v>150</v>
      </c>
      <c r="H56" s="66">
        <f>G56*F56</f>
        <v>11.25</v>
      </c>
      <c r="I56" s="79"/>
      <c r="J56" s="65">
        <v>7.4999999999999997E-2</v>
      </c>
      <c r="K56" s="78">
        <f>G56</f>
        <v>150</v>
      </c>
      <c r="L56" s="66">
        <f>K56*J56</f>
        <v>11.25</v>
      </c>
      <c r="M56" s="79"/>
      <c r="N56" s="80">
        <f t="shared" si="10"/>
        <v>0</v>
      </c>
      <c r="O56" s="68">
        <f t="shared" si="11"/>
        <v>0</v>
      </c>
    </row>
    <row r="57" spans="2:19" s="73" customFormat="1" ht="15.75" thickBot="1" x14ac:dyDescent="0.25">
      <c r="B57" s="180" t="s">
        <v>39</v>
      </c>
      <c r="C57" s="75"/>
      <c r="D57" s="76"/>
      <c r="E57" s="77"/>
      <c r="F57" s="71">
        <v>8.7999999999999995E-2</v>
      </c>
      <c r="G57" s="78">
        <f>IF(AND($T$1=1, F16&gt;=600), F16-600, IF(AND($T$1=1, AND(F16&lt;600, F16&gt;=0)), 0, IF(AND($T$1=2, F16&gt;=1000), F16-1000, IF(AND($T$1=2, AND(F16&lt;1000, F16&gt;=0)), 0))))</f>
        <v>0</v>
      </c>
      <c r="H57" s="66">
        <f>G57*F57</f>
        <v>0</v>
      </c>
      <c r="I57" s="79"/>
      <c r="J57" s="65">
        <v>8.7999999999999995E-2</v>
      </c>
      <c r="K57" s="78">
        <f>G57</f>
        <v>0</v>
      </c>
      <c r="L57" s="66">
        <f>K57*J57</f>
        <v>0</v>
      </c>
      <c r="M57" s="79"/>
      <c r="N57" s="80">
        <f t="shared" si="10"/>
        <v>0</v>
      </c>
      <c r="O57" s="68" t="str">
        <f t="shared" si="11"/>
        <v/>
      </c>
    </row>
    <row r="58" spans="2:19" ht="8.25" customHeight="1" thickBot="1" x14ac:dyDescent="0.3">
      <c r="B58" s="81"/>
      <c r="C58" s="82"/>
      <c r="D58" s="83"/>
      <c r="E58" s="82"/>
      <c r="F58" s="84"/>
      <c r="G58" s="85"/>
      <c r="H58" s="86"/>
      <c r="I58" s="87"/>
      <c r="J58" s="84"/>
      <c r="K58" s="88"/>
      <c r="L58" s="86"/>
      <c r="M58" s="87"/>
      <c r="N58" s="89"/>
      <c r="O58" s="90"/>
    </row>
    <row r="59" spans="2:19" x14ac:dyDescent="0.25">
      <c r="B59" s="91" t="s">
        <v>40</v>
      </c>
      <c r="C59" s="22"/>
      <c r="D59" s="22"/>
      <c r="E59" s="22"/>
      <c r="F59" s="92"/>
      <c r="G59" s="93"/>
      <c r="H59" s="94">
        <f>SUM(H49:H55,H48)</f>
        <v>38.222853600000001</v>
      </c>
      <c r="I59" s="95"/>
      <c r="J59" s="96"/>
      <c r="K59" s="96"/>
      <c r="L59" s="94">
        <f>SUM(L49:L55,L48)</f>
        <v>31.8664348</v>
      </c>
      <c r="M59" s="97"/>
      <c r="N59" s="98">
        <f>L59-H59</f>
        <v>-6.3564188000000001</v>
      </c>
      <c r="O59" s="99">
        <f>IF((H59)=0,"",(N59/H59))</f>
        <v>-0.16629890762525382</v>
      </c>
      <c r="S59" s="72"/>
    </row>
    <row r="60" spans="2:19" x14ac:dyDescent="0.25">
      <c r="B60" s="100" t="s">
        <v>41</v>
      </c>
      <c r="C60" s="22"/>
      <c r="D60" s="22"/>
      <c r="E60" s="22"/>
      <c r="F60" s="101">
        <v>0.13</v>
      </c>
      <c r="G60" s="102"/>
      <c r="H60" s="103">
        <f>H59*F60</f>
        <v>4.9689709679999998</v>
      </c>
      <c r="I60" s="104"/>
      <c r="J60" s="105">
        <v>0.13</v>
      </c>
      <c r="K60" s="104"/>
      <c r="L60" s="106">
        <f>L59*J60</f>
        <v>4.1426365240000003</v>
      </c>
      <c r="M60" s="107"/>
      <c r="N60" s="108">
        <f t="shared" si="10"/>
        <v>-0.82633444399999956</v>
      </c>
      <c r="O60" s="109">
        <f t="shared" si="11"/>
        <v>-0.16629890762525373</v>
      </c>
      <c r="S60" s="72"/>
    </row>
    <row r="61" spans="2:19" x14ac:dyDescent="0.25">
      <c r="B61" s="110" t="s">
        <v>42</v>
      </c>
      <c r="C61" s="22"/>
      <c r="D61" s="22"/>
      <c r="E61" s="22"/>
      <c r="F61" s="111"/>
      <c r="G61" s="102"/>
      <c r="H61" s="103">
        <f>H59+H60</f>
        <v>43.191824568000001</v>
      </c>
      <c r="I61" s="104"/>
      <c r="J61" s="104"/>
      <c r="K61" s="104"/>
      <c r="L61" s="106">
        <f>L59+L60</f>
        <v>36.009071324000004</v>
      </c>
      <c r="M61" s="107"/>
      <c r="N61" s="108">
        <f t="shared" si="10"/>
        <v>-7.182753243999997</v>
      </c>
      <c r="O61" s="109">
        <f t="shared" si="11"/>
        <v>-0.16629890762525373</v>
      </c>
      <c r="S61" s="72"/>
    </row>
    <row r="62" spans="2:19" x14ac:dyDescent="0.25">
      <c r="B62" s="388" t="s">
        <v>43</v>
      </c>
      <c r="C62" s="388"/>
      <c r="D62" s="388"/>
      <c r="E62" s="22"/>
      <c r="F62" s="111"/>
      <c r="G62" s="102"/>
      <c r="H62" s="112">
        <f>ROUND(-H61*10%,2)</f>
        <v>-4.32</v>
      </c>
      <c r="I62" s="104"/>
      <c r="J62" s="104"/>
      <c r="K62" s="104"/>
      <c r="L62" s="113">
        <f>ROUND(-L61*10%,2)</f>
        <v>-3.6</v>
      </c>
      <c r="M62" s="107"/>
      <c r="N62" s="114">
        <f t="shared" si="10"/>
        <v>0.7200000000000002</v>
      </c>
      <c r="O62" s="115">
        <f t="shared" si="11"/>
        <v>-0.16666666666666671</v>
      </c>
    </row>
    <row r="63" spans="2:19" ht="15.75" thickBot="1" x14ac:dyDescent="0.3">
      <c r="B63" s="384" t="s">
        <v>44</v>
      </c>
      <c r="C63" s="384"/>
      <c r="D63" s="384"/>
      <c r="E63" s="116"/>
      <c r="F63" s="117"/>
      <c r="G63" s="118"/>
      <c r="H63" s="119">
        <f>H61+H62</f>
        <v>38.871824568000001</v>
      </c>
      <c r="I63" s="120"/>
      <c r="J63" s="120"/>
      <c r="K63" s="120"/>
      <c r="L63" s="121">
        <f>L61+L62</f>
        <v>32.409071324000003</v>
      </c>
      <c r="M63" s="122"/>
      <c r="N63" s="123">
        <f t="shared" si="10"/>
        <v>-6.4627532439999982</v>
      </c>
      <c r="O63" s="124">
        <f t="shared" si="11"/>
        <v>-0.1662580369155158</v>
      </c>
    </row>
    <row r="64" spans="2:19" s="73" customFormat="1" ht="8.25" hidden="1" customHeight="1" x14ac:dyDescent="0.25">
      <c r="B64" s="125"/>
      <c r="C64" s="126"/>
      <c r="D64" s="127"/>
      <c r="E64" s="126"/>
      <c r="F64" s="84"/>
      <c r="G64" s="128"/>
      <c r="H64" s="86"/>
      <c r="I64" s="129"/>
      <c r="J64" s="84"/>
      <c r="K64" s="130"/>
      <c r="L64" s="86"/>
      <c r="M64" s="129"/>
      <c r="N64" s="131"/>
      <c r="O64" s="90"/>
    </row>
    <row r="65" spans="1:15" s="73" customFormat="1" ht="12.75" x14ac:dyDescent="0.2">
      <c r="B65" s="132" t="s">
        <v>45</v>
      </c>
      <c r="C65" s="75"/>
      <c r="D65" s="75"/>
      <c r="E65" s="75"/>
      <c r="F65" s="133"/>
      <c r="G65" s="134"/>
      <c r="H65" s="135">
        <f>SUM(H53,H48,H49:H52)</f>
        <v>38.222853599999993</v>
      </c>
      <c r="I65" s="136"/>
      <c r="J65" s="137"/>
      <c r="K65" s="137"/>
      <c r="L65" s="189">
        <f>SUM(L53,L48,L49:L52)</f>
        <v>31.866434799999997</v>
      </c>
      <c r="M65" s="138"/>
      <c r="N65" s="139">
        <f>L65-H65</f>
        <v>-6.3564187999999966</v>
      </c>
      <c r="O65" s="99">
        <f>IF((H65)=0,"",(N65/H65))</f>
        <v>-0.16629890762525376</v>
      </c>
    </row>
    <row r="66" spans="1:15" s="73" customFormat="1" ht="13.15" x14ac:dyDescent="0.25">
      <c r="B66" s="140" t="s">
        <v>41</v>
      </c>
      <c r="C66" s="75"/>
      <c r="D66" s="75"/>
      <c r="E66" s="75"/>
      <c r="F66" s="141">
        <v>0.13</v>
      </c>
      <c r="G66" s="134"/>
      <c r="H66" s="142">
        <f>H65*F66</f>
        <v>4.9689709679999989</v>
      </c>
      <c r="I66" s="143"/>
      <c r="J66" s="144">
        <v>0.13</v>
      </c>
      <c r="K66" s="145"/>
      <c r="L66" s="146">
        <f>L65*J66</f>
        <v>4.1426365239999994</v>
      </c>
      <c r="M66" s="147"/>
      <c r="N66" s="148">
        <f>L66-H66</f>
        <v>-0.82633444399999956</v>
      </c>
      <c r="O66" s="109">
        <f>IF((H66)=0,"",(N66/H66))</f>
        <v>-0.16629890762525376</v>
      </c>
    </row>
    <row r="67" spans="1:15" s="73" customFormat="1" ht="13.15" x14ac:dyDescent="0.25">
      <c r="B67" s="149" t="s">
        <v>42</v>
      </c>
      <c r="C67" s="75"/>
      <c r="D67" s="75"/>
      <c r="E67" s="75"/>
      <c r="F67" s="150"/>
      <c r="G67" s="151"/>
      <c r="H67" s="142">
        <f>H65+H66</f>
        <v>43.191824567999994</v>
      </c>
      <c r="I67" s="143"/>
      <c r="J67" s="143"/>
      <c r="K67" s="143"/>
      <c r="L67" s="146">
        <f>L65+L66</f>
        <v>36.009071323999997</v>
      </c>
      <c r="M67" s="147"/>
      <c r="N67" s="148">
        <f>L67-H67</f>
        <v>-7.182753243999997</v>
      </c>
      <c r="O67" s="109">
        <f>IF((H67)=0,"",(N67/H67))</f>
        <v>-0.16629890762525376</v>
      </c>
    </row>
    <row r="68" spans="1:15" s="73" customFormat="1" ht="15.75" customHeight="1" x14ac:dyDescent="0.25">
      <c r="B68" s="389" t="s">
        <v>43</v>
      </c>
      <c r="C68" s="389"/>
      <c r="D68" s="389"/>
      <c r="E68" s="75"/>
      <c r="F68" s="150"/>
      <c r="G68" s="151"/>
      <c r="H68" s="152"/>
      <c r="I68" s="143"/>
      <c r="J68" s="143"/>
      <c r="K68" s="143"/>
      <c r="L68" s="153"/>
      <c r="M68" s="147"/>
      <c r="N68" s="154">
        <f>L68-H68</f>
        <v>0</v>
      </c>
      <c r="O68" s="115" t="str">
        <f>IF((H68)=0,"",(N68/H68))</f>
        <v/>
      </c>
    </row>
    <row r="69" spans="1:15" s="73" customFormat="1" ht="13.9" thickBot="1" x14ac:dyDescent="0.3">
      <c r="B69" s="376" t="s">
        <v>46</v>
      </c>
      <c r="C69" s="376"/>
      <c r="D69" s="376"/>
      <c r="E69" s="155"/>
      <c r="F69" s="156"/>
      <c r="G69" s="157"/>
      <c r="H69" s="158">
        <f>SUM(H67:H68)</f>
        <v>43.191824567999994</v>
      </c>
      <c r="I69" s="159"/>
      <c r="J69" s="159"/>
      <c r="K69" s="159"/>
      <c r="L69" s="160">
        <f>SUM(L67:L68)</f>
        <v>36.009071323999997</v>
      </c>
      <c r="M69" s="161"/>
      <c r="N69" s="162">
        <f>L69-H69</f>
        <v>-7.182753243999997</v>
      </c>
      <c r="O69" s="163">
        <f>IF((H69)=0,"",(N69/H69))</f>
        <v>-0.16629890762525376</v>
      </c>
    </row>
    <row r="70" spans="1:15" s="73" customFormat="1" ht="8.25" customHeight="1" thickBot="1" x14ac:dyDescent="0.25">
      <c r="B70" s="125"/>
      <c r="C70" s="126"/>
      <c r="D70" s="127"/>
      <c r="E70" s="126"/>
      <c r="F70" s="164"/>
      <c r="G70" s="165"/>
      <c r="H70" s="166"/>
      <c r="I70" s="167"/>
      <c r="J70" s="164"/>
      <c r="K70" s="128"/>
      <c r="L70" s="168"/>
      <c r="M70" s="129"/>
      <c r="N70" s="169"/>
      <c r="O70" s="90"/>
    </row>
    <row r="71" spans="1:15" ht="10.5" customHeight="1" x14ac:dyDescent="0.25">
      <c r="L71" s="72"/>
    </row>
    <row r="72" spans="1:15" x14ac:dyDescent="0.25">
      <c r="B72" s="13" t="s">
        <v>47</v>
      </c>
      <c r="F72" s="170">
        <f>+'Res (100kWh)'!$F$73</f>
        <v>4.0399999999999998E-2</v>
      </c>
      <c r="J72" s="170">
        <f>+'Res (100kWh)'!$J$73</f>
        <v>3.6200000000000003E-2</v>
      </c>
    </row>
    <row r="74" spans="1:15" x14ac:dyDescent="0.25">
      <c r="A74" s="171" t="s">
        <v>48</v>
      </c>
    </row>
    <row r="75" spans="1:15" ht="10.5" customHeight="1" x14ac:dyDescent="0.25"/>
    <row r="76" spans="1:15" x14ac:dyDescent="0.25">
      <c r="A76" s="7" t="s">
        <v>49</v>
      </c>
    </row>
    <row r="77" spans="1:15" x14ac:dyDescent="0.25">
      <c r="A77" s="7" t="s">
        <v>50</v>
      </c>
    </row>
    <row r="79" spans="1:15" x14ac:dyDescent="0.25">
      <c r="A79" s="12" t="s">
        <v>51</v>
      </c>
    </row>
    <row r="80" spans="1:15" x14ac:dyDescent="0.25">
      <c r="A80" s="12" t="s">
        <v>52</v>
      </c>
    </row>
    <row r="82" spans="1:2" x14ac:dyDescent="0.25">
      <c r="A82" s="7" t="s">
        <v>53</v>
      </c>
    </row>
    <row r="83" spans="1:2" x14ac:dyDescent="0.25">
      <c r="A83" s="7" t="s">
        <v>54</v>
      </c>
    </row>
    <row r="84" spans="1:2" x14ac:dyDescent="0.25">
      <c r="A84" s="7" t="s">
        <v>55</v>
      </c>
    </row>
    <row r="85" spans="1:2" x14ac:dyDescent="0.25">
      <c r="A85" s="7" t="s">
        <v>56</v>
      </c>
    </row>
    <row r="86" spans="1:2" x14ac:dyDescent="0.25">
      <c r="A86" s="7" t="s">
        <v>57</v>
      </c>
    </row>
    <row r="88" spans="1:2" x14ac:dyDescent="0.25">
      <c r="A88" s="172"/>
      <c r="B88" s="7" t="s">
        <v>58</v>
      </c>
    </row>
  </sheetData>
  <mergeCells count="17">
    <mergeCell ref="J18:L18"/>
    <mergeCell ref="N18:O18"/>
    <mergeCell ref="N1:O1"/>
    <mergeCell ref="N2:O2"/>
    <mergeCell ref="N5:O5"/>
    <mergeCell ref="B8:O8"/>
    <mergeCell ref="B9:O9"/>
    <mergeCell ref="D12:O12"/>
    <mergeCell ref="F18:H18"/>
    <mergeCell ref="N3:O3"/>
    <mergeCell ref="B69:D69"/>
    <mergeCell ref="D19:D20"/>
    <mergeCell ref="N19:N20"/>
    <mergeCell ref="O19:O20"/>
    <mergeCell ref="B62:D62"/>
    <mergeCell ref="B63:D63"/>
    <mergeCell ref="B68:D68"/>
  </mergeCells>
  <dataValidations count="4">
    <dataValidation type="list" allowBlank="1" showInputMessage="1" showErrorMessage="1" sqref="E46:E47 E38:E44 E21:E36 E49:E55 E58">
      <formula1>#REF!</formula1>
    </dataValidation>
    <dataValidation type="list" allowBlank="1" showInputMessage="1" showErrorMessage="1" prompt="Select Charge Unit - monthly, per kWh, per kW" sqref="D46:D47 D38:D44 D64 D21:D36 D70 D49:D58">
      <formula1>"Monthly, per kWh, per kW"</formula1>
    </dataValidation>
    <dataValidation type="list" allowBlank="1" showInputMessage="1" showErrorMessage="1" sqref="E70 E64 E56:E57">
      <formula1>#REF!</formula1>
    </dataValidation>
    <dataValidation type="list" allowBlank="1" showInputMessage="1" showErrorMessage="1" sqref="D14">
      <formula1>"TOU, non-TOU"</formula1>
    </dataValidation>
  </dataValidations>
  <pageMargins left="0.7" right="0.7" top="0.75" bottom="0.75" header="0.3" footer="0.3"/>
  <pageSetup scale="56" orientation="portrait" r:id="rId1"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S88"/>
  <sheetViews>
    <sheetView showGridLines="0" topLeftCell="A11" zoomScaleNormal="100" workbookViewId="0">
      <selection activeCell="J38" sqref="J38"/>
    </sheetView>
  </sheetViews>
  <sheetFormatPr defaultColWidth="9.140625" defaultRowHeight="15" x14ac:dyDescent="0.25"/>
  <cols>
    <col min="1" max="1" width="2.140625" style="7" customWidth="1"/>
    <col min="2" max="2" width="44.5703125" style="7" customWidth="1"/>
    <col min="3" max="3" width="1.28515625" style="7" customWidth="1"/>
    <col min="4" max="4" width="11.28515625" style="7" customWidth="1"/>
    <col min="5" max="5" width="1.28515625" style="7" customWidth="1"/>
    <col min="6" max="6" width="12.28515625" style="7" customWidth="1"/>
    <col min="7" max="7" width="9" style="7" bestFit="1" customWidth="1"/>
    <col min="8" max="8" width="14.28515625" style="7" bestFit="1" customWidth="1"/>
    <col min="9" max="9" width="2.85546875" style="7" customWidth="1"/>
    <col min="10" max="10" width="12.140625" style="7" customWidth="1"/>
    <col min="11" max="11" width="9" style="7" bestFit="1" customWidth="1"/>
    <col min="12" max="12" width="14.28515625" style="7" bestFit="1" customWidth="1"/>
    <col min="13" max="13" width="2.85546875" style="7" customWidth="1"/>
    <col min="14" max="14" width="12.7109375" style="7" bestFit="1" customWidth="1"/>
    <col min="15" max="15" width="9.85546875" style="7" customWidth="1"/>
    <col min="16" max="16" width="3.85546875" style="7" customWidth="1"/>
    <col min="17" max="19" width="9.140625" style="7"/>
    <col min="20" max="20" width="9.140625" style="7" customWidth="1"/>
    <col min="21" max="16384" width="9.140625" style="7"/>
  </cols>
  <sheetData>
    <row r="1" spans="1:16" s="2" customFormat="1" ht="15" customHeigh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3" t="s">
        <v>0</v>
      </c>
      <c r="N1" s="368" t="s">
        <v>94</v>
      </c>
      <c r="O1" s="368"/>
      <c r="P1"/>
    </row>
    <row r="2" spans="1:16" s="2" customFormat="1" ht="15" customHeight="1" x14ac:dyDescent="0.3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3" t="s">
        <v>95</v>
      </c>
      <c r="N2" s="369">
        <v>8</v>
      </c>
      <c r="O2" s="369"/>
      <c r="P2"/>
    </row>
    <row r="3" spans="1:16" s="2" customFormat="1" ht="15" customHeight="1" x14ac:dyDescent="0.3">
      <c r="C3" s="6"/>
      <c r="D3" s="6"/>
      <c r="E3" s="6"/>
      <c r="L3" s="3" t="s">
        <v>96</v>
      </c>
      <c r="N3" s="370" t="s">
        <v>97</v>
      </c>
      <c r="O3" s="370"/>
      <c r="P3"/>
    </row>
    <row r="4" spans="1:16" s="2" customFormat="1" ht="9" customHeight="1" x14ac:dyDescent="0.3">
      <c r="L4" s="3"/>
      <c r="N4" s="310"/>
      <c r="O4"/>
      <c r="P4"/>
    </row>
    <row r="5" spans="1:16" s="2" customFormat="1" ht="14.45" x14ac:dyDescent="0.3">
      <c r="L5" s="3" t="s">
        <v>76</v>
      </c>
      <c r="N5" s="387">
        <v>42124</v>
      </c>
      <c r="O5" s="387"/>
      <c r="P5"/>
    </row>
    <row r="6" spans="1:16" s="2" customFormat="1" ht="15" customHeight="1" x14ac:dyDescent="0.3">
      <c r="N6" s="7"/>
      <c r="O6"/>
      <c r="P6"/>
    </row>
    <row r="7" spans="1:16" ht="7.5" customHeight="1" x14ac:dyDescent="0.3">
      <c r="L7"/>
      <c r="M7"/>
      <c r="N7"/>
      <c r="O7"/>
      <c r="P7"/>
    </row>
    <row r="8" spans="1:16" ht="18.75" customHeight="1" x14ac:dyDescent="0.3">
      <c r="B8" s="367" t="s">
        <v>1</v>
      </c>
      <c r="C8" s="367"/>
      <c r="D8" s="367"/>
      <c r="E8" s="367"/>
      <c r="F8" s="367"/>
      <c r="G8" s="367"/>
      <c r="H8" s="367"/>
      <c r="I8" s="367"/>
      <c r="J8" s="367"/>
      <c r="K8" s="367"/>
      <c r="L8" s="367"/>
      <c r="M8" s="367"/>
      <c r="N8" s="367"/>
      <c r="O8" s="367"/>
      <c r="P8"/>
    </row>
    <row r="9" spans="1:16" ht="18.75" customHeight="1" x14ac:dyDescent="0.3">
      <c r="B9" s="367" t="s">
        <v>2</v>
      </c>
      <c r="C9" s="367"/>
      <c r="D9" s="367"/>
      <c r="E9" s="367"/>
      <c r="F9" s="367"/>
      <c r="G9" s="367"/>
      <c r="H9" s="367"/>
      <c r="I9" s="367"/>
      <c r="J9" s="367"/>
      <c r="K9" s="367"/>
      <c r="L9" s="367"/>
      <c r="M9" s="367"/>
      <c r="N9" s="367"/>
      <c r="O9" s="367"/>
      <c r="P9"/>
    </row>
    <row r="10" spans="1:16" ht="7.5" customHeight="1" x14ac:dyDescent="0.3">
      <c r="L10"/>
      <c r="M10"/>
      <c r="N10"/>
      <c r="O10"/>
      <c r="P10"/>
    </row>
    <row r="11" spans="1:16" ht="7.5" customHeight="1" x14ac:dyDescent="0.3">
      <c r="L11"/>
      <c r="M11"/>
      <c r="N11"/>
      <c r="O11"/>
      <c r="P11"/>
    </row>
    <row r="12" spans="1:16" ht="15.6" x14ac:dyDescent="0.3">
      <c r="B12" s="8" t="s">
        <v>3</v>
      </c>
      <c r="D12" s="386" t="s">
        <v>89</v>
      </c>
      <c r="E12" s="386"/>
      <c r="F12" s="386"/>
      <c r="G12" s="386"/>
      <c r="H12" s="386"/>
      <c r="I12" s="386"/>
      <c r="J12" s="386"/>
      <c r="K12" s="386"/>
      <c r="L12" s="386"/>
      <c r="M12" s="386"/>
      <c r="N12" s="386"/>
      <c r="O12" s="386"/>
    </row>
    <row r="13" spans="1:16" ht="7.5" customHeight="1" x14ac:dyDescent="0.3">
      <c r="B13" s="9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</row>
    <row r="14" spans="1:16" ht="15.6" x14ac:dyDescent="0.3">
      <c r="B14" s="8" t="s">
        <v>4</v>
      </c>
      <c r="D14" s="11" t="s">
        <v>68</v>
      </c>
      <c r="E14" s="10"/>
      <c r="F14" s="10"/>
      <c r="G14" s="10"/>
      <c r="H14" s="10"/>
      <c r="I14" s="10"/>
      <c r="J14" s="278"/>
      <c r="K14" s="10"/>
      <c r="L14" s="10"/>
      <c r="M14" s="10"/>
      <c r="N14" s="10"/>
      <c r="O14" s="10"/>
    </row>
    <row r="15" spans="1:16" ht="15.6" x14ac:dyDescent="0.3">
      <c r="B15" s="9"/>
      <c r="D15" s="10"/>
      <c r="E15" s="10"/>
      <c r="F15" s="10"/>
      <c r="G15" s="10"/>
      <c r="H15" s="10"/>
      <c r="I15" s="10"/>
      <c r="J15" s="278"/>
      <c r="K15" s="10"/>
      <c r="L15" s="10"/>
      <c r="M15" s="10"/>
      <c r="N15" s="10"/>
      <c r="O15" s="10"/>
    </row>
    <row r="16" spans="1:16" ht="14.45" x14ac:dyDescent="0.3">
      <c r="B16" s="12"/>
      <c r="D16" s="13" t="s">
        <v>6</v>
      </c>
      <c r="E16" s="13"/>
      <c r="F16" s="14">
        <v>2615000</v>
      </c>
      <c r="G16" s="13" t="s">
        <v>7</v>
      </c>
      <c r="H16" s="14">
        <v>6000</v>
      </c>
      <c r="I16" s="13" t="s">
        <v>69</v>
      </c>
      <c r="J16" s="280"/>
    </row>
    <row r="17" spans="2:15" ht="14.45" x14ac:dyDescent="0.3">
      <c r="B17" s="12"/>
      <c r="F17" s="281"/>
      <c r="G17" s="34"/>
      <c r="H17" s="34"/>
      <c r="J17" s="281"/>
    </row>
    <row r="18" spans="2:15" ht="14.45" x14ac:dyDescent="0.3">
      <c r="B18" s="12"/>
      <c r="D18" s="15"/>
      <c r="E18" s="15"/>
      <c r="F18" s="373" t="s">
        <v>8</v>
      </c>
      <c r="G18" s="374"/>
      <c r="H18" s="375"/>
      <c r="J18" s="373" t="s">
        <v>9</v>
      </c>
      <c r="K18" s="374"/>
      <c r="L18" s="375"/>
      <c r="N18" s="373" t="s">
        <v>10</v>
      </c>
      <c r="O18" s="375"/>
    </row>
    <row r="19" spans="2:15" x14ac:dyDescent="0.25">
      <c r="B19" s="12"/>
      <c r="D19" s="377" t="s">
        <v>11</v>
      </c>
      <c r="E19" s="16"/>
      <c r="F19" s="17" t="s">
        <v>12</v>
      </c>
      <c r="G19" s="17" t="s">
        <v>13</v>
      </c>
      <c r="H19" s="18" t="s">
        <v>14</v>
      </c>
      <c r="J19" s="17" t="s">
        <v>12</v>
      </c>
      <c r="K19" s="19" t="s">
        <v>13</v>
      </c>
      <c r="L19" s="18" t="s">
        <v>14</v>
      </c>
      <c r="N19" s="379" t="s">
        <v>15</v>
      </c>
      <c r="O19" s="381" t="s">
        <v>16</v>
      </c>
    </row>
    <row r="20" spans="2:15" x14ac:dyDescent="0.25">
      <c r="B20" s="12"/>
      <c r="D20" s="378"/>
      <c r="E20" s="16"/>
      <c r="F20" s="20" t="s">
        <v>17</v>
      </c>
      <c r="G20" s="20"/>
      <c r="H20" s="21" t="s">
        <v>17</v>
      </c>
      <c r="J20" s="20" t="s">
        <v>17</v>
      </c>
      <c r="K20" s="21"/>
      <c r="L20" s="21" t="s">
        <v>17</v>
      </c>
      <c r="N20" s="380"/>
      <c r="O20" s="382"/>
    </row>
    <row r="21" spans="2:15" ht="14.45" x14ac:dyDescent="0.3">
      <c r="B21" s="22" t="s">
        <v>18</v>
      </c>
      <c r="C21" s="22"/>
      <c r="D21" s="23" t="s">
        <v>60</v>
      </c>
      <c r="E21" s="24"/>
      <c r="F21" s="174"/>
      <c r="G21" s="26">
        <v>1</v>
      </c>
      <c r="H21" s="27">
        <f>G21*F21</f>
        <v>0</v>
      </c>
      <c r="I21" s="28"/>
      <c r="J21" s="173"/>
      <c r="K21" s="30">
        <v>1</v>
      </c>
      <c r="L21" s="27">
        <f>K21*J21</f>
        <v>0</v>
      </c>
      <c r="M21" s="28"/>
      <c r="N21" s="31">
        <f>L21-H21</f>
        <v>0</v>
      </c>
      <c r="O21" s="32" t="str">
        <f>IF((H21)=0,"",(N21/H21))</f>
        <v/>
      </c>
    </row>
    <row r="22" spans="2:15" ht="28.9" x14ac:dyDescent="0.3">
      <c r="B22" s="64" t="s">
        <v>62</v>
      </c>
      <c r="C22" s="22"/>
      <c r="D22" s="56" t="s">
        <v>60</v>
      </c>
      <c r="E22" s="24"/>
      <c r="F22" s="173"/>
      <c r="G22" s="26">
        <v>1</v>
      </c>
      <c r="H22" s="27">
        <f t="shared" ref="H22:H36" si="0">G22*F22</f>
        <v>0</v>
      </c>
      <c r="I22" s="28"/>
      <c r="J22" s="29"/>
      <c r="K22" s="30">
        <v>1</v>
      </c>
      <c r="L22" s="27">
        <f>K22*J22</f>
        <v>0</v>
      </c>
      <c r="M22" s="28"/>
      <c r="N22" s="31">
        <f>L22-H22</f>
        <v>0</v>
      </c>
      <c r="O22" s="32" t="str">
        <f>IF((H22)=0,"",(N22/H22))</f>
        <v/>
      </c>
    </row>
    <row r="23" spans="2:15" ht="14.45" x14ac:dyDescent="0.3">
      <c r="B23" s="297"/>
      <c r="C23" s="22"/>
      <c r="D23" s="56" t="s">
        <v>60</v>
      </c>
      <c r="E23" s="57"/>
      <c r="F23" s="173"/>
      <c r="G23" s="26">
        <v>1</v>
      </c>
      <c r="H23" s="27">
        <f t="shared" si="0"/>
        <v>0</v>
      </c>
      <c r="I23" s="28"/>
      <c r="J23" s="29"/>
      <c r="K23" s="30">
        <v>1</v>
      </c>
      <c r="L23" s="27">
        <f t="shared" ref="L23:L36" si="1">K23*J23</f>
        <v>0</v>
      </c>
      <c r="M23" s="28"/>
      <c r="N23" s="31">
        <f t="shared" ref="N23:N63" si="2">L23-H23</f>
        <v>0</v>
      </c>
      <c r="O23" s="32" t="str">
        <f t="shared" ref="O23:O43" si="3">IF((H23)=0,"",(N23/H23))</f>
        <v/>
      </c>
    </row>
    <row r="24" spans="2:15" ht="14.45" x14ac:dyDescent="0.3">
      <c r="B24" s="297"/>
      <c r="C24" s="22"/>
      <c r="D24" s="56" t="s">
        <v>60</v>
      </c>
      <c r="E24" s="24"/>
      <c r="F24" s="25"/>
      <c r="G24" s="26">
        <v>1</v>
      </c>
      <c r="H24" s="27">
        <f t="shared" si="0"/>
        <v>0</v>
      </c>
      <c r="I24" s="28"/>
      <c r="J24" s="173"/>
      <c r="K24" s="30">
        <v>1</v>
      </c>
      <c r="L24" s="27">
        <f t="shared" si="1"/>
        <v>0</v>
      </c>
      <c r="M24" s="28"/>
      <c r="N24" s="31">
        <f t="shared" si="2"/>
        <v>0</v>
      </c>
      <c r="O24" s="32" t="str">
        <f t="shared" si="3"/>
        <v/>
      </c>
    </row>
    <row r="25" spans="2:15" ht="14.45" x14ac:dyDescent="0.3">
      <c r="B25" s="296" t="s">
        <v>65</v>
      </c>
      <c r="C25" s="22"/>
      <c r="D25" s="23" t="s">
        <v>70</v>
      </c>
      <c r="E25" s="24"/>
      <c r="F25" s="25"/>
      <c r="G25" s="179">
        <f>$H$16</f>
        <v>6000</v>
      </c>
      <c r="H25" s="27">
        <f t="shared" si="0"/>
        <v>0</v>
      </c>
      <c r="I25" s="28"/>
      <c r="J25" s="25"/>
      <c r="K25" s="179">
        <f>$H$16</f>
        <v>6000</v>
      </c>
      <c r="L25" s="27">
        <f t="shared" si="1"/>
        <v>0</v>
      </c>
      <c r="M25" s="28"/>
      <c r="N25" s="31">
        <f t="shared" si="2"/>
        <v>0</v>
      </c>
      <c r="O25" s="32" t="str">
        <f t="shared" si="3"/>
        <v/>
      </c>
    </row>
    <row r="26" spans="2:15" x14ac:dyDescent="0.25">
      <c r="B26" s="296" t="s">
        <v>66</v>
      </c>
      <c r="C26" s="22"/>
      <c r="D26" s="23" t="s">
        <v>70</v>
      </c>
      <c r="E26" s="24"/>
      <c r="F26" s="25"/>
      <c r="G26" s="179">
        <f>$H$16</f>
        <v>6000</v>
      </c>
      <c r="H26" s="27">
        <f t="shared" si="0"/>
        <v>0</v>
      </c>
      <c r="I26" s="28"/>
      <c r="J26" s="25"/>
      <c r="K26" s="179">
        <f>$H$16</f>
        <v>6000</v>
      </c>
      <c r="L26" s="27">
        <f t="shared" si="1"/>
        <v>0</v>
      </c>
      <c r="M26" s="28"/>
      <c r="N26" s="31">
        <f t="shared" si="2"/>
        <v>0</v>
      </c>
      <c r="O26" s="32" t="str">
        <f t="shared" si="3"/>
        <v/>
      </c>
    </row>
    <row r="27" spans="2:15" x14ac:dyDescent="0.25">
      <c r="B27" s="22" t="s">
        <v>19</v>
      </c>
      <c r="C27" s="22"/>
      <c r="D27" s="23" t="s">
        <v>70</v>
      </c>
      <c r="E27" s="24"/>
      <c r="F27" s="25">
        <v>1.26E-2</v>
      </c>
      <c r="G27" s="179">
        <f>$H$16</f>
        <v>6000</v>
      </c>
      <c r="H27" s="27">
        <f t="shared" si="0"/>
        <v>75.599999999999994</v>
      </c>
      <c r="I27" s="28"/>
      <c r="J27" s="263">
        <v>2.01E-2</v>
      </c>
      <c r="K27" s="179">
        <f>$H$16</f>
        <v>6000</v>
      </c>
      <c r="L27" s="27">
        <f t="shared" si="1"/>
        <v>120.6</v>
      </c>
      <c r="M27" s="28"/>
      <c r="N27" s="31">
        <f t="shared" si="2"/>
        <v>45</v>
      </c>
      <c r="O27" s="32">
        <f t="shared" si="3"/>
        <v>0.59523809523809523</v>
      </c>
    </row>
    <row r="28" spans="2:15" ht="14.45" x14ac:dyDescent="0.3">
      <c r="B28" s="22" t="s">
        <v>20</v>
      </c>
      <c r="C28" s="22"/>
      <c r="D28" s="23"/>
      <c r="E28" s="24"/>
      <c r="F28" s="25"/>
      <c r="G28" s="26">
        <f>$F$16</f>
        <v>2615000</v>
      </c>
      <c r="H28" s="27">
        <f t="shared" si="0"/>
        <v>0</v>
      </c>
      <c r="I28" s="28"/>
      <c r="J28" s="263"/>
      <c r="K28" s="26">
        <f t="shared" ref="K28:K36" si="4">$F$16</f>
        <v>2615000</v>
      </c>
      <c r="L28" s="27">
        <f t="shared" si="1"/>
        <v>0</v>
      </c>
      <c r="M28" s="28"/>
      <c r="N28" s="31">
        <f t="shared" si="2"/>
        <v>0</v>
      </c>
      <c r="O28" s="32" t="str">
        <f t="shared" si="3"/>
        <v/>
      </c>
    </row>
    <row r="29" spans="2:15" x14ac:dyDescent="0.25">
      <c r="B29" s="22" t="s">
        <v>21</v>
      </c>
      <c r="C29" s="22"/>
      <c r="D29" s="23"/>
      <c r="E29" s="24"/>
      <c r="F29" s="25"/>
      <c r="G29" s="26">
        <f>$F$16</f>
        <v>2615000</v>
      </c>
      <c r="H29" s="27">
        <f t="shared" si="0"/>
        <v>0</v>
      </c>
      <c r="I29" s="28"/>
      <c r="J29" s="29"/>
      <c r="K29" s="26">
        <f t="shared" si="4"/>
        <v>2615000</v>
      </c>
      <c r="L29" s="27">
        <f t="shared" si="1"/>
        <v>0</v>
      </c>
      <c r="M29" s="28"/>
      <c r="N29" s="31">
        <f t="shared" si="2"/>
        <v>0</v>
      </c>
      <c r="O29" s="32" t="str">
        <f t="shared" si="3"/>
        <v/>
      </c>
    </row>
    <row r="30" spans="2:15" x14ac:dyDescent="0.25">
      <c r="B30" s="33"/>
      <c r="C30" s="22"/>
      <c r="D30" s="23"/>
      <c r="E30" s="24"/>
      <c r="F30" s="25"/>
      <c r="G30" s="26">
        <f t="shared" ref="G30:G36" si="5">$F$16</f>
        <v>2615000</v>
      </c>
      <c r="H30" s="27">
        <f t="shared" si="0"/>
        <v>0</v>
      </c>
      <c r="I30" s="28"/>
      <c r="J30" s="29"/>
      <c r="K30" s="26">
        <f t="shared" si="4"/>
        <v>2615000</v>
      </c>
      <c r="L30" s="27">
        <f t="shared" si="1"/>
        <v>0</v>
      </c>
      <c r="M30" s="28"/>
      <c r="N30" s="31">
        <f t="shared" si="2"/>
        <v>0</v>
      </c>
      <c r="O30" s="32" t="str">
        <f t="shared" si="3"/>
        <v/>
      </c>
    </row>
    <row r="31" spans="2:15" x14ac:dyDescent="0.25">
      <c r="B31" s="33"/>
      <c r="C31" s="22"/>
      <c r="D31" s="23"/>
      <c r="E31" s="24"/>
      <c r="F31" s="25"/>
      <c r="G31" s="26">
        <f t="shared" si="5"/>
        <v>2615000</v>
      </c>
      <c r="H31" s="27">
        <f t="shared" si="0"/>
        <v>0</v>
      </c>
      <c r="I31" s="28"/>
      <c r="J31" s="29"/>
      <c r="K31" s="26">
        <f t="shared" si="4"/>
        <v>2615000</v>
      </c>
      <c r="L31" s="27">
        <f t="shared" si="1"/>
        <v>0</v>
      </c>
      <c r="M31" s="28"/>
      <c r="N31" s="31">
        <f t="shared" si="2"/>
        <v>0</v>
      </c>
      <c r="O31" s="32" t="str">
        <f t="shared" si="3"/>
        <v/>
      </c>
    </row>
    <row r="32" spans="2:15" x14ac:dyDescent="0.25">
      <c r="B32" s="33"/>
      <c r="C32" s="22"/>
      <c r="D32" s="23"/>
      <c r="E32" s="24"/>
      <c r="F32" s="25"/>
      <c r="G32" s="26">
        <f t="shared" si="5"/>
        <v>2615000</v>
      </c>
      <c r="H32" s="27">
        <f t="shared" si="0"/>
        <v>0</v>
      </c>
      <c r="I32" s="28"/>
      <c r="J32" s="29"/>
      <c r="K32" s="26">
        <f t="shared" si="4"/>
        <v>2615000</v>
      </c>
      <c r="L32" s="27">
        <f t="shared" si="1"/>
        <v>0</v>
      </c>
      <c r="M32" s="28"/>
      <c r="N32" s="31">
        <f t="shared" si="2"/>
        <v>0</v>
      </c>
      <c r="O32" s="32" t="str">
        <f t="shared" si="3"/>
        <v/>
      </c>
    </row>
    <row r="33" spans="2:17" x14ac:dyDescent="0.25">
      <c r="B33" s="33"/>
      <c r="C33" s="22"/>
      <c r="D33" s="23"/>
      <c r="E33" s="24"/>
      <c r="F33" s="25"/>
      <c r="G33" s="26">
        <f t="shared" si="5"/>
        <v>2615000</v>
      </c>
      <c r="H33" s="27">
        <f t="shared" si="0"/>
        <v>0</v>
      </c>
      <c r="I33" s="28"/>
      <c r="J33" s="29"/>
      <c r="K33" s="26">
        <f t="shared" si="4"/>
        <v>2615000</v>
      </c>
      <c r="L33" s="27">
        <f t="shared" si="1"/>
        <v>0</v>
      </c>
      <c r="M33" s="28"/>
      <c r="N33" s="31">
        <f t="shared" si="2"/>
        <v>0</v>
      </c>
      <c r="O33" s="32" t="str">
        <f t="shared" si="3"/>
        <v/>
      </c>
    </row>
    <row r="34" spans="2:17" x14ac:dyDescent="0.25">
      <c r="B34" s="33"/>
      <c r="C34" s="22"/>
      <c r="D34" s="23"/>
      <c r="E34" s="24"/>
      <c r="F34" s="25"/>
      <c r="G34" s="26">
        <f t="shared" si="5"/>
        <v>2615000</v>
      </c>
      <c r="H34" s="27">
        <f t="shared" si="0"/>
        <v>0</v>
      </c>
      <c r="I34" s="28"/>
      <c r="J34" s="29"/>
      <c r="K34" s="26">
        <f t="shared" si="4"/>
        <v>2615000</v>
      </c>
      <c r="L34" s="27">
        <f t="shared" si="1"/>
        <v>0</v>
      </c>
      <c r="M34" s="28"/>
      <c r="N34" s="31">
        <f t="shared" si="2"/>
        <v>0</v>
      </c>
      <c r="O34" s="32" t="str">
        <f t="shared" si="3"/>
        <v/>
      </c>
    </row>
    <row r="35" spans="2:17" x14ac:dyDescent="0.25">
      <c r="B35" s="33"/>
      <c r="C35" s="22"/>
      <c r="D35" s="23"/>
      <c r="E35" s="24"/>
      <c r="F35" s="25"/>
      <c r="G35" s="26">
        <f t="shared" si="5"/>
        <v>2615000</v>
      </c>
      <c r="H35" s="27">
        <f t="shared" si="0"/>
        <v>0</v>
      </c>
      <c r="I35" s="28"/>
      <c r="J35" s="29"/>
      <c r="K35" s="26">
        <f t="shared" si="4"/>
        <v>2615000</v>
      </c>
      <c r="L35" s="27">
        <f t="shared" si="1"/>
        <v>0</v>
      </c>
      <c r="M35" s="28"/>
      <c r="N35" s="31">
        <f t="shared" si="2"/>
        <v>0</v>
      </c>
      <c r="O35" s="32" t="str">
        <f t="shared" si="3"/>
        <v/>
      </c>
    </row>
    <row r="36" spans="2:17" x14ac:dyDescent="0.25">
      <c r="B36" s="33"/>
      <c r="C36" s="22"/>
      <c r="D36" s="23"/>
      <c r="E36" s="24"/>
      <c r="F36" s="25"/>
      <c r="G36" s="26">
        <f t="shared" si="5"/>
        <v>2615000</v>
      </c>
      <c r="H36" s="27">
        <f t="shared" si="0"/>
        <v>0</v>
      </c>
      <c r="I36" s="28"/>
      <c r="J36" s="29"/>
      <c r="K36" s="26">
        <f t="shared" si="4"/>
        <v>2615000</v>
      </c>
      <c r="L36" s="27">
        <f t="shared" si="1"/>
        <v>0</v>
      </c>
      <c r="M36" s="28"/>
      <c r="N36" s="31">
        <f t="shared" si="2"/>
        <v>0</v>
      </c>
      <c r="O36" s="32" t="str">
        <f t="shared" si="3"/>
        <v/>
      </c>
    </row>
    <row r="37" spans="2:17" s="34" customFormat="1" x14ac:dyDescent="0.25">
      <c r="B37" s="35" t="s">
        <v>22</v>
      </c>
      <c r="C37" s="36"/>
      <c r="D37" s="37"/>
      <c r="E37" s="36"/>
      <c r="F37" s="38"/>
      <c r="G37" s="39"/>
      <c r="H37" s="40">
        <f>SUM(H21:H36)</f>
        <v>75.599999999999994</v>
      </c>
      <c r="I37" s="41"/>
      <c r="J37" s="42"/>
      <c r="K37" s="43"/>
      <c r="L37" s="40">
        <f>SUM(L21:L36)</f>
        <v>120.6</v>
      </c>
      <c r="M37" s="41"/>
      <c r="N37" s="44">
        <f t="shared" si="2"/>
        <v>45</v>
      </c>
      <c r="O37" s="45">
        <f t="shared" si="3"/>
        <v>0.59523809523809523</v>
      </c>
    </row>
    <row r="38" spans="2:17" x14ac:dyDescent="0.25">
      <c r="B38" s="296" t="s">
        <v>23</v>
      </c>
      <c r="C38" s="22"/>
      <c r="D38" s="56" t="s">
        <v>70</v>
      </c>
      <c r="E38" s="57"/>
      <c r="F38" s="29">
        <v>-0.58230000000000004</v>
      </c>
      <c r="G38" s="179">
        <f>G27</f>
        <v>6000</v>
      </c>
      <c r="H38" s="27">
        <f t="shared" ref="H38:H44" si="6">G38*F38</f>
        <v>-3493.8</v>
      </c>
      <c r="I38" s="28"/>
      <c r="J38" s="29">
        <f>0.5306-0.5823</f>
        <v>-5.1700000000000079E-2</v>
      </c>
      <c r="K38" s="179">
        <f>H16</f>
        <v>6000</v>
      </c>
      <c r="L38" s="27">
        <f t="shared" ref="L38:L44" si="7">K38*J38</f>
        <v>-310.2000000000005</v>
      </c>
      <c r="M38" s="28"/>
      <c r="N38" s="31">
        <f t="shared" si="2"/>
        <v>3183.5999999999995</v>
      </c>
      <c r="O38" s="32">
        <f t="shared" si="3"/>
        <v>-0.91121415078138401</v>
      </c>
      <c r="Q38" s="365"/>
    </row>
    <row r="39" spans="2:17" x14ac:dyDescent="0.25">
      <c r="B39" s="46"/>
      <c r="C39" s="22"/>
      <c r="D39" s="23" t="s">
        <v>70</v>
      </c>
      <c r="E39" s="24"/>
      <c r="F39" s="25"/>
      <c r="G39" s="179">
        <f>H16</f>
        <v>6000</v>
      </c>
      <c r="H39" s="27">
        <f t="shared" si="6"/>
        <v>0</v>
      </c>
      <c r="I39" s="47"/>
      <c r="J39" s="29"/>
      <c r="K39" s="179">
        <f>H16</f>
        <v>6000</v>
      </c>
      <c r="L39" s="27">
        <f t="shared" si="7"/>
        <v>0</v>
      </c>
      <c r="M39" s="48"/>
      <c r="N39" s="31">
        <f t="shared" si="2"/>
        <v>0</v>
      </c>
      <c r="O39" s="32" t="str">
        <f t="shared" si="3"/>
        <v/>
      </c>
    </row>
    <row r="40" spans="2:17" x14ac:dyDescent="0.25">
      <c r="B40" s="46"/>
      <c r="C40" s="22"/>
      <c r="D40" s="23" t="s">
        <v>70</v>
      </c>
      <c r="E40" s="24"/>
      <c r="F40" s="25"/>
      <c r="G40" s="179">
        <f>H16</f>
        <v>6000</v>
      </c>
      <c r="H40" s="27">
        <f t="shared" si="6"/>
        <v>0</v>
      </c>
      <c r="I40" s="47"/>
      <c r="J40" s="29"/>
      <c r="K40" s="179">
        <f>H16</f>
        <v>6000</v>
      </c>
      <c r="L40" s="27">
        <f t="shared" si="7"/>
        <v>0</v>
      </c>
      <c r="M40" s="48"/>
      <c r="N40" s="31">
        <f t="shared" si="2"/>
        <v>0</v>
      </c>
      <c r="O40" s="32" t="str">
        <f t="shared" si="3"/>
        <v/>
      </c>
    </row>
    <row r="41" spans="2:17" ht="38.25" x14ac:dyDescent="0.25">
      <c r="B41" s="296" t="s">
        <v>74</v>
      </c>
      <c r="C41" s="22"/>
      <c r="D41" s="23" t="s">
        <v>70</v>
      </c>
      <c r="E41" s="24"/>
      <c r="F41" s="29">
        <v>0.23960000000000001</v>
      </c>
      <c r="G41" s="179">
        <f>H16</f>
        <v>6000</v>
      </c>
      <c r="H41" s="27">
        <f>G41*F41</f>
        <v>1437.6000000000001</v>
      </c>
      <c r="I41" s="47"/>
      <c r="J41" s="29">
        <f>1.3679+0.2396</f>
        <v>1.6074999999999999</v>
      </c>
      <c r="K41" s="179">
        <f>H16</f>
        <v>6000</v>
      </c>
      <c r="L41" s="27">
        <f t="shared" si="7"/>
        <v>9645</v>
      </c>
      <c r="M41" s="48"/>
      <c r="N41" s="31">
        <f t="shared" si="2"/>
        <v>8207.4</v>
      </c>
      <c r="O41" s="32">
        <f t="shared" si="3"/>
        <v>5.7090984974958259</v>
      </c>
    </row>
    <row r="42" spans="2:17" x14ac:dyDescent="0.25">
      <c r="B42" s="49" t="s">
        <v>24</v>
      </c>
      <c r="C42" s="22"/>
      <c r="D42" s="23" t="s">
        <v>70</v>
      </c>
      <c r="E42" s="24"/>
      <c r="F42" s="25"/>
      <c r="G42" s="179">
        <f>H16</f>
        <v>6000</v>
      </c>
      <c r="H42" s="27">
        <f t="shared" si="6"/>
        <v>0</v>
      </c>
      <c r="I42" s="28"/>
      <c r="J42" s="29"/>
      <c r="K42" s="179">
        <f>H16</f>
        <v>6000</v>
      </c>
      <c r="L42" s="27">
        <f t="shared" si="7"/>
        <v>0</v>
      </c>
      <c r="M42" s="28"/>
      <c r="N42" s="31">
        <f t="shared" si="2"/>
        <v>0</v>
      </c>
      <c r="O42" s="32" t="str">
        <f t="shared" si="3"/>
        <v/>
      </c>
    </row>
    <row r="43" spans="2:17" s="34" customFormat="1" x14ac:dyDescent="0.25">
      <c r="B43" s="181" t="s">
        <v>25</v>
      </c>
      <c r="C43" s="24"/>
      <c r="D43" s="182" t="s">
        <v>61</v>
      </c>
      <c r="E43" s="24"/>
      <c r="F43" s="342">
        <f>+F53</f>
        <v>0.10186000000000001</v>
      </c>
      <c r="G43" s="26">
        <f>$F$16*(1+$F$72)-$F$16</f>
        <v>13074.999999999534</v>
      </c>
      <c r="H43" s="184">
        <f t="shared" si="6"/>
        <v>1331.8194999999525</v>
      </c>
      <c r="I43" s="57"/>
      <c r="J43" s="341">
        <f>+J53</f>
        <v>0.10186000000000001</v>
      </c>
      <c r="K43" s="26">
        <f>$F$16*(1+$J$72)-$F$16</f>
        <v>12290.5</v>
      </c>
      <c r="L43" s="184">
        <f t="shared" si="7"/>
        <v>1251.9103300000002</v>
      </c>
      <c r="M43" s="57"/>
      <c r="N43" s="186">
        <f t="shared" si="2"/>
        <v>-79.909169999952383</v>
      </c>
      <c r="O43" s="187">
        <f t="shared" si="3"/>
        <v>-5.9999999999966386E-2</v>
      </c>
    </row>
    <row r="44" spans="2:17" x14ac:dyDescent="0.25">
      <c r="B44" s="49"/>
      <c r="C44" s="22"/>
      <c r="D44" s="23" t="s">
        <v>60</v>
      </c>
      <c r="E44" s="24"/>
      <c r="F44" s="178"/>
      <c r="G44" s="26">
        <v>0</v>
      </c>
      <c r="H44" s="27">
        <f t="shared" si="6"/>
        <v>0</v>
      </c>
      <c r="I44" s="28"/>
      <c r="J44" s="178"/>
      <c r="K44" s="26">
        <v>0</v>
      </c>
      <c r="L44" s="27">
        <f t="shared" si="7"/>
        <v>0</v>
      </c>
      <c r="M44" s="28"/>
      <c r="N44" s="31">
        <f t="shared" si="2"/>
        <v>0</v>
      </c>
      <c r="O44" s="32"/>
    </row>
    <row r="45" spans="2:17" ht="25.5" x14ac:dyDescent="0.25">
      <c r="B45" s="50" t="s">
        <v>27</v>
      </c>
      <c r="C45" s="51"/>
      <c r="D45" s="51"/>
      <c r="E45" s="51"/>
      <c r="F45" s="52"/>
      <c r="G45" s="53"/>
      <c r="H45" s="54">
        <f>SUM(H38:H44)+H37</f>
        <v>-648.78050000004725</v>
      </c>
      <c r="I45" s="41"/>
      <c r="J45" s="53"/>
      <c r="K45" s="55"/>
      <c r="L45" s="54">
        <f>SUM(L38:L44)+L37</f>
        <v>10707.31033</v>
      </c>
      <c r="M45" s="41"/>
      <c r="N45" s="44">
        <f t="shared" si="2"/>
        <v>11356.090830000048</v>
      </c>
      <c r="O45" s="45">
        <f>-IF((H45)=0,"",(N45/H45))</f>
        <v>17.503748694665177</v>
      </c>
    </row>
    <row r="46" spans="2:17" x14ac:dyDescent="0.25">
      <c r="B46" s="28" t="s">
        <v>28</v>
      </c>
      <c r="C46" s="28"/>
      <c r="D46" s="56" t="s">
        <v>70</v>
      </c>
      <c r="E46" s="57"/>
      <c r="F46" s="29"/>
      <c r="G46" s="289">
        <f>+H16</f>
        <v>6000</v>
      </c>
      <c r="H46" s="27">
        <f>G46*F46</f>
        <v>0</v>
      </c>
      <c r="I46" s="28"/>
      <c r="J46" s="29"/>
      <c r="K46" s="290">
        <f>+G46</f>
        <v>6000</v>
      </c>
      <c r="L46" s="27">
        <f>K46*J46</f>
        <v>0</v>
      </c>
      <c r="M46" s="28"/>
      <c r="N46" s="31">
        <f t="shared" si="2"/>
        <v>0</v>
      </c>
      <c r="O46" s="32" t="str">
        <f t="shared" ref="O46:O63" si="8">IF((H46)=0,"",(N46/H46))</f>
        <v/>
      </c>
    </row>
    <row r="47" spans="2:17" x14ac:dyDescent="0.25">
      <c r="B47" s="59" t="s">
        <v>29</v>
      </c>
      <c r="C47" s="28"/>
      <c r="D47" s="56" t="s">
        <v>70</v>
      </c>
      <c r="E47" s="57"/>
      <c r="F47" s="29"/>
      <c r="G47" s="289">
        <f>G46</f>
        <v>6000</v>
      </c>
      <c r="H47" s="27">
        <f>G47*F47</f>
        <v>0</v>
      </c>
      <c r="I47" s="28"/>
      <c r="J47" s="29"/>
      <c r="K47" s="290">
        <f>K46</f>
        <v>6000</v>
      </c>
      <c r="L47" s="27">
        <f>K47*J47</f>
        <v>0</v>
      </c>
      <c r="M47" s="28"/>
      <c r="N47" s="31">
        <f t="shared" si="2"/>
        <v>0</v>
      </c>
      <c r="O47" s="32" t="str">
        <f t="shared" si="8"/>
        <v/>
      </c>
    </row>
    <row r="48" spans="2:17" x14ac:dyDescent="0.25">
      <c r="B48" s="50" t="s">
        <v>30</v>
      </c>
      <c r="C48" s="36"/>
      <c r="D48" s="36"/>
      <c r="E48" s="36"/>
      <c r="F48" s="60"/>
      <c r="G48" s="53"/>
      <c r="H48" s="54">
        <f>SUM(H45:H47)</f>
        <v>-648.78050000004725</v>
      </c>
      <c r="I48" s="61"/>
      <c r="J48" s="62"/>
      <c r="K48" s="63"/>
      <c r="L48" s="54">
        <f>SUM(L45:L47)</f>
        <v>10707.31033</v>
      </c>
      <c r="M48" s="61"/>
      <c r="N48" s="44">
        <f t="shared" si="2"/>
        <v>11356.090830000048</v>
      </c>
      <c r="O48" s="45">
        <f>-IF((H48)=0,"",(N48/H48))</f>
        <v>17.503748694665177</v>
      </c>
    </row>
    <row r="49" spans="2:19" x14ac:dyDescent="0.25">
      <c r="B49" s="64" t="s">
        <v>31</v>
      </c>
      <c r="C49" s="22"/>
      <c r="D49" s="23" t="s">
        <v>61</v>
      </c>
      <c r="E49" s="24"/>
      <c r="F49" s="65">
        <v>4.4000000000000003E-3</v>
      </c>
      <c r="G49" s="69">
        <f>F16*(1+F72)</f>
        <v>2628074.9999999995</v>
      </c>
      <c r="H49" s="66">
        <f t="shared" ref="H49:H55" si="9">G49*F49</f>
        <v>11563.529999999999</v>
      </c>
      <c r="I49" s="28"/>
      <c r="J49" s="263">
        <f>+F49</f>
        <v>4.4000000000000003E-3</v>
      </c>
      <c r="K49" s="70">
        <f>F16*(1+J72)</f>
        <v>2627290.5</v>
      </c>
      <c r="L49" s="66">
        <f t="shared" ref="L49:L55" si="10">K49*J49</f>
        <v>11560.0782</v>
      </c>
      <c r="M49" s="28"/>
      <c r="N49" s="31">
        <f t="shared" si="2"/>
        <v>-3.4517999999989115</v>
      </c>
      <c r="O49" s="68">
        <f t="shared" si="8"/>
        <v>-2.9850746268647306E-4</v>
      </c>
    </row>
    <row r="50" spans="2:19" x14ac:dyDescent="0.25">
      <c r="B50" s="64" t="s">
        <v>32</v>
      </c>
      <c r="C50" s="22"/>
      <c r="D50" s="23" t="s">
        <v>61</v>
      </c>
      <c r="E50" s="24"/>
      <c r="F50" s="65">
        <v>1.2999999999999999E-3</v>
      </c>
      <c r="G50" s="69">
        <f>G49</f>
        <v>2628074.9999999995</v>
      </c>
      <c r="H50" s="66">
        <f t="shared" si="9"/>
        <v>3416.497499999999</v>
      </c>
      <c r="I50" s="28"/>
      <c r="J50" s="263">
        <f>+F50</f>
        <v>1.2999999999999999E-3</v>
      </c>
      <c r="K50" s="70">
        <f>K49</f>
        <v>2627290.5</v>
      </c>
      <c r="L50" s="66">
        <f t="shared" si="10"/>
        <v>3415.4776499999998</v>
      </c>
      <c r="M50" s="28"/>
      <c r="N50" s="31">
        <f t="shared" si="2"/>
        <v>-1.0198499999992237</v>
      </c>
      <c r="O50" s="68">
        <f t="shared" si="8"/>
        <v>-2.9850746268634003E-4</v>
      </c>
    </row>
    <row r="51" spans="2:19" x14ac:dyDescent="0.25">
      <c r="B51" s="22" t="s">
        <v>33</v>
      </c>
      <c r="C51" s="22"/>
      <c r="D51" s="23" t="s">
        <v>60</v>
      </c>
      <c r="E51" s="24"/>
      <c r="F51" s="176">
        <v>0.25</v>
      </c>
      <c r="G51" s="26">
        <v>1</v>
      </c>
      <c r="H51" s="66">
        <f t="shared" si="9"/>
        <v>0.25</v>
      </c>
      <c r="I51" s="28"/>
      <c r="J51" s="283">
        <f>+F51</f>
        <v>0.25</v>
      </c>
      <c r="K51" s="30">
        <v>1</v>
      </c>
      <c r="L51" s="66">
        <f t="shared" si="10"/>
        <v>0.25</v>
      </c>
      <c r="M51" s="28"/>
      <c r="N51" s="31">
        <f t="shared" si="2"/>
        <v>0</v>
      </c>
      <c r="O51" s="68">
        <f t="shared" si="8"/>
        <v>0</v>
      </c>
    </row>
    <row r="52" spans="2:19" x14ac:dyDescent="0.25">
      <c r="B52" s="24" t="s">
        <v>34</v>
      </c>
      <c r="C52" s="22"/>
      <c r="D52" s="23" t="s">
        <v>61</v>
      </c>
      <c r="E52" s="24"/>
      <c r="F52" s="65">
        <v>7.0000000000000001E-3</v>
      </c>
      <c r="G52" s="69">
        <f>F16</f>
        <v>2615000</v>
      </c>
      <c r="H52" s="66">
        <f t="shared" si="9"/>
        <v>18305</v>
      </c>
      <c r="I52" s="28"/>
      <c r="J52" s="263">
        <f>+F52</f>
        <v>7.0000000000000001E-3</v>
      </c>
      <c r="K52" s="70">
        <f>F16</f>
        <v>2615000</v>
      </c>
      <c r="L52" s="66">
        <f t="shared" si="10"/>
        <v>18305</v>
      </c>
      <c r="M52" s="28"/>
      <c r="N52" s="31">
        <f t="shared" si="2"/>
        <v>0</v>
      </c>
      <c r="O52" s="68">
        <f t="shared" si="8"/>
        <v>0</v>
      </c>
    </row>
    <row r="53" spans="2:19" x14ac:dyDescent="0.25">
      <c r="B53" s="22" t="s">
        <v>98</v>
      </c>
      <c r="C53" s="22"/>
      <c r="D53" s="23" t="s">
        <v>61</v>
      </c>
      <c r="E53" s="24"/>
      <c r="F53" s="305">
        <f>+'GS 50-4999 (60kW)'!F53</f>
        <v>0.10186000000000001</v>
      </c>
      <c r="G53" s="69">
        <f>F16</f>
        <v>2615000</v>
      </c>
      <c r="H53" s="66">
        <f t="shared" si="9"/>
        <v>266363.90000000002</v>
      </c>
      <c r="I53" s="28"/>
      <c r="J53" s="305">
        <f>F53</f>
        <v>0.10186000000000001</v>
      </c>
      <c r="K53" s="69">
        <f>G53</f>
        <v>2615000</v>
      </c>
      <c r="L53" s="66">
        <f t="shared" si="10"/>
        <v>266363.90000000002</v>
      </c>
      <c r="M53" s="28"/>
      <c r="N53" s="31">
        <f t="shared" si="2"/>
        <v>0</v>
      </c>
      <c r="O53" s="68">
        <f t="shared" si="8"/>
        <v>0</v>
      </c>
      <c r="S53" s="72"/>
    </row>
    <row r="54" spans="2:19" x14ac:dyDescent="0.25">
      <c r="B54" s="49" t="s">
        <v>36</v>
      </c>
      <c r="C54" s="22"/>
      <c r="D54" s="23"/>
      <c r="E54" s="24"/>
      <c r="F54" s="71">
        <v>0.104</v>
      </c>
      <c r="G54" s="69">
        <v>0</v>
      </c>
      <c r="H54" s="66">
        <f t="shared" si="9"/>
        <v>0</v>
      </c>
      <c r="I54" s="28"/>
      <c r="J54" s="65">
        <v>0.104</v>
      </c>
      <c r="K54" s="69">
        <v>0</v>
      </c>
      <c r="L54" s="66">
        <f t="shared" si="10"/>
        <v>0</v>
      </c>
      <c r="M54" s="28"/>
      <c r="N54" s="31">
        <f t="shared" si="2"/>
        <v>0</v>
      </c>
      <c r="O54" s="68" t="str">
        <f t="shared" si="8"/>
        <v/>
      </c>
      <c r="S54" s="72"/>
    </row>
    <row r="55" spans="2:19" x14ac:dyDescent="0.25">
      <c r="B55" s="12" t="s">
        <v>37</v>
      </c>
      <c r="C55" s="22"/>
      <c r="D55" s="23"/>
      <c r="E55" s="24"/>
      <c r="F55" s="71">
        <v>0.124</v>
      </c>
      <c r="G55" s="69">
        <v>0</v>
      </c>
      <c r="H55" s="66">
        <f t="shared" si="9"/>
        <v>0</v>
      </c>
      <c r="I55" s="28"/>
      <c r="J55" s="65">
        <v>0.124</v>
      </c>
      <c r="K55" s="69">
        <v>0</v>
      </c>
      <c r="L55" s="66">
        <f t="shared" si="10"/>
        <v>0</v>
      </c>
      <c r="M55" s="28"/>
      <c r="N55" s="31">
        <f t="shared" si="2"/>
        <v>0</v>
      </c>
      <c r="O55" s="68" t="str">
        <f t="shared" si="8"/>
        <v/>
      </c>
      <c r="S55" s="72"/>
    </row>
    <row r="56" spans="2:19" s="73" customFormat="1" x14ac:dyDescent="0.2">
      <c r="B56" s="180" t="s">
        <v>38</v>
      </c>
      <c r="C56" s="75"/>
      <c r="D56" s="76"/>
      <c r="E56" s="77"/>
      <c r="F56" s="71">
        <v>7.4999999999999997E-2</v>
      </c>
      <c r="G56" s="78"/>
      <c r="H56" s="66">
        <f>G56*F56</f>
        <v>0</v>
      </c>
      <c r="I56" s="79"/>
      <c r="J56" s="65">
        <v>7.4999999999999997E-2</v>
      </c>
      <c r="K56" s="78">
        <f>G56</f>
        <v>0</v>
      </c>
      <c r="L56" s="66">
        <f>K56*J56</f>
        <v>0</v>
      </c>
      <c r="M56" s="79"/>
      <c r="N56" s="80">
        <f t="shared" si="2"/>
        <v>0</v>
      </c>
      <c r="O56" s="68" t="str">
        <f t="shared" si="8"/>
        <v/>
      </c>
    </row>
    <row r="57" spans="2:19" s="73" customFormat="1" ht="15.75" thickBot="1" x14ac:dyDescent="0.25">
      <c r="B57" s="180" t="s">
        <v>39</v>
      </c>
      <c r="C57" s="75"/>
      <c r="D57" s="76"/>
      <c r="E57" s="77"/>
      <c r="F57" s="71">
        <v>8.7999999999999995E-2</v>
      </c>
      <c r="G57" s="78"/>
      <c r="H57" s="66">
        <f>G57*F57</f>
        <v>0</v>
      </c>
      <c r="I57" s="79"/>
      <c r="J57" s="65">
        <v>8.7999999999999995E-2</v>
      </c>
      <c r="K57" s="78">
        <f>G57</f>
        <v>0</v>
      </c>
      <c r="L57" s="66">
        <f>K57*J57</f>
        <v>0</v>
      </c>
      <c r="M57" s="79"/>
      <c r="N57" s="80">
        <f t="shared" si="2"/>
        <v>0</v>
      </c>
      <c r="O57" s="68" t="str">
        <f t="shared" si="8"/>
        <v/>
      </c>
    </row>
    <row r="58" spans="2:19" ht="15.75" thickBot="1" x14ac:dyDescent="0.3">
      <c r="B58" s="81"/>
      <c r="C58" s="82"/>
      <c r="D58" s="83"/>
      <c r="E58" s="82"/>
      <c r="F58" s="84"/>
      <c r="G58" s="85"/>
      <c r="H58" s="86"/>
      <c r="I58" s="87"/>
      <c r="J58" s="84"/>
      <c r="K58" s="88"/>
      <c r="L58" s="86"/>
      <c r="M58" s="87"/>
      <c r="N58" s="89"/>
      <c r="O58" s="90"/>
    </row>
    <row r="59" spans="2:19" x14ac:dyDescent="0.25">
      <c r="B59" s="91" t="s">
        <v>40</v>
      </c>
      <c r="C59" s="22"/>
      <c r="D59" s="22"/>
      <c r="E59" s="22"/>
      <c r="F59" s="92"/>
      <c r="G59" s="93"/>
      <c r="H59" s="94">
        <f>SUM(H49:H55,H48)</f>
        <v>299000.39699999994</v>
      </c>
      <c r="I59" s="95"/>
      <c r="J59" s="96"/>
      <c r="K59" s="96"/>
      <c r="L59" s="94">
        <f>SUM(L49:L55,L48)</f>
        <v>310352.01618000004</v>
      </c>
      <c r="M59" s="97"/>
      <c r="N59" s="98">
        <f>L59-H59</f>
        <v>11351.619180000096</v>
      </c>
      <c r="O59" s="99">
        <f>IF((H59)=0,"",(N59/H59))</f>
        <v>3.7965231129777059E-2</v>
      </c>
      <c r="S59" s="72"/>
    </row>
    <row r="60" spans="2:19" x14ac:dyDescent="0.25">
      <c r="B60" s="100" t="s">
        <v>41</v>
      </c>
      <c r="C60" s="22"/>
      <c r="D60" s="22"/>
      <c r="E60" s="22"/>
      <c r="F60" s="101">
        <v>0.13</v>
      </c>
      <c r="G60" s="102"/>
      <c r="H60" s="103">
        <f>H59*F60</f>
        <v>38870.051609999995</v>
      </c>
      <c r="I60" s="104"/>
      <c r="J60" s="105">
        <v>0.13</v>
      </c>
      <c r="K60" s="104"/>
      <c r="L60" s="106">
        <f>L59*J60</f>
        <v>40345.762103400004</v>
      </c>
      <c r="M60" s="107"/>
      <c r="N60" s="108">
        <f t="shared" si="2"/>
        <v>1475.710493400009</v>
      </c>
      <c r="O60" s="109">
        <f t="shared" si="8"/>
        <v>3.7965231129776962E-2</v>
      </c>
      <c r="S60" s="72"/>
    </row>
    <row r="61" spans="2:19" x14ac:dyDescent="0.25">
      <c r="B61" s="110" t="s">
        <v>42</v>
      </c>
      <c r="C61" s="22"/>
      <c r="D61" s="22"/>
      <c r="E61" s="22"/>
      <c r="F61" s="111"/>
      <c r="G61" s="102"/>
      <c r="H61" s="103">
        <f>H59+H60</f>
        <v>337870.44860999996</v>
      </c>
      <c r="I61" s="104"/>
      <c r="J61" s="104"/>
      <c r="K61" s="104"/>
      <c r="L61" s="106">
        <f>L59+L60</f>
        <v>350697.77828340005</v>
      </c>
      <c r="M61" s="107"/>
      <c r="N61" s="108">
        <f t="shared" si="2"/>
        <v>12827.329673400091</v>
      </c>
      <c r="O61" s="109">
        <f t="shared" si="8"/>
        <v>3.7965231129776997E-2</v>
      </c>
      <c r="S61" s="72"/>
    </row>
    <row r="62" spans="2:19" x14ac:dyDescent="0.25">
      <c r="B62" s="388" t="s">
        <v>43</v>
      </c>
      <c r="C62" s="388"/>
      <c r="D62" s="388"/>
      <c r="E62" s="22"/>
      <c r="F62" s="111"/>
      <c r="G62" s="102"/>
      <c r="H62" s="112"/>
      <c r="I62" s="104"/>
      <c r="J62" s="104"/>
      <c r="K62" s="104"/>
      <c r="L62" s="113"/>
      <c r="M62" s="107"/>
      <c r="N62" s="114">
        <f t="shared" si="2"/>
        <v>0</v>
      </c>
      <c r="O62" s="115" t="str">
        <f t="shared" si="8"/>
        <v/>
      </c>
    </row>
    <row r="63" spans="2:19" ht="15.75" thickBot="1" x14ac:dyDescent="0.3">
      <c r="B63" s="384" t="s">
        <v>44</v>
      </c>
      <c r="C63" s="384"/>
      <c r="D63" s="384"/>
      <c r="E63" s="116"/>
      <c r="F63" s="117"/>
      <c r="G63" s="118"/>
      <c r="H63" s="119">
        <f>H61+H62</f>
        <v>337870.44860999996</v>
      </c>
      <c r="I63" s="120"/>
      <c r="J63" s="120"/>
      <c r="K63" s="120"/>
      <c r="L63" s="121">
        <f>L61+L62</f>
        <v>350697.77828340005</v>
      </c>
      <c r="M63" s="122"/>
      <c r="N63" s="123">
        <f t="shared" si="2"/>
        <v>12827.329673400091</v>
      </c>
      <c r="O63" s="124">
        <f t="shared" si="8"/>
        <v>3.7965231129776997E-2</v>
      </c>
    </row>
    <row r="64" spans="2:19" s="73" customFormat="1" ht="15.75" thickBot="1" x14ac:dyDescent="0.25">
      <c r="B64" s="125"/>
      <c r="C64" s="126"/>
      <c r="D64" s="127"/>
      <c r="E64" s="126"/>
      <c r="F64" s="84"/>
      <c r="G64" s="128"/>
      <c r="H64" s="86"/>
      <c r="I64" s="129"/>
      <c r="J64" s="84"/>
      <c r="K64" s="130"/>
      <c r="L64" s="86"/>
      <c r="M64" s="129"/>
      <c r="N64" s="131"/>
      <c r="O64" s="90"/>
    </row>
    <row r="65" spans="1:15" s="73" customFormat="1" ht="12.75" x14ac:dyDescent="0.2">
      <c r="B65" s="132" t="s">
        <v>45</v>
      </c>
      <c r="C65" s="75"/>
      <c r="D65" s="75"/>
      <c r="E65" s="75"/>
      <c r="F65" s="133"/>
      <c r="G65" s="134"/>
      <c r="H65" s="135">
        <f>SUM(H53,H48,H49:H52)</f>
        <v>299000.39699999994</v>
      </c>
      <c r="I65" s="136"/>
      <c r="J65" s="137"/>
      <c r="K65" s="137"/>
      <c r="L65" s="189">
        <f>SUM(L53,L48,L49:L52)</f>
        <v>310352.01618000004</v>
      </c>
      <c r="M65" s="138"/>
      <c r="N65" s="139">
        <f>L65-H65</f>
        <v>11351.619180000096</v>
      </c>
      <c r="O65" s="99">
        <f>IF((H65)=0,"",(N65/H65))</f>
        <v>3.7965231129777059E-2</v>
      </c>
    </row>
    <row r="66" spans="1:15" s="73" customFormat="1" ht="12.75" x14ac:dyDescent="0.2">
      <c r="B66" s="140" t="s">
        <v>41</v>
      </c>
      <c r="C66" s="75"/>
      <c r="D66" s="75"/>
      <c r="E66" s="75"/>
      <c r="F66" s="141">
        <v>0.13</v>
      </c>
      <c r="G66" s="134"/>
      <c r="H66" s="142">
        <f>H65*F66</f>
        <v>38870.051609999995</v>
      </c>
      <c r="I66" s="143"/>
      <c r="J66" s="144">
        <v>0.13</v>
      </c>
      <c r="K66" s="145"/>
      <c r="L66" s="146">
        <f>L65*J66</f>
        <v>40345.762103400004</v>
      </c>
      <c r="M66" s="147"/>
      <c r="N66" s="148">
        <f>L66-H66</f>
        <v>1475.710493400009</v>
      </c>
      <c r="O66" s="109">
        <f>IF((H66)=0,"",(N66/H66))</f>
        <v>3.7965231129776962E-2</v>
      </c>
    </row>
    <row r="67" spans="1:15" s="73" customFormat="1" ht="12.75" x14ac:dyDescent="0.2">
      <c r="B67" s="149" t="s">
        <v>42</v>
      </c>
      <c r="C67" s="75"/>
      <c r="D67" s="75"/>
      <c r="E67" s="75"/>
      <c r="F67" s="150"/>
      <c r="G67" s="151"/>
      <c r="H67" s="142">
        <f>H65+H66</f>
        <v>337870.44860999996</v>
      </c>
      <c r="I67" s="143"/>
      <c r="J67" s="143"/>
      <c r="K67" s="143"/>
      <c r="L67" s="146">
        <f>L65+L66</f>
        <v>350697.77828340005</v>
      </c>
      <c r="M67" s="147"/>
      <c r="N67" s="148">
        <f>L67-H67</f>
        <v>12827.329673400091</v>
      </c>
      <c r="O67" s="109">
        <f>IF((H67)=0,"",(N67/H67))</f>
        <v>3.7965231129776997E-2</v>
      </c>
    </row>
    <row r="68" spans="1:15" s="73" customFormat="1" ht="12.75" x14ac:dyDescent="0.2">
      <c r="B68" s="389" t="s">
        <v>43</v>
      </c>
      <c r="C68" s="389"/>
      <c r="D68" s="389"/>
      <c r="E68" s="75"/>
      <c r="F68" s="150"/>
      <c r="G68" s="151"/>
      <c r="H68" s="152"/>
      <c r="I68" s="143"/>
      <c r="J68" s="143"/>
      <c r="K68" s="143"/>
      <c r="L68" s="153"/>
      <c r="M68" s="147"/>
      <c r="N68" s="154">
        <f>L68-H68</f>
        <v>0</v>
      </c>
      <c r="O68" s="115" t="str">
        <f>IF((H68)=0,"",(N68/H68))</f>
        <v/>
      </c>
    </row>
    <row r="69" spans="1:15" s="73" customFormat="1" ht="13.5" thickBot="1" x14ac:dyDescent="0.25">
      <c r="B69" s="376" t="s">
        <v>46</v>
      </c>
      <c r="C69" s="376"/>
      <c r="D69" s="376"/>
      <c r="E69" s="155"/>
      <c r="F69" s="156"/>
      <c r="G69" s="157"/>
      <c r="H69" s="158">
        <f>SUM(H67:H68)</f>
        <v>337870.44860999996</v>
      </c>
      <c r="I69" s="159"/>
      <c r="J69" s="159"/>
      <c r="K69" s="159"/>
      <c r="L69" s="160">
        <f>SUM(L67:L68)</f>
        <v>350697.77828340005</v>
      </c>
      <c r="M69" s="161"/>
      <c r="N69" s="162">
        <f>L69-H69</f>
        <v>12827.329673400091</v>
      </c>
      <c r="O69" s="163">
        <f>IF((H69)=0,"",(N69/H69))</f>
        <v>3.7965231129776997E-2</v>
      </c>
    </row>
    <row r="70" spans="1:15" s="73" customFormat="1" ht="15.75" thickBot="1" x14ac:dyDescent="0.25">
      <c r="B70" s="125"/>
      <c r="C70" s="126"/>
      <c r="D70" s="127"/>
      <c r="E70" s="126"/>
      <c r="F70" s="164"/>
      <c r="G70" s="165"/>
      <c r="H70" s="166"/>
      <c r="I70" s="167"/>
      <c r="J70" s="164"/>
      <c r="K70" s="128"/>
      <c r="L70" s="168"/>
      <c r="M70" s="129"/>
      <c r="N70" s="169"/>
      <c r="O70" s="90"/>
    </row>
    <row r="71" spans="1:15" x14ac:dyDescent="0.25">
      <c r="L71" s="72"/>
    </row>
    <row r="72" spans="1:15" x14ac:dyDescent="0.25">
      <c r="B72" s="13" t="s">
        <v>47</v>
      </c>
      <c r="F72" s="170">
        <f>+'LU (14,500kW)'!F72</f>
        <v>5.0000000000000001E-3</v>
      </c>
      <c r="J72" s="338">
        <v>4.7000000000000002E-3</v>
      </c>
    </row>
    <row r="74" spans="1:15" x14ac:dyDescent="0.25">
      <c r="A74" s="171" t="s">
        <v>48</v>
      </c>
    </row>
    <row r="76" spans="1:15" x14ac:dyDescent="0.25">
      <c r="A76" s="7" t="s">
        <v>49</v>
      </c>
    </row>
    <row r="77" spans="1:15" x14ac:dyDescent="0.25">
      <c r="A77" s="7" t="s">
        <v>50</v>
      </c>
    </row>
    <row r="79" spans="1:15" x14ac:dyDescent="0.25">
      <c r="A79" s="12" t="s">
        <v>51</v>
      </c>
    </row>
    <row r="80" spans="1:15" x14ac:dyDescent="0.25">
      <c r="A80" s="12" t="s">
        <v>52</v>
      </c>
    </row>
    <row r="82" spans="1:2" x14ac:dyDescent="0.25">
      <c r="A82" s="7" t="s">
        <v>53</v>
      </c>
    </row>
    <row r="83" spans="1:2" x14ac:dyDescent="0.25">
      <c r="A83" s="7" t="s">
        <v>54</v>
      </c>
    </row>
    <row r="84" spans="1:2" x14ac:dyDescent="0.25">
      <c r="A84" s="7" t="s">
        <v>55</v>
      </c>
    </row>
    <row r="85" spans="1:2" x14ac:dyDescent="0.25">
      <c r="A85" s="7" t="s">
        <v>56</v>
      </c>
    </row>
    <row r="86" spans="1:2" x14ac:dyDescent="0.25">
      <c r="A86" s="7" t="s">
        <v>57</v>
      </c>
    </row>
    <row r="88" spans="1:2" x14ac:dyDescent="0.25">
      <c r="A88" s="172"/>
      <c r="B88" s="7" t="s">
        <v>58</v>
      </c>
    </row>
  </sheetData>
  <mergeCells count="17">
    <mergeCell ref="B62:D62"/>
    <mergeCell ref="B63:D63"/>
    <mergeCell ref="B68:D68"/>
    <mergeCell ref="B69:D69"/>
    <mergeCell ref="D12:O12"/>
    <mergeCell ref="F18:H18"/>
    <mergeCell ref="J18:L18"/>
    <mergeCell ref="N18:O18"/>
    <mergeCell ref="D19:D20"/>
    <mergeCell ref="N19:N20"/>
    <mergeCell ref="O19:O20"/>
    <mergeCell ref="B9:O9"/>
    <mergeCell ref="N1:O1"/>
    <mergeCell ref="N2:O2"/>
    <mergeCell ref="N5:O5"/>
    <mergeCell ref="B8:O8"/>
    <mergeCell ref="N3:O3"/>
  </mergeCells>
  <dataValidations count="4">
    <dataValidation type="list" allowBlank="1" showInputMessage="1" showErrorMessage="1" sqref="D14">
      <formula1>"TOU, non-TOU"</formula1>
    </dataValidation>
    <dataValidation type="list" allowBlank="1" showInputMessage="1" showErrorMessage="1" sqref="E70 E64 E56:E57">
      <formula1>#REF!</formula1>
    </dataValidation>
    <dataValidation type="list" allowBlank="1" showInputMessage="1" showErrorMessage="1" prompt="Select Charge Unit - monthly, per kWh, per kW" sqref="D46:D47 D38:D44 D64 D21:D36 D70 D49:D58">
      <formula1>"Monthly, per kWh, per kW"</formula1>
    </dataValidation>
    <dataValidation type="list" allowBlank="1" showInputMessage="1" showErrorMessage="1" sqref="E46:E47 E38:E44 E21:E36 E49:E55 E58">
      <formula1>#REF!</formula1>
    </dataValidation>
  </dataValidations>
  <pageMargins left="0.7" right="0.7" top="0.75" bottom="0.75" header="0.3" footer="0.3"/>
  <pageSetup scale="57" orientation="portrait" verticalDpi="4" r:id="rId1"/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FFCC"/>
    <pageSetUpPr fitToPage="1"/>
  </sheetPr>
  <dimension ref="B1:L48"/>
  <sheetViews>
    <sheetView showGridLines="0" topLeftCell="A9" workbookViewId="0">
      <pane xSplit="4" ySplit="1" topLeftCell="E10" activePane="bottomRight" state="frozen"/>
      <selection activeCell="F37" sqref="F37"/>
      <selection pane="topRight" activeCell="F37" sqref="F37"/>
      <selection pane="bottomLeft" activeCell="F37" sqref="F37"/>
      <selection pane="bottomRight" activeCell="L10" sqref="L10"/>
    </sheetView>
  </sheetViews>
  <sheetFormatPr defaultColWidth="9.140625" defaultRowHeight="14.25" x14ac:dyDescent="0.2"/>
  <cols>
    <col min="1" max="2" width="9.140625" style="205"/>
    <col min="3" max="3" width="10.42578125" style="205" customWidth="1"/>
    <col min="4" max="4" width="11.5703125" style="205" bestFit="1" customWidth="1"/>
    <col min="5" max="5" width="7.5703125" style="205" bestFit="1" customWidth="1"/>
    <col min="6" max="6" width="15" style="205" customWidth="1"/>
    <col min="7" max="8" width="14.5703125" style="205" bestFit="1" customWidth="1"/>
    <col min="9" max="9" width="14.7109375" style="205" customWidth="1"/>
    <col min="10" max="10" width="18" style="205" customWidth="1"/>
    <col min="11" max="11" width="15.85546875" style="205" bestFit="1" customWidth="1"/>
    <col min="12" max="12" width="15.85546875" style="205" customWidth="1"/>
    <col min="13" max="16384" width="9.140625" style="205"/>
  </cols>
  <sheetData>
    <row r="1" spans="2:12" ht="13.9" x14ac:dyDescent="0.25">
      <c r="G1" s="392"/>
      <c r="H1" s="392"/>
      <c r="I1" s="392"/>
      <c r="J1" s="392"/>
    </row>
    <row r="2" spans="2:12" ht="13.9" x14ac:dyDescent="0.25">
      <c r="H2" s="206" t="s">
        <v>0</v>
      </c>
      <c r="I2" s="198"/>
      <c r="J2" s="198"/>
    </row>
    <row r="3" spans="2:12" ht="13.9" x14ac:dyDescent="0.25">
      <c r="H3" s="206" t="s">
        <v>83</v>
      </c>
      <c r="I3" s="199"/>
      <c r="J3" s="199"/>
    </row>
    <row r="4" spans="2:12" ht="13.9" x14ac:dyDescent="0.25">
      <c r="H4" s="206" t="s">
        <v>75</v>
      </c>
      <c r="I4" s="202"/>
    </row>
    <row r="5" spans="2:12" ht="13.9" x14ac:dyDescent="0.25">
      <c r="H5" s="206"/>
      <c r="I5" s="200"/>
      <c r="J5" s="200"/>
    </row>
    <row r="6" spans="2:12" ht="13.9" x14ac:dyDescent="0.25">
      <c r="H6" s="206" t="s">
        <v>76</v>
      </c>
      <c r="I6" s="200"/>
      <c r="J6" s="200"/>
    </row>
    <row r="7" spans="2:12" ht="13.9" x14ac:dyDescent="0.25">
      <c r="I7" s="206"/>
      <c r="J7" s="207"/>
    </row>
    <row r="8" spans="2:12" ht="15" thickBot="1" x14ac:dyDescent="0.25"/>
    <row r="9" spans="2:12" ht="47.25" customHeight="1" thickBot="1" x14ac:dyDescent="0.25">
      <c r="B9" s="393" t="s">
        <v>77</v>
      </c>
      <c r="C9" s="394"/>
      <c r="D9" s="276" t="s">
        <v>78</v>
      </c>
      <c r="E9" s="277" t="s">
        <v>69</v>
      </c>
      <c r="F9" s="276" t="s">
        <v>79</v>
      </c>
      <c r="G9" s="277" t="s">
        <v>86</v>
      </c>
      <c r="H9" s="276" t="s">
        <v>87</v>
      </c>
      <c r="I9" s="277" t="s">
        <v>80</v>
      </c>
      <c r="J9" s="276" t="s">
        <v>92</v>
      </c>
      <c r="K9" s="276" t="s">
        <v>99</v>
      </c>
      <c r="L9" s="276" t="s">
        <v>100</v>
      </c>
    </row>
    <row r="10" spans="2:12" x14ac:dyDescent="0.2">
      <c r="B10" s="208"/>
      <c r="C10" s="209"/>
      <c r="D10" s="210"/>
      <c r="E10" s="211"/>
      <c r="F10" s="212"/>
      <c r="G10" s="209"/>
      <c r="H10" s="212"/>
      <c r="I10" s="209"/>
      <c r="J10" s="212"/>
      <c r="K10" s="212"/>
      <c r="L10" s="212"/>
    </row>
    <row r="11" spans="2:12" x14ac:dyDescent="0.2">
      <c r="B11" s="395" t="s">
        <v>59</v>
      </c>
      <c r="C11" s="396"/>
      <c r="D11" s="213">
        <v>100</v>
      </c>
      <c r="E11" s="211"/>
      <c r="F11" s="212"/>
      <c r="G11" s="214">
        <f>'Res (100kWh)'!H64</f>
        <v>32.890611119999996</v>
      </c>
      <c r="H11" s="215">
        <f>'Res (100kWh)'!L64</f>
        <v>35.663268690054807</v>
      </c>
      <c r="I11" s="214">
        <f>H11-G11</f>
        <v>2.7726575700548111</v>
      </c>
      <c r="J11" s="216">
        <f>I11/G11</f>
        <v>8.4299363120341184E-2</v>
      </c>
      <c r="K11" s="216">
        <f>+'Res (100kWh)'!O37</f>
        <v>0.13658644894490496</v>
      </c>
      <c r="L11" s="216">
        <f>+'Res (100kWh)'!O46</f>
        <v>0.13597111838456144</v>
      </c>
    </row>
    <row r="12" spans="2:12" x14ac:dyDescent="0.2">
      <c r="B12" s="397" t="s">
        <v>81</v>
      </c>
      <c r="C12" s="398"/>
      <c r="D12" s="213">
        <v>250</v>
      </c>
      <c r="E12" s="211"/>
      <c r="F12" s="212"/>
      <c r="G12" s="214">
        <f>'Res (250kWh)'!H64</f>
        <v>54.228277800000001</v>
      </c>
      <c r="H12" s="215">
        <f>'Res (250kWh)'!L64</f>
        <v>56.380772050054823</v>
      </c>
      <c r="I12" s="214">
        <f t="shared" ref="I12:I17" si="0">H12-G12</f>
        <v>2.1524942500548221</v>
      </c>
      <c r="J12" s="216">
        <f t="shared" ref="J12:J17" si="1">I12/G12</f>
        <v>3.9693206890940982E-2</v>
      </c>
      <c r="K12" s="216">
        <f>+'Res (250kWh)'!O37</f>
        <v>8.4228732113247717E-2</v>
      </c>
      <c r="L12" s="216">
        <f>+'Res (250kWh)'!O46</f>
        <v>9.2959933164085851E-2</v>
      </c>
    </row>
    <row r="13" spans="2:12" x14ac:dyDescent="0.2">
      <c r="B13" s="208"/>
      <c r="C13" s="209"/>
      <c r="D13" s="213">
        <v>500</v>
      </c>
      <c r="E13" s="211"/>
      <c r="F13" s="212"/>
      <c r="G13" s="214">
        <f>'Res (500kWh)'!H64</f>
        <v>89.781055600000002</v>
      </c>
      <c r="H13" s="215">
        <f>'Res (500kWh)'!L64</f>
        <v>90.903277650054818</v>
      </c>
      <c r="I13" s="214">
        <f t="shared" si="0"/>
        <v>1.1222220500548161</v>
      </c>
      <c r="J13" s="216">
        <f t="shared" si="1"/>
        <v>1.2499541719075268E-2</v>
      </c>
      <c r="K13" s="216">
        <f>+'Res (500kWh)'!O37</f>
        <v>2.178672928969002E-2</v>
      </c>
      <c r="L13" s="216">
        <f>+'Res (500kWh)'!O46</f>
        <v>4.2729401041566833E-2</v>
      </c>
    </row>
    <row r="14" spans="2:12" x14ac:dyDescent="0.2">
      <c r="B14" s="208"/>
      <c r="C14" s="209"/>
      <c r="D14" s="244">
        <v>800</v>
      </c>
      <c r="E14" s="211"/>
      <c r="F14" s="212"/>
      <c r="G14" s="214">
        <f>'Res (800kWh)'!H64</f>
        <v>132.45638896</v>
      </c>
      <c r="H14" s="215">
        <f>'Res (800kWh)'!L64</f>
        <v>132.33828437005485</v>
      </c>
      <c r="I14" s="214">
        <f t="shared" si="0"/>
        <v>-0.11810458994514761</v>
      </c>
      <c r="J14" s="245">
        <f t="shared" si="1"/>
        <v>-8.9164887305521795E-4</v>
      </c>
      <c r="K14" s="245">
        <f>+'Res (800kWh)'!O37</f>
        <v>-2.8990747200948977E-2</v>
      </c>
      <c r="L14" s="245">
        <f>+'Res (800kWh)'!O46</f>
        <v>2.7108292682683009E-3</v>
      </c>
    </row>
    <row r="15" spans="2:12" x14ac:dyDescent="0.2">
      <c r="B15" s="208"/>
      <c r="C15" s="209"/>
      <c r="D15" s="217">
        <v>1000</v>
      </c>
      <c r="E15" s="211"/>
      <c r="F15" s="212"/>
      <c r="G15" s="214">
        <f>'Res (1,000kWh)'!H64</f>
        <v>160.90661120000001</v>
      </c>
      <c r="H15" s="215">
        <f>'Res (1,000kWh)'!L64</f>
        <v>159.9582888500548</v>
      </c>
      <c r="I15" s="214">
        <f t="shared" si="0"/>
        <v>-0.94832234994521514</v>
      </c>
      <c r="J15" s="216">
        <f t="shared" si="1"/>
        <v>-5.8936195528130984E-3</v>
      </c>
      <c r="K15" s="216">
        <f>+'Res (1,000kWh)'!O37</f>
        <v>-5.3963429038146854E-2</v>
      </c>
      <c r="L15" s="216">
        <f>+'Res (1,000kWh)'!O46</f>
        <v>-1.6704626586112332E-2</v>
      </c>
    </row>
    <row r="16" spans="2:12" x14ac:dyDescent="0.2">
      <c r="B16" s="208"/>
      <c r="C16" s="209"/>
      <c r="D16" s="217">
        <v>1500</v>
      </c>
      <c r="E16" s="211"/>
      <c r="F16" s="212"/>
      <c r="G16" s="214">
        <f>'Res (1,500kWh)'!H64</f>
        <v>232.0321668</v>
      </c>
      <c r="H16" s="215">
        <f>'Res (1,500kWh)'!L64</f>
        <v>229.0033000500548</v>
      </c>
      <c r="I16" s="214">
        <f t="shared" si="0"/>
        <v>-3.0288667499451947</v>
      </c>
      <c r="J16" s="216">
        <f t="shared" si="1"/>
        <v>-1.3053650240468274E-2</v>
      </c>
      <c r="K16" s="216">
        <f>+'Res (1,500kWh)'!O37</f>
        <v>-9.8233430184484868E-2</v>
      </c>
      <c r="L16" s="216">
        <f>+'Res (1,500kWh)'!O46</f>
        <v>-5.07013559206227E-2</v>
      </c>
    </row>
    <row r="17" spans="2:12" x14ac:dyDescent="0.2">
      <c r="B17" s="208"/>
      <c r="C17" s="209"/>
      <c r="D17" s="217">
        <v>2000</v>
      </c>
      <c r="E17" s="211"/>
      <c r="F17" s="212"/>
      <c r="G17" s="214">
        <f>'Res (2,000kWh)'!H64</f>
        <v>303.15772240000007</v>
      </c>
      <c r="H17" s="215">
        <f>'Res (2,000kWh)'!L64</f>
        <v>298.05831125005483</v>
      </c>
      <c r="I17" s="214">
        <f t="shared" si="0"/>
        <v>-5.0994111499452401</v>
      </c>
      <c r="J17" s="216">
        <f t="shared" si="1"/>
        <v>-1.6820983841595319E-2</v>
      </c>
      <c r="K17" s="216">
        <f>+'Res (2,000kWh)'!O37</f>
        <v>-0.12727091427272422</v>
      </c>
      <c r="L17" s="216">
        <f>+'Res (2,000kWh)'!O46</f>
        <v>-7.2712598593569641E-2</v>
      </c>
    </row>
    <row r="18" spans="2:12" x14ac:dyDescent="0.2">
      <c r="B18" s="218"/>
      <c r="C18" s="219"/>
      <c r="D18" s="220"/>
      <c r="E18" s="221"/>
      <c r="F18" s="222"/>
      <c r="G18" s="223"/>
      <c r="H18" s="224"/>
      <c r="I18" s="223"/>
      <c r="J18" s="225"/>
      <c r="K18" s="225"/>
      <c r="L18" s="225"/>
    </row>
    <row r="19" spans="2:12" x14ac:dyDescent="0.2">
      <c r="B19" s="226"/>
      <c r="C19" s="227"/>
      <c r="D19" s="228"/>
      <c r="E19" s="229"/>
      <c r="F19" s="230"/>
      <c r="G19" s="231"/>
      <c r="H19" s="232"/>
      <c r="I19" s="231"/>
      <c r="J19" s="233"/>
      <c r="K19" s="233"/>
      <c r="L19" s="233"/>
    </row>
    <row r="20" spans="2:12" x14ac:dyDescent="0.2">
      <c r="B20" s="399" t="s">
        <v>67</v>
      </c>
      <c r="C20" s="400"/>
      <c r="D20" s="217">
        <v>1000</v>
      </c>
      <c r="E20" s="211"/>
      <c r="F20" s="212"/>
      <c r="G20" s="214">
        <f>'GS&lt;50 (1,000kWh)'!H64</f>
        <v>175.52882440000002</v>
      </c>
      <c r="H20" s="215">
        <f>'GS&lt;50 (1,000kWh)'!L64</f>
        <v>173.59879973690795</v>
      </c>
      <c r="I20" s="214">
        <f>H20-G20</f>
        <v>-1.9300246630920697</v>
      </c>
      <c r="J20" s="216">
        <f>I20/G20</f>
        <v>-1.0995485611490653E-2</v>
      </c>
      <c r="K20" s="216">
        <f>+'GS&lt;50 (1,000kWh)'!O37</f>
        <v>-5.8504391637272141E-2</v>
      </c>
      <c r="L20" s="216">
        <f>+'GS&lt;50 (1,000kWh)'!O46</f>
        <v>-2.9516914973835899E-2</v>
      </c>
    </row>
    <row r="21" spans="2:12" x14ac:dyDescent="0.2">
      <c r="B21" s="397" t="s">
        <v>81</v>
      </c>
      <c r="C21" s="398"/>
      <c r="D21" s="247">
        <v>2000</v>
      </c>
      <c r="E21" s="211"/>
      <c r="F21" s="212"/>
      <c r="G21" s="214">
        <f>'GS&lt;50 (2,000kWh)'!H64</f>
        <v>311.89134880000006</v>
      </c>
      <c r="H21" s="215">
        <f>'GS&lt;50 (2,000kWh)'!L64</f>
        <v>312.23350673690794</v>
      </c>
      <c r="I21" s="214">
        <f>H21-G21</f>
        <v>0.34215793690788132</v>
      </c>
      <c r="J21" s="248">
        <f>I21/G21</f>
        <v>1.0970420892542603E-3</v>
      </c>
      <c r="K21" s="248">
        <f>+'GS&lt;50 (2,000kWh)'!O37</f>
        <v>-2.9192771494311258E-2</v>
      </c>
      <c r="L21" s="248">
        <f>+'GS&lt;50 (2,000kWh)'!O46</f>
        <v>1.2196570863080887E-2</v>
      </c>
    </row>
    <row r="22" spans="2:12" x14ac:dyDescent="0.2">
      <c r="B22" s="208"/>
      <c r="C22" s="209"/>
      <c r="D22" s="217">
        <v>5000</v>
      </c>
      <c r="E22" s="211"/>
      <c r="F22" s="212"/>
      <c r="G22" s="214">
        <f>'GS&lt;50 (5,000kWh)'!H64</f>
        <v>720.96892200000002</v>
      </c>
      <c r="H22" s="215">
        <f>'GS&lt;50 (5,000kWh)'!L64</f>
        <v>728.12762773690793</v>
      </c>
      <c r="I22" s="214">
        <f>H22-G22</f>
        <v>7.1587057369079048</v>
      </c>
      <c r="J22" s="216">
        <f>I22/G22</f>
        <v>9.929284770069333E-3</v>
      </c>
      <c r="K22" s="216">
        <f>+'GS&lt;50 (5,000kWh)'!O37</f>
        <v>1.2639375133556691E-2</v>
      </c>
      <c r="L22" s="216">
        <f>+'GS&lt;50 (5,000kWh)'!O46</f>
        <v>6.8569172377416235E-2</v>
      </c>
    </row>
    <row r="23" spans="2:12" x14ac:dyDescent="0.2">
      <c r="B23" s="208"/>
      <c r="C23" s="209"/>
      <c r="D23" s="217">
        <v>10000</v>
      </c>
      <c r="E23" s="211"/>
      <c r="F23" s="212"/>
      <c r="G23" s="214">
        <f>'GS&lt;50 (10,000kWh)'!H64</f>
        <v>1402.7815440000004</v>
      </c>
      <c r="H23" s="215">
        <f>'GS&lt;50 (10,000kWh)'!L64</f>
        <v>1421.2811627369081</v>
      </c>
      <c r="I23" s="214">
        <f>H23-G23</f>
        <v>18.499618736907678</v>
      </c>
      <c r="J23" s="216">
        <f>I23/G23</f>
        <v>1.3187811613315375E-2</v>
      </c>
      <c r="K23" s="216">
        <f>+'GS&lt;50 (10,000kWh)'!O37</f>
        <v>3.8196104153582724E-2</v>
      </c>
      <c r="L23" s="216">
        <f>+'GS&lt;50 (10,000kWh)'!O46</f>
        <v>0.10131053102027895</v>
      </c>
    </row>
    <row r="24" spans="2:12" x14ac:dyDescent="0.2">
      <c r="B24" s="208"/>
      <c r="C24" s="209"/>
      <c r="D24" s="217">
        <v>15000</v>
      </c>
      <c r="E24" s="211"/>
      <c r="F24" s="212"/>
      <c r="G24" s="214">
        <f>'GS&lt;50 (15,000kWh)'!H64</f>
        <v>2084.5841660000006</v>
      </c>
      <c r="H24" s="215">
        <f>'GS&lt;50 (15,000kWh)'!L64</f>
        <v>2114.4346977369082</v>
      </c>
      <c r="I24" s="214">
        <f>H24-G24</f>
        <v>29.850531736907669</v>
      </c>
      <c r="J24" s="216">
        <f>I24/G24</f>
        <v>1.4319657715805399E-2</v>
      </c>
      <c r="K24" s="216">
        <f>+'GS&lt;50 (15,000kWh)'!O37</f>
        <v>4.9256241001991531E-2</v>
      </c>
      <c r="L24" s="216">
        <f>+'GS&lt;50 (15,000kWh)'!O46</f>
        <v>0.11510325725496529</v>
      </c>
    </row>
    <row r="25" spans="2:12" x14ac:dyDescent="0.2">
      <c r="B25" s="218"/>
      <c r="C25" s="219"/>
      <c r="D25" s="234"/>
      <c r="E25" s="221"/>
      <c r="F25" s="222"/>
      <c r="G25" s="223"/>
      <c r="H25" s="224"/>
      <c r="I25" s="223"/>
      <c r="J25" s="225"/>
      <c r="K25" s="225"/>
      <c r="L25" s="225"/>
    </row>
    <row r="26" spans="2:12" x14ac:dyDescent="0.2">
      <c r="B26" s="226"/>
      <c r="C26" s="227"/>
      <c r="D26" s="235"/>
      <c r="E26" s="229"/>
      <c r="F26" s="230"/>
      <c r="G26" s="231"/>
      <c r="H26" s="232"/>
      <c r="I26" s="231"/>
      <c r="J26" s="233"/>
      <c r="K26" s="233"/>
      <c r="L26" s="233"/>
    </row>
    <row r="27" spans="2:12" x14ac:dyDescent="0.2">
      <c r="B27" s="401" t="s">
        <v>85</v>
      </c>
      <c r="C27" s="402"/>
      <c r="D27" s="236">
        <v>20000</v>
      </c>
      <c r="E27" s="211">
        <v>60</v>
      </c>
      <c r="F27" s="212"/>
      <c r="G27" s="214">
        <f>'GS 50-4999 (60kW)'!H69</f>
        <v>3368.9531624000001</v>
      </c>
      <c r="H27" s="215">
        <f>'GS 50-4999 (60kW)'!L69</f>
        <v>3491.3942672000003</v>
      </c>
      <c r="I27" s="214">
        <f>H27-G27</f>
        <v>122.44110480000018</v>
      </c>
      <c r="J27" s="216">
        <f>I27/G27</f>
        <v>3.6343961728685675E-2</v>
      </c>
      <c r="K27" s="216">
        <f>+'GS 50-4999 (60kW)'!O37</f>
        <v>-2.857454682554752E-3</v>
      </c>
      <c r="L27" s="216">
        <f>+'GS 50-4999 (60kW)'!O45</f>
        <v>0.24406839219199325</v>
      </c>
    </row>
    <row r="28" spans="2:12" x14ac:dyDescent="0.2">
      <c r="B28" s="203"/>
      <c r="C28" s="204"/>
      <c r="D28" s="236">
        <v>40000</v>
      </c>
      <c r="E28" s="211">
        <v>100</v>
      </c>
      <c r="F28" s="212"/>
      <c r="G28" s="214">
        <f>'GS 50-4999 (100kW)'!H69</f>
        <v>6420.5548648000004</v>
      </c>
      <c r="H28" s="215">
        <f>'GS 50-4999 (100kW)'!L69</f>
        <v>6621.2201744000004</v>
      </c>
      <c r="I28" s="214">
        <f>H28-G28</f>
        <v>200.6653096</v>
      </c>
      <c r="J28" s="216">
        <f>I28/G28</f>
        <v>3.1253577584100391E-2</v>
      </c>
      <c r="K28" s="216">
        <f>+'GS 50-4999 (100kW)'!O37</f>
        <v>-3.2413816389235224E-3</v>
      </c>
      <c r="L28" s="216">
        <f>+'GS 50-4999 (100kW)'!O45</f>
        <v>0.25770669669063917</v>
      </c>
    </row>
    <row r="29" spans="2:12" x14ac:dyDescent="0.2">
      <c r="B29" s="208"/>
      <c r="C29" s="209"/>
      <c r="D29" s="246">
        <v>100000</v>
      </c>
      <c r="E29" s="249">
        <v>250</v>
      </c>
      <c r="F29" s="212"/>
      <c r="G29" s="214">
        <f>+'GS 50-4999 (250kW)'!H69</f>
        <v>15848.614312000002</v>
      </c>
      <c r="H29" s="215">
        <f>+'GS 50-4999 (250kW)'!L69</f>
        <v>16350.277586</v>
      </c>
      <c r="I29" s="214">
        <f t="shared" ref="I29:I30" si="2">H29-G29</f>
        <v>501.66327399999864</v>
      </c>
      <c r="J29" s="250">
        <f t="shared" ref="J29:J30" si="3">I29/G29</f>
        <v>3.1653447053737516E-2</v>
      </c>
      <c r="K29" s="250">
        <f>+'GS 50-4999 (250kW)'!O37</f>
        <v>-3.6872589838530183E-3</v>
      </c>
      <c r="L29" s="250">
        <f>+'GS 50-4999 (250kW)'!O45</f>
        <v>0.28599387125516645</v>
      </c>
    </row>
    <row r="30" spans="2:12" x14ac:dyDescent="0.2">
      <c r="B30" s="208"/>
      <c r="C30" s="209"/>
      <c r="D30" s="236">
        <v>200000</v>
      </c>
      <c r="E30" s="211">
        <v>500</v>
      </c>
      <c r="F30" s="212"/>
      <c r="G30" s="214">
        <f>+'GS 50-4999 (500kW)'!H69</f>
        <v>31562.046724</v>
      </c>
      <c r="H30" s="215">
        <f>+'GS 50-4999 (500kW)'!L69</f>
        <v>32565.373272000001</v>
      </c>
      <c r="I30" s="214">
        <f t="shared" si="2"/>
        <v>1003.3265480000009</v>
      </c>
      <c r="J30" s="216">
        <f t="shared" si="3"/>
        <v>3.1789020426139361E-2</v>
      </c>
      <c r="K30" s="216">
        <f>+'GS 50-4999 (500kW)'!O37</f>
        <v>-3.8644542665990022E-3</v>
      </c>
      <c r="L30" s="216">
        <f>+'GS 50-4999 (500kW)'!O45</f>
        <v>0.296855311978512</v>
      </c>
    </row>
    <row r="31" spans="2:12" x14ac:dyDescent="0.2">
      <c r="B31" s="403"/>
      <c r="C31" s="404"/>
      <c r="D31" s="236">
        <v>400000</v>
      </c>
      <c r="E31" s="237">
        <v>1000</v>
      </c>
      <c r="F31" s="212"/>
      <c r="G31" s="214">
        <f>'GS 50-4999 (1,000kW)'!H69</f>
        <v>60412.511547999995</v>
      </c>
      <c r="H31" s="215">
        <f>'GS 50-4999 (1,000kW)'!L69</f>
        <v>62419.164643999997</v>
      </c>
      <c r="I31" s="214">
        <f>H31-G31</f>
        <v>2006.6530960000018</v>
      </c>
      <c r="J31" s="216">
        <f>I31/G31</f>
        <v>3.3215852885136898E-2</v>
      </c>
      <c r="K31" s="216">
        <f>+'GS 50-4999 (1,000kW)'!O37</f>
        <v>-3.9595956262966272E-3</v>
      </c>
      <c r="L31" s="216">
        <f>+'GS 50-4999 (1,000kW)'!O45</f>
        <v>0.30260139154062948</v>
      </c>
    </row>
    <row r="32" spans="2:12" x14ac:dyDescent="0.2">
      <c r="B32" s="218"/>
      <c r="C32" s="219"/>
      <c r="D32" s="234"/>
      <c r="E32" s="238"/>
      <c r="F32" s="222"/>
      <c r="G32" s="223"/>
      <c r="H32" s="224"/>
      <c r="I32" s="223"/>
      <c r="J32" s="225"/>
      <c r="K32" s="225"/>
      <c r="L32" s="225"/>
    </row>
    <row r="33" spans="2:12" x14ac:dyDescent="0.2">
      <c r="B33" s="226"/>
      <c r="C33" s="227"/>
      <c r="D33" s="235"/>
      <c r="E33" s="229"/>
      <c r="F33" s="230"/>
      <c r="G33" s="231"/>
      <c r="H33" s="232"/>
      <c r="I33" s="231"/>
      <c r="J33" s="233"/>
      <c r="K33" s="233"/>
      <c r="L33" s="233"/>
    </row>
    <row r="34" spans="2:12" x14ac:dyDescent="0.2">
      <c r="B34" s="405" t="s">
        <v>71</v>
      </c>
      <c r="C34" s="406"/>
      <c r="D34" s="251">
        <v>8000000</v>
      </c>
      <c r="E34" s="252">
        <v>14500</v>
      </c>
      <c r="F34" s="212"/>
      <c r="G34" s="214">
        <f>'LU (14,500kW)'!H69</f>
        <v>1163016.0800999999</v>
      </c>
      <c r="H34" s="215">
        <f>'LU (14,500kW)'!L69</f>
        <v>1179982.6978799999</v>
      </c>
      <c r="I34" s="214">
        <f>H34-G34</f>
        <v>16966.617779999971</v>
      </c>
      <c r="J34" s="253">
        <f>I34/G34</f>
        <v>1.4588463625147062E-2</v>
      </c>
      <c r="K34" s="253">
        <f>+'LU (14,500kW)'!O37</f>
        <v>1.6135870270317352E-2</v>
      </c>
      <c r="L34" s="253">
        <f>+'LU (14,500kW)'!O45</f>
        <v>0.33373055429048915</v>
      </c>
    </row>
    <row r="35" spans="2:12" x14ac:dyDescent="0.2">
      <c r="B35" s="196"/>
      <c r="C35" s="197"/>
      <c r="D35" s="234"/>
      <c r="E35" s="238"/>
      <c r="F35" s="222"/>
      <c r="G35" s="223"/>
      <c r="H35" s="224"/>
      <c r="I35" s="223"/>
      <c r="J35" s="225"/>
      <c r="K35" s="225"/>
      <c r="L35" s="225"/>
    </row>
    <row r="36" spans="2:12" x14ac:dyDescent="0.2">
      <c r="B36" s="226"/>
      <c r="C36" s="227"/>
      <c r="D36" s="235"/>
      <c r="E36" s="229"/>
      <c r="F36" s="230"/>
      <c r="G36" s="231"/>
      <c r="H36" s="232"/>
      <c r="I36" s="231"/>
      <c r="J36" s="233"/>
      <c r="K36" s="233"/>
      <c r="L36" s="233"/>
    </row>
    <row r="37" spans="2:12" x14ac:dyDescent="0.2">
      <c r="B37" s="407" t="s">
        <v>82</v>
      </c>
      <c r="C37" s="408"/>
      <c r="D37" s="259">
        <v>150</v>
      </c>
      <c r="E37" s="211"/>
      <c r="F37" s="239">
        <v>1</v>
      </c>
      <c r="G37" s="214">
        <f>'USL (150kWh)'!H69</f>
        <v>43.191824567999994</v>
      </c>
      <c r="H37" s="215">
        <f>'USL (150kWh)'!L69</f>
        <v>36.009071323999997</v>
      </c>
      <c r="I37" s="214">
        <f>H37-G37</f>
        <v>-7.182753243999997</v>
      </c>
      <c r="J37" s="254">
        <f>I37/G37</f>
        <v>-0.16629890762525376</v>
      </c>
      <c r="K37" s="254">
        <f>+'USL (150kWh)'!O37</f>
        <v>-0.34350798469051086</v>
      </c>
      <c r="L37" s="254">
        <f>+'USL (150kWh)'!O45</f>
        <v>-0.32641583221581816</v>
      </c>
    </row>
    <row r="38" spans="2:12" x14ac:dyDescent="0.2">
      <c r="B38" s="196"/>
      <c r="C38" s="197"/>
      <c r="D38" s="234"/>
      <c r="E38" s="221"/>
      <c r="F38" s="240"/>
      <c r="G38" s="223"/>
      <c r="H38" s="224"/>
      <c r="I38" s="223"/>
      <c r="J38" s="225"/>
      <c r="K38" s="225"/>
      <c r="L38" s="225"/>
    </row>
    <row r="39" spans="2:12" x14ac:dyDescent="0.2">
      <c r="B39" s="226"/>
      <c r="C39" s="227"/>
      <c r="D39" s="235"/>
      <c r="E39" s="229"/>
      <c r="F39" s="235"/>
      <c r="G39" s="231"/>
      <c r="H39" s="232"/>
      <c r="I39" s="231"/>
      <c r="J39" s="233"/>
      <c r="K39" s="233"/>
      <c r="L39" s="233"/>
    </row>
    <row r="40" spans="2:12" x14ac:dyDescent="0.2">
      <c r="B40" s="409" t="s">
        <v>72</v>
      </c>
      <c r="C40" s="410"/>
      <c r="D40" s="213">
        <v>150</v>
      </c>
      <c r="E40" s="272">
        <v>1</v>
      </c>
      <c r="F40" s="239">
        <v>1</v>
      </c>
      <c r="G40" s="214">
        <f>+'SL (1kW)'!H69</f>
        <v>33.426545367999999</v>
      </c>
      <c r="H40" s="215">
        <f>+'SL (1kW)'!L69</f>
        <v>35.630426404000005</v>
      </c>
      <c r="I40" s="214">
        <f>H40-G40</f>
        <v>2.2038810360000056</v>
      </c>
      <c r="J40" s="273">
        <f>I40/G40</f>
        <v>6.5932061232682207E-2</v>
      </c>
      <c r="K40" s="273">
        <f>+'SL (1kW)'!O37</f>
        <v>2.6133179129042436E-2</v>
      </c>
      <c r="L40" s="273">
        <f>+'SL (1kW)'!O45</f>
        <v>0.2158146810958626</v>
      </c>
    </row>
    <row r="41" spans="2:12" x14ac:dyDescent="0.2">
      <c r="B41" s="274"/>
      <c r="C41" s="275"/>
      <c r="D41" s="260">
        <v>50</v>
      </c>
      <c r="E41" s="261">
        <v>0.14000000000000001</v>
      </c>
      <c r="F41" s="239">
        <v>1</v>
      </c>
      <c r="G41" s="214">
        <f>+'SL (.14 kW)'!H69</f>
        <v>9.1398910959999995</v>
      </c>
      <c r="H41" s="215">
        <f>+'SL (.14 kW)'!L69</f>
        <v>9.4336305280000001</v>
      </c>
      <c r="I41" s="214">
        <f>H41-G41</f>
        <v>0.29373943200000063</v>
      </c>
      <c r="J41" s="255">
        <f>I41/G41</f>
        <v>3.213817636498463E-2</v>
      </c>
      <c r="K41" s="255">
        <f>+'SL (.14 kW)'!O37</f>
        <v>2.1325748540255707E-2</v>
      </c>
      <c r="L41" s="255">
        <f>+'SL (.14 kW)'!O45</f>
        <v>0.1576947560235247</v>
      </c>
    </row>
    <row r="42" spans="2:12" ht="15" thickBot="1" x14ac:dyDescent="0.25">
      <c r="B42" s="241"/>
      <c r="C42" s="242"/>
      <c r="D42" s="243"/>
      <c r="E42" s="242"/>
      <c r="F42" s="243"/>
      <c r="G42" s="242"/>
      <c r="H42" s="243"/>
      <c r="I42" s="242"/>
      <c r="J42" s="243"/>
      <c r="K42" s="243"/>
      <c r="L42" s="243"/>
    </row>
    <row r="43" spans="2:12" x14ac:dyDescent="0.2">
      <c r="B43" s="226"/>
      <c r="C43" s="227"/>
      <c r="D43" s="235"/>
      <c r="E43" s="229"/>
      <c r="F43" s="235"/>
      <c r="G43" s="231"/>
      <c r="H43" s="232"/>
      <c r="I43" s="231"/>
      <c r="J43" s="233"/>
      <c r="K43" s="233"/>
      <c r="L43" s="233"/>
    </row>
    <row r="44" spans="2:12" x14ac:dyDescent="0.2">
      <c r="B44" s="390" t="s">
        <v>89</v>
      </c>
      <c r="C44" s="391"/>
      <c r="D44" s="256">
        <v>2615000</v>
      </c>
      <c r="E44" s="257">
        <v>6000</v>
      </c>
      <c r="F44" s="239"/>
      <c r="G44" s="214">
        <f>+'ED (6,000kW)'!H69</f>
        <v>337870.44860999996</v>
      </c>
      <c r="H44" s="215">
        <f>+'ED (6,000kW)'!L69</f>
        <v>350697.77828340005</v>
      </c>
      <c r="I44" s="214">
        <f>H44-G44</f>
        <v>12827.329673400091</v>
      </c>
      <c r="J44" s="258">
        <f>I44/G44</f>
        <v>3.7965231129776997E-2</v>
      </c>
      <c r="K44" s="258">
        <f>+'ED (6,000kW)'!O37</f>
        <v>0.59523809523809523</v>
      </c>
      <c r="L44" s="258">
        <f>+'ED (6,000kW)'!O45</f>
        <v>17.503748694665177</v>
      </c>
    </row>
    <row r="45" spans="2:12" ht="15" thickBot="1" x14ac:dyDescent="0.25">
      <c r="B45" s="241"/>
      <c r="C45" s="242"/>
      <c r="D45" s="243"/>
      <c r="E45" s="242"/>
      <c r="F45" s="243"/>
      <c r="G45" s="242"/>
      <c r="H45" s="243"/>
      <c r="I45" s="242"/>
      <c r="J45" s="243"/>
      <c r="K45" s="243"/>
      <c r="L45" s="243"/>
    </row>
    <row r="47" spans="2:12" x14ac:dyDescent="0.2">
      <c r="B47" s="340" t="s">
        <v>102</v>
      </c>
    </row>
    <row r="48" spans="2:12" x14ac:dyDescent="0.2">
      <c r="B48" s="340" t="s">
        <v>101</v>
      </c>
    </row>
  </sheetData>
  <mergeCells count="12">
    <mergeCell ref="B44:C44"/>
    <mergeCell ref="G1:J1"/>
    <mergeCell ref="B9:C9"/>
    <mergeCell ref="B11:C11"/>
    <mergeCell ref="B12:C12"/>
    <mergeCell ref="B20:C20"/>
    <mergeCell ref="B21:C21"/>
    <mergeCell ref="B27:C27"/>
    <mergeCell ref="B31:C31"/>
    <mergeCell ref="B34:C34"/>
    <mergeCell ref="B37:C37"/>
    <mergeCell ref="B40:C40"/>
  </mergeCells>
  <pageMargins left="0.7" right="0.7" top="0.75" bottom="0.75" header="0.3" footer="0.3"/>
  <pageSetup scale="64" orientation="portrait" verticalDpi="4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B1:L25"/>
  <sheetViews>
    <sheetView showGridLines="0" tabSelected="1" workbookViewId="0">
      <selection activeCell="J6" sqref="J6"/>
    </sheetView>
  </sheetViews>
  <sheetFormatPr defaultColWidth="9.140625" defaultRowHeight="14.25" x14ac:dyDescent="0.2"/>
  <cols>
    <col min="1" max="2" width="9.140625" style="205"/>
    <col min="3" max="3" width="10.42578125" style="205" customWidth="1"/>
    <col min="4" max="4" width="11.5703125" style="205" bestFit="1" customWidth="1"/>
    <col min="5" max="5" width="7.5703125" style="205" bestFit="1" customWidth="1"/>
    <col min="6" max="6" width="15" style="205" customWidth="1"/>
    <col min="7" max="8" width="14.5703125" style="205" bestFit="1" customWidth="1"/>
    <col min="9" max="9" width="14.7109375" style="205" customWidth="1"/>
    <col min="10" max="10" width="18" style="205" customWidth="1"/>
    <col min="11" max="11" width="15.85546875" style="205" bestFit="1" customWidth="1"/>
    <col min="12" max="12" width="15.85546875" style="205" customWidth="1"/>
    <col min="13" max="16384" width="9.140625" style="205"/>
  </cols>
  <sheetData>
    <row r="1" spans="2:12" ht="47.25" customHeight="1" thickBot="1" x14ac:dyDescent="0.25">
      <c r="B1" s="393" t="s">
        <v>77</v>
      </c>
      <c r="C1" s="394"/>
      <c r="D1" s="276" t="s">
        <v>78</v>
      </c>
      <c r="E1" s="311" t="s">
        <v>69</v>
      </c>
      <c r="F1" s="276" t="s">
        <v>79</v>
      </c>
      <c r="G1" s="311" t="s">
        <v>86</v>
      </c>
      <c r="H1" s="276" t="s">
        <v>87</v>
      </c>
      <c r="I1" s="311" t="s">
        <v>80</v>
      </c>
      <c r="J1" s="276" t="s">
        <v>92</v>
      </c>
      <c r="K1" s="276" t="s">
        <v>99</v>
      </c>
      <c r="L1" s="276" t="s">
        <v>100</v>
      </c>
    </row>
    <row r="2" spans="2:12" x14ac:dyDescent="0.2">
      <c r="B2" s="208"/>
      <c r="C2" s="209"/>
      <c r="D2" s="210"/>
      <c r="E2" s="312"/>
      <c r="F2" s="212"/>
      <c r="G2" s="209"/>
      <c r="H2" s="212"/>
      <c r="I2" s="209"/>
      <c r="J2" s="212"/>
      <c r="K2" s="212"/>
      <c r="L2" s="212"/>
    </row>
    <row r="3" spans="2:12" x14ac:dyDescent="0.2">
      <c r="B3" s="395" t="s">
        <v>59</v>
      </c>
      <c r="C3" s="396"/>
      <c r="D3" s="244">
        <v>800</v>
      </c>
      <c r="E3" s="339"/>
      <c r="F3" s="343"/>
      <c r="G3" s="344">
        <f>+Summary!G14</f>
        <v>132.45638896</v>
      </c>
      <c r="H3" s="345">
        <f>+Summary!H14</f>
        <v>132.33828437005485</v>
      </c>
      <c r="I3" s="344">
        <f>+Summary!I14</f>
        <v>-0.11810458994514761</v>
      </c>
      <c r="J3" s="245">
        <f>+Summary!J14</f>
        <v>-8.9164887305521795E-4</v>
      </c>
      <c r="K3" s="245">
        <f>+Summary!K14</f>
        <v>-2.8990747200948977E-2</v>
      </c>
      <c r="L3" s="245">
        <f>+Summary!L14</f>
        <v>2.7108292682683009E-3</v>
      </c>
    </row>
    <row r="4" spans="2:12" x14ac:dyDescent="0.2">
      <c r="B4" s="313"/>
      <c r="C4" s="314"/>
      <c r="D4" s="220"/>
      <c r="E4" s="315"/>
      <c r="F4" s="316"/>
      <c r="G4" s="317"/>
      <c r="H4" s="318"/>
      <c r="I4" s="317"/>
      <c r="J4" s="319"/>
      <c r="K4" s="319"/>
      <c r="L4" s="319"/>
    </row>
    <row r="5" spans="2:12" x14ac:dyDescent="0.2">
      <c r="B5" s="320"/>
      <c r="C5" s="321"/>
      <c r="D5" s="228"/>
      <c r="E5" s="322"/>
      <c r="F5" s="323"/>
      <c r="G5" s="324"/>
      <c r="H5" s="325"/>
      <c r="I5" s="324"/>
      <c r="J5" s="326"/>
      <c r="K5" s="326"/>
      <c r="L5" s="326"/>
    </row>
    <row r="6" spans="2:12" x14ac:dyDescent="0.2">
      <c r="B6" s="399" t="s">
        <v>67</v>
      </c>
      <c r="C6" s="400"/>
      <c r="D6" s="247">
        <v>2000</v>
      </c>
      <c r="E6" s="346"/>
      <c r="F6" s="347"/>
      <c r="G6" s="348">
        <f>+Summary!G21</f>
        <v>311.89134880000006</v>
      </c>
      <c r="H6" s="349">
        <f>+Summary!H21</f>
        <v>312.23350673690794</v>
      </c>
      <c r="I6" s="348">
        <f>+Summary!I21</f>
        <v>0.34215793690788132</v>
      </c>
      <c r="J6" s="248">
        <f>+Summary!J21</f>
        <v>1.0970420892542603E-3</v>
      </c>
      <c r="K6" s="248">
        <f>+Summary!K21</f>
        <v>-2.9192771494311258E-2</v>
      </c>
      <c r="L6" s="248">
        <f>+Summary!L21</f>
        <v>1.2196570863080887E-2</v>
      </c>
    </row>
    <row r="7" spans="2:12" x14ac:dyDescent="0.2">
      <c r="B7" s="313"/>
      <c r="C7" s="314"/>
      <c r="D7" s="220"/>
      <c r="E7" s="315"/>
      <c r="F7" s="316"/>
      <c r="G7" s="317"/>
      <c r="H7" s="318"/>
      <c r="I7" s="317"/>
      <c r="J7" s="319"/>
      <c r="K7" s="319"/>
      <c r="L7" s="319"/>
    </row>
    <row r="8" spans="2:12" x14ac:dyDescent="0.2">
      <c r="B8" s="320"/>
      <c r="C8" s="321"/>
      <c r="D8" s="228"/>
      <c r="E8" s="322"/>
      <c r="F8" s="323"/>
      <c r="G8" s="324"/>
      <c r="H8" s="325"/>
      <c r="I8" s="324"/>
      <c r="J8" s="326"/>
      <c r="K8" s="326"/>
      <c r="L8" s="326"/>
    </row>
    <row r="9" spans="2:12" x14ac:dyDescent="0.2">
      <c r="B9" s="401" t="s">
        <v>85</v>
      </c>
      <c r="C9" s="402"/>
      <c r="D9" s="246">
        <v>100000</v>
      </c>
      <c r="E9" s="249">
        <v>250</v>
      </c>
      <c r="F9" s="350"/>
      <c r="G9" s="351">
        <f>+Summary!G29</f>
        <v>15848.614312000002</v>
      </c>
      <c r="H9" s="352">
        <f>+Summary!H29</f>
        <v>16350.277586</v>
      </c>
      <c r="I9" s="351">
        <f>+Summary!I29</f>
        <v>501.66327399999864</v>
      </c>
      <c r="J9" s="250">
        <f>+Summary!J29</f>
        <v>3.1653447053737516E-2</v>
      </c>
      <c r="K9" s="250">
        <f>+Summary!K29</f>
        <v>-3.6872589838530183E-3</v>
      </c>
      <c r="L9" s="250">
        <f>+Summary!L29</f>
        <v>0.28599387125516645</v>
      </c>
    </row>
    <row r="10" spans="2:12" x14ac:dyDescent="0.2">
      <c r="B10" s="313"/>
      <c r="C10" s="314"/>
      <c r="D10" s="220"/>
      <c r="E10" s="327"/>
      <c r="F10" s="316"/>
      <c r="G10" s="317"/>
      <c r="H10" s="318"/>
      <c r="I10" s="317"/>
      <c r="J10" s="319"/>
      <c r="K10" s="319"/>
      <c r="L10" s="319"/>
    </row>
    <row r="11" spans="2:12" x14ac:dyDescent="0.2">
      <c r="B11" s="320"/>
      <c r="C11" s="321"/>
      <c r="D11" s="228"/>
      <c r="E11" s="322"/>
      <c r="F11" s="323"/>
      <c r="G11" s="324"/>
      <c r="H11" s="325"/>
      <c r="I11" s="324"/>
      <c r="J11" s="326"/>
      <c r="K11" s="326"/>
      <c r="L11" s="326"/>
    </row>
    <row r="12" spans="2:12" x14ac:dyDescent="0.2">
      <c r="B12" s="405" t="s">
        <v>71</v>
      </c>
      <c r="C12" s="406"/>
      <c r="D12" s="251">
        <v>8000000</v>
      </c>
      <c r="E12" s="252">
        <v>14500</v>
      </c>
      <c r="F12" s="353"/>
      <c r="G12" s="354">
        <f>+Summary!G34</f>
        <v>1163016.0800999999</v>
      </c>
      <c r="H12" s="355">
        <f>+Summary!H34</f>
        <v>1179982.6978799999</v>
      </c>
      <c r="I12" s="354">
        <f>+Summary!I34</f>
        <v>16966.617779999971</v>
      </c>
      <c r="J12" s="253">
        <f>+Summary!J34</f>
        <v>1.4588463625147062E-2</v>
      </c>
      <c r="K12" s="253">
        <f>+Summary!K34</f>
        <v>1.6135870270317352E-2</v>
      </c>
      <c r="L12" s="253">
        <f>+Summary!L34</f>
        <v>0.33373055429048915</v>
      </c>
    </row>
    <row r="13" spans="2:12" x14ac:dyDescent="0.2">
      <c r="B13" s="328"/>
      <c r="C13" s="329"/>
      <c r="D13" s="220"/>
      <c r="E13" s="327"/>
      <c r="F13" s="316"/>
      <c r="G13" s="317"/>
      <c r="H13" s="318"/>
      <c r="I13" s="317"/>
      <c r="J13" s="319"/>
      <c r="K13" s="319"/>
      <c r="L13" s="319"/>
    </row>
    <row r="14" spans="2:12" x14ac:dyDescent="0.2">
      <c r="B14" s="320"/>
      <c r="C14" s="321"/>
      <c r="D14" s="228"/>
      <c r="E14" s="322"/>
      <c r="F14" s="323"/>
      <c r="G14" s="324"/>
      <c r="H14" s="325"/>
      <c r="I14" s="324"/>
      <c r="J14" s="326"/>
      <c r="K14" s="326"/>
      <c r="L14" s="326"/>
    </row>
    <row r="15" spans="2:12" x14ac:dyDescent="0.2">
      <c r="B15" s="407" t="s">
        <v>82</v>
      </c>
      <c r="C15" s="408"/>
      <c r="D15" s="259">
        <v>150</v>
      </c>
      <c r="E15" s="356"/>
      <c r="F15" s="357">
        <v>1</v>
      </c>
      <c r="G15" s="358">
        <f>+Summary!G37</f>
        <v>43.191824567999994</v>
      </c>
      <c r="H15" s="359">
        <f>+Summary!H37</f>
        <v>36.009071323999997</v>
      </c>
      <c r="I15" s="358">
        <f>+Summary!I37</f>
        <v>-7.182753243999997</v>
      </c>
      <c r="J15" s="254">
        <f>+Summary!J37</f>
        <v>-0.16629890762525376</v>
      </c>
      <c r="K15" s="254">
        <f>+Summary!K37</f>
        <v>-0.34350798469051086</v>
      </c>
      <c r="L15" s="254">
        <f>+Summary!L37</f>
        <v>-0.32641583221581816</v>
      </c>
    </row>
    <row r="16" spans="2:12" x14ac:dyDescent="0.2">
      <c r="B16" s="328"/>
      <c r="C16" s="329"/>
      <c r="D16" s="220"/>
      <c r="E16" s="315"/>
      <c r="F16" s="330"/>
      <c r="G16" s="317"/>
      <c r="H16" s="318"/>
      <c r="I16" s="317"/>
      <c r="J16" s="319"/>
      <c r="K16" s="319"/>
      <c r="L16" s="319"/>
    </row>
    <row r="17" spans="2:12" x14ac:dyDescent="0.2">
      <c r="B17" s="320"/>
      <c r="C17" s="321"/>
      <c r="D17" s="228"/>
      <c r="E17" s="322"/>
      <c r="F17" s="228"/>
      <c r="G17" s="324"/>
      <c r="H17" s="325"/>
      <c r="I17" s="324"/>
      <c r="J17" s="326"/>
      <c r="K17" s="326"/>
      <c r="L17" s="326"/>
    </row>
    <row r="18" spans="2:12" x14ac:dyDescent="0.2">
      <c r="B18" s="409" t="s">
        <v>72</v>
      </c>
      <c r="C18" s="410"/>
      <c r="D18" s="260">
        <v>50</v>
      </c>
      <c r="E18" s="261">
        <v>0.14000000000000001</v>
      </c>
      <c r="F18" s="260">
        <v>1</v>
      </c>
      <c r="G18" s="360">
        <f>+Summary!G41</f>
        <v>9.1398910959999995</v>
      </c>
      <c r="H18" s="361">
        <f>+Summary!H41</f>
        <v>9.4336305280000001</v>
      </c>
      <c r="I18" s="360">
        <f>+Summary!I41</f>
        <v>0.29373943200000063</v>
      </c>
      <c r="J18" s="255">
        <f>+Summary!J41</f>
        <v>3.213817636498463E-2</v>
      </c>
      <c r="K18" s="255">
        <f>+Summary!K41</f>
        <v>2.1325748540255707E-2</v>
      </c>
      <c r="L18" s="255">
        <f>+Summary!L41</f>
        <v>0.1576947560235247</v>
      </c>
    </row>
    <row r="19" spans="2:12" ht="15" thickBot="1" x14ac:dyDescent="0.25">
      <c r="B19" s="331"/>
      <c r="C19" s="332"/>
      <c r="D19" s="333"/>
      <c r="E19" s="332"/>
      <c r="F19" s="333"/>
      <c r="G19" s="332"/>
      <c r="H19" s="333"/>
      <c r="I19" s="332"/>
      <c r="J19" s="333"/>
      <c r="K19" s="333"/>
      <c r="L19" s="333"/>
    </row>
    <row r="20" spans="2:12" x14ac:dyDescent="0.2">
      <c r="B20" s="320"/>
      <c r="C20" s="321"/>
      <c r="D20" s="228"/>
      <c r="E20" s="322"/>
      <c r="F20" s="228"/>
      <c r="G20" s="324"/>
      <c r="H20" s="325"/>
      <c r="I20" s="324"/>
      <c r="J20" s="326"/>
      <c r="K20" s="326"/>
      <c r="L20" s="326"/>
    </row>
    <row r="21" spans="2:12" x14ac:dyDescent="0.2">
      <c r="B21" s="390" t="s">
        <v>89</v>
      </c>
      <c r="C21" s="391"/>
      <c r="D21" s="256">
        <v>2615000</v>
      </c>
      <c r="E21" s="257">
        <v>6000</v>
      </c>
      <c r="F21" s="362"/>
      <c r="G21" s="363">
        <f>+Summary!G44</f>
        <v>337870.44860999996</v>
      </c>
      <c r="H21" s="364">
        <f>+Summary!H44</f>
        <v>350697.77828340005</v>
      </c>
      <c r="I21" s="363">
        <f>+Summary!I44</f>
        <v>12827.329673400091</v>
      </c>
      <c r="J21" s="258">
        <f>+Summary!J44</f>
        <v>3.7965231129776997E-2</v>
      </c>
      <c r="K21" s="258">
        <f>+Summary!K44</f>
        <v>0.59523809523809523</v>
      </c>
      <c r="L21" s="258">
        <f>+Summary!L44</f>
        <v>17.503748694665177</v>
      </c>
    </row>
    <row r="22" spans="2:12" ht="15" thickBot="1" x14ac:dyDescent="0.25">
      <c r="B22" s="241"/>
      <c r="C22" s="242"/>
      <c r="D22" s="243"/>
      <c r="E22" s="242"/>
      <c r="F22" s="243"/>
      <c r="G22" s="242"/>
      <c r="H22" s="243"/>
      <c r="I22" s="242"/>
      <c r="J22" s="243"/>
      <c r="K22" s="243"/>
      <c r="L22" s="243"/>
    </row>
    <row r="24" spans="2:12" x14ac:dyDescent="0.2">
      <c r="B24" s="340" t="s">
        <v>102</v>
      </c>
    </row>
    <row r="25" spans="2:12" x14ac:dyDescent="0.2">
      <c r="B25" s="340" t="s">
        <v>101</v>
      </c>
    </row>
  </sheetData>
  <mergeCells count="8">
    <mergeCell ref="B15:C15"/>
    <mergeCell ref="B18:C18"/>
    <mergeCell ref="B21:C21"/>
    <mergeCell ref="B1:C1"/>
    <mergeCell ref="B3:C3"/>
    <mergeCell ref="B6:C6"/>
    <mergeCell ref="B9:C9"/>
    <mergeCell ref="B12:C12"/>
  </mergeCells>
  <pageMargins left="0.7" right="0.7" top="0.75" bottom="0.75" header="0.3" footer="0.3"/>
  <pageSetup scale="64" orientation="portrait" verticalDpi="4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T89"/>
  <sheetViews>
    <sheetView showGridLines="0" topLeftCell="A21" workbookViewId="0">
      <selection activeCell="J29" sqref="J29"/>
    </sheetView>
  </sheetViews>
  <sheetFormatPr defaultColWidth="9.140625" defaultRowHeight="15" x14ac:dyDescent="0.25"/>
  <cols>
    <col min="1" max="1" width="2.140625" style="7" customWidth="1"/>
    <col min="2" max="2" width="44.5703125" style="7" customWidth="1"/>
    <col min="3" max="3" width="1.28515625" style="7" customWidth="1"/>
    <col min="4" max="4" width="11.28515625" style="7" customWidth="1"/>
    <col min="5" max="5" width="1.28515625" style="7" customWidth="1"/>
    <col min="6" max="6" width="12.28515625" style="7" customWidth="1"/>
    <col min="7" max="7" width="8.5703125" style="7" customWidth="1"/>
    <col min="8" max="8" width="9.7109375" style="7" customWidth="1"/>
    <col min="9" max="9" width="2.85546875" style="7" customWidth="1"/>
    <col min="10" max="10" width="12.140625" style="7" customWidth="1"/>
    <col min="11" max="11" width="8.5703125" style="7" customWidth="1"/>
    <col min="12" max="12" width="9.7109375" style="7" customWidth="1"/>
    <col min="13" max="13" width="2.85546875" style="7" customWidth="1"/>
    <col min="14" max="14" width="12.7109375" style="7" bestFit="1" customWidth="1"/>
    <col min="15" max="15" width="10.85546875" style="7" bestFit="1" customWidth="1"/>
    <col min="16" max="16" width="6.28515625" style="7" customWidth="1"/>
    <col min="17" max="19" width="9.140625" style="7"/>
    <col min="20" max="20" width="9.140625" style="7" customWidth="1"/>
    <col min="21" max="16384" width="9.140625" style="7"/>
  </cols>
  <sheetData>
    <row r="1" spans="1:20" s="2" customFormat="1" ht="15" customHeigh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3" t="s">
        <v>0</v>
      </c>
      <c r="N1" s="368" t="s">
        <v>94</v>
      </c>
      <c r="O1" s="368"/>
      <c r="P1" s="192"/>
      <c r="T1" s="2">
        <v>1</v>
      </c>
    </row>
    <row r="2" spans="1:20" s="2" customFormat="1" ht="15" customHeight="1" x14ac:dyDescent="0.3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3" t="s">
        <v>95</v>
      </c>
      <c r="N2" s="369">
        <v>8</v>
      </c>
      <c r="O2" s="369"/>
      <c r="P2" s="193"/>
    </row>
    <row r="3" spans="1:20" s="2" customFormat="1" ht="15" customHeight="1" x14ac:dyDescent="0.3">
      <c r="C3" s="6"/>
      <c r="D3" s="6"/>
      <c r="E3" s="6"/>
      <c r="L3" s="3" t="s">
        <v>96</v>
      </c>
      <c r="N3" s="370" t="s">
        <v>97</v>
      </c>
      <c r="O3" s="370"/>
      <c r="P3" s="192"/>
    </row>
    <row r="4" spans="1:20" s="2" customFormat="1" ht="9" customHeight="1" x14ac:dyDescent="0.3">
      <c r="L4" s="3"/>
      <c r="N4" s="310"/>
      <c r="O4"/>
      <c r="P4" s="194"/>
    </row>
    <row r="5" spans="1:20" s="2" customFormat="1" ht="14.45" x14ac:dyDescent="0.3">
      <c r="L5" s="3" t="s">
        <v>76</v>
      </c>
      <c r="N5" s="387">
        <v>42124</v>
      </c>
      <c r="O5" s="387"/>
      <c r="P5" s="192"/>
    </row>
    <row r="6" spans="1:20" s="2" customFormat="1" ht="15" customHeight="1" x14ac:dyDescent="0.3">
      <c r="N6" s="7"/>
      <c r="O6"/>
      <c r="P6"/>
    </row>
    <row r="7" spans="1:20" ht="7.5" customHeight="1" x14ac:dyDescent="0.3">
      <c r="L7"/>
      <c r="M7"/>
      <c r="N7"/>
      <c r="O7"/>
      <c r="P7"/>
    </row>
    <row r="8" spans="1:20" ht="18.75" customHeight="1" x14ac:dyDescent="0.3">
      <c r="B8" s="367" t="s">
        <v>1</v>
      </c>
      <c r="C8" s="367"/>
      <c r="D8" s="367"/>
      <c r="E8" s="367"/>
      <c r="F8" s="367"/>
      <c r="G8" s="367"/>
      <c r="H8" s="367"/>
      <c r="I8" s="367"/>
      <c r="J8" s="367"/>
      <c r="K8" s="367"/>
      <c r="L8" s="367"/>
      <c r="M8" s="367"/>
      <c r="N8" s="367"/>
      <c r="O8" s="367"/>
      <c r="P8"/>
    </row>
    <row r="9" spans="1:20" ht="18.75" customHeight="1" x14ac:dyDescent="0.3">
      <c r="B9" s="367" t="s">
        <v>2</v>
      </c>
      <c r="C9" s="367"/>
      <c r="D9" s="367"/>
      <c r="E9" s="367"/>
      <c r="F9" s="367"/>
      <c r="G9" s="367"/>
      <c r="H9" s="367"/>
      <c r="I9" s="367"/>
      <c r="J9" s="367"/>
      <c r="K9" s="367"/>
      <c r="L9" s="367"/>
      <c r="M9" s="367"/>
      <c r="N9" s="367"/>
      <c r="O9" s="367"/>
      <c r="P9"/>
    </row>
    <row r="10" spans="1:20" ht="7.5" customHeight="1" x14ac:dyDescent="0.3">
      <c r="L10"/>
      <c r="M10"/>
      <c r="N10"/>
      <c r="O10"/>
      <c r="P10"/>
    </row>
    <row r="11" spans="1:20" ht="7.5" customHeight="1" x14ac:dyDescent="0.3">
      <c r="L11"/>
      <c r="M11"/>
      <c r="N11"/>
      <c r="O11"/>
      <c r="P11"/>
    </row>
    <row r="12" spans="1:20" ht="15.6" x14ac:dyDescent="0.3">
      <c r="B12" s="8" t="s">
        <v>3</v>
      </c>
      <c r="D12" s="386" t="s">
        <v>59</v>
      </c>
      <c r="E12" s="386"/>
      <c r="F12" s="386"/>
      <c r="G12" s="386"/>
      <c r="H12" s="386"/>
      <c r="I12" s="386"/>
      <c r="J12" s="386"/>
      <c r="K12" s="386"/>
      <c r="L12" s="386"/>
      <c r="M12" s="386"/>
      <c r="N12" s="386"/>
      <c r="O12" s="386"/>
    </row>
    <row r="13" spans="1:20" ht="7.5" customHeight="1" x14ac:dyDescent="0.3">
      <c r="B13" s="9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</row>
    <row r="14" spans="1:20" ht="15.6" x14ac:dyDescent="0.3">
      <c r="B14" s="8" t="s">
        <v>4</v>
      </c>
      <c r="D14" s="11" t="s">
        <v>5</v>
      </c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</row>
    <row r="15" spans="1:20" ht="15.6" x14ac:dyDescent="0.3">
      <c r="B15" s="9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</row>
    <row r="16" spans="1:20" ht="14.45" x14ac:dyDescent="0.3">
      <c r="B16" s="12"/>
      <c r="D16" s="13" t="s">
        <v>6</v>
      </c>
      <c r="E16" s="13"/>
      <c r="F16" s="14">
        <v>500</v>
      </c>
      <c r="G16" s="13" t="s">
        <v>7</v>
      </c>
    </row>
    <row r="17" spans="2:15" ht="14.45" x14ac:dyDescent="0.3">
      <c r="B17" s="12"/>
    </row>
    <row r="18" spans="2:15" ht="14.45" x14ac:dyDescent="0.3">
      <c r="B18" s="12"/>
      <c r="D18" s="15"/>
      <c r="E18" s="15"/>
      <c r="F18" s="373" t="s">
        <v>8</v>
      </c>
      <c r="G18" s="374"/>
      <c r="H18" s="375"/>
      <c r="J18" s="373" t="s">
        <v>9</v>
      </c>
      <c r="K18" s="374"/>
      <c r="L18" s="375"/>
      <c r="N18" s="373" t="s">
        <v>10</v>
      </c>
      <c r="O18" s="375"/>
    </row>
    <row r="19" spans="2:15" x14ac:dyDescent="0.25">
      <c r="B19" s="12"/>
      <c r="D19" s="377" t="s">
        <v>11</v>
      </c>
      <c r="E19" s="16"/>
      <c r="F19" s="17" t="s">
        <v>12</v>
      </c>
      <c r="G19" s="17" t="s">
        <v>13</v>
      </c>
      <c r="H19" s="18" t="s">
        <v>14</v>
      </c>
      <c r="J19" s="17" t="s">
        <v>12</v>
      </c>
      <c r="K19" s="19" t="s">
        <v>13</v>
      </c>
      <c r="L19" s="18" t="s">
        <v>14</v>
      </c>
      <c r="N19" s="379" t="s">
        <v>15</v>
      </c>
      <c r="O19" s="381" t="s">
        <v>16</v>
      </c>
    </row>
    <row r="20" spans="2:15" x14ac:dyDescent="0.25">
      <c r="B20" s="12"/>
      <c r="D20" s="378"/>
      <c r="E20" s="16"/>
      <c r="F20" s="20" t="s">
        <v>17</v>
      </c>
      <c r="G20" s="20"/>
      <c r="H20" s="21" t="s">
        <v>17</v>
      </c>
      <c r="J20" s="20" t="s">
        <v>17</v>
      </c>
      <c r="K20" s="21"/>
      <c r="L20" s="21" t="s">
        <v>17</v>
      </c>
      <c r="N20" s="380"/>
      <c r="O20" s="382"/>
    </row>
    <row r="21" spans="2:15" ht="22.5" customHeight="1" x14ac:dyDescent="0.3">
      <c r="B21" s="22" t="s">
        <v>18</v>
      </c>
      <c r="C21" s="22"/>
      <c r="D21" s="23" t="s">
        <v>60</v>
      </c>
      <c r="E21" s="24"/>
      <c r="F21" s="174">
        <f>+'Res (100kWh)'!$F$21</f>
        <v>15.2</v>
      </c>
      <c r="G21" s="26">
        <v>1</v>
      </c>
      <c r="H21" s="27">
        <f>G21*F21</f>
        <v>15.2</v>
      </c>
      <c r="I21" s="28"/>
      <c r="J21" s="173">
        <f>+'Res (100kWh)'!$J$21</f>
        <v>19.87</v>
      </c>
      <c r="K21" s="30">
        <v>1</v>
      </c>
      <c r="L21" s="27">
        <f>K21*J21</f>
        <v>19.87</v>
      </c>
      <c r="M21" s="28"/>
      <c r="N21" s="31">
        <f>L21-H21</f>
        <v>4.6700000000000017</v>
      </c>
      <c r="O21" s="32">
        <f>IF((H21)=0,"",(N21/H21))</f>
        <v>0.30723684210526331</v>
      </c>
    </row>
    <row r="22" spans="2:15" ht="36.75" customHeight="1" x14ac:dyDescent="0.3">
      <c r="B22" s="64" t="s">
        <v>62</v>
      </c>
      <c r="C22" s="22"/>
      <c r="D22" s="56" t="s">
        <v>60</v>
      </c>
      <c r="E22" s="24"/>
      <c r="F22" s="173">
        <f>+'Res (100kWh)'!$F$22</f>
        <v>0</v>
      </c>
      <c r="G22" s="26">
        <v>1</v>
      </c>
      <c r="H22" s="27">
        <f t="shared" ref="H22:H36" si="0">G22*F22</f>
        <v>0</v>
      </c>
      <c r="I22" s="28"/>
      <c r="J22" s="29"/>
      <c r="K22" s="30">
        <v>1</v>
      </c>
      <c r="L22" s="27">
        <f>K22*J22</f>
        <v>0</v>
      </c>
      <c r="M22" s="28"/>
      <c r="N22" s="31">
        <f>L22-H22</f>
        <v>0</v>
      </c>
      <c r="O22" s="32" t="str">
        <f>IF((H22)=0,"",(N22/H22))</f>
        <v/>
      </c>
    </row>
    <row r="23" spans="2:15" ht="36.75" customHeight="1" x14ac:dyDescent="0.3">
      <c r="B23" s="297" t="s">
        <v>63</v>
      </c>
      <c r="C23" s="22"/>
      <c r="D23" s="56" t="s">
        <v>60</v>
      </c>
      <c r="E23" s="57"/>
      <c r="F23" s="173">
        <f>+'Res (100kWh)'!$F$23</f>
        <v>2.11</v>
      </c>
      <c r="G23" s="26">
        <v>1</v>
      </c>
      <c r="H23" s="27">
        <f t="shared" si="0"/>
        <v>2.11</v>
      </c>
      <c r="I23" s="28"/>
      <c r="J23" s="29"/>
      <c r="K23" s="30">
        <v>1</v>
      </c>
      <c r="L23" s="27">
        <f t="shared" ref="L23:L36" si="1">K23*J23</f>
        <v>0</v>
      </c>
      <c r="M23" s="28"/>
      <c r="N23" s="31">
        <f t="shared" ref="N23:N64" si="2">L23-H23</f>
        <v>-2.11</v>
      </c>
      <c r="O23" s="32">
        <f t="shared" ref="O23:O44" si="3">IF((H23)=0,"",(N23/H23))</f>
        <v>-1</v>
      </c>
    </row>
    <row r="24" spans="2:15" ht="14.45" x14ac:dyDescent="0.3">
      <c r="B24" s="297" t="s">
        <v>64</v>
      </c>
      <c r="C24" s="22"/>
      <c r="D24" s="23" t="s">
        <v>60</v>
      </c>
      <c r="E24" s="24"/>
      <c r="F24" s="25">
        <f>+'Res (100kWh)'!$F$24</f>
        <v>0</v>
      </c>
      <c r="G24" s="26">
        <v>1</v>
      </c>
      <c r="H24" s="27">
        <f t="shared" si="0"/>
        <v>0</v>
      </c>
      <c r="I24" s="28"/>
      <c r="J24" s="173">
        <f>+'Res (100kWh)'!$J$24</f>
        <v>0.5751915487210707</v>
      </c>
      <c r="K24" s="30">
        <v>1</v>
      </c>
      <c r="L24" s="27">
        <f t="shared" si="1"/>
        <v>0.5751915487210707</v>
      </c>
      <c r="M24" s="28"/>
      <c r="N24" s="31">
        <f t="shared" si="2"/>
        <v>0.5751915487210707</v>
      </c>
      <c r="O24" s="32" t="str">
        <f t="shared" si="3"/>
        <v/>
      </c>
    </row>
    <row r="25" spans="2:15" ht="14.45" x14ac:dyDescent="0.3">
      <c r="B25" s="296" t="s">
        <v>65</v>
      </c>
      <c r="C25" s="22"/>
      <c r="D25" s="23" t="s">
        <v>61</v>
      </c>
      <c r="E25" s="24"/>
      <c r="F25" s="25">
        <f>+'Res (100kWh)'!$F$25</f>
        <v>-1E-4</v>
      </c>
      <c r="G25" s="26">
        <f>$F$16</f>
        <v>500</v>
      </c>
      <c r="H25" s="27">
        <f t="shared" si="0"/>
        <v>-0.05</v>
      </c>
      <c r="I25" s="28"/>
      <c r="J25" s="173">
        <f>+'Res (100kWh)'!$J$25</f>
        <v>-1E-4</v>
      </c>
      <c r="K25" s="26">
        <f>$F$16</f>
        <v>500</v>
      </c>
      <c r="L25" s="27">
        <f t="shared" si="1"/>
        <v>-0.05</v>
      </c>
      <c r="M25" s="28"/>
      <c r="N25" s="31">
        <f t="shared" si="2"/>
        <v>0</v>
      </c>
      <c r="O25" s="32">
        <f t="shared" si="3"/>
        <v>0</v>
      </c>
    </row>
    <row r="26" spans="2:15" x14ac:dyDescent="0.25">
      <c r="B26" s="296" t="s">
        <v>66</v>
      </c>
      <c r="C26" s="22"/>
      <c r="D26" s="23" t="s">
        <v>61</v>
      </c>
      <c r="E26" s="24"/>
      <c r="F26" s="25">
        <f>+'Res (100kWh)'!$F$26</f>
        <v>0</v>
      </c>
      <c r="G26" s="26">
        <f>$F$16</f>
        <v>500</v>
      </c>
      <c r="H26" s="27">
        <f t="shared" si="0"/>
        <v>0</v>
      </c>
      <c r="I26" s="28"/>
      <c r="J26" s="29">
        <f>+'Res (100kWh)'!$J$26</f>
        <v>-1.6000000000000001E-3</v>
      </c>
      <c r="K26" s="26">
        <f>$F$16</f>
        <v>500</v>
      </c>
      <c r="L26" s="27">
        <f t="shared" si="1"/>
        <v>-0.8</v>
      </c>
      <c r="M26" s="28"/>
      <c r="N26" s="31">
        <f t="shared" si="2"/>
        <v>-0.8</v>
      </c>
      <c r="O26" s="32" t="str">
        <f t="shared" si="3"/>
        <v/>
      </c>
    </row>
    <row r="27" spans="2:15" x14ac:dyDescent="0.25">
      <c r="B27" s="24" t="s">
        <v>19</v>
      </c>
      <c r="C27" s="22"/>
      <c r="D27" s="23" t="s">
        <v>61</v>
      </c>
      <c r="E27" s="24"/>
      <c r="F27" s="25">
        <f>+'Res (100kWh)'!$F$27</f>
        <v>1.9199999999999998E-2</v>
      </c>
      <c r="G27" s="26">
        <f>$F$16</f>
        <v>500</v>
      </c>
      <c r="H27" s="27">
        <f t="shared" si="0"/>
        <v>9.6</v>
      </c>
      <c r="I27" s="28"/>
      <c r="J27" s="29">
        <f>+'Res (100kWh)'!$J$27</f>
        <v>1.55E-2</v>
      </c>
      <c r="K27" s="26">
        <f>$F$16</f>
        <v>500</v>
      </c>
      <c r="L27" s="27">
        <f t="shared" si="1"/>
        <v>7.75</v>
      </c>
      <c r="M27" s="28"/>
      <c r="N27" s="31">
        <f t="shared" si="2"/>
        <v>-1.8499999999999996</v>
      </c>
      <c r="O27" s="32">
        <f>IF((H27)=0,"",(N27/H27))</f>
        <v>-0.19270833333333331</v>
      </c>
    </row>
    <row r="28" spans="2:15" x14ac:dyDescent="0.25">
      <c r="B28" s="24" t="s">
        <v>20</v>
      </c>
      <c r="C28" s="22"/>
      <c r="D28" s="23"/>
      <c r="E28" s="24"/>
      <c r="F28" s="25"/>
      <c r="G28" s="26">
        <f>$F$16</f>
        <v>500</v>
      </c>
      <c r="H28" s="27">
        <f t="shared" si="0"/>
        <v>0</v>
      </c>
      <c r="I28" s="28"/>
      <c r="J28" s="29"/>
      <c r="K28" s="26">
        <f t="shared" ref="K28:K36" si="4">$F$16</f>
        <v>500</v>
      </c>
      <c r="L28" s="27">
        <f t="shared" si="1"/>
        <v>0</v>
      </c>
      <c r="M28" s="28"/>
      <c r="N28" s="31">
        <f t="shared" si="2"/>
        <v>0</v>
      </c>
      <c r="O28" s="32" t="str">
        <f t="shared" si="3"/>
        <v/>
      </c>
    </row>
    <row r="29" spans="2:15" x14ac:dyDescent="0.25">
      <c r="B29" s="24" t="s">
        <v>21</v>
      </c>
      <c r="C29" s="22"/>
      <c r="D29" s="23"/>
      <c r="E29" s="24"/>
      <c r="F29" s="25"/>
      <c r="G29" s="26">
        <f>$F$16</f>
        <v>500</v>
      </c>
      <c r="H29" s="27">
        <f t="shared" si="0"/>
        <v>0</v>
      </c>
      <c r="I29" s="28"/>
      <c r="J29" s="29">
        <f>+'Res (100kWh)'!$J$29</f>
        <v>2.0000000000000001E-4</v>
      </c>
      <c r="K29" s="26">
        <f t="shared" si="4"/>
        <v>500</v>
      </c>
      <c r="L29" s="27">
        <f t="shared" si="1"/>
        <v>0.1</v>
      </c>
      <c r="M29" s="28"/>
      <c r="N29" s="31">
        <f t="shared" si="2"/>
        <v>0.1</v>
      </c>
      <c r="O29" s="32" t="str">
        <f t="shared" si="3"/>
        <v/>
      </c>
    </row>
    <row r="30" spans="2:15" x14ac:dyDescent="0.25">
      <c r="B30" s="182"/>
      <c r="C30" s="22"/>
      <c r="D30" s="23"/>
      <c r="E30" s="24"/>
      <c r="F30" s="25"/>
      <c r="G30" s="26">
        <f t="shared" ref="G30:G36" si="5">$F$16</f>
        <v>500</v>
      </c>
      <c r="H30" s="27">
        <f t="shared" si="0"/>
        <v>0</v>
      </c>
      <c r="I30" s="28"/>
      <c r="J30" s="29"/>
      <c r="K30" s="26">
        <f t="shared" si="4"/>
        <v>500</v>
      </c>
      <c r="L30" s="27">
        <f t="shared" si="1"/>
        <v>0</v>
      </c>
      <c r="M30" s="28"/>
      <c r="N30" s="31">
        <f t="shared" si="2"/>
        <v>0</v>
      </c>
      <c r="O30" s="32" t="str">
        <f t="shared" si="3"/>
        <v/>
      </c>
    </row>
    <row r="31" spans="2:15" x14ac:dyDescent="0.25">
      <c r="B31" s="182"/>
      <c r="C31" s="22"/>
      <c r="D31" s="23"/>
      <c r="E31" s="24"/>
      <c r="F31" s="25"/>
      <c r="G31" s="26">
        <f t="shared" si="5"/>
        <v>500</v>
      </c>
      <c r="H31" s="27">
        <f t="shared" si="0"/>
        <v>0</v>
      </c>
      <c r="I31" s="28"/>
      <c r="J31" s="29"/>
      <c r="K31" s="26">
        <f t="shared" si="4"/>
        <v>500</v>
      </c>
      <c r="L31" s="27">
        <f t="shared" si="1"/>
        <v>0</v>
      </c>
      <c r="M31" s="28"/>
      <c r="N31" s="31">
        <f t="shared" si="2"/>
        <v>0</v>
      </c>
      <c r="O31" s="32" t="str">
        <f t="shared" si="3"/>
        <v/>
      </c>
    </row>
    <row r="32" spans="2:15" x14ac:dyDescent="0.25">
      <c r="B32" s="182"/>
      <c r="C32" s="22"/>
      <c r="D32" s="23"/>
      <c r="E32" s="24"/>
      <c r="F32" s="25"/>
      <c r="G32" s="26">
        <f t="shared" si="5"/>
        <v>500</v>
      </c>
      <c r="H32" s="27">
        <f t="shared" si="0"/>
        <v>0</v>
      </c>
      <c r="I32" s="28"/>
      <c r="J32" s="29"/>
      <c r="K32" s="26">
        <f t="shared" si="4"/>
        <v>500</v>
      </c>
      <c r="L32" s="27">
        <f t="shared" si="1"/>
        <v>0</v>
      </c>
      <c r="M32" s="28"/>
      <c r="N32" s="31">
        <f t="shared" si="2"/>
        <v>0</v>
      </c>
      <c r="O32" s="32" t="str">
        <f t="shared" si="3"/>
        <v/>
      </c>
    </row>
    <row r="33" spans="2:15" x14ac:dyDescent="0.25">
      <c r="B33" s="182"/>
      <c r="C33" s="22"/>
      <c r="D33" s="23"/>
      <c r="E33" s="24"/>
      <c r="F33" s="25"/>
      <c r="G33" s="26">
        <f t="shared" si="5"/>
        <v>500</v>
      </c>
      <c r="H33" s="27">
        <f t="shared" si="0"/>
        <v>0</v>
      </c>
      <c r="I33" s="28"/>
      <c r="J33" s="29"/>
      <c r="K33" s="26">
        <f t="shared" si="4"/>
        <v>500</v>
      </c>
      <c r="L33" s="27">
        <f t="shared" si="1"/>
        <v>0</v>
      </c>
      <c r="M33" s="28"/>
      <c r="N33" s="31">
        <f t="shared" si="2"/>
        <v>0</v>
      </c>
      <c r="O33" s="32" t="str">
        <f t="shared" si="3"/>
        <v/>
      </c>
    </row>
    <row r="34" spans="2:15" x14ac:dyDescent="0.25">
      <c r="B34" s="182"/>
      <c r="C34" s="22"/>
      <c r="D34" s="23"/>
      <c r="E34" s="24"/>
      <c r="F34" s="25"/>
      <c r="G34" s="26">
        <f t="shared" si="5"/>
        <v>500</v>
      </c>
      <c r="H34" s="27">
        <f t="shared" si="0"/>
        <v>0</v>
      </c>
      <c r="I34" s="28"/>
      <c r="J34" s="29"/>
      <c r="K34" s="26">
        <f t="shared" si="4"/>
        <v>500</v>
      </c>
      <c r="L34" s="27">
        <f t="shared" si="1"/>
        <v>0</v>
      </c>
      <c r="M34" s="28"/>
      <c r="N34" s="31">
        <f t="shared" si="2"/>
        <v>0</v>
      </c>
      <c r="O34" s="32" t="str">
        <f t="shared" si="3"/>
        <v/>
      </c>
    </row>
    <row r="35" spans="2:15" x14ac:dyDescent="0.25">
      <c r="B35" s="182"/>
      <c r="C35" s="22"/>
      <c r="D35" s="23"/>
      <c r="E35" s="24"/>
      <c r="F35" s="25"/>
      <c r="G35" s="26">
        <f t="shared" si="5"/>
        <v>500</v>
      </c>
      <c r="H35" s="27">
        <f t="shared" si="0"/>
        <v>0</v>
      </c>
      <c r="I35" s="28"/>
      <c r="J35" s="29"/>
      <c r="K35" s="26">
        <f t="shared" si="4"/>
        <v>500</v>
      </c>
      <c r="L35" s="27">
        <f t="shared" si="1"/>
        <v>0</v>
      </c>
      <c r="M35" s="28"/>
      <c r="N35" s="31">
        <f t="shared" si="2"/>
        <v>0</v>
      </c>
      <c r="O35" s="32" t="str">
        <f t="shared" si="3"/>
        <v/>
      </c>
    </row>
    <row r="36" spans="2:15" x14ac:dyDescent="0.25">
      <c r="B36" s="182"/>
      <c r="C36" s="22"/>
      <c r="D36" s="23"/>
      <c r="E36" s="24"/>
      <c r="F36" s="25"/>
      <c r="G36" s="26">
        <f t="shared" si="5"/>
        <v>500</v>
      </c>
      <c r="H36" s="27">
        <f t="shared" si="0"/>
        <v>0</v>
      </c>
      <c r="I36" s="28"/>
      <c r="J36" s="29"/>
      <c r="K36" s="26">
        <f t="shared" si="4"/>
        <v>500</v>
      </c>
      <c r="L36" s="27">
        <f t="shared" si="1"/>
        <v>0</v>
      </c>
      <c r="M36" s="28"/>
      <c r="N36" s="31">
        <f t="shared" si="2"/>
        <v>0</v>
      </c>
      <c r="O36" s="32" t="str">
        <f t="shared" si="3"/>
        <v/>
      </c>
    </row>
    <row r="37" spans="2:15" s="34" customFormat="1" x14ac:dyDescent="0.25">
      <c r="B37" s="35" t="s">
        <v>22</v>
      </c>
      <c r="C37" s="36"/>
      <c r="D37" s="37"/>
      <c r="E37" s="36"/>
      <c r="F37" s="38"/>
      <c r="G37" s="39"/>
      <c r="H37" s="40">
        <f>SUM(H21:H36)</f>
        <v>26.86</v>
      </c>
      <c r="I37" s="41"/>
      <c r="J37" s="42"/>
      <c r="K37" s="43"/>
      <c r="L37" s="40">
        <f>SUM(L21:L36)</f>
        <v>27.445191548721073</v>
      </c>
      <c r="M37" s="41"/>
      <c r="N37" s="44">
        <f t="shared" si="2"/>
        <v>0.58519154872107393</v>
      </c>
      <c r="O37" s="45">
        <f t="shared" si="3"/>
        <v>2.178672928969002E-2</v>
      </c>
    </row>
    <row r="38" spans="2:15" x14ac:dyDescent="0.25">
      <c r="B38" s="297"/>
      <c r="C38" s="22"/>
      <c r="D38" s="56" t="s">
        <v>60</v>
      </c>
      <c r="E38" s="24"/>
      <c r="F38" s="25"/>
      <c r="G38" s="26">
        <v>1</v>
      </c>
      <c r="H38" s="27">
        <f>G38*F38</f>
        <v>0</v>
      </c>
      <c r="I38" s="28"/>
      <c r="J38" s="173"/>
      <c r="K38" s="30">
        <v>1</v>
      </c>
      <c r="L38" s="27">
        <f>K38*J38</f>
        <v>0</v>
      </c>
      <c r="M38" s="28"/>
      <c r="N38" s="31">
        <f>L38-H38</f>
        <v>0</v>
      </c>
      <c r="O38" s="32" t="str">
        <f>IF((H38)=0,"",(N38/H38))</f>
        <v/>
      </c>
    </row>
    <row r="39" spans="2:15" x14ac:dyDescent="0.25">
      <c r="B39" s="296" t="s">
        <v>23</v>
      </c>
      <c r="C39" s="22"/>
      <c r="D39" s="56" t="s">
        <v>61</v>
      </c>
      <c r="E39" s="57"/>
      <c r="F39" s="29">
        <f>+'Res (100kWh)'!$F$39</f>
        <v>-1.4E-3</v>
      </c>
      <c r="G39" s="26">
        <f>$F$16</f>
        <v>500</v>
      </c>
      <c r="H39" s="27">
        <f t="shared" ref="H39:H45" si="6">G39*F39</f>
        <v>-0.7</v>
      </c>
      <c r="I39" s="28"/>
      <c r="J39" s="29">
        <f>+'Res (100kWh)'!$J$39</f>
        <v>2.0000000000000009E-4</v>
      </c>
      <c r="K39" s="26">
        <f>$F$16</f>
        <v>500</v>
      </c>
      <c r="L39" s="27">
        <f t="shared" ref="L39:L45" si="7">K39*J39</f>
        <v>0.10000000000000005</v>
      </c>
      <c r="M39" s="28"/>
      <c r="N39" s="31">
        <f t="shared" si="2"/>
        <v>0.8</v>
      </c>
      <c r="O39" s="32">
        <f t="shared" si="3"/>
        <v>-1.142857142857143</v>
      </c>
    </row>
    <row r="40" spans="2:15" x14ac:dyDescent="0.25">
      <c r="B40" s="46"/>
      <c r="C40" s="22"/>
      <c r="D40" s="23" t="s">
        <v>61</v>
      </c>
      <c r="E40" s="24"/>
      <c r="F40" s="25"/>
      <c r="G40" s="26">
        <f>$F$16</f>
        <v>500</v>
      </c>
      <c r="H40" s="27">
        <f t="shared" si="6"/>
        <v>0</v>
      </c>
      <c r="I40" s="47"/>
      <c r="J40" s="29"/>
      <c r="K40" s="26">
        <f>$F$16</f>
        <v>500</v>
      </c>
      <c r="L40" s="27">
        <f t="shared" si="7"/>
        <v>0</v>
      </c>
      <c r="M40" s="48"/>
      <c r="N40" s="31">
        <f t="shared" si="2"/>
        <v>0</v>
      </c>
      <c r="O40" s="32" t="str">
        <f t="shared" si="3"/>
        <v/>
      </c>
    </row>
    <row r="41" spans="2:15" x14ac:dyDescent="0.25">
      <c r="B41" s="46"/>
      <c r="C41" s="22"/>
      <c r="D41" s="23" t="s">
        <v>61</v>
      </c>
      <c r="E41" s="24"/>
      <c r="F41" s="25"/>
      <c r="G41" s="26">
        <f>$F$16</f>
        <v>500</v>
      </c>
      <c r="H41" s="27">
        <f t="shared" si="6"/>
        <v>0</v>
      </c>
      <c r="I41" s="47"/>
      <c r="J41" s="29"/>
      <c r="K41" s="26">
        <f>$F$16</f>
        <v>500</v>
      </c>
      <c r="L41" s="27">
        <f t="shared" si="7"/>
        <v>0</v>
      </c>
      <c r="M41" s="48"/>
      <c r="N41" s="31">
        <f t="shared" si="2"/>
        <v>0</v>
      </c>
      <c r="O41" s="32" t="str">
        <f t="shared" si="3"/>
        <v/>
      </c>
    </row>
    <row r="42" spans="2:15" x14ac:dyDescent="0.25">
      <c r="B42" s="46"/>
      <c r="C42" s="22"/>
      <c r="D42" s="23"/>
      <c r="E42" s="24"/>
      <c r="F42" s="25"/>
      <c r="G42" s="26">
        <f>$F$16</f>
        <v>500</v>
      </c>
      <c r="H42" s="27">
        <f t="shared" si="6"/>
        <v>0</v>
      </c>
      <c r="I42" s="47"/>
      <c r="J42" s="29"/>
      <c r="K42" s="26">
        <f>$F$16</f>
        <v>500</v>
      </c>
      <c r="L42" s="27">
        <f t="shared" si="7"/>
        <v>0</v>
      </c>
      <c r="M42" s="48"/>
      <c r="N42" s="31">
        <f t="shared" si="2"/>
        <v>0</v>
      </c>
      <c r="O42" s="32" t="str">
        <f t="shared" si="3"/>
        <v/>
      </c>
    </row>
    <row r="43" spans="2:15" x14ac:dyDescent="0.25">
      <c r="B43" s="49" t="s">
        <v>24</v>
      </c>
      <c r="C43" s="22"/>
      <c r="D43" s="23" t="s">
        <v>61</v>
      </c>
      <c r="E43" s="24"/>
      <c r="F43" s="25">
        <f>+'Res (100kWh)'!$F$43</f>
        <v>1E-4</v>
      </c>
      <c r="G43" s="26">
        <f>$F$16</f>
        <v>500</v>
      </c>
      <c r="H43" s="27">
        <f t="shared" si="6"/>
        <v>0.05</v>
      </c>
      <c r="I43" s="28"/>
      <c r="J43" s="29">
        <f>+'Res (100kWh)'!$J$43</f>
        <v>2.0000000000000001E-4</v>
      </c>
      <c r="K43" s="26">
        <f>$F$16</f>
        <v>500</v>
      </c>
      <c r="L43" s="27">
        <f t="shared" si="7"/>
        <v>0.1</v>
      </c>
      <c r="M43" s="28"/>
      <c r="N43" s="31">
        <f t="shared" si="2"/>
        <v>0.05</v>
      </c>
      <c r="O43" s="32">
        <f t="shared" si="3"/>
        <v>1</v>
      </c>
    </row>
    <row r="44" spans="2:15" s="34" customFormat="1" x14ac:dyDescent="0.25">
      <c r="B44" s="181" t="s">
        <v>25</v>
      </c>
      <c r="C44" s="24"/>
      <c r="D44" s="182" t="s">
        <v>61</v>
      </c>
      <c r="E44" s="24"/>
      <c r="F44" s="183">
        <f>IF(ISBLANK(D14)=TRUE, 0, IF(D14="TOU", 0.64*$F$54+0.18*$F$55+0.18*$F$56, IF(AND(D14="non-TOU", G58&gt;0), F58,F57)))</f>
        <v>9.5000000000000001E-2</v>
      </c>
      <c r="G44" s="26">
        <f>$F$16*(1+$F$73)-$F$16</f>
        <v>20.200000000000045</v>
      </c>
      <c r="H44" s="184">
        <f t="shared" si="6"/>
        <v>1.9190000000000043</v>
      </c>
      <c r="I44" s="57"/>
      <c r="J44" s="185">
        <f>0.64*$F$54+0.18*$F$55+0.18*$F$56</f>
        <v>9.5000000000000001E-2</v>
      </c>
      <c r="K44" s="26">
        <f>$F$16*(1+$J$73)-$F$16</f>
        <v>18.100000000000023</v>
      </c>
      <c r="L44" s="184">
        <f t="shared" si="7"/>
        <v>1.7195000000000022</v>
      </c>
      <c r="M44" s="57"/>
      <c r="N44" s="186">
        <f t="shared" si="2"/>
        <v>-0.19950000000000201</v>
      </c>
      <c r="O44" s="187">
        <f t="shared" si="3"/>
        <v>-0.10396039603960477</v>
      </c>
    </row>
    <row r="45" spans="2:15" ht="14.45" x14ac:dyDescent="0.3">
      <c r="B45" s="49" t="s">
        <v>26</v>
      </c>
      <c r="C45" s="22"/>
      <c r="D45" s="23" t="s">
        <v>60</v>
      </c>
      <c r="E45" s="24"/>
      <c r="F45" s="178">
        <f>+'Res (100kWh)'!$F$45</f>
        <v>0.79</v>
      </c>
      <c r="G45" s="26">
        <v>1</v>
      </c>
      <c r="H45" s="27">
        <f t="shared" si="6"/>
        <v>0.79</v>
      </c>
      <c r="I45" s="28"/>
      <c r="J45" s="174">
        <f>+'Res (100kWh)'!$J$45</f>
        <v>0.79</v>
      </c>
      <c r="K45" s="26">
        <v>1</v>
      </c>
      <c r="L45" s="27">
        <f t="shared" si="7"/>
        <v>0.79</v>
      </c>
      <c r="M45" s="28"/>
      <c r="N45" s="31">
        <f t="shared" si="2"/>
        <v>0</v>
      </c>
      <c r="O45" s="32"/>
    </row>
    <row r="46" spans="2:15" ht="14.45" x14ac:dyDescent="0.3">
      <c r="B46" s="50" t="s">
        <v>27</v>
      </c>
      <c r="C46" s="51"/>
      <c r="D46" s="51"/>
      <c r="E46" s="51"/>
      <c r="F46" s="52"/>
      <c r="G46" s="53"/>
      <c r="H46" s="54">
        <f>SUM(H38:H45)+H37</f>
        <v>28.919000000000004</v>
      </c>
      <c r="I46" s="41"/>
      <c r="J46" s="53"/>
      <c r="K46" s="55"/>
      <c r="L46" s="54">
        <f>SUM(L38:L45)+L37</f>
        <v>30.154691548721075</v>
      </c>
      <c r="M46" s="41"/>
      <c r="N46" s="44">
        <f t="shared" si="2"/>
        <v>1.2356915487210713</v>
      </c>
      <c r="O46" s="45">
        <f t="shared" ref="O46:O64" si="8">IF((H46)=0,"",(N46/H46))</f>
        <v>4.2729401041566833E-2</v>
      </c>
    </row>
    <row r="47" spans="2:15" ht="14.45" x14ac:dyDescent="0.3">
      <c r="B47" s="28" t="s">
        <v>28</v>
      </c>
      <c r="C47" s="28"/>
      <c r="D47" s="56" t="s">
        <v>61</v>
      </c>
      <c r="E47" s="57"/>
      <c r="F47" s="29">
        <f>+'Res (100kWh)'!$F$47</f>
        <v>7.6E-3</v>
      </c>
      <c r="G47" s="69">
        <f>F16*(1+F73)</f>
        <v>520.20000000000005</v>
      </c>
      <c r="H47" s="27">
        <f>G47*F47</f>
        <v>3.9535200000000001</v>
      </c>
      <c r="I47" s="28"/>
      <c r="J47" s="263">
        <f>+'Res (100kWh)'!$J$47</f>
        <v>7.4000000000000003E-3</v>
      </c>
      <c r="K47" s="70">
        <f>F16*(1+J73)</f>
        <v>518.1</v>
      </c>
      <c r="L47" s="27">
        <f>K47*J47</f>
        <v>3.8339400000000001</v>
      </c>
      <c r="M47" s="28"/>
      <c r="N47" s="31">
        <f t="shared" si="2"/>
        <v>-0.11958000000000002</v>
      </c>
      <c r="O47" s="32">
        <f t="shared" si="8"/>
        <v>-3.0246463910641661E-2</v>
      </c>
    </row>
    <row r="48" spans="2:15" ht="14.45" x14ac:dyDescent="0.3">
      <c r="B48" s="59" t="s">
        <v>29</v>
      </c>
      <c r="C48" s="28"/>
      <c r="D48" s="56" t="s">
        <v>61</v>
      </c>
      <c r="E48" s="57"/>
      <c r="F48" s="29">
        <f>+'Res (100kWh)'!$F$48</f>
        <v>2.3E-3</v>
      </c>
      <c r="G48" s="69">
        <f>G47</f>
        <v>520.20000000000005</v>
      </c>
      <c r="H48" s="27">
        <f>G48*F48</f>
        <v>1.1964600000000001</v>
      </c>
      <c r="I48" s="28"/>
      <c r="J48" s="263">
        <f>+'Res (100kWh)'!$J$48</f>
        <v>2.3E-3</v>
      </c>
      <c r="K48" s="70">
        <f>K47</f>
        <v>518.1</v>
      </c>
      <c r="L48" s="27">
        <f>K48*J48</f>
        <v>1.19163</v>
      </c>
      <c r="M48" s="28"/>
      <c r="N48" s="31">
        <f t="shared" si="2"/>
        <v>-4.830000000000112E-3</v>
      </c>
      <c r="O48" s="32">
        <f t="shared" si="8"/>
        <v>-4.036908881199632E-3</v>
      </c>
    </row>
    <row r="49" spans="2:19" ht="14.45" x14ac:dyDescent="0.3">
      <c r="B49" s="50" t="s">
        <v>30</v>
      </c>
      <c r="C49" s="36"/>
      <c r="D49" s="36"/>
      <c r="E49" s="36"/>
      <c r="F49" s="60"/>
      <c r="G49" s="60"/>
      <c r="H49" s="54">
        <f>SUM(H46:H48)</f>
        <v>34.068980000000003</v>
      </c>
      <c r="I49" s="61"/>
      <c r="J49" s="62"/>
      <c r="K49" s="62"/>
      <c r="L49" s="54">
        <f>SUM(L46:L48)</f>
        <v>35.180261548721077</v>
      </c>
      <c r="M49" s="61"/>
      <c r="N49" s="44">
        <f t="shared" si="2"/>
        <v>1.1112815487210739</v>
      </c>
      <c r="O49" s="45">
        <f t="shared" si="8"/>
        <v>3.2618574102338073E-2</v>
      </c>
    </row>
    <row r="50" spans="2:19" ht="14.45" x14ac:dyDescent="0.3">
      <c r="B50" s="64" t="s">
        <v>31</v>
      </c>
      <c r="C50" s="22"/>
      <c r="D50" s="23" t="s">
        <v>61</v>
      </c>
      <c r="E50" s="24"/>
      <c r="F50" s="65">
        <f>+'Res (100kWh)'!$F$50</f>
        <v>4.4000000000000003E-3</v>
      </c>
      <c r="G50" s="69">
        <f>G48</f>
        <v>520.20000000000005</v>
      </c>
      <c r="H50" s="66">
        <f t="shared" ref="H50:H56" si="9">G50*F50</f>
        <v>2.2888800000000002</v>
      </c>
      <c r="I50" s="28"/>
      <c r="J50" s="263">
        <f>+'Res (100kWh)'!$J$50</f>
        <v>4.4000000000000003E-3</v>
      </c>
      <c r="K50" s="70">
        <f>K48</f>
        <v>518.1</v>
      </c>
      <c r="L50" s="66">
        <f t="shared" ref="L50:L56" si="10">K50*J50</f>
        <v>2.2796400000000001</v>
      </c>
      <c r="M50" s="28"/>
      <c r="N50" s="31">
        <f t="shared" si="2"/>
        <v>-9.240000000000137E-3</v>
      </c>
      <c r="O50" s="68">
        <f t="shared" si="8"/>
        <v>-4.0369088811995982E-3</v>
      </c>
    </row>
    <row r="51" spans="2:19" ht="14.45" x14ac:dyDescent="0.3">
      <c r="B51" s="64" t="s">
        <v>32</v>
      </c>
      <c r="C51" s="22"/>
      <c r="D51" s="23" t="s">
        <v>61</v>
      </c>
      <c r="E51" s="24"/>
      <c r="F51" s="65">
        <f>+'Res (100kWh)'!$F$51</f>
        <v>1.2999999999999999E-3</v>
      </c>
      <c r="G51" s="69">
        <f>G48</f>
        <v>520.20000000000005</v>
      </c>
      <c r="H51" s="66">
        <f t="shared" si="9"/>
        <v>0.67626000000000008</v>
      </c>
      <c r="I51" s="28"/>
      <c r="J51" s="263">
        <f>+'Res (100kWh)'!$J$51</f>
        <v>1.2999999999999999E-3</v>
      </c>
      <c r="K51" s="70">
        <f>K48</f>
        <v>518.1</v>
      </c>
      <c r="L51" s="66">
        <f t="shared" si="10"/>
        <v>0.67352999999999996</v>
      </c>
      <c r="M51" s="28"/>
      <c r="N51" s="31">
        <f t="shared" si="2"/>
        <v>-2.7300000000001212E-3</v>
      </c>
      <c r="O51" s="68">
        <f t="shared" si="8"/>
        <v>-4.036908881199717E-3</v>
      </c>
    </row>
    <row r="52" spans="2:19" ht="14.45" x14ac:dyDescent="0.3">
      <c r="B52" s="22" t="s">
        <v>33</v>
      </c>
      <c r="C52" s="22"/>
      <c r="D52" s="23" t="s">
        <v>60</v>
      </c>
      <c r="E52" s="24"/>
      <c r="F52" s="176">
        <f>+'Res (100kWh)'!$F$52</f>
        <v>0.25</v>
      </c>
      <c r="G52" s="26">
        <v>1</v>
      </c>
      <c r="H52" s="66">
        <f t="shared" si="9"/>
        <v>0.25</v>
      </c>
      <c r="I52" s="28"/>
      <c r="J52" s="283">
        <f>+'Res (100kWh)'!$J$52</f>
        <v>0.25</v>
      </c>
      <c r="K52" s="30">
        <v>1</v>
      </c>
      <c r="L52" s="66">
        <f t="shared" si="10"/>
        <v>0.25</v>
      </c>
      <c r="M52" s="28"/>
      <c r="N52" s="31">
        <f t="shared" si="2"/>
        <v>0</v>
      </c>
      <c r="O52" s="68">
        <f t="shared" si="8"/>
        <v>0</v>
      </c>
    </row>
    <row r="53" spans="2:19" ht="14.45" x14ac:dyDescent="0.3">
      <c r="B53" s="24" t="s">
        <v>34</v>
      </c>
      <c r="C53" s="22"/>
      <c r="D53" s="23" t="s">
        <v>61</v>
      </c>
      <c r="E53" s="24"/>
      <c r="F53" s="65">
        <f>+'Res (100kWh)'!$F$53</f>
        <v>7.0000000000000001E-3</v>
      </c>
      <c r="G53" s="69">
        <f>F16</f>
        <v>500</v>
      </c>
      <c r="H53" s="66">
        <f t="shared" si="9"/>
        <v>3.5</v>
      </c>
      <c r="I53" s="28"/>
      <c r="J53" s="263">
        <f>+'Res (100kWh)'!$J$53</f>
        <v>7.0000000000000001E-3</v>
      </c>
      <c r="K53" s="70">
        <f>F16</f>
        <v>500</v>
      </c>
      <c r="L53" s="66">
        <f t="shared" si="10"/>
        <v>3.5</v>
      </c>
      <c r="M53" s="28"/>
      <c r="N53" s="31">
        <f t="shared" si="2"/>
        <v>0</v>
      </c>
      <c r="O53" s="68">
        <f t="shared" si="8"/>
        <v>0</v>
      </c>
    </row>
    <row r="54" spans="2:19" ht="14.45" x14ac:dyDescent="0.3">
      <c r="B54" s="49" t="s">
        <v>35</v>
      </c>
      <c r="C54" s="22"/>
      <c r="D54" s="23" t="s">
        <v>61</v>
      </c>
      <c r="E54" s="24"/>
      <c r="F54" s="65">
        <f>+'Res (100kWh)'!$F$54</f>
        <v>7.6999999999999999E-2</v>
      </c>
      <c r="G54" s="69">
        <f>0.64*$F$16</f>
        <v>320</v>
      </c>
      <c r="H54" s="66">
        <f t="shared" si="9"/>
        <v>24.64</v>
      </c>
      <c r="I54" s="28"/>
      <c r="J54" s="263">
        <f>+'Res (100kWh)'!$J$54</f>
        <v>7.6999999999999999E-2</v>
      </c>
      <c r="K54" s="69">
        <f>G54</f>
        <v>320</v>
      </c>
      <c r="L54" s="66">
        <f t="shared" si="10"/>
        <v>24.64</v>
      </c>
      <c r="M54" s="28"/>
      <c r="N54" s="31">
        <f t="shared" si="2"/>
        <v>0</v>
      </c>
      <c r="O54" s="68">
        <f t="shared" si="8"/>
        <v>0</v>
      </c>
      <c r="S54" s="72"/>
    </row>
    <row r="55" spans="2:19" ht="14.45" x14ac:dyDescent="0.3">
      <c r="B55" s="49" t="s">
        <v>36</v>
      </c>
      <c r="C55" s="22"/>
      <c r="D55" s="23" t="s">
        <v>61</v>
      </c>
      <c r="E55" s="24"/>
      <c r="F55" s="65">
        <f>+'Res (100kWh)'!$F$55</f>
        <v>0.114</v>
      </c>
      <c r="G55" s="69">
        <f>0.18*$F$16</f>
        <v>90</v>
      </c>
      <c r="H55" s="66">
        <f t="shared" si="9"/>
        <v>10.26</v>
      </c>
      <c r="I55" s="28"/>
      <c r="J55" s="263">
        <f>+'Res (100kWh)'!$J$55</f>
        <v>0.114</v>
      </c>
      <c r="K55" s="69">
        <f>G55</f>
        <v>90</v>
      </c>
      <c r="L55" s="66">
        <f t="shared" si="10"/>
        <v>10.26</v>
      </c>
      <c r="M55" s="28"/>
      <c r="N55" s="31">
        <f t="shared" si="2"/>
        <v>0</v>
      </c>
      <c r="O55" s="68">
        <f t="shared" si="8"/>
        <v>0</v>
      </c>
      <c r="S55" s="72"/>
    </row>
    <row r="56" spans="2:19" ht="14.45" x14ac:dyDescent="0.3">
      <c r="B56" s="12" t="s">
        <v>37</v>
      </c>
      <c r="C56" s="22"/>
      <c r="D56" s="23" t="s">
        <v>61</v>
      </c>
      <c r="E56" s="24"/>
      <c r="F56" s="65">
        <f>+'Res (100kWh)'!$F$56</f>
        <v>0.14000000000000001</v>
      </c>
      <c r="G56" s="69">
        <f>0.18*$F$16</f>
        <v>90</v>
      </c>
      <c r="H56" s="66">
        <f t="shared" si="9"/>
        <v>12.600000000000001</v>
      </c>
      <c r="I56" s="28"/>
      <c r="J56" s="263">
        <f>+'Res (100kWh)'!$J$56</f>
        <v>0.14000000000000001</v>
      </c>
      <c r="K56" s="69">
        <f>G56</f>
        <v>90</v>
      </c>
      <c r="L56" s="66">
        <f t="shared" si="10"/>
        <v>12.600000000000001</v>
      </c>
      <c r="M56" s="28"/>
      <c r="N56" s="31">
        <f t="shared" si="2"/>
        <v>0</v>
      </c>
      <c r="O56" s="68">
        <f t="shared" si="8"/>
        <v>0</v>
      </c>
      <c r="S56" s="72"/>
    </row>
    <row r="57" spans="2:19" s="73" customFormat="1" ht="14.45" x14ac:dyDescent="0.25">
      <c r="B57" s="74" t="s">
        <v>38</v>
      </c>
      <c r="C57" s="75"/>
      <c r="D57" s="76" t="s">
        <v>61</v>
      </c>
      <c r="E57" s="77"/>
      <c r="F57" s="65">
        <f>+'Res (100kWh)'!$F$57</f>
        <v>8.7999999999999995E-2</v>
      </c>
      <c r="G57" s="78">
        <f>IF(AND($T$1=1, F16&gt;=600), 600, IF(AND($T$1=1, AND(F16&lt;600, F16&gt;=0)), F16, IF(AND($T$1=2, F16&gt;=1000), 1000, IF(AND($T$1=2, AND(F16&lt;1000, F16&gt;=0)), F16))))</f>
        <v>500</v>
      </c>
      <c r="H57" s="66">
        <f>G57*F57</f>
        <v>44</v>
      </c>
      <c r="I57" s="79"/>
      <c r="J57" s="263">
        <f>+'Res (100kWh)'!$J$57</f>
        <v>8.7999999999999995E-2</v>
      </c>
      <c r="K57" s="78">
        <f>G57</f>
        <v>500</v>
      </c>
      <c r="L57" s="66">
        <f>K57*J57</f>
        <v>44</v>
      </c>
      <c r="M57" s="79"/>
      <c r="N57" s="80">
        <f t="shared" si="2"/>
        <v>0</v>
      </c>
      <c r="O57" s="68">
        <f t="shared" si="8"/>
        <v>0</v>
      </c>
    </row>
    <row r="58" spans="2:19" s="73" customFormat="1" thickBot="1" x14ac:dyDescent="0.3">
      <c r="B58" s="74" t="s">
        <v>39</v>
      </c>
      <c r="C58" s="75"/>
      <c r="D58" s="76" t="s">
        <v>61</v>
      </c>
      <c r="E58" s="77"/>
      <c r="F58" s="65">
        <f>+'Res (100kWh)'!$F$58</f>
        <v>0.10299999999999999</v>
      </c>
      <c r="G58" s="78">
        <f>IF(AND($T$1=1, F16&gt;=600), F16-600, IF(AND($T$1=1, AND(F16&lt;600, F16&gt;=0)), 0, IF(AND($T$1=2, F16&gt;=1000), F16-1000, IF(AND($T$1=2, AND(F16&lt;1000, F16&gt;=0)), 0))))</f>
        <v>0</v>
      </c>
      <c r="H58" s="66">
        <f>G58*F58</f>
        <v>0</v>
      </c>
      <c r="I58" s="79"/>
      <c r="J58" s="263">
        <f>+'Res (100kWh)'!$J$58</f>
        <v>0.10299999999999999</v>
      </c>
      <c r="K58" s="78">
        <f>G58</f>
        <v>0</v>
      </c>
      <c r="L58" s="66">
        <f>K58*J58</f>
        <v>0</v>
      </c>
      <c r="M58" s="79"/>
      <c r="N58" s="80">
        <f t="shared" si="2"/>
        <v>0</v>
      </c>
      <c r="O58" s="68" t="str">
        <f t="shared" si="8"/>
        <v/>
      </c>
    </row>
    <row r="59" spans="2:19" ht="8.25" customHeight="1" thickBot="1" x14ac:dyDescent="0.35">
      <c r="B59" s="81"/>
      <c r="C59" s="82"/>
      <c r="D59" s="83"/>
      <c r="E59" s="82"/>
      <c r="F59" s="84"/>
      <c r="G59" s="85"/>
      <c r="H59" s="86"/>
      <c r="I59" s="87"/>
      <c r="J59" s="84"/>
      <c r="K59" s="88"/>
      <c r="L59" s="86"/>
      <c r="M59" s="87"/>
      <c r="N59" s="89"/>
      <c r="O59" s="90"/>
    </row>
    <row r="60" spans="2:19" x14ac:dyDescent="0.25">
      <c r="B60" s="91" t="s">
        <v>40</v>
      </c>
      <c r="C60" s="22"/>
      <c r="D60" s="22"/>
      <c r="E60" s="22"/>
      <c r="F60" s="92"/>
      <c r="G60" s="93"/>
      <c r="H60" s="94">
        <f>SUM(H50:H56,H49)</f>
        <v>88.284120000000001</v>
      </c>
      <c r="I60" s="95"/>
      <c r="J60" s="96"/>
      <c r="K60" s="96"/>
      <c r="L60" s="190">
        <f>SUM(L50:L56,L49)</f>
        <v>89.383431548721077</v>
      </c>
      <c r="M60" s="97"/>
      <c r="N60" s="98">
        <f>L60-H60</f>
        <v>1.0993115487210758</v>
      </c>
      <c r="O60" s="99">
        <f>IF((H60)=0,"",(N60/H60))</f>
        <v>1.2451973794619868E-2</v>
      </c>
      <c r="S60" s="72"/>
    </row>
    <row r="61" spans="2:19" x14ac:dyDescent="0.25">
      <c r="B61" s="100" t="s">
        <v>41</v>
      </c>
      <c r="C61" s="22"/>
      <c r="D61" s="22"/>
      <c r="E61" s="22"/>
      <c r="F61" s="101">
        <v>0.13</v>
      </c>
      <c r="G61" s="102"/>
      <c r="H61" s="103">
        <f>H60*F61</f>
        <v>11.476935600000001</v>
      </c>
      <c r="I61" s="104"/>
      <c r="J61" s="105">
        <v>0.13</v>
      </c>
      <c r="K61" s="104"/>
      <c r="L61" s="106">
        <f>L60*J61</f>
        <v>11.61984610133374</v>
      </c>
      <c r="M61" s="107"/>
      <c r="N61" s="108">
        <f t="shared" si="2"/>
        <v>0.1429105013337395</v>
      </c>
      <c r="O61" s="109">
        <f t="shared" si="8"/>
        <v>1.2451973794619837E-2</v>
      </c>
      <c r="S61" s="72"/>
    </row>
    <row r="62" spans="2:19" x14ac:dyDescent="0.25">
      <c r="B62" s="110" t="s">
        <v>42</v>
      </c>
      <c r="C62" s="22"/>
      <c r="D62" s="22"/>
      <c r="E62" s="22"/>
      <c r="F62" s="111"/>
      <c r="G62" s="102"/>
      <c r="H62" s="103">
        <f>H60+H61</f>
        <v>99.761055600000006</v>
      </c>
      <c r="I62" s="104"/>
      <c r="J62" s="104"/>
      <c r="K62" s="104"/>
      <c r="L62" s="106">
        <f>L60+L61</f>
        <v>101.00327765005481</v>
      </c>
      <c r="M62" s="107"/>
      <c r="N62" s="108">
        <f t="shared" si="2"/>
        <v>1.2422220500548065</v>
      </c>
      <c r="O62" s="109">
        <f t="shared" si="8"/>
        <v>1.2451973794619776E-2</v>
      </c>
      <c r="S62" s="72"/>
    </row>
    <row r="63" spans="2:19" ht="15.75" customHeight="1" x14ac:dyDescent="0.25">
      <c r="B63" s="383" t="s">
        <v>43</v>
      </c>
      <c r="C63" s="383"/>
      <c r="D63" s="383"/>
      <c r="E63" s="22"/>
      <c r="F63" s="111"/>
      <c r="G63" s="102"/>
      <c r="H63" s="112">
        <f>ROUND(-H62*10%,2)</f>
        <v>-9.98</v>
      </c>
      <c r="I63" s="104"/>
      <c r="J63" s="104"/>
      <c r="K63" s="104"/>
      <c r="L63" s="113">
        <f>ROUND(-L62*10%,2)</f>
        <v>-10.1</v>
      </c>
      <c r="M63" s="107"/>
      <c r="N63" s="114">
        <f t="shared" si="2"/>
        <v>-0.11999999999999922</v>
      </c>
      <c r="O63" s="115">
        <f t="shared" si="8"/>
        <v>1.2024048096192307E-2</v>
      </c>
    </row>
    <row r="64" spans="2:19" ht="15.75" thickBot="1" x14ac:dyDescent="0.3">
      <c r="B64" s="384" t="s">
        <v>44</v>
      </c>
      <c r="C64" s="384"/>
      <c r="D64" s="384"/>
      <c r="E64" s="116"/>
      <c r="F64" s="117"/>
      <c r="G64" s="118"/>
      <c r="H64" s="119">
        <f>H62+H63</f>
        <v>89.781055600000002</v>
      </c>
      <c r="I64" s="120"/>
      <c r="J64" s="120"/>
      <c r="K64" s="120"/>
      <c r="L64" s="121">
        <f>L62+L63</f>
        <v>90.903277650054818</v>
      </c>
      <c r="M64" s="122"/>
      <c r="N64" s="123">
        <f t="shared" si="2"/>
        <v>1.1222220500548161</v>
      </c>
      <c r="O64" s="124">
        <f t="shared" si="8"/>
        <v>1.2499541719075268E-2</v>
      </c>
    </row>
    <row r="65" spans="1:15" s="73" customFormat="1" ht="8.25" customHeight="1" thickBot="1" x14ac:dyDescent="0.25">
      <c r="B65" s="125"/>
      <c r="C65" s="126"/>
      <c r="D65" s="127"/>
      <c r="E65" s="126"/>
      <c r="F65" s="84"/>
      <c r="G65" s="128"/>
      <c r="H65" s="86"/>
      <c r="I65" s="129"/>
      <c r="J65" s="84"/>
      <c r="K65" s="130"/>
      <c r="L65" s="86"/>
      <c r="M65" s="129"/>
      <c r="N65" s="131"/>
      <c r="O65" s="90"/>
    </row>
    <row r="66" spans="1:15" s="73" customFormat="1" ht="12.75" x14ac:dyDescent="0.2">
      <c r="B66" s="132" t="s">
        <v>45</v>
      </c>
      <c r="C66" s="75"/>
      <c r="D66" s="75"/>
      <c r="E66" s="75"/>
      <c r="F66" s="133"/>
      <c r="G66" s="134"/>
      <c r="H66" s="135">
        <f>SUM(H57:H58,H49,H50:H53)</f>
        <v>84.784120000000016</v>
      </c>
      <c r="I66" s="136"/>
      <c r="J66" s="137"/>
      <c r="K66" s="137"/>
      <c r="L66" s="189">
        <f>SUM(L57:L58,L49,L50:L53)</f>
        <v>85.883431548721077</v>
      </c>
      <c r="M66" s="138"/>
      <c r="N66" s="139">
        <f>L66-H66</f>
        <v>1.0993115487210616</v>
      </c>
      <c r="O66" s="99">
        <f>IF((H66)=0,"",(N66/H66))</f>
        <v>1.2966007652388931E-2</v>
      </c>
    </row>
    <row r="67" spans="1:15" s="73" customFormat="1" ht="12.75" x14ac:dyDescent="0.2">
      <c r="B67" s="140" t="s">
        <v>41</v>
      </c>
      <c r="C67" s="75"/>
      <c r="D67" s="75"/>
      <c r="E67" s="75"/>
      <c r="F67" s="141">
        <v>0.13</v>
      </c>
      <c r="G67" s="134"/>
      <c r="H67" s="142">
        <f>H66*F67</f>
        <v>11.021935600000003</v>
      </c>
      <c r="I67" s="143"/>
      <c r="J67" s="144">
        <v>0.13</v>
      </c>
      <c r="K67" s="145"/>
      <c r="L67" s="146">
        <f>L66*J67</f>
        <v>11.16484610133374</v>
      </c>
      <c r="M67" s="147"/>
      <c r="N67" s="148">
        <f>L67-H67</f>
        <v>0.14291050133373773</v>
      </c>
      <c r="O67" s="109">
        <f>IF((H67)=0,"",(N67/H67))</f>
        <v>1.2966007652388905E-2</v>
      </c>
    </row>
    <row r="68" spans="1:15" s="73" customFormat="1" ht="12.75" x14ac:dyDescent="0.2">
      <c r="B68" s="149" t="s">
        <v>42</v>
      </c>
      <c r="C68" s="75"/>
      <c r="D68" s="75"/>
      <c r="E68" s="75"/>
      <c r="F68" s="150"/>
      <c r="G68" s="151"/>
      <c r="H68" s="142">
        <f>H66+H67</f>
        <v>95.806055600000022</v>
      </c>
      <c r="I68" s="143"/>
      <c r="J68" s="143"/>
      <c r="K68" s="143"/>
      <c r="L68" s="146">
        <f>L66+L67</f>
        <v>97.048277650054814</v>
      </c>
      <c r="M68" s="147"/>
      <c r="N68" s="148">
        <f>L68-H68</f>
        <v>1.2422220500547922</v>
      </c>
      <c r="O68" s="109">
        <f>IF((H68)=0,"",(N68/H68))</f>
        <v>1.2966007652388853E-2</v>
      </c>
    </row>
    <row r="69" spans="1:15" s="73" customFormat="1" ht="15.75" customHeight="1" x14ac:dyDescent="0.2">
      <c r="B69" s="385" t="s">
        <v>43</v>
      </c>
      <c r="C69" s="385"/>
      <c r="D69" s="385"/>
      <c r="E69" s="75"/>
      <c r="F69" s="150"/>
      <c r="G69" s="151"/>
      <c r="H69" s="152">
        <f>ROUND(-H68*10%,2)</f>
        <v>-9.58</v>
      </c>
      <c r="I69" s="143"/>
      <c r="J69" s="143"/>
      <c r="K69" s="143"/>
      <c r="L69" s="153">
        <f>ROUND(-L68*10%,2)</f>
        <v>-9.6999999999999993</v>
      </c>
      <c r="M69" s="147"/>
      <c r="N69" s="154">
        <f>L69-H69</f>
        <v>-0.11999999999999922</v>
      </c>
      <c r="O69" s="115">
        <f>IF((H69)=0,"",(N69/H69))</f>
        <v>1.2526096033402842E-2</v>
      </c>
    </row>
    <row r="70" spans="1:15" s="73" customFormat="1" ht="13.5" thickBot="1" x14ac:dyDescent="0.25">
      <c r="B70" s="376" t="s">
        <v>46</v>
      </c>
      <c r="C70" s="376"/>
      <c r="D70" s="376"/>
      <c r="E70" s="155"/>
      <c r="F70" s="156"/>
      <c r="G70" s="157"/>
      <c r="H70" s="158">
        <f>SUM(H68:H69)</f>
        <v>86.226055600000024</v>
      </c>
      <c r="I70" s="159"/>
      <c r="J70" s="159"/>
      <c r="K70" s="159"/>
      <c r="L70" s="160">
        <f>SUM(L68:L69)</f>
        <v>87.348277650054811</v>
      </c>
      <c r="M70" s="161"/>
      <c r="N70" s="162">
        <f>L70-H70</f>
        <v>1.1222220500547877</v>
      </c>
      <c r="O70" s="163">
        <f>IF((H70)=0,"",(N70/H70))</f>
        <v>1.3014883288419694E-2</v>
      </c>
    </row>
    <row r="71" spans="1:15" s="73" customFormat="1" ht="8.25" customHeight="1" thickBot="1" x14ac:dyDescent="0.25">
      <c r="B71" s="125"/>
      <c r="C71" s="126"/>
      <c r="D71" s="127"/>
      <c r="E71" s="126"/>
      <c r="F71" s="164"/>
      <c r="G71" s="165"/>
      <c r="H71" s="166"/>
      <c r="I71" s="167"/>
      <c r="J71" s="164"/>
      <c r="K71" s="128"/>
      <c r="L71" s="168"/>
      <c r="M71" s="129"/>
      <c r="N71" s="169"/>
      <c r="O71" s="90"/>
    </row>
    <row r="72" spans="1:15" ht="10.5" customHeight="1" x14ac:dyDescent="0.25">
      <c r="L72" s="72"/>
    </row>
    <row r="73" spans="1:15" x14ac:dyDescent="0.25">
      <c r="B73" s="13" t="s">
        <v>47</v>
      </c>
      <c r="F73" s="170">
        <f>+'Res (100kWh)'!$F$73</f>
        <v>4.0399999999999998E-2</v>
      </c>
      <c r="J73" s="170">
        <f>+'Res (100kWh)'!$J$73</f>
        <v>3.6200000000000003E-2</v>
      </c>
    </row>
    <row r="74" spans="1:15" ht="10.5" customHeight="1" x14ac:dyDescent="0.25"/>
    <row r="75" spans="1:15" x14ac:dyDescent="0.25">
      <c r="A75" s="171" t="s">
        <v>48</v>
      </c>
    </row>
    <row r="76" spans="1:15" ht="10.5" customHeight="1" x14ac:dyDescent="0.25"/>
    <row r="77" spans="1:15" x14ac:dyDescent="0.25">
      <c r="A77" s="7" t="s">
        <v>49</v>
      </c>
    </row>
    <row r="78" spans="1:15" x14ac:dyDescent="0.25">
      <c r="A78" s="7" t="s">
        <v>50</v>
      </c>
    </row>
    <row r="80" spans="1:15" x14ac:dyDescent="0.25">
      <c r="A80" s="12" t="s">
        <v>51</v>
      </c>
    </row>
    <row r="81" spans="1:2" x14ac:dyDescent="0.25">
      <c r="A81" s="12" t="s">
        <v>52</v>
      </c>
    </row>
    <row r="83" spans="1:2" x14ac:dyDescent="0.25">
      <c r="A83" s="7" t="s">
        <v>53</v>
      </c>
    </row>
    <row r="84" spans="1:2" x14ac:dyDescent="0.25">
      <c r="A84" s="7" t="s">
        <v>54</v>
      </c>
    </row>
    <row r="85" spans="1:2" x14ac:dyDescent="0.25">
      <c r="A85" s="7" t="s">
        <v>55</v>
      </c>
    </row>
    <row r="86" spans="1:2" x14ac:dyDescent="0.25">
      <c r="A86" s="7" t="s">
        <v>56</v>
      </c>
    </row>
    <row r="87" spans="1:2" x14ac:dyDescent="0.25">
      <c r="A87" s="7" t="s">
        <v>57</v>
      </c>
    </row>
    <row r="89" spans="1:2" x14ac:dyDescent="0.25">
      <c r="A89" s="172"/>
      <c r="B89" s="7" t="s">
        <v>58</v>
      </c>
    </row>
  </sheetData>
  <mergeCells count="17">
    <mergeCell ref="B69:D69"/>
    <mergeCell ref="F18:H18"/>
    <mergeCell ref="J18:L18"/>
    <mergeCell ref="N18:O18"/>
    <mergeCell ref="B70:D70"/>
    <mergeCell ref="D19:D20"/>
    <mergeCell ref="N19:N20"/>
    <mergeCell ref="O19:O20"/>
    <mergeCell ref="B63:D63"/>
    <mergeCell ref="B64:D64"/>
    <mergeCell ref="D12:O12"/>
    <mergeCell ref="N1:O1"/>
    <mergeCell ref="N2:O2"/>
    <mergeCell ref="N5:O5"/>
    <mergeCell ref="B8:O8"/>
    <mergeCell ref="B9:O9"/>
    <mergeCell ref="N3:O3"/>
  </mergeCells>
  <dataValidations count="4">
    <dataValidation type="list" allowBlank="1" showInputMessage="1" showErrorMessage="1" sqref="E47:E48 E50:E56 E59 E38:E45 E21:E36">
      <formula1>#REF!</formula1>
    </dataValidation>
    <dataValidation type="list" allowBlank="1" showInputMessage="1" showErrorMessage="1" prompt="Select Charge Unit - monthly, per kWh, per kW" sqref="D47:D48 D65 D71 D50:D59 D38:D45 D21:D36">
      <formula1>"Monthly, per kWh, per kW"</formula1>
    </dataValidation>
    <dataValidation type="list" allowBlank="1" showInputMessage="1" showErrorMessage="1" sqref="E71 E65 E57:E58">
      <formula1>#REF!</formula1>
    </dataValidation>
    <dataValidation type="list" allowBlank="1" showInputMessage="1" showErrorMessage="1" sqref="D14">
      <formula1>"TOU, non-TOU"</formula1>
    </dataValidation>
  </dataValidations>
  <pageMargins left="0.7" right="0.7" top="0.75" bottom="0.75" header="0.3" footer="0.3"/>
  <pageSetup scale="5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99CC"/>
    <pageSetUpPr fitToPage="1"/>
  </sheetPr>
  <dimension ref="A1:T89"/>
  <sheetViews>
    <sheetView showGridLines="0" topLeftCell="A15" workbookViewId="0">
      <selection activeCell="J29" sqref="J29"/>
    </sheetView>
  </sheetViews>
  <sheetFormatPr defaultColWidth="9.140625" defaultRowHeight="15" x14ac:dyDescent="0.25"/>
  <cols>
    <col min="1" max="1" width="2.140625" style="7" customWidth="1"/>
    <col min="2" max="2" width="44.5703125" style="7" customWidth="1"/>
    <col min="3" max="3" width="1.28515625" style="7" customWidth="1"/>
    <col min="4" max="4" width="11.28515625" style="7" customWidth="1"/>
    <col min="5" max="5" width="1.28515625" style="7" customWidth="1"/>
    <col min="6" max="6" width="12.28515625" style="7" customWidth="1"/>
    <col min="7" max="7" width="8.5703125" style="7" customWidth="1"/>
    <col min="8" max="8" width="9.7109375" style="7" customWidth="1"/>
    <col min="9" max="9" width="2.85546875" style="7" customWidth="1"/>
    <col min="10" max="10" width="12.140625" style="7" customWidth="1"/>
    <col min="11" max="11" width="8.5703125" style="7" customWidth="1"/>
    <col min="12" max="12" width="9.7109375" style="7" customWidth="1"/>
    <col min="13" max="13" width="2.85546875" style="7" customWidth="1"/>
    <col min="14" max="14" width="12.7109375" style="7" bestFit="1" customWidth="1"/>
    <col min="15" max="15" width="10.85546875" style="7" customWidth="1"/>
    <col min="16" max="16" width="6.28515625" style="7" customWidth="1"/>
    <col min="17" max="19" width="9.140625" style="7"/>
    <col min="20" max="20" width="9.140625" style="7" customWidth="1"/>
    <col min="21" max="16384" width="9.140625" style="7"/>
  </cols>
  <sheetData>
    <row r="1" spans="1:20" s="2" customFormat="1" ht="15" customHeigh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3" t="s">
        <v>0</v>
      </c>
      <c r="N1" s="368" t="s">
        <v>94</v>
      </c>
      <c r="O1" s="368"/>
      <c r="T1" s="2">
        <v>1</v>
      </c>
    </row>
    <row r="2" spans="1:20" s="2" customFormat="1" ht="15" customHeight="1" x14ac:dyDescent="0.3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3" t="s">
        <v>95</v>
      </c>
      <c r="N2" s="369">
        <v>8</v>
      </c>
      <c r="O2" s="369"/>
      <c r="P2" s="193"/>
    </row>
    <row r="3" spans="1:20" s="2" customFormat="1" ht="15" customHeight="1" x14ac:dyDescent="0.3">
      <c r="C3" s="6"/>
      <c r="D3" s="6"/>
      <c r="E3" s="6"/>
      <c r="L3" s="3" t="s">
        <v>96</v>
      </c>
      <c r="N3" s="370" t="s">
        <v>97</v>
      </c>
      <c r="O3" s="370"/>
      <c r="P3" s="192"/>
    </row>
    <row r="4" spans="1:20" s="2" customFormat="1" ht="9" customHeight="1" x14ac:dyDescent="0.3">
      <c r="L4" s="3"/>
      <c r="N4" s="310"/>
      <c r="O4"/>
      <c r="P4"/>
    </row>
    <row r="5" spans="1:20" s="2" customFormat="1" ht="14.45" x14ac:dyDescent="0.3">
      <c r="L5" s="3" t="s">
        <v>76</v>
      </c>
      <c r="N5" s="387">
        <v>42124</v>
      </c>
      <c r="O5" s="387"/>
      <c r="P5" s="191"/>
    </row>
    <row r="6" spans="1:20" s="2" customFormat="1" ht="15" customHeight="1" x14ac:dyDescent="0.3">
      <c r="N6" s="7"/>
      <c r="O6"/>
      <c r="P6"/>
    </row>
    <row r="7" spans="1:20" ht="7.5" customHeight="1" x14ac:dyDescent="0.3">
      <c r="L7"/>
      <c r="M7"/>
      <c r="N7"/>
      <c r="O7"/>
      <c r="P7"/>
    </row>
    <row r="8" spans="1:20" ht="18.75" customHeight="1" x14ac:dyDescent="0.3">
      <c r="B8" s="367" t="s">
        <v>1</v>
      </c>
      <c r="C8" s="367"/>
      <c r="D8" s="367"/>
      <c r="E8" s="367"/>
      <c r="F8" s="367"/>
      <c r="G8" s="367"/>
      <c r="H8" s="367"/>
      <c r="I8" s="367"/>
      <c r="J8" s="367"/>
      <c r="K8" s="367"/>
      <c r="L8" s="367"/>
      <c r="M8" s="367"/>
      <c r="N8" s="367"/>
      <c r="O8" s="367"/>
      <c r="P8"/>
    </row>
    <row r="9" spans="1:20" ht="18.75" customHeight="1" x14ac:dyDescent="0.3">
      <c r="B9" s="367" t="s">
        <v>2</v>
      </c>
      <c r="C9" s="367"/>
      <c r="D9" s="367"/>
      <c r="E9" s="367"/>
      <c r="F9" s="367"/>
      <c r="G9" s="367"/>
      <c r="H9" s="367"/>
      <c r="I9" s="367"/>
      <c r="J9" s="367"/>
      <c r="K9" s="367"/>
      <c r="L9" s="367"/>
      <c r="M9" s="367"/>
      <c r="N9" s="367"/>
      <c r="O9" s="367"/>
      <c r="P9"/>
    </row>
    <row r="10" spans="1:20" ht="7.5" customHeight="1" x14ac:dyDescent="0.3">
      <c r="L10"/>
      <c r="M10"/>
      <c r="N10"/>
      <c r="O10"/>
      <c r="P10"/>
    </row>
    <row r="11" spans="1:20" ht="7.5" customHeight="1" x14ac:dyDescent="0.3">
      <c r="L11"/>
      <c r="M11"/>
      <c r="N11"/>
      <c r="O11"/>
      <c r="P11"/>
    </row>
    <row r="12" spans="1:20" ht="15.6" x14ac:dyDescent="0.3">
      <c r="B12" s="8" t="s">
        <v>3</v>
      </c>
      <c r="D12" s="386" t="s">
        <v>59</v>
      </c>
      <c r="E12" s="386"/>
      <c r="F12" s="386"/>
      <c r="G12" s="386"/>
      <c r="H12" s="386"/>
      <c r="I12" s="386"/>
      <c r="J12" s="386"/>
      <c r="K12" s="386"/>
      <c r="L12" s="386"/>
      <c r="M12" s="386"/>
      <c r="N12" s="386"/>
      <c r="O12" s="386"/>
    </row>
    <row r="13" spans="1:20" ht="7.5" customHeight="1" x14ac:dyDescent="0.3">
      <c r="B13" s="9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</row>
    <row r="14" spans="1:20" ht="15.6" x14ac:dyDescent="0.3">
      <c r="B14" s="8" t="s">
        <v>4</v>
      </c>
      <c r="D14" s="11" t="s">
        <v>5</v>
      </c>
      <c r="E14" s="10"/>
      <c r="F14" s="10"/>
      <c r="G14" s="10"/>
      <c r="H14" s="10"/>
      <c r="I14" s="10"/>
      <c r="J14" s="278"/>
      <c r="K14" s="279"/>
      <c r="L14" s="279"/>
      <c r="M14" s="10"/>
      <c r="N14" s="10"/>
      <c r="O14" s="10"/>
    </row>
    <row r="15" spans="1:20" ht="15.6" x14ac:dyDescent="0.3">
      <c r="B15" s="9"/>
      <c r="D15" s="10"/>
      <c r="E15" s="10"/>
      <c r="F15" s="10"/>
      <c r="G15" s="10"/>
      <c r="H15" s="10"/>
      <c r="I15" s="10"/>
      <c r="J15" s="278"/>
      <c r="K15" s="279"/>
      <c r="L15" s="279"/>
      <c r="M15" s="10"/>
      <c r="N15" s="10"/>
      <c r="O15" s="10"/>
    </row>
    <row r="16" spans="1:20" ht="14.45" x14ac:dyDescent="0.3">
      <c r="B16" s="12"/>
      <c r="D16" s="13" t="s">
        <v>6</v>
      </c>
      <c r="E16" s="13"/>
      <c r="F16" s="14">
        <v>800</v>
      </c>
      <c r="G16" s="13" t="s">
        <v>7</v>
      </c>
      <c r="J16" s="280"/>
      <c r="K16" s="34"/>
      <c r="L16" s="34"/>
    </row>
    <row r="17" spans="2:15" ht="14.45" x14ac:dyDescent="0.3">
      <c r="B17" s="12"/>
      <c r="F17" s="281"/>
      <c r="G17" s="34"/>
      <c r="H17" s="34"/>
      <c r="J17" s="281"/>
      <c r="K17" s="34"/>
      <c r="L17" s="34"/>
    </row>
    <row r="18" spans="2:15" ht="14.45" x14ac:dyDescent="0.3">
      <c r="B18" s="12"/>
      <c r="D18" s="15"/>
      <c r="E18" s="15"/>
      <c r="F18" s="373" t="s">
        <v>8</v>
      </c>
      <c r="G18" s="374"/>
      <c r="H18" s="375"/>
      <c r="J18" s="373" t="s">
        <v>9</v>
      </c>
      <c r="K18" s="374"/>
      <c r="L18" s="375"/>
      <c r="N18" s="373" t="s">
        <v>10</v>
      </c>
      <c r="O18" s="375"/>
    </row>
    <row r="19" spans="2:15" x14ac:dyDescent="0.25">
      <c r="B19" s="12"/>
      <c r="D19" s="377" t="s">
        <v>11</v>
      </c>
      <c r="E19" s="16"/>
      <c r="F19" s="17" t="s">
        <v>12</v>
      </c>
      <c r="G19" s="17" t="s">
        <v>13</v>
      </c>
      <c r="H19" s="18" t="s">
        <v>14</v>
      </c>
      <c r="J19" s="17" t="s">
        <v>12</v>
      </c>
      <c r="K19" s="19" t="s">
        <v>13</v>
      </c>
      <c r="L19" s="18" t="s">
        <v>14</v>
      </c>
      <c r="N19" s="379" t="s">
        <v>15</v>
      </c>
      <c r="O19" s="381" t="s">
        <v>16</v>
      </c>
    </row>
    <row r="20" spans="2:15" x14ac:dyDescent="0.25">
      <c r="B20" s="12"/>
      <c r="D20" s="378"/>
      <c r="E20" s="16"/>
      <c r="F20" s="20" t="s">
        <v>17</v>
      </c>
      <c r="G20" s="20"/>
      <c r="H20" s="21" t="s">
        <v>17</v>
      </c>
      <c r="J20" s="20" t="s">
        <v>17</v>
      </c>
      <c r="K20" s="21"/>
      <c r="L20" s="21" t="s">
        <v>17</v>
      </c>
      <c r="N20" s="380"/>
      <c r="O20" s="382"/>
    </row>
    <row r="21" spans="2:15" ht="22.5" customHeight="1" x14ac:dyDescent="0.3">
      <c r="B21" s="22" t="s">
        <v>18</v>
      </c>
      <c r="C21" s="22"/>
      <c r="D21" s="23" t="s">
        <v>60</v>
      </c>
      <c r="E21" s="24"/>
      <c r="F21" s="174">
        <f>+'Res (100kWh)'!$F$21</f>
        <v>15.2</v>
      </c>
      <c r="G21" s="26">
        <v>1</v>
      </c>
      <c r="H21" s="27">
        <f>G21*F21</f>
        <v>15.2</v>
      </c>
      <c r="I21" s="28"/>
      <c r="J21" s="173">
        <f>+'Res (100kWh)'!$J$21</f>
        <v>19.87</v>
      </c>
      <c r="K21" s="30">
        <v>1</v>
      </c>
      <c r="L21" s="27">
        <f>K21*J21</f>
        <v>19.87</v>
      </c>
      <c r="M21" s="28"/>
      <c r="N21" s="31">
        <f>L21-H21</f>
        <v>4.6700000000000017</v>
      </c>
      <c r="O21" s="32">
        <f>IF((H21)=0,"",(N21/H21))</f>
        <v>0.30723684210526331</v>
      </c>
    </row>
    <row r="22" spans="2:15" ht="36.75" customHeight="1" x14ac:dyDescent="0.3">
      <c r="B22" s="64" t="s">
        <v>62</v>
      </c>
      <c r="C22" s="22"/>
      <c r="D22" s="56" t="s">
        <v>60</v>
      </c>
      <c r="E22" s="24"/>
      <c r="F22" s="173">
        <f>+'Res (100kWh)'!$F$22</f>
        <v>0</v>
      </c>
      <c r="G22" s="26">
        <v>1</v>
      </c>
      <c r="H22" s="27">
        <f t="shared" ref="H22:H36" si="0">G22*F22</f>
        <v>0</v>
      </c>
      <c r="I22" s="28"/>
      <c r="J22" s="29"/>
      <c r="K22" s="30">
        <v>1</v>
      </c>
      <c r="L22" s="27">
        <f>K22*J22</f>
        <v>0</v>
      </c>
      <c r="M22" s="28"/>
      <c r="N22" s="31">
        <f>L22-H22</f>
        <v>0</v>
      </c>
      <c r="O22" s="32" t="str">
        <f>IF((H22)=0,"",(N22/H22))</f>
        <v/>
      </c>
    </row>
    <row r="23" spans="2:15" ht="36.75" customHeight="1" x14ac:dyDescent="0.3">
      <c r="B23" s="297" t="s">
        <v>63</v>
      </c>
      <c r="C23" s="22"/>
      <c r="D23" s="56" t="s">
        <v>60</v>
      </c>
      <c r="E23" s="57"/>
      <c r="F23" s="173">
        <f>+'Res (100kWh)'!$F$23</f>
        <v>2.11</v>
      </c>
      <c r="G23" s="26">
        <v>1</v>
      </c>
      <c r="H23" s="27">
        <f t="shared" si="0"/>
        <v>2.11</v>
      </c>
      <c r="I23" s="28"/>
      <c r="J23" s="29"/>
      <c r="K23" s="30">
        <v>1</v>
      </c>
      <c r="L23" s="27">
        <f t="shared" ref="L23:L36" si="1">K23*J23</f>
        <v>0</v>
      </c>
      <c r="M23" s="28"/>
      <c r="N23" s="31">
        <f t="shared" ref="N23:N64" si="2">L23-H23</f>
        <v>-2.11</v>
      </c>
      <c r="O23" s="32">
        <f t="shared" ref="O23:O44" si="3">IF((H23)=0,"",(N23/H23))</f>
        <v>-1</v>
      </c>
    </row>
    <row r="24" spans="2:15" ht="14.45" x14ac:dyDescent="0.3">
      <c r="B24" s="297" t="s">
        <v>90</v>
      </c>
      <c r="C24" s="22"/>
      <c r="D24" s="23" t="s">
        <v>60</v>
      </c>
      <c r="E24" s="24"/>
      <c r="F24" s="25">
        <f>+'Res (100kWh)'!$F$24</f>
        <v>0</v>
      </c>
      <c r="G24" s="26">
        <v>1</v>
      </c>
      <c r="H24" s="27">
        <f t="shared" si="0"/>
        <v>0</v>
      </c>
      <c r="I24" s="28"/>
      <c r="J24" s="173">
        <f>+'Res (100kWh)'!$J$24</f>
        <v>0.5751915487210707</v>
      </c>
      <c r="K24" s="30">
        <v>1</v>
      </c>
      <c r="L24" s="27">
        <f t="shared" si="1"/>
        <v>0.5751915487210707</v>
      </c>
      <c r="M24" s="28"/>
      <c r="N24" s="31">
        <f t="shared" si="2"/>
        <v>0.5751915487210707</v>
      </c>
      <c r="O24" s="32" t="str">
        <f>IF((H24)=0,"",(N24/H24))</f>
        <v/>
      </c>
    </row>
    <row r="25" spans="2:15" ht="14.45" x14ac:dyDescent="0.3">
      <c r="B25" s="296" t="s">
        <v>65</v>
      </c>
      <c r="C25" s="22"/>
      <c r="D25" s="23" t="s">
        <v>61</v>
      </c>
      <c r="E25" s="24"/>
      <c r="F25" s="25">
        <f>+'Res (100kWh)'!$F$25</f>
        <v>-1E-4</v>
      </c>
      <c r="G25" s="26">
        <f>$F$16</f>
        <v>800</v>
      </c>
      <c r="H25" s="27">
        <f t="shared" si="0"/>
        <v>-0.08</v>
      </c>
      <c r="I25" s="28"/>
      <c r="J25" s="29">
        <f>+'Res (100kWh)'!$J$25</f>
        <v>-1E-4</v>
      </c>
      <c r="K25" s="26">
        <f>$F$16</f>
        <v>800</v>
      </c>
      <c r="L25" s="27">
        <f t="shared" si="1"/>
        <v>-0.08</v>
      </c>
      <c r="M25" s="28"/>
      <c r="N25" s="31">
        <f t="shared" si="2"/>
        <v>0</v>
      </c>
      <c r="O25" s="32">
        <f t="shared" si="3"/>
        <v>0</v>
      </c>
    </row>
    <row r="26" spans="2:15" ht="15" customHeight="1" x14ac:dyDescent="0.25">
      <c r="B26" s="296" t="s">
        <v>66</v>
      </c>
      <c r="C26" s="22"/>
      <c r="D26" s="23" t="s">
        <v>61</v>
      </c>
      <c r="E26" s="24"/>
      <c r="F26" s="25">
        <f>+'Res (100kWh)'!$F$26</f>
        <v>0</v>
      </c>
      <c r="G26" s="26">
        <f>$F$16</f>
        <v>800</v>
      </c>
      <c r="H26" s="27">
        <f t="shared" si="0"/>
        <v>0</v>
      </c>
      <c r="I26" s="28"/>
      <c r="J26" s="29">
        <f>+'Res (100kWh)'!$J$26</f>
        <v>-1.6000000000000001E-3</v>
      </c>
      <c r="K26" s="26">
        <f>$F$16</f>
        <v>800</v>
      </c>
      <c r="L26" s="27">
        <f t="shared" si="1"/>
        <v>-1.28</v>
      </c>
      <c r="M26" s="28"/>
      <c r="N26" s="31">
        <f t="shared" si="2"/>
        <v>-1.28</v>
      </c>
      <c r="O26" s="32" t="str">
        <f t="shared" si="3"/>
        <v/>
      </c>
    </row>
    <row r="27" spans="2:15" x14ac:dyDescent="0.25">
      <c r="B27" s="24" t="s">
        <v>19</v>
      </c>
      <c r="C27" s="22"/>
      <c r="D27" s="23" t="s">
        <v>61</v>
      </c>
      <c r="E27" s="24"/>
      <c r="F27" s="25">
        <f>+'Res (100kWh)'!$F$27</f>
        <v>1.9199999999999998E-2</v>
      </c>
      <c r="G27" s="26">
        <f>$F$16</f>
        <v>800</v>
      </c>
      <c r="H27" s="27">
        <f t="shared" si="0"/>
        <v>15.36</v>
      </c>
      <c r="I27" s="28"/>
      <c r="J27" s="29">
        <f>+'Res (100kWh)'!$J$27</f>
        <v>1.55E-2</v>
      </c>
      <c r="K27" s="26">
        <f>$F$16</f>
        <v>800</v>
      </c>
      <c r="L27" s="27">
        <f t="shared" si="1"/>
        <v>12.4</v>
      </c>
      <c r="M27" s="28"/>
      <c r="N27" s="31">
        <f t="shared" si="2"/>
        <v>-2.9599999999999991</v>
      </c>
      <c r="O27" s="32">
        <f t="shared" si="3"/>
        <v>-0.19270833333333329</v>
      </c>
    </row>
    <row r="28" spans="2:15" x14ac:dyDescent="0.25">
      <c r="B28" s="24" t="s">
        <v>20</v>
      </c>
      <c r="C28" s="22"/>
      <c r="D28" s="23"/>
      <c r="E28" s="24"/>
      <c r="F28" s="25"/>
      <c r="G28" s="26">
        <f>$F$16</f>
        <v>800</v>
      </c>
      <c r="H28" s="27">
        <f t="shared" si="0"/>
        <v>0</v>
      </c>
      <c r="I28" s="28"/>
      <c r="J28" s="29"/>
      <c r="K28" s="26">
        <f t="shared" ref="K28:K36" si="4">$F$16</f>
        <v>800</v>
      </c>
      <c r="L28" s="27">
        <f t="shared" si="1"/>
        <v>0</v>
      </c>
      <c r="M28" s="28"/>
      <c r="N28" s="31">
        <f t="shared" si="2"/>
        <v>0</v>
      </c>
      <c r="O28" s="32" t="str">
        <f t="shared" si="3"/>
        <v/>
      </c>
    </row>
    <row r="29" spans="2:15" x14ac:dyDescent="0.25">
      <c r="B29" s="24" t="s">
        <v>21</v>
      </c>
      <c r="C29" s="22"/>
      <c r="D29" s="23"/>
      <c r="E29" s="24"/>
      <c r="F29" s="25"/>
      <c r="G29" s="26">
        <f>$F$16</f>
        <v>800</v>
      </c>
      <c r="H29" s="27">
        <f t="shared" si="0"/>
        <v>0</v>
      </c>
      <c r="I29" s="28"/>
      <c r="J29" s="29">
        <f>+'Res (100kWh)'!$J$29</f>
        <v>2.0000000000000001E-4</v>
      </c>
      <c r="K29" s="26">
        <f t="shared" si="4"/>
        <v>800</v>
      </c>
      <c r="L29" s="27">
        <f t="shared" si="1"/>
        <v>0.16</v>
      </c>
      <c r="M29" s="28"/>
      <c r="N29" s="31">
        <f t="shared" si="2"/>
        <v>0.16</v>
      </c>
      <c r="O29" s="32" t="str">
        <f t="shared" si="3"/>
        <v/>
      </c>
    </row>
    <row r="30" spans="2:15" x14ac:dyDescent="0.25">
      <c r="B30" s="182"/>
      <c r="C30" s="22"/>
      <c r="D30" s="23"/>
      <c r="E30" s="24"/>
      <c r="F30" s="25"/>
      <c r="G30" s="26">
        <f t="shared" ref="G30:G36" si="5">$F$16</f>
        <v>800</v>
      </c>
      <c r="H30" s="27">
        <f t="shared" si="0"/>
        <v>0</v>
      </c>
      <c r="I30" s="28"/>
      <c r="J30" s="29"/>
      <c r="K30" s="26">
        <f t="shared" si="4"/>
        <v>800</v>
      </c>
      <c r="L30" s="27">
        <f t="shared" si="1"/>
        <v>0</v>
      </c>
      <c r="M30" s="28"/>
      <c r="N30" s="31">
        <f t="shared" si="2"/>
        <v>0</v>
      </c>
      <c r="O30" s="32" t="str">
        <f t="shared" si="3"/>
        <v/>
      </c>
    </row>
    <row r="31" spans="2:15" x14ac:dyDescent="0.25">
      <c r="B31" s="182"/>
      <c r="C31" s="22"/>
      <c r="D31" s="23"/>
      <c r="E31" s="24"/>
      <c r="F31" s="25"/>
      <c r="G31" s="26">
        <f t="shared" si="5"/>
        <v>800</v>
      </c>
      <c r="H31" s="27">
        <f t="shared" si="0"/>
        <v>0</v>
      </c>
      <c r="I31" s="28"/>
      <c r="J31" s="29"/>
      <c r="K31" s="26">
        <f t="shared" si="4"/>
        <v>800</v>
      </c>
      <c r="L31" s="27">
        <f t="shared" si="1"/>
        <v>0</v>
      </c>
      <c r="M31" s="28"/>
      <c r="N31" s="31">
        <f t="shared" si="2"/>
        <v>0</v>
      </c>
      <c r="O31" s="32" t="str">
        <f t="shared" si="3"/>
        <v/>
      </c>
    </row>
    <row r="32" spans="2:15" x14ac:dyDescent="0.25">
      <c r="B32" s="182"/>
      <c r="C32" s="22"/>
      <c r="D32" s="23"/>
      <c r="E32" s="24"/>
      <c r="F32" s="25"/>
      <c r="G32" s="26">
        <f t="shared" si="5"/>
        <v>800</v>
      </c>
      <c r="H32" s="27">
        <f t="shared" si="0"/>
        <v>0</v>
      </c>
      <c r="I32" s="28"/>
      <c r="J32" s="29"/>
      <c r="K32" s="26">
        <f t="shared" si="4"/>
        <v>800</v>
      </c>
      <c r="L32" s="27">
        <f t="shared" si="1"/>
        <v>0</v>
      </c>
      <c r="M32" s="28"/>
      <c r="N32" s="31">
        <f t="shared" si="2"/>
        <v>0</v>
      </c>
      <c r="O32" s="32" t="str">
        <f t="shared" si="3"/>
        <v/>
      </c>
    </row>
    <row r="33" spans="2:15" x14ac:dyDescent="0.25">
      <c r="B33" s="182"/>
      <c r="C33" s="22"/>
      <c r="D33" s="23"/>
      <c r="E33" s="24"/>
      <c r="F33" s="25"/>
      <c r="G33" s="26">
        <f t="shared" si="5"/>
        <v>800</v>
      </c>
      <c r="H33" s="27">
        <f t="shared" si="0"/>
        <v>0</v>
      </c>
      <c r="I33" s="28"/>
      <c r="J33" s="29"/>
      <c r="K33" s="26">
        <f t="shared" si="4"/>
        <v>800</v>
      </c>
      <c r="L33" s="27">
        <f t="shared" si="1"/>
        <v>0</v>
      </c>
      <c r="M33" s="28"/>
      <c r="N33" s="31">
        <f t="shared" si="2"/>
        <v>0</v>
      </c>
      <c r="O33" s="32" t="str">
        <f t="shared" si="3"/>
        <v/>
      </c>
    </row>
    <row r="34" spans="2:15" x14ac:dyDescent="0.25">
      <c r="B34" s="182"/>
      <c r="C34" s="22"/>
      <c r="D34" s="23"/>
      <c r="E34" s="24"/>
      <c r="F34" s="25"/>
      <c r="G34" s="26">
        <f t="shared" si="5"/>
        <v>800</v>
      </c>
      <c r="H34" s="27">
        <f t="shared" si="0"/>
        <v>0</v>
      </c>
      <c r="I34" s="28"/>
      <c r="J34" s="29"/>
      <c r="K34" s="26">
        <f t="shared" si="4"/>
        <v>800</v>
      </c>
      <c r="L34" s="27">
        <f t="shared" si="1"/>
        <v>0</v>
      </c>
      <c r="M34" s="28"/>
      <c r="N34" s="31">
        <f t="shared" si="2"/>
        <v>0</v>
      </c>
      <c r="O34" s="32" t="str">
        <f t="shared" si="3"/>
        <v/>
      </c>
    </row>
    <row r="35" spans="2:15" x14ac:dyDescent="0.25">
      <c r="B35" s="182"/>
      <c r="C35" s="22"/>
      <c r="D35" s="23"/>
      <c r="E35" s="24"/>
      <c r="F35" s="25"/>
      <c r="G35" s="26">
        <f t="shared" si="5"/>
        <v>800</v>
      </c>
      <c r="H35" s="27">
        <f t="shared" si="0"/>
        <v>0</v>
      </c>
      <c r="I35" s="28"/>
      <c r="J35" s="29"/>
      <c r="K35" s="26">
        <f t="shared" si="4"/>
        <v>800</v>
      </c>
      <c r="L35" s="27">
        <f t="shared" si="1"/>
        <v>0</v>
      </c>
      <c r="M35" s="28"/>
      <c r="N35" s="31">
        <f t="shared" si="2"/>
        <v>0</v>
      </c>
      <c r="O35" s="32" t="str">
        <f t="shared" si="3"/>
        <v/>
      </c>
    </row>
    <row r="36" spans="2:15" x14ac:dyDescent="0.25">
      <c r="B36" s="182"/>
      <c r="C36" s="22"/>
      <c r="D36" s="23"/>
      <c r="E36" s="24"/>
      <c r="F36" s="25"/>
      <c r="G36" s="26">
        <f t="shared" si="5"/>
        <v>800</v>
      </c>
      <c r="H36" s="27">
        <f t="shared" si="0"/>
        <v>0</v>
      </c>
      <c r="I36" s="28"/>
      <c r="J36" s="29"/>
      <c r="K36" s="26">
        <f t="shared" si="4"/>
        <v>800</v>
      </c>
      <c r="L36" s="27">
        <f t="shared" si="1"/>
        <v>0</v>
      </c>
      <c r="M36" s="28"/>
      <c r="N36" s="31">
        <f t="shared" si="2"/>
        <v>0</v>
      </c>
      <c r="O36" s="32" t="str">
        <f t="shared" si="3"/>
        <v/>
      </c>
    </row>
    <row r="37" spans="2:15" s="34" customFormat="1" x14ac:dyDescent="0.25">
      <c r="B37" s="35" t="s">
        <v>22</v>
      </c>
      <c r="C37" s="36"/>
      <c r="D37" s="37"/>
      <c r="E37" s="36"/>
      <c r="F37" s="38"/>
      <c r="G37" s="39"/>
      <c r="H37" s="40">
        <f>SUM(H21:H36)</f>
        <v>32.590000000000003</v>
      </c>
      <c r="I37" s="41"/>
      <c r="J37" s="42"/>
      <c r="K37" s="43"/>
      <c r="L37" s="40">
        <f>SUM(L21:L36)</f>
        <v>31.645191548721076</v>
      </c>
      <c r="M37" s="41"/>
      <c r="N37" s="44">
        <f t="shared" si="2"/>
        <v>-0.94480845127892721</v>
      </c>
      <c r="O37" s="45">
        <f t="shared" si="3"/>
        <v>-2.8990747200948977E-2</v>
      </c>
    </row>
    <row r="38" spans="2:15" x14ac:dyDescent="0.25">
      <c r="B38" s="297"/>
      <c r="C38" s="22"/>
      <c r="D38" s="56" t="s">
        <v>60</v>
      </c>
      <c r="E38" s="24"/>
      <c r="F38" s="25"/>
      <c r="G38" s="26">
        <v>1</v>
      </c>
      <c r="H38" s="27">
        <f>G38*F38</f>
        <v>0</v>
      </c>
      <c r="I38" s="28"/>
      <c r="J38" s="173"/>
      <c r="K38" s="30">
        <v>1</v>
      </c>
      <c r="L38" s="27">
        <f>K38*J38</f>
        <v>0</v>
      </c>
      <c r="M38" s="28"/>
      <c r="N38" s="31">
        <f>L38-H38</f>
        <v>0</v>
      </c>
      <c r="O38" s="32" t="str">
        <f>IF((H38)=0,"",(N38/H38))</f>
        <v/>
      </c>
    </row>
    <row r="39" spans="2:15" x14ac:dyDescent="0.25">
      <c r="B39" s="296" t="s">
        <v>23</v>
      </c>
      <c r="C39" s="22"/>
      <c r="D39" s="56" t="s">
        <v>61</v>
      </c>
      <c r="E39" s="57"/>
      <c r="F39" s="29">
        <f>+'Res (100kWh)'!$F$39</f>
        <v>-1.4E-3</v>
      </c>
      <c r="G39" s="26">
        <f>$F$16</f>
        <v>800</v>
      </c>
      <c r="H39" s="27">
        <f t="shared" ref="H39:H45" si="6">G39*F39</f>
        <v>-1.1199999999999999</v>
      </c>
      <c r="I39" s="28"/>
      <c r="J39" s="29">
        <f>+'Res (100kWh)'!$J$39</f>
        <v>2.0000000000000009E-4</v>
      </c>
      <c r="K39" s="26">
        <f>$F$16</f>
        <v>800</v>
      </c>
      <c r="L39" s="27">
        <f t="shared" ref="L39:L45" si="7">K39*J39</f>
        <v>0.16000000000000009</v>
      </c>
      <c r="M39" s="28"/>
      <c r="N39" s="31">
        <f t="shared" si="2"/>
        <v>1.28</v>
      </c>
      <c r="O39" s="32">
        <f t="shared" si="3"/>
        <v>-1.142857142857143</v>
      </c>
    </row>
    <row r="40" spans="2:15" x14ac:dyDescent="0.25">
      <c r="B40" s="46"/>
      <c r="C40" s="22"/>
      <c r="D40" s="23" t="s">
        <v>61</v>
      </c>
      <c r="E40" s="24"/>
      <c r="F40" s="25"/>
      <c r="G40" s="26">
        <f>$F$16</f>
        <v>800</v>
      </c>
      <c r="H40" s="27">
        <f t="shared" si="6"/>
        <v>0</v>
      </c>
      <c r="I40" s="47"/>
      <c r="J40" s="29"/>
      <c r="K40" s="26">
        <f>$F$16</f>
        <v>800</v>
      </c>
      <c r="L40" s="27">
        <f t="shared" si="7"/>
        <v>0</v>
      </c>
      <c r="M40" s="48"/>
      <c r="N40" s="31">
        <f t="shared" si="2"/>
        <v>0</v>
      </c>
      <c r="O40" s="32" t="str">
        <f t="shared" si="3"/>
        <v/>
      </c>
    </row>
    <row r="41" spans="2:15" x14ac:dyDescent="0.25">
      <c r="B41" s="46"/>
      <c r="C41" s="22"/>
      <c r="D41" s="23" t="s">
        <v>61</v>
      </c>
      <c r="E41" s="24"/>
      <c r="F41" s="25"/>
      <c r="G41" s="26">
        <f>$F$16</f>
        <v>800</v>
      </c>
      <c r="H41" s="27">
        <f t="shared" si="6"/>
        <v>0</v>
      </c>
      <c r="I41" s="47"/>
      <c r="J41" s="29"/>
      <c r="K41" s="26">
        <f>$F$16</f>
        <v>800</v>
      </c>
      <c r="L41" s="27">
        <f t="shared" si="7"/>
        <v>0</v>
      </c>
      <c r="M41" s="48"/>
      <c r="N41" s="31">
        <f t="shared" si="2"/>
        <v>0</v>
      </c>
      <c r="O41" s="32" t="str">
        <f t="shared" si="3"/>
        <v/>
      </c>
    </row>
    <row r="42" spans="2:15" x14ac:dyDescent="0.25">
      <c r="B42" s="46"/>
      <c r="C42" s="22"/>
      <c r="D42" s="23"/>
      <c r="E42" s="24"/>
      <c r="F42" s="25"/>
      <c r="G42" s="26">
        <f>$F$16</f>
        <v>800</v>
      </c>
      <c r="H42" s="27">
        <f t="shared" si="6"/>
        <v>0</v>
      </c>
      <c r="I42" s="47"/>
      <c r="J42" s="29"/>
      <c r="K42" s="26">
        <f>$F$16</f>
        <v>800</v>
      </c>
      <c r="L42" s="27">
        <f t="shared" si="7"/>
        <v>0</v>
      </c>
      <c r="M42" s="48"/>
      <c r="N42" s="31">
        <f t="shared" si="2"/>
        <v>0</v>
      </c>
      <c r="O42" s="32" t="str">
        <f t="shared" si="3"/>
        <v/>
      </c>
    </row>
    <row r="43" spans="2:15" x14ac:dyDescent="0.25">
      <c r="B43" s="49" t="s">
        <v>24</v>
      </c>
      <c r="C43" s="22"/>
      <c r="D43" s="23" t="s">
        <v>61</v>
      </c>
      <c r="E43" s="24"/>
      <c r="F43" s="25">
        <f>+'Res (100kWh)'!$F$43</f>
        <v>1E-4</v>
      </c>
      <c r="G43" s="26">
        <f>$F$16</f>
        <v>800</v>
      </c>
      <c r="H43" s="27">
        <f t="shared" si="6"/>
        <v>0.08</v>
      </c>
      <c r="I43" s="28"/>
      <c r="J43" s="29">
        <f>+'Res (100kWh)'!$J$43</f>
        <v>2.0000000000000001E-4</v>
      </c>
      <c r="K43" s="26">
        <f>$F$16</f>
        <v>800</v>
      </c>
      <c r="L43" s="27">
        <f t="shared" si="7"/>
        <v>0.16</v>
      </c>
      <c r="M43" s="28"/>
      <c r="N43" s="31">
        <f t="shared" si="2"/>
        <v>0.08</v>
      </c>
      <c r="O43" s="32">
        <f t="shared" si="3"/>
        <v>1</v>
      </c>
    </row>
    <row r="44" spans="2:15" s="34" customFormat="1" x14ac:dyDescent="0.25">
      <c r="B44" s="181" t="s">
        <v>25</v>
      </c>
      <c r="C44" s="24"/>
      <c r="D44" s="182" t="s">
        <v>61</v>
      </c>
      <c r="E44" s="24"/>
      <c r="F44" s="183">
        <f>IF(ISBLANK(D14)=TRUE, 0, IF(D14="TOU", 0.64*$F$54+0.18*$F$55+0.18*$F$56, IF(AND(D14="non-TOU", G58&gt;0), F58,F57)))</f>
        <v>9.5000000000000001E-2</v>
      </c>
      <c r="G44" s="26">
        <f>$F$16*(1+$F$73)-$F$16</f>
        <v>32.319999999999936</v>
      </c>
      <c r="H44" s="184">
        <f t="shared" si="6"/>
        <v>3.070399999999994</v>
      </c>
      <c r="I44" s="57"/>
      <c r="J44" s="185">
        <f>0.64*$F$54+0.18*$F$55+0.18*$F$56</f>
        <v>9.5000000000000001E-2</v>
      </c>
      <c r="K44" s="26">
        <f>$F$16*(1+$J$73)-$F$16</f>
        <v>28.960000000000036</v>
      </c>
      <c r="L44" s="184">
        <f t="shared" si="7"/>
        <v>2.7512000000000034</v>
      </c>
      <c r="M44" s="57"/>
      <c r="N44" s="186">
        <f t="shared" si="2"/>
        <v>-0.3191999999999906</v>
      </c>
      <c r="O44" s="187">
        <f t="shared" si="3"/>
        <v>-0.1039603960396011</v>
      </c>
    </row>
    <row r="45" spans="2:15" ht="14.45" x14ac:dyDescent="0.3">
      <c r="B45" s="49" t="s">
        <v>26</v>
      </c>
      <c r="C45" s="22"/>
      <c r="D45" s="23" t="s">
        <v>60</v>
      </c>
      <c r="E45" s="24"/>
      <c r="F45" s="174">
        <f>+'Res (100kWh)'!$F$45</f>
        <v>0.79</v>
      </c>
      <c r="G45" s="26">
        <v>1</v>
      </c>
      <c r="H45" s="27">
        <f t="shared" si="6"/>
        <v>0.79</v>
      </c>
      <c r="I45" s="28"/>
      <c r="J45" s="174">
        <f>+'Res (100kWh)'!$J$45</f>
        <v>0.79</v>
      </c>
      <c r="K45" s="26">
        <v>1</v>
      </c>
      <c r="L45" s="27">
        <f t="shared" si="7"/>
        <v>0.79</v>
      </c>
      <c r="M45" s="28"/>
      <c r="N45" s="31">
        <f t="shared" si="2"/>
        <v>0</v>
      </c>
      <c r="O45" s="32"/>
    </row>
    <row r="46" spans="2:15" ht="14.45" x14ac:dyDescent="0.3">
      <c r="B46" s="50" t="s">
        <v>27</v>
      </c>
      <c r="C46" s="51"/>
      <c r="D46" s="51"/>
      <c r="E46" s="51"/>
      <c r="F46" s="52"/>
      <c r="G46" s="53"/>
      <c r="H46" s="54">
        <f>SUM(H38:H45)+H37</f>
        <v>35.410399999999996</v>
      </c>
      <c r="I46" s="41"/>
      <c r="J46" s="53"/>
      <c r="K46" s="53"/>
      <c r="L46" s="54">
        <f>SUM(L38:L45)+L37</f>
        <v>35.506391548721083</v>
      </c>
      <c r="M46" s="41"/>
      <c r="N46" s="44">
        <f t="shared" si="2"/>
        <v>9.5991548721087838E-2</v>
      </c>
      <c r="O46" s="45">
        <f t="shared" ref="O46:O64" si="8">IF((H46)=0,"",(N46/H46))</f>
        <v>2.7108292682683009E-3</v>
      </c>
    </row>
    <row r="47" spans="2:15" ht="14.45" x14ac:dyDescent="0.3">
      <c r="B47" s="28" t="s">
        <v>28</v>
      </c>
      <c r="C47" s="28"/>
      <c r="D47" s="56" t="s">
        <v>61</v>
      </c>
      <c r="E47" s="57"/>
      <c r="F47" s="263">
        <f>+'Res (100kWh)'!$F$47</f>
        <v>7.6E-3</v>
      </c>
      <c r="G47" s="69">
        <f>F16*(1+F73)</f>
        <v>832.31999999999994</v>
      </c>
      <c r="H47" s="27">
        <f>G47*F47</f>
        <v>6.3256319999999997</v>
      </c>
      <c r="I47" s="28"/>
      <c r="J47" s="263">
        <f>+'Res (100kWh)'!$J$47</f>
        <v>7.4000000000000003E-3</v>
      </c>
      <c r="K47" s="70">
        <f>F16*(1+J73)</f>
        <v>828.96</v>
      </c>
      <c r="L47" s="27">
        <f>K47*J47</f>
        <v>6.1343040000000002</v>
      </c>
      <c r="M47" s="28"/>
      <c r="N47" s="31">
        <f t="shared" si="2"/>
        <v>-0.1913279999999995</v>
      </c>
      <c r="O47" s="32">
        <f t="shared" si="8"/>
        <v>-3.0246463910641577E-2</v>
      </c>
    </row>
    <row r="48" spans="2:15" ht="14.45" x14ac:dyDescent="0.3">
      <c r="B48" s="59" t="s">
        <v>29</v>
      </c>
      <c r="C48" s="28"/>
      <c r="D48" s="56" t="s">
        <v>61</v>
      </c>
      <c r="E48" s="57"/>
      <c r="F48" s="263">
        <f>+'Res (100kWh)'!$F$48</f>
        <v>2.3E-3</v>
      </c>
      <c r="G48" s="69">
        <f>G47</f>
        <v>832.31999999999994</v>
      </c>
      <c r="H48" s="27">
        <f>G48*F48</f>
        <v>1.9143359999999998</v>
      </c>
      <c r="I48" s="28"/>
      <c r="J48" s="263">
        <f>+'Res (100kWh)'!$J$48</f>
        <v>2.3E-3</v>
      </c>
      <c r="K48" s="70">
        <f>K47</f>
        <v>828.96</v>
      </c>
      <c r="L48" s="27">
        <f>K48*J48</f>
        <v>1.9066080000000001</v>
      </c>
      <c r="M48" s="28"/>
      <c r="N48" s="31">
        <f t="shared" si="2"/>
        <v>-7.7279999999997351E-3</v>
      </c>
      <c r="O48" s="32">
        <f t="shared" si="8"/>
        <v>-4.0369088811994004E-3</v>
      </c>
    </row>
    <row r="49" spans="2:19" ht="14.45" x14ac:dyDescent="0.3">
      <c r="B49" s="50" t="s">
        <v>30</v>
      </c>
      <c r="C49" s="36"/>
      <c r="D49" s="36"/>
      <c r="E49" s="36"/>
      <c r="F49" s="60"/>
      <c r="G49" s="293"/>
      <c r="H49" s="54">
        <f>SUM(H46:H48)</f>
        <v>43.650367999999993</v>
      </c>
      <c r="I49" s="61"/>
      <c r="J49" s="62"/>
      <c r="K49" s="294"/>
      <c r="L49" s="54">
        <f>SUM(L46:L48)</f>
        <v>43.547303548721082</v>
      </c>
      <c r="M49" s="61"/>
      <c r="N49" s="44">
        <f t="shared" si="2"/>
        <v>-0.10306445127891095</v>
      </c>
      <c r="O49" s="45">
        <f t="shared" si="8"/>
        <v>-2.3611359079243263E-3</v>
      </c>
    </row>
    <row r="50" spans="2:19" ht="14.45" x14ac:dyDescent="0.3">
      <c r="B50" s="64" t="s">
        <v>31</v>
      </c>
      <c r="C50" s="22"/>
      <c r="D50" s="23" t="s">
        <v>61</v>
      </c>
      <c r="E50" s="24"/>
      <c r="F50" s="65">
        <f>+'Res (100kWh)'!$F$50</f>
        <v>4.4000000000000003E-3</v>
      </c>
      <c r="G50" s="69">
        <f>G48</f>
        <v>832.31999999999994</v>
      </c>
      <c r="H50" s="66">
        <f t="shared" ref="H50:H56" si="9">G50*F50</f>
        <v>3.6622080000000001</v>
      </c>
      <c r="I50" s="28"/>
      <c r="J50" s="263">
        <f>+'Res (100kWh)'!$J$50</f>
        <v>4.4000000000000003E-3</v>
      </c>
      <c r="K50" s="70">
        <f>K48</f>
        <v>828.96</v>
      </c>
      <c r="L50" s="66">
        <f t="shared" ref="L50:L56" si="10">K50*J50</f>
        <v>3.6474240000000004</v>
      </c>
      <c r="M50" s="28"/>
      <c r="N50" s="31">
        <f t="shared" si="2"/>
        <v>-1.4783999999999686E-2</v>
      </c>
      <c r="O50" s="68">
        <f t="shared" si="8"/>
        <v>-4.0369088811994525E-3</v>
      </c>
    </row>
    <row r="51" spans="2:19" ht="14.45" x14ac:dyDescent="0.3">
      <c r="B51" s="64" t="s">
        <v>32</v>
      </c>
      <c r="C51" s="22"/>
      <c r="D51" s="23" t="s">
        <v>61</v>
      </c>
      <c r="E51" s="24"/>
      <c r="F51" s="65">
        <f>+'Res (100kWh)'!$F$51</f>
        <v>1.2999999999999999E-3</v>
      </c>
      <c r="G51" s="69">
        <f>G48</f>
        <v>832.31999999999994</v>
      </c>
      <c r="H51" s="66">
        <f t="shared" si="9"/>
        <v>1.0820159999999999</v>
      </c>
      <c r="I51" s="28"/>
      <c r="J51" s="263">
        <f>+'Res (100kWh)'!$J$51</f>
        <v>1.2999999999999999E-3</v>
      </c>
      <c r="K51" s="70">
        <f>K48</f>
        <v>828.96</v>
      </c>
      <c r="L51" s="66">
        <f t="shared" si="10"/>
        <v>1.0776479999999999</v>
      </c>
      <c r="M51" s="28"/>
      <c r="N51" s="31">
        <f t="shared" si="2"/>
        <v>-4.3679999999999275E-3</v>
      </c>
      <c r="O51" s="68">
        <f t="shared" si="8"/>
        <v>-4.0369088811994724E-3</v>
      </c>
    </row>
    <row r="52" spans="2:19" x14ac:dyDescent="0.25">
      <c r="B52" s="24" t="s">
        <v>33</v>
      </c>
      <c r="C52" s="24"/>
      <c r="D52" s="23" t="s">
        <v>60</v>
      </c>
      <c r="E52" s="24"/>
      <c r="F52" s="176">
        <f>+'Res (100kWh)'!$F$52</f>
        <v>0.25</v>
      </c>
      <c r="G52" s="26">
        <v>1</v>
      </c>
      <c r="H52" s="66">
        <f t="shared" si="9"/>
        <v>0.25</v>
      </c>
      <c r="I52" s="28"/>
      <c r="J52" s="283">
        <f>+'Res (100kWh)'!$J$52</f>
        <v>0.25</v>
      </c>
      <c r="K52" s="30">
        <v>1</v>
      </c>
      <c r="L52" s="66">
        <f t="shared" si="10"/>
        <v>0.25</v>
      </c>
      <c r="M52" s="28"/>
      <c r="N52" s="31">
        <f t="shared" si="2"/>
        <v>0</v>
      </c>
      <c r="O52" s="68">
        <f t="shared" si="8"/>
        <v>0</v>
      </c>
    </row>
    <row r="53" spans="2:19" x14ac:dyDescent="0.25">
      <c r="B53" s="24" t="s">
        <v>34</v>
      </c>
      <c r="C53" s="24"/>
      <c r="D53" s="23" t="s">
        <v>61</v>
      </c>
      <c r="E53" s="24"/>
      <c r="F53" s="65">
        <f>+'Res (100kWh)'!$F$53</f>
        <v>7.0000000000000001E-3</v>
      </c>
      <c r="G53" s="69">
        <f>F16</f>
        <v>800</v>
      </c>
      <c r="H53" s="66">
        <f t="shared" si="9"/>
        <v>5.6000000000000005</v>
      </c>
      <c r="I53" s="28"/>
      <c r="J53" s="263">
        <f>+'Res (100kWh)'!$J$53</f>
        <v>7.0000000000000001E-3</v>
      </c>
      <c r="K53" s="70">
        <f>F16</f>
        <v>800</v>
      </c>
      <c r="L53" s="66">
        <f t="shared" si="10"/>
        <v>5.6000000000000005</v>
      </c>
      <c r="M53" s="28"/>
      <c r="N53" s="31">
        <f t="shared" si="2"/>
        <v>0</v>
      </c>
      <c r="O53" s="68">
        <f t="shared" si="8"/>
        <v>0</v>
      </c>
    </row>
    <row r="54" spans="2:19" x14ac:dyDescent="0.25">
      <c r="B54" s="181" t="s">
        <v>35</v>
      </c>
      <c r="C54" s="24"/>
      <c r="D54" s="23" t="s">
        <v>61</v>
      </c>
      <c r="E54" s="24"/>
      <c r="F54" s="65">
        <f>+'Res (100kWh)'!$F$54</f>
        <v>7.6999999999999999E-2</v>
      </c>
      <c r="G54" s="69">
        <f>0.64*$F$16</f>
        <v>512</v>
      </c>
      <c r="H54" s="66">
        <f t="shared" si="9"/>
        <v>39.423999999999999</v>
      </c>
      <c r="I54" s="28"/>
      <c r="J54" s="263">
        <f>+'Res (100kWh)'!$J$54</f>
        <v>7.6999999999999999E-2</v>
      </c>
      <c r="K54" s="69">
        <f>G54</f>
        <v>512</v>
      </c>
      <c r="L54" s="66">
        <f t="shared" si="10"/>
        <v>39.423999999999999</v>
      </c>
      <c r="M54" s="28"/>
      <c r="N54" s="31">
        <f t="shared" si="2"/>
        <v>0</v>
      </c>
      <c r="O54" s="68">
        <f t="shared" si="8"/>
        <v>0</v>
      </c>
      <c r="S54" s="72"/>
    </row>
    <row r="55" spans="2:19" x14ac:dyDescent="0.25">
      <c r="B55" s="181" t="s">
        <v>36</v>
      </c>
      <c r="C55" s="24"/>
      <c r="D55" s="23" t="s">
        <v>61</v>
      </c>
      <c r="E55" s="24"/>
      <c r="F55" s="65">
        <f>+'Res (100kWh)'!$F$55</f>
        <v>0.114</v>
      </c>
      <c r="G55" s="69">
        <f>0.18*$F$16</f>
        <v>144</v>
      </c>
      <c r="H55" s="66">
        <f t="shared" si="9"/>
        <v>16.416</v>
      </c>
      <c r="I55" s="28"/>
      <c r="J55" s="263">
        <f>+'Res (100kWh)'!$J$55</f>
        <v>0.114</v>
      </c>
      <c r="K55" s="69">
        <f>G55</f>
        <v>144</v>
      </c>
      <c r="L55" s="66">
        <f t="shared" si="10"/>
        <v>16.416</v>
      </c>
      <c r="M55" s="28"/>
      <c r="N55" s="31">
        <f t="shared" si="2"/>
        <v>0</v>
      </c>
      <c r="O55" s="68">
        <f t="shared" si="8"/>
        <v>0</v>
      </c>
      <c r="S55" s="72"/>
    </row>
    <row r="56" spans="2:19" x14ac:dyDescent="0.25">
      <c r="B56" s="299" t="s">
        <v>37</v>
      </c>
      <c r="C56" s="24"/>
      <c r="D56" s="23" t="s">
        <v>61</v>
      </c>
      <c r="E56" s="24"/>
      <c r="F56" s="65">
        <f>+'Res (100kWh)'!$F$56</f>
        <v>0.14000000000000001</v>
      </c>
      <c r="G56" s="69">
        <f>0.18*$F$16</f>
        <v>144</v>
      </c>
      <c r="H56" s="66">
        <f t="shared" si="9"/>
        <v>20.160000000000004</v>
      </c>
      <c r="I56" s="28"/>
      <c r="J56" s="263">
        <f>+'Res (100kWh)'!$J$56</f>
        <v>0.14000000000000001</v>
      </c>
      <c r="K56" s="69">
        <f>G56</f>
        <v>144</v>
      </c>
      <c r="L56" s="66">
        <f t="shared" si="10"/>
        <v>20.160000000000004</v>
      </c>
      <c r="M56" s="28"/>
      <c r="N56" s="31">
        <f t="shared" si="2"/>
        <v>0</v>
      </c>
      <c r="O56" s="68">
        <f t="shared" si="8"/>
        <v>0</v>
      </c>
      <c r="S56" s="72"/>
    </row>
    <row r="57" spans="2:19" s="73" customFormat="1" x14ac:dyDescent="0.2">
      <c r="B57" s="291" t="s">
        <v>38</v>
      </c>
      <c r="C57" s="77"/>
      <c r="D57" s="23" t="s">
        <v>61</v>
      </c>
      <c r="E57" s="77"/>
      <c r="F57" s="65">
        <f>+'Res (100kWh)'!$F$57</f>
        <v>8.7999999999999995E-2</v>
      </c>
      <c r="G57" s="78">
        <f>IF(AND($T$1=1, F16&gt;=600), 600, IF(AND($T$1=1, AND(F16&lt;600, F16&gt;=0)), F16, IF(AND($T$1=2, F16&gt;=1000), 1000, IF(AND($T$1=2, AND(F16&lt;1000, F16&gt;=0)), F16))))</f>
        <v>600</v>
      </c>
      <c r="H57" s="66">
        <f>G57*F57</f>
        <v>52.8</v>
      </c>
      <c r="I57" s="79"/>
      <c r="J57" s="263">
        <f>+'Res (100kWh)'!$J$57</f>
        <v>8.7999999999999995E-2</v>
      </c>
      <c r="K57" s="78">
        <f>G57</f>
        <v>600</v>
      </c>
      <c r="L57" s="66">
        <f>K57*J57</f>
        <v>52.8</v>
      </c>
      <c r="M57" s="79"/>
      <c r="N57" s="80">
        <f t="shared" si="2"/>
        <v>0</v>
      </c>
      <c r="O57" s="68">
        <f t="shared" si="8"/>
        <v>0</v>
      </c>
    </row>
    <row r="58" spans="2:19" s="73" customFormat="1" ht="15.75" thickBot="1" x14ac:dyDescent="0.25">
      <c r="B58" s="291" t="s">
        <v>39</v>
      </c>
      <c r="C58" s="77"/>
      <c r="D58" s="23" t="s">
        <v>61</v>
      </c>
      <c r="E58" s="77"/>
      <c r="F58" s="65">
        <f>+'Res (100kWh)'!$F$58</f>
        <v>0.10299999999999999</v>
      </c>
      <c r="G58" s="78">
        <f>IF(AND($T$1=1, F16&gt;=600), F16-600, IF(AND($T$1=1, AND(F16&lt;600, F16&gt;=0)), 0, IF(AND($T$1=2, F16&gt;=1000), F16-1000, IF(AND($T$1=2, AND(F16&lt;1000, F16&gt;=0)), 0))))</f>
        <v>200</v>
      </c>
      <c r="H58" s="66">
        <f>G58*F58</f>
        <v>20.599999999999998</v>
      </c>
      <c r="I58" s="79"/>
      <c r="J58" s="263">
        <f>+'Res (100kWh)'!$J$58</f>
        <v>0.10299999999999999</v>
      </c>
      <c r="K58" s="78">
        <f>G58</f>
        <v>200</v>
      </c>
      <c r="L58" s="66">
        <f>K58*J58</f>
        <v>20.599999999999998</v>
      </c>
      <c r="M58" s="79"/>
      <c r="N58" s="80">
        <f t="shared" si="2"/>
        <v>0</v>
      </c>
      <c r="O58" s="68">
        <f t="shared" si="8"/>
        <v>0</v>
      </c>
    </row>
    <row r="59" spans="2:19" ht="8.25" customHeight="1" thickBot="1" x14ac:dyDescent="0.3">
      <c r="B59" s="300"/>
      <c r="C59" s="301"/>
      <c r="D59" s="302"/>
      <c r="E59" s="82"/>
      <c r="F59" s="84"/>
      <c r="G59" s="85"/>
      <c r="H59" s="86"/>
      <c r="I59" s="87"/>
      <c r="J59" s="84"/>
      <c r="K59" s="88"/>
      <c r="L59" s="86"/>
      <c r="M59" s="87"/>
      <c r="N59" s="89"/>
      <c r="O59" s="90"/>
    </row>
    <row r="60" spans="2:19" x14ac:dyDescent="0.25">
      <c r="B60" s="91" t="s">
        <v>40</v>
      </c>
      <c r="C60" s="24"/>
      <c r="D60" s="24"/>
      <c r="E60" s="22"/>
      <c r="F60" s="92"/>
      <c r="G60" s="93"/>
      <c r="H60" s="94">
        <f>SUM(H50:H56,H49)</f>
        <v>130.24459199999998</v>
      </c>
      <c r="I60" s="95"/>
      <c r="J60" s="96"/>
      <c r="K60" s="96"/>
      <c r="L60" s="190">
        <f>SUM(L50:L56,L49)</f>
        <v>130.1223755487211</v>
      </c>
      <c r="M60" s="97"/>
      <c r="N60" s="98">
        <f>L60-H60</f>
        <v>-0.12221645127888792</v>
      </c>
      <c r="O60" s="99">
        <f>IF((H60)=0,"",(N60/H60))</f>
        <v>-9.3836104364999613E-4</v>
      </c>
      <c r="S60" s="72"/>
    </row>
    <row r="61" spans="2:19" x14ac:dyDescent="0.25">
      <c r="B61" s="100" t="s">
        <v>41</v>
      </c>
      <c r="C61" s="24"/>
      <c r="D61" s="24"/>
      <c r="E61" s="22"/>
      <c r="F61" s="101">
        <v>0.13</v>
      </c>
      <c r="G61" s="102"/>
      <c r="H61" s="103">
        <f>H60*F61</f>
        <v>16.93179696</v>
      </c>
      <c r="I61" s="104"/>
      <c r="J61" s="105">
        <v>0.13</v>
      </c>
      <c r="K61" s="104"/>
      <c r="L61" s="106">
        <f>L60*J61</f>
        <v>16.915908821333744</v>
      </c>
      <c r="M61" s="107"/>
      <c r="N61" s="108">
        <f t="shared" si="2"/>
        <v>-1.5888138666255713E-2</v>
      </c>
      <c r="O61" s="109">
        <f t="shared" si="8"/>
        <v>-9.3836104365001272E-4</v>
      </c>
      <c r="S61" s="72"/>
    </row>
    <row r="62" spans="2:19" x14ac:dyDescent="0.25">
      <c r="B62" s="303" t="s">
        <v>42</v>
      </c>
      <c r="C62" s="24"/>
      <c r="D62" s="24"/>
      <c r="E62" s="22"/>
      <c r="F62" s="111"/>
      <c r="G62" s="102"/>
      <c r="H62" s="103">
        <f>H60+H61</f>
        <v>147.17638896</v>
      </c>
      <c r="I62" s="104"/>
      <c r="J62" s="104"/>
      <c r="K62" s="104"/>
      <c r="L62" s="106">
        <f>L60+L61</f>
        <v>147.03828437005484</v>
      </c>
      <c r="M62" s="107"/>
      <c r="N62" s="108">
        <f t="shared" si="2"/>
        <v>-0.13810458994515784</v>
      </c>
      <c r="O62" s="109">
        <f t="shared" si="8"/>
        <v>-9.3836104365009447E-4</v>
      </c>
      <c r="S62" s="72"/>
    </row>
    <row r="63" spans="2:19" ht="15.75" customHeight="1" x14ac:dyDescent="0.25">
      <c r="B63" s="383" t="s">
        <v>43</v>
      </c>
      <c r="C63" s="383"/>
      <c r="D63" s="383"/>
      <c r="E63" s="22"/>
      <c r="F63" s="111"/>
      <c r="G63" s="102"/>
      <c r="H63" s="112">
        <f>ROUND(-H62*10%,2)</f>
        <v>-14.72</v>
      </c>
      <c r="I63" s="104"/>
      <c r="J63" s="104"/>
      <c r="K63" s="104"/>
      <c r="L63" s="113">
        <f>ROUND(-L62*10%,2)</f>
        <v>-14.7</v>
      </c>
      <c r="M63" s="107"/>
      <c r="N63" s="114">
        <f t="shared" si="2"/>
        <v>2.000000000000135E-2</v>
      </c>
      <c r="O63" s="115">
        <f t="shared" si="8"/>
        <v>-1.3586956521740047E-3</v>
      </c>
    </row>
    <row r="64" spans="2:19" ht="15.75" thickBot="1" x14ac:dyDescent="0.3">
      <c r="B64" s="384" t="s">
        <v>44</v>
      </c>
      <c r="C64" s="384"/>
      <c r="D64" s="384"/>
      <c r="E64" s="116"/>
      <c r="F64" s="117"/>
      <c r="G64" s="118"/>
      <c r="H64" s="119">
        <f>H62+H63</f>
        <v>132.45638896</v>
      </c>
      <c r="I64" s="120"/>
      <c r="J64" s="120"/>
      <c r="K64" s="120"/>
      <c r="L64" s="121">
        <f>L62+L63</f>
        <v>132.33828437005485</v>
      </c>
      <c r="M64" s="122"/>
      <c r="N64" s="123">
        <f t="shared" si="2"/>
        <v>-0.11810458994514761</v>
      </c>
      <c r="O64" s="124">
        <f t="shared" si="8"/>
        <v>-8.9164887305521795E-4</v>
      </c>
    </row>
    <row r="65" spans="1:15" s="73" customFormat="1" ht="8.25" customHeight="1" thickBot="1" x14ac:dyDescent="0.25">
      <c r="B65" s="125"/>
      <c r="C65" s="126"/>
      <c r="D65" s="127"/>
      <c r="E65" s="126"/>
      <c r="F65" s="84"/>
      <c r="G65" s="128"/>
      <c r="H65" s="86"/>
      <c r="I65" s="129"/>
      <c r="J65" s="84"/>
      <c r="K65" s="130"/>
      <c r="L65" s="86"/>
      <c r="M65" s="129"/>
      <c r="N65" s="131"/>
      <c r="O65" s="90"/>
    </row>
    <row r="66" spans="1:15" s="73" customFormat="1" ht="12.75" x14ac:dyDescent="0.2">
      <c r="B66" s="132" t="s">
        <v>45</v>
      </c>
      <c r="C66" s="75"/>
      <c r="D66" s="75"/>
      <c r="E66" s="75"/>
      <c r="F66" s="133"/>
      <c r="G66" s="134"/>
      <c r="H66" s="135">
        <f>SUM(H57:H58,H49,H50:H53)</f>
        <v>127.64459199999999</v>
      </c>
      <c r="I66" s="136"/>
      <c r="J66" s="137"/>
      <c r="K66" s="137"/>
      <c r="L66" s="189">
        <f>SUM(L57:L58,L49,L50:L53)</f>
        <v>127.52237554872106</v>
      </c>
      <c r="M66" s="138"/>
      <c r="N66" s="139">
        <f>L66-H66</f>
        <v>-0.12221645127893055</v>
      </c>
      <c r="O66" s="99">
        <f>IF((H66)=0,"",(N66/H66))</f>
        <v>-9.5747457345416213E-4</v>
      </c>
    </row>
    <row r="67" spans="1:15" s="73" customFormat="1" ht="12.75" x14ac:dyDescent="0.2">
      <c r="B67" s="140" t="s">
        <v>41</v>
      </c>
      <c r="C67" s="75"/>
      <c r="D67" s="75"/>
      <c r="E67" s="75"/>
      <c r="F67" s="141">
        <v>0.13</v>
      </c>
      <c r="G67" s="134"/>
      <c r="H67" s="142">
        <f>H66*F67</f>
        <v>16.593796959999999</v>
      </c>
      <c r="I67" s="143"/>
      <c r="J67" s="144">
        <v>0.13</v>
      </c>
      <c r="K67" s="145"/>
      <c r="L67" s="146">
        <f>L66*J67</f>
        <v>16.57790882133374</v>
      </c>
      <c r="M67" s="147"/>
      <c r="N67" s="148">
        <f>L67-H67</f>
        <v>-1.5888138666259266E-2</v>
      </c>
      <c r="O67" s="109">
        <f>IF((H67)=0,"",(N67/H67))</f>
        <v>-9.5747457345405935E-4</v>
      </c>
    </row>
    <row r="68" spans="1:15" s="73" customFormat="1" ht="12.75" x14ac:dyDescent="0.2">
      <c r="B68" s="149" t="s">
        <v>42</v>
      </c>
      <c r="C68" s="75"/>
      <c r="D68" s="75"/>
      <c r="E68" s="75"/>
      <c r="F68" s="150"/>
      <c r="G68" s="151"/>
      <c r="H68" s="142">
        <f>H66+H67</f>
        <v>144.23838895999998</v>
      </c>
      <c r="I68" s="143"/>
      <c r="J68" s="143"/>
      <c r="K68" s="143"/>
      <c r="L68" s="146">
        <f>L66+L67</f>
        <v>144.10028437005479</v>
      </c>
      <c r="M68" s="147"/>
      <c r="N68" s="148">
        <f>L68-H68</f>
        <v>-0.13810458994518626</v>
      </c>
      <c r="O68" s="109">
        <f>IF((H68)=0,"",(N68/H68))</f>
        <v>-9.5747457345412581E-4</v>
      </c>
    </row>
    <row r="69" spans="1:15" s="73" customFormat="1" ht="15.75" customHeight="1" x14ac:dyDescent="0.2">
      <c r="B69" s="385" t="s">
        <v>43</v>
      </c>
      <c r="C69" s="385"/>
      <c r="D69" s="385"/>
      <c r="E69" s="75"/>
      <c r="F69" s="150"/>
      <c r="G69" s="151"/>
      <c r="H69" s="152">
        <f>ROUND(-H68*10%,2)</f>
        <v>-14.42</v>
      </c>
      <c r="I69" s="143"/>
      <c r="J69" s="143"/>
      <c r="K69" s="143"/>
      <c r="L69" s="153">
        <f>ROUND(-L68*10%,2)</f>
        <v>-14.41</v>
      </c>
      <c r="M69" s="147"/>
      <c r="N69" s="154">
        <f>L69-H69</f>
        <v>9.9999999999997868E-3</v>
      </c>
      <c r="O69" s="115">
        <f>IF((H69)=0,"",(N69/H69))</f>
        <v>-6.9348127600553312E-4</v>
      </c>
    </row>
    <row r="70" spans="1:15" s="73" customFormat="1" ht="13.5" thickBot="1" x14ac:dyDescent="0.25">
      <c r="B70" s="376" t="s">
        <v>46</v>
      </c>
      <c r="C70" s="376"/>
      <c r="D70" s="376"/>
      <c r="E70" s="155"/>
      <c r="F70" s="156"/>
      <c r="G70" s="157"/>
      <c r="H70" s="158">
        <f>SUM(H68:H69)</f>
        <v>129.81838895999999</v>
      </c>
      <c r="I70" s="159"/>
      <c r="J70" s="159"/>
      <c r="K70" s="159"/>
      <c r="L70" s="160">
        <f>SUM(L68:L69)</f>
        <v>129.6902843700548</v>
      </c>
      <c r="M70" s="161"/>
      <c r="N70" s="162">
        <f>L70-H70</f>
        <v>-0.12810458994519536</v>
      </c>
      <c r="O70" s="163">
        <f>IF((H70)=0,"",(N70/H70))</f>
        <v>-9.8679848803752521E-4</v>
      </c>
    </row>
    <row r="71" spans="1:15" s="73" customFormat="1" ht="8.25" customHeight="1" thickBot="1" x14ac:dyDescent="0.25">
      <c r="B71" s="125"/>
      <c r="C71" s="126"/>
      <c r="D71" s="127"/>
      <c r="E71" s="126"/>
      <c r="F71" s="164"/>
      <c r="G71" s="165"/>
      <c r="H71" s="166"/>
      <c r="I71" s="167"/>
      <c r="J71" s="164"/>
      <c r="K71" s="128"/>
      <c r="L71" s="168"/>
      <c r="M71" s="129"/>
      <c r="N71" s="169"/>
      <c r="O71" s="90"/>
    </row>
    <row r="72" spans="1:15" ht="10.5" customHeight="1" x14ac:dyDescent="0.25">
      <c r="L72" s="72"/>
    </row>
    <row r="73" spans="1:15" x14ac:dyDescent="0.25">
      <c r="B73" s="13" t="s">
        <v>47</v>
      </c>
      <c r="F73" s="170">
        <f>+'Res (100kWh)'!$F$73</f>
        <v>4.0399999999999998E-2</v>
      </c>
      <c r="J73" s="170">
        <f>+'Res (100kWh)'!$J$73</f>
        <v>3.6200000000000003E-2</v>
      </c>
    </row>
    <row r="74" spans="1:15" ht="10.5" customHeight="1" x14ac:dyDescent="0.25"/>
    <row r="75" spans="1:15" x14ac:dyDescent="0.25">
      <c r="A75" s="171" t="s">
        <v>48</v>
      </c>
    </row>
    <row r="76" spans="1:15" ht="10.5" customHeight="1" x14ac:dyDescent="0.25"/>
    <row r="77" spans="1:15" x14ac:dyDescent="0.25">
      <c r="A77" s="7" t="s">
        <v>49</v>
      </c>
    </row>
    <row r="78" spans="1:15" x14ac:dyDescent="0.25">
      <c r="A78" s="7" t="s">
        <v>50</v>
      </c>
    </row>
    <row r="80" spans="1:15" x14ac:dyDescent="0.25">
      <c r="A80" s="12" t="s">
        <v>51</v>
      </c>
    </row>
    <row r="81" spans="1:2" x14ac:dyDescent="0.25">
      <c r="A81" s="12" t="s">
        <v>52</v>
      </c>
    </row>
    <row r="83" spans="1:2" x14ac:dyDescent="0.25">
      <c r="A83" s="7" t="s">
        <v>53</v>
      </c>
    </row>
    <row r="84" spans="1:2" x14ac:dyDescent="0.25">
      <c r="A84" s="7" t="s">
        <v>54</v>
      </c>
    </row>
    <row r="85" spans="1:2" x14ac:dyDescent="0.25">
      <c r="A85" s="7" t="s">
        <v>55</v>
      </c>
    </row>
    <row r="86" spans="1:2" x14ac:dyDescent="0.25">
      <c r="A86" s="7" t="s">
        <v>56</v>
      </c>
    </row>
    <row r="87" spans="1:2" x14ac:dyDescent="0.25">
      <c r="A87" s="7" t="s">
        <v>57</v>
      </c>
    </row>
    <row r="89" spans="1:2" x14ac:dyDescent="0.25">
      <c r="A89" s="172"/>
      <c r="B89" s="7" t="s">
        <v>58</v>
      </c>
    </row>
  </sheetData>
  <mergeCells count="17">
    <mergeCell ref="F18:H18"/>
    <mergeCell ref="J18:L18"/>
    <mergeCell ref="N18:O18"/>
    <mergeCell ref="N3:O3"/>
    <mergeCell ref="D12:O12"/>
    <mergeCell ref="B70:D70"/>
    <mergeCell ref="D19:D20"/>
    <mergeCell ref="N19:N20"/>
    <mergeCell ref="O19:O20"/>
    <mergeCell ref="B63:D63"/>
    <mergeCell ref="B64:D64"/>
    <mergeCell ref="B69:D69"/>
    <mergeCell ref="N1:O1"/>
    <mergeCell ref="N2:O2"/>
    <mergeCell ref="N5:O5"/>
    <mergeCell ref="B8:O8"/>
    <mergeCell ref="B9:O9"/>
  </mergeCells>
  <dataValidations count="4">
    <dataValidation type="list" allowBlank="1" showInputMessage="1" showErrorMessage="1" sqref="D14">
      <formula1>"TOU, non-TOU"</formula1>
    </dataValidation>
    <dataValidation type="list" allowBlank="1" showInputMessage="1" showErrorMessage="1" sqref="E71 E65 E57:E58">
      <formula1>#REF!</formula1>
    </dataValidation>
    <dataValidation type="list" allowBlank="1" showInputMessage="1" showErrorMessage="1" prompt="Select Charge Unit - monthly, per kWh, per kW" sqref="D47:D48 D65 D71 D50:D59 D38:D45 D21:D36">
      <formula1>"Monthly, per kWh, per kW"</formula1>
    </dataValidation>
    <dataValidation type="list" allowBlank="1" showInputMessage="1" showErrorMessage="1" sqref="E47:E48 E50:E56 E59 E38:E45 E21:E36">
      <formula1>#REF!</formula1>
    </dataValidation>
  </dataValidations>
  <pageMargins left="0.7" right="0.7" top="0.75" bottom="0.75" header="0.3" footer="0.3"/>
  <pageSetup scale="5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T89"/>
  <sheetViews>
    <sheetView showGridLines="0" topLeftCell="A21" workbookViewId="0">
      <selection activeCell="J29" sqref="J29"/>
    </sheetView>
  </sheetViews>
  <sheetFormatPr defaultColWidth="9.140625" defaultRowHeight="15" x14ac:dyDescent="0.25"/>
  <cols>
    <col min="1" max="1" width="2.140625" style="7" customWidth="1"/>
    <col min="2" max="2" width="44.5703125" style="7" customWidth="1"/>
    <col min="3" max="3" width="1.28515625" style="7" customWidth="1"/>
    <col min="4" max="4" width="11.28515625" style="7" customWidth="1"/>
    <col min="5" max="5" width="1.28515625" style="7" customWidth="1"/>
    <col min="6" max="6" width="12.28515625" style="7" customWidth="1"/>
    <col min="7" max="7" width="8.5703125" style="7" customWidth="1"/>
    <col min="8" max="8" width="9.7109375" style="7" customWidth="1"/>
    <col min="9" max="9" width="2.85546875" style="7" customWidth="1"/>
    <col min="10" max="10" width="12.140625" style="7" customWidth="1"/>
    <col min="11" max="11" width="8.5703125" style="7" customWidth="1"/>
    <col min="12" max="12" width="9.7109375" style="7" customWidth="1"/>
    <col min="13" max="13" width="2.85546875" style="7" customWidth="1"/>
    <col min="14" max="14" width="12.7109375" style="7" bestFit="1" customWidth="1"/>
    <col min="15" max="15" width="10.85546875" style="7" bestFit="1" customWidth="1"/>
    <col min="16" max="16" width="7.42578125" style="7" customWidth="1"/>
    <col min="17" max="19" width="9.140625" style="7"/>
    <col min="20" max="20" width="9.140625" style="7" customWidth="1"/>
    <col min="21" max="16384" width="9.140625" style="7"/>
  </cols>
  <sheetData>
    <row r="1" spans="1:20" s="2" customFormat="1" ht="15" customHeigh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3" t="s">
        <v>0</v>
      </c>
      <c r="N1" s="368" t="s">
        <v>94</v>
      </c>
      <c r="O1" s="368"/>
      <c r="P1" s="191"/>
      <c r="T1" s="2">
        <v>1</v>
      </c>
    </row>
    <row r="2" spans="1:20" s="2" customFormat="1" ht="15" customHeight="1" x14ac:dyDescent="0.3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3" t="s">
        <v>95</v>
      </c>
      <c r="N2" s="369">
        <v>8</v>
      </c>
      <c r="O2" s="369"/>
      <c r="P2" s="193"/>
    </row>
    <row r="3" spans="1:20" s="2" customFormat="1" ht="15" customHeight="1" x14ac:dyDescent="0.3">
      <c r="C3" s="6"/>
      <c r="D3" s="6"/>
      <c r="E3" s="6"/>
      <c r="L3" s="3" t="s">
        <v>96</v>
      </c>
      <c r="N3" s="370" t="s">
        <v>97</v>
      </c>
      <c r="O3" s="370"/>
      <c r="P3" s="192"/>
    </row>
    <row r="4" spans="1:20" s="2" customFormat="1" ht="9" customHeight="1" x14ac:dyDescent="0.3">
      <c r="L4" s="3"/>
      <c r="N4" s="310"/>
      <c r="O4"/>
      <c r="P4" s="194"/>
    </row>
    <row r="5" spans="1:20" s="2" customFormat="1" ht="14.45" x14ac:dyDescent="0.3">
      <c r="L5" s="3" t="s">
        <v>76</v>
      </c>
      <c r="N5" s="387">
        <v>42124</v>
      </c>
      <c r="O5" s="387"/>
      <c r="P5" s="192"/>
    </row>
    <row r="6" spans="1:20" s="2" customFormat="1" ht="15" customHeight="1" x14ac:dyDescent="0.3">
      <c r="N6" s="7"/>
      <c r="O6"/>
      <c r="P6"/>
    </row>
    <row r="7" spans="1:20" ht="7.5" customHeight="1" x14ac:dyDescent="0.3">
      <c r="L7"/>
      <c r="M7"/>
      <c r="N7"/>
      <c r="O7"/>
      <c r="P7"/>
    </row>
    <row r="8" spans="1:20" ht="18.75" customHeight="1" x14ac:dyDescent="0.3">
      <c r="B8" s="367" t="s">
        <v>1</v>
      </c>
      <c r="C8" s="367"/>
      <c r="D8" s="367"/>
      <c r="E8" s="367"/>
      <c r="F8" s="367"/>
      <c r="G8" s="367"/>
      <c r="H8" s="367"/>
      <c r="I8" s="367"/>
      <c r="J8" s="367"/>
      <c r="K8" s="367"/>
      <c r="L8" s="367"/>
      <c r="M8" s="367"/>
      <c r="N8" s="367"/>
      <c r="O8" s="367"/>
      <c r="P8"/>
    </row>
    <row r="9" spans="1:20" ht="18.75" customHeight="1" x14ac:dyDescent="0.3">
      <c r="B9" s="367" t="s">
        <v>2</v>
      </c>
      <c r="C9" s="367"/>
      <c r="D9" s="367"/>
      <c r="E9" s="367"/>
      <c r="F9" s="367"/>
      <c r="G9" s="367"/>
      <c r="H9" s="367"/>
      <c r="I9" s="367"/>
      <c r="J9" s="367"/>
      <c r="K9" s="367"/>
      <c r="L9" s="367"/>
      <c r="M9" s="367"/>
      <c r="N9" s="367"/>
      <c r="O9" s="367"/>
      <c r="P9"/>
    </row>
    <row r="10" spans="1:20" ht="7.5" customHeight="1" x14ac:dyDescent="0.3">
      <c r="L10"/>
      <c r="M10"/>
      <c r="N10"/>
      <c r="O10"/>
      <c r="P10"/>
    </row>
    <row r="11" spans="1:20" ht="7.5" customHeight="1" x14ac:dyDescent="0.3">
      <c r="L11"/>
      <c r="M11"/>
      <c r="N11"/>
      <c r="O11"/>
      <c r="P11"/>
    </row>
    <row r="12" spans="1:20" ht="15.6" x14ac:dyDescent="0.3">
      <c r="B12" s="8" t="s">
        <v>3</v>
      </c>
      <c r="D12" s="386" t="s">
        <v>59</v>
      </c>
      <c r="E12" s="386"/>
      <c r="F12" s="386"/>
      <c r="G12" s="386"/>
      <c r="H12" s="386"/>
      <c r="I12" s="386"/>
      <c r="J12" s="386"/>
      <c r="K12" s="386"/>
      <c r="L12" s="386"/>
      <c r="M12" s="386"/>
      <c r="N12" s="386"/>
      <c r="O12" s="386"/>
    </row>
    <row r="13" spans="1:20" ht="7.5" customHeight="1" x14ac:dyDescent="0.3">
      <c r="B13" s="9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</row>
    <row r="14" spans="1:20" ht="15.6" x14ac:dyDescent="0.3">
      <c r="B14" s="8" t="s">
        <v>4</v>
      </c>
      <c r="D14" s="11" t="s">
        <v>5</v>
      </c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</row>
    <row r="15" spans="1:20" ht="15.6" x14ac:dyDescent="0.3">
      <c r="B15" s="9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</row>
    <row r="16" spans="1:20" ht="14.45" x14ac:dyDescent="0.3">
      <c r="B16" s="12"/>
      <c r="D16" s="13" t="s">
        <v>6</v>
      </c>
      <c r="E16" s="13"/>
      <c r="F16" s="14">
        <v>1000</v>
      </c>
      <c r="G16" s="13" t="s">
        <v>7</v>
      </c>
    </row>
    <row r="17" spans="2:15" ht="14.45" x14ac:dyDescent="0.3">
      <c r="B17" s="12"/>
    </row>
    <row r="18" spans="2:15" ht="14.45" x14ac:dyDescent="0.3">
      <c r="B18" s="12"/>
      <c r="D18" s="15"/>
      <c r="E18" s="15"/>
      <c r="F18" s="373" t="s">
        <v>8</v>
      </c>
      <c r="G18" s="374"/>
      <c r="H18" s="375"/>
      <c r="J18" s="373" t="s">
        <v>9</v>
      </c>
      <c r="K18" s="374"/>
      <c r="L18" s="375"/>
      <c r="N18" s="373" t="s">
        <v>10</v>
      </c>
      <c r="O18" s="375"/>
    </row>
    <row r="19" spans="2:15" x14ac:dyDescent="0.25">
      <c r="B19" s="12"/>
      <c r="D19" s="377" t="s">
        <v>11</v>
      </c>
      <c r="E19" s="16"/>
      <c r="F19" s="17" t="s">
        <v>12</v>
      </c>
      <c r="G19" s="17" t="s">
        <v>13</v>
      </c>
      <c r="H19" s="18" t="s">
        <v>14</v>
      </c>
      <c r="J19" s="17" t="s">
        <v>12</v>
      </c>
      <c r="K19" s="19" t="s">
        <v>13</v>
      </c>
      <c r="L19" s="18" t="s">
        <v>14</v>
      </c>
      <c r="N19" s="379" t="s">
        <v>15</v>
      </c>
      <c r="O19" s="381" t="s">
        <v>16</v>
      </c>
    </row>
    <row r="20" spans="2:15" x14ac:dyDescent="0.25">
      <c r="B20" s="12"/>
      <c r="D20" s="378"/>
      <c r="E20" s="16"/>
      <c r="F20" s="20" t="s">
        <v>17</v>
      </c>
      <c r="G20" s="20"/>
      <c r="H20" s="21" t="s">
        <v>17</v>
      </c>
      <c r="J20" s="20" t="s">
        <v>17</v>
      </c>
      <c r="K20" s="21"/>
      <c r="L20" s="21" t="s">
        <v>17</v>
      </c>
      <c r="N20" s="380"/>
      <c r="O20" s="382"/>
    </row>
    <row r="21" spans="2:15" ht="22.5" customHeight="1" x14ac:dyDescent="0.3">
      <c r="B21" s="22" t="s">
        <v>18</v>
      </c>
      <c r="C21" s="22"/>
      <c r="D21" s="23" t="s">
        <v>60</v>
      </c>
      <c r="E21" s="24"/>
      <c r="F21" s="174">
        <f>+'Res (100kWh)'!$F$21</f>
        <v>15.2</v>
      </c>
      <c r="G21" s="26">
        <v>1</v>
      </c>
      <c r="H21" s="27">
        <f>G21*F21</f>
        <v>15.2</v>
      </c>
      <c r="I21" s="28"/>
      <c r="J21" s="173">
        <f>+'Res (100kWh)'!$J$21</f>
        <v>19.87</v>
      </c>
      <c r="K21" s="30">
        <v>1</v>
      </c>
      <c r="L21" s="27">
        <f>K21*J21</f>
        <v>19.87</v>
      </c>
      <c r="M21" s="28"/>
      <c r="N21" s="31">
        <f>L21-H21</f>
        <v>4.6700000000000017</v>
      </c>
      <c r="O21" s="32">
        <f>IF((H21)=0,"",(N21/H21))</f>
        <v>0.30723684210526331</v>
      </c>
    </row>
    <row r="22" spans="2:15" ht="36.75" customHeight="1" x14ac:dyDescent="0.3">
      <c r="B22" s="64" t="s">
        <v>62</v>
      </c>
      <c r="C22" s="22"/>
      <c r="D22" s="56" t="s">
        <v>60</v>
      </c>
      <c r="E22" s="24"/>
      <c r="F22" s="173">
        <f>+'Res (100kWh)'!$F$22</f>
        <v>0</v>
      </c>
      <c r="G22" s="26">
        <v>1</v>
      </c>
      <c r="H22" s="27">
        <f t="shared" ref="H22:H36" si="0">G22*F22</f>
        <v>0</v>
      </c>
      <c r="I22" s="28"/>
      <c r="J22" s="29"/>
      <c r="K22" s="30">
        <v>1</v>
      </c>
      <c r="L22" s="27">
        <f>K22*J22</f>
        <v>0</v>
      </c>
      <c r="M22" s="28"/>
      <c r="N22" s="31">
        <f>L22-H22</f>
        <v>0</v>
      </c>
      <c r="O22" s="32" t="str">
        <f>IF((H22)=0,"",(N22/H22))</f>
        <v/>
      </c>
    </row>
    <row r="23" spans="2:15" ht="36.75" customHeight="1" x14ac:dyDescent="0.3">
      <c r="B23" s="297" t="s">
        <v>63</v>
      </c>
      <c r="C23" s="22"/>
      <c r="D23" s="56" t="s">
        <v>60</v>
      </c>
      <c r="E23" s="57"/>
      <c r="F23" s="173">
        <f>+'Res (100kWh)'!$F$23</f>
        <v>2.11</v>
      </c>
      <c r="G23" s="26">
        <v>1</v>
      </c>
      <c r="H23" s="27">
        <f t="shared" si="0"/>
        <v>2.11</v>
      </c>
      <c r="I23" s="28"/>
      <c r="J23" s="29"/>
      <c r="K23" s="30">
        <v>1</v>
      </c>
      <c r="L23" s="27">
        <f t="shared" ref="L23:L36" si="1">K23*J23</f>
        <v>0</v>
      </c>
      <c r="M23" s="28"/>
      <c r="N23" s="31">
        <f t="shared" ref="N23:N64" si="2">L23-H23</f>
        <v>-2.11</v>
      </c>
      <c r="O23" s="32">
        <f t="shared" ref="O23:O44" si="3">IF((H23)=0,"",(N23/H23))</f>
        <v>-1</v>
      </c>
    </row>
    <row r="24" spans="2:15" ht="14.45" x14ac:dyDescent="0.3">
      <c r="B24" s="297" t="s">
        <v>64</v>
      </c>
      <c r="C24" s="22"/>
      <c r="D24" s="23" t="s">
        <v>60</v>
      </c>
      <c r="E24" s="24"/>
      <c r="F24" s="25">
        <f>+'Res (100kWh)'!$F$24</f>
        <v>0</v>
      </c>
      <c r="G24" s="26">
        <v>1</v>
      </c>
      <c r="H24" s="27">
        <f t="shared" si="0"/>
        <v>0</v>
      </c>
      <c r="I24" s="28"/>
      <c r="J24" s="173">
        <f>+'Res (100kWh)'!$J$24</f>
        <v>0.5751915487210707</v>
      </c>
      <c r="K24" s="30">
        <v>1</v>
      </c>
      <c r="L24" s="27">
        <f t="shared" si="1"/>
        <v>0.5751915487210707</v>
      </c>
      <c r="M24" s="28"/>
      <c r="N24" s="31">
        <f t="shared" si="2"/>
        <v>0.5751915487210707</v>
      </c>
      <c r="O24" s="32" t="str">
        <f t="shared" si="3"/>
        <v/>
      </c>
    </row>
    <row r="25" spans="2:15" ht="14.45" x14ac:dyDescent="0.3">
      <c r="B25" s="296" t="s">
        <v>65</v>
      </c>
      <c r="C25" s="22"/>
      <c r="D25" s="23" t="s">
        <v>61</v>
      </c>
      <c r="E25" s="24"/>
      <c r="F25" s="25">
        <f>+'Res (100kWh)'!$F$25</f>
        <v>-1E-4</v>
      </c>
      <c r="G25" s="26">
        <f>$F$16</f>
        <v>1000</v>
      </c>
      <c r="H25" s="27">
        <f t="shared" si="0"/>
        <v>-0.1</v>
      </c>
      <c r="I25" s="28"/>
      <c r="J25" s="173">
        <f>+'Res (100kWh)'!$J$25</f>
        <v>-1E-4</v>
      </c>
      <c r="K25" s="26">
        <f>$F$16</f>
        <v>1000</v>
      </c>
      <c r="L25" s="27">
        <f t="shared" si="1"/>
        <v>-0.1</v>
      </c>
      <c r="M25" s="28"/>
      <c r="N25" s="31">
        <f t="shared" si="2"/>
        <v>0</v>
      </c>
      <c r="O25" s="32">
        <f t="shared" si="3"/>
        <v>0</v>
      </c>
    </row>
    <row r="26" spans="2:15" x14ac:dyDescent="0.25">
      <c r="B26" s="296" t="s">
        <v>66</v>
      </c>
      <c r="C26" s="22"/>
      <c r="D26" s="23" t="s">
        <v>61</v>
      </c>
      <c r="E26" s="24"/>
      <c r="F26" s="25">
        <f>+'Res (100kWh)'!$F$26</f>
        <v>0</v>
      </c>
      <c r="G26" s="26">
        <f>$F$16</f>
        <v>1000</v>
      </c>
      <c r="H26" s="27">
        <f t="shared" si="0"/>
        <v>0</v>
      </c>
      <c r="I26" s="28"/>
      <c r="J26" s="29">
        <f>+'Res (100kWh)'!$J$26</f>
        <v>-1.6000000000000001E-3</v>
      </c>
      <c r="K26" s="26">
        <f>$F$16</f>
        <v>1000</v>
      </c>
      <c r="L26" s="27">
        <f t="shared" si="1"/>
        <v>-1.6</v>
      </c>
      <c r="M26" s="28"/>
      <c r="N26" s="31">
        <f t="shared" si="2"/>
        <v>-1.6</v>
      </c>
      <c r="O26" s="32" t="str">
        <f t="shared" si="3"/>
        <v/>
      </c>
    </row>
    <row r="27" spans="2:15" x14ac:dyDescent="0.25">
      <c r="B27" s="24" t="s">
        <v>19</v>
      </c>
      <c r="C27" s="22"/>
      <c r="D27" s="23" t="s">
        <v>61</v>
      </c>
      <c r="E27" s="24"/>
      <c r="F27" s="25">
        <f>+'Res (100kWh)'!$F$27</f>
        <v>1.9199999999999998E-2</v>
      </c>
      <c r="G27" s="26">
        <f>$F$16</f>
        <v>1000</v>
      </c>
      <c r="H27" s="27">
        <f t="shared" si="0"/>
        <v>19.2</v>
      </c>
      <c r="I27" s="28"/>
      <c r="J27" s="29">
        <f>+'Res (100kWh)'!$J$27</f>
        <v>1.55E-2</v>
      </c>
      <c r="K27" s="26">
        <f>$F$16</f>
        <v>1000</v>
      </c>
      <c r="L27" s="27">
        <f t="shared" si="1"/>
        <v>15.5</v>
      </c>
      <c r="M27" s="28"/>
      <c r="N27" s="31">
        <f t="shared" si="2"/>
        <v>-3.6999999999999993</v>
      </c>
      <c r="O27" s="32">
        <f t="shared" si="3"/>
        <v>-0.19270833333333331</v>
      </c>
    </row>
    <row r="28" spans="2:15" x14ac:dyDescent="0.25">
      <c r="B28" s="24" t="s">
        <v>20</v>
      </c>
      <c r="C28" s="22"/>
      <c r="D28" s="23"/>
      <c r="E28" s="24"/>
      <c r="F28" s="25"/>
      <c r="G28" s="26">
        <f>$F$16</f>
        <v>1000</v>
      </c>
      <c r="H28" s="27">
        <f t="shared" si="0"/>
        <v>0</v>
      </c>
      <c r="I28" s="28"/>
      <c r="J28" s="29"/>
      <c r="K28" s="26">
        <f t="shared" ref="K28:K36" si="4">$F$16</f>
        <v>1000</v>
      </c>
      <c r="L28" s="27">
        <f t="shared" si="1"/>
        <v>0</v>
      </c>
      <c r="M28" s="28"/>
      <c r="N28" s="31">
        <f t="shared" si="2"/>
        <v>0</v>
      </c>
      <c r="O28" s="32" t="str">
        <f t="shared" si="3"/>
        <v/>
      </c>
    </row>
    <row r="29" spans="2:15" x14ac:dyDescent="0.25">
      <c r="B29" s="24" t="s">
        <v>21</v>
      </c>
      <c r="C29" s="22"/>
      <c r="D29" s="23"/>
      <c r="E29" s="24"/>
      <c r="F29" s="25"/>
      <c r="G29" s="26">
        <f>$F$16</f>
        <v>1000</v>
      </c>
      <c r="H29" s="27">
        <f t="shared" si="0"/>
        <v>0</v>
      </c>
      <c r="I29" s="28"/>
      <c r="J29" s="29">
        <f>+'Res (100kWh)'!$J$29</f>
        <v>2.0000000000000001E-4</v>
      </c>
      <c r="K29" s="26">
        <f t="shared" si="4"/>
        <v>1000</v>
      </c>
      <c r="L29" s="27">
        <f t="shared" si="1"/>
        <v>0.2</v>
      </c>
      <c r="M29" s="28"/>
      <c r="N29" s="31">
        <f t="shared" si="2"/>
        <v>0.2</v>
      </c>
      <c r="O29" s="32" t="str">
        <f t="shared" si="3"/>
        <v/>
      </c>
    </row>
    <row r="30" spans="2:15" x14ac:dyDescent="0.25">
      <c r="B30" s="182"/>
      <c r="C30" s="22"/>
      <c r="D30" s="23"/>
      <c r="E30" s="24"/>
      <c r="F30" s="25"/>
      <c r="G30" s="26">
        <f t="shared" ref="G30:G36" si="5">$F$16</f>
        <v>1000</v>
      </c>
      <c r="H30" s="27">
        <f t="shared" si="0"/>
        <v>0</v>
      </c>
      <c r="I30" s="28"/>
      <c r="J30" s="29"/>
      <c r="K30" s="26">
        <f t="shared" si="4"/>
        <v>1000</v>
      </c>
      <c r="L30" s="27">
        <f t="shared" si="1"/>
        <v>0</v>
      </c>
      <c r="M30" s="28"/>
      <c r="N30" s="31">
        <f t="shared" si="2"/>
        <v>0</v>
      </c>
      <c r="O30" s="32" t="str">
        <f t="shared" si="3"/>
        <v/>
      </c>
    </row>
    <row r="31" spans="2:15" x14ac:dyDescent="0.25">
      <c r="B31" s="182"/>
      <c r="C31" s="22"/>
      <c r="D31" s="23"/>
      <c r="E31" s="24"/>
      <c r="F31" s="25"/>
      <c r="G31" s="26">
        <f t="shared" si="5"/>
        <v>1000</v>
      </c>
      <c r="H31" s="27">
        <f t="shared" si="0"/>
        <v>0</v>
      </c>
      <c r="I31" s="28"/>
      <c r="J31" s="29"/>
      <c r="K31" s="26">
        <f t="shared" si="4"/>
        <v>1000</v>
      </c>
      <c r="L31" s="27">
        <f t="shared" si="1"/>
        <v>0</v>
      </c>
      <c r="M31" s="28"/>
      <c r="N31" s="31">
        <f t="shared" si="2"/>
        <v>0</v>
      </c>
      <c r="O31" s="32" t="str">
        <f t="shared" si="3"/>
        <v/>
      </c>
    </row>
    <row r="32" spans="2:15" x14ac:dyDescent="0.25">
      <c r="B32" s="182"/>
      <c r="C32" s="22"/>
      <c r="D32" s="23"/>
      <c r="E32" s="24"/>
      <c r="F32" s="25"/>
      <c r="G32" s="26">
        <f t="shared" si="5"/>
        <v>1000</v>
      </c>
      <c r="H32" s="27">
        <f t="shared" si="0"/>
        <v>0</v>
      </c>
      <c r="I32" s="28"/>
      <c r="J32" s="29"/>
      <c r="K32" s="26">
        <f t="shared" si="4"/>
        <v>1000</v>
      </c>
      <c r="L32" s="27">
        <f t="shared" si="1"/>
        <v>0</v>
      </c>
      <c r="M32" s="28"/>
      <c r="N32" s="31">
        <f t="shared" si="2"/>
        <v>0</v>
      </c>
      <c r="O32" s="32" t="str">
        <f t="shared" si="3"/>
        <v/>
      </c>
    </row>
    <row r="33" spans="2:15" x14ac:dyDescent="0.25">
      <c r="B33" s="182"/>
      <c r="C33" s="22"/>
      <c r="D33" s="23"/>
      <c r="E33" s="24"/>
      <c r="F33" s="25"/>
      <c r="G33" s="26">
        <f t="shared" si="5"/>
        <v>1000</v>
      </c>
      <c r="H33" s="27">
        <f t="shared" si="0"/>
        <v>0</v>
      </c>
      <c r="I33" s="28"/>
      <c r="J33" s="29"/>
      <c r="K33" s="26">
        <f t="shared" si="4"/>
        <v>1000</v>
      </c>
      <c r="L33" s="27">
        <f t="shared" si="1"/>
        <v>0</v>
      </c>
      <c r="M33" s="28"/>
      <c r="N33" s="31">
        <f t="shared" si="2"/>
        <v>0</v>
      </c>
      <c r="O33" s="32" t="str">
        <f t="shared" si="3"/>
        <v/>
      </c>
    </row>
    <row r="34" spans="2:15" x14ac:dyDescent="0.25">
      <c r="B34" s="182"/>
      <c r="C34" s="22"/>
      <c r="D34" s="23"/>
      <c r="E34" s="24"/>
      <c r="F34" s="25"/>
      <c r="G34" s="26">
        <f t="shared" si="5"/>
        <v>1000</v>
      </c>
      <c r="H34" s="27">
        <f t="shared" si="0"/>
        <v>0</v>
      </c>
      <c r="I34" s="28"/>
      <c r="J34" s="29"/>
      <c r="K34" s="26">
        <f t="shared" si="4"/>
        <v>1000</v>
      </c>
      <c r="L34" s="27">
        <f t="shared" si="1"/>
        <v>0</v>
      </c>
      <c r="M34" s="28"/>
      <c r="N34" s="31">
        <f t="shared" si="2"/>
        <v>0</v>
      </c>
      <c r="O34" s="32" t="str">
        <f t="shared" si="3"/>
        <v/>
      </c>
    </row>
    <row r="35" spans="2:15" x14ac:dyDescent="0.25">
      <c r="B35" s="182"/>
      <c r="C35" s="22"/>
      <c r="D35" s="23"/>
      <c r="E35" s="24"/>
      <c r="F35" s="25"/>
      <c r="G35" s="26">
        <f t="shared" si="5"/>
        <v>1000</v>
      </c>
      <c r="H35" s="27">
        <f t="shared" si="0"/>
        <v>0</v>
      </c>
      <c r="I35" s="28"/>
      <c r="J35" s="29"/>
      <c r="K35" s="26">
        <f t="shared" si="4"/>
        <v>1000</v>
      </c>
      <c r="L35" s="27">
        <f t="shared" si="1"/>
        <v>0</v>
      </c>
      <c r="M35" s="28"/>
      <c r="N35" s="31">
        <f t="shared" si="2"/>
        <v>0</v>
      </c>
      <c r="O35" s="32" t="str">
        <f t="shared" si="3"/>
        <v/>
      </c>
    </row>
    <row r="36" spans="2:15" x14ac:dyDescent="0.25">
      <c r="B36" s="182"/>
      <c r="C36" s="22"/>
      <c r="D36" s="23"/>
      <c r="E36" s="24"/>
      <c r="F36" s="25"/>
      <c r="G36" s="26">
        <f t="shared" si="5"/>
        <v>1000</v>
      </c>
      <c r="H36" s="27">
        <f t="shared" si="0"/>
        <v>0</v>
      </c>
      <c r="I36" s="28"/>
      <c r="J36" s="29"/>
      <c r="K36" s="26">
        <f t="shared" si="4"/>
        <v>1000</v>
      </c>
      <c r="L36" s="27">
        <f t="shared" si="1"/>
        <v>0</v>
      </c>
      <c r="M36" s="28"/>
      <c r="N36" s="31">
        <f t="shared" si="2"/>
        <v>0</v>
      </c>
      <c r="O36" s="32" t="str">
        <f t="shared" si="3"/>
        <v/>
      </c>
    </row>
    <row r="37" spans="2:15" s="34" customFormat="1" x14ac:dyDescent="0.25">
      <c r="B37" s="35" t="s">
        <v>22</v>
      </c>
      <c r="C37" s="36"/>
      <c r="D37" s="37"/>
      <c r="E37" s="36"/>
      <c r="F37" s="38"/>
      <c r="G37" s="39"/>
      <c r="H37" s="40">
        <f>SUM(H21:H36)</f>
        <v>36.409999999999997</v>
      </c>
      <c r="I37" s="41"/>
      <c r="J37" s="42"/>
      <c r="K37" s="43"/>
      <c r="L37" s="40">
        <f>SUM(L21:L36)</f>
        <v>34.44519154872107</v>
      </c>
      <c r="M37" s="41"/>
      <c r="N37" s="44">
        <f t="shared" si="2"/>
        <v>-1.9648084512789268</v>
      </c>
      <c r="O37" s="45">
        <f t="shared" si="3"/>
        <v>-5.3963429038146854E-2</v>
      </c>
    </row>
    <row r="38" spans="2:15" x14ac:dyDescent="0.25">
      <c r="B38" s="297"/>
      <c r="C38" s="22"/>
      <c r="D38" s="56" t="s">
        <v>60</v>
      </c>
      <c r="E38" s="24"/>
      <c r="F38" s="25"/>
      <c r="G38" s="26">
        <v>1</v>
      </c>
      <c r="H38" s="27">
        <f>G38*F38</f>
        <v>0</v>
      </c>
      <c r="I38" s="28"/>
      <c r="J38" s="173"/>
      <c r="K38" s="30">
        <v>1</v>
      </c>
      <c r="L38" s="27">
        <f>K38*J38</f>
        <v>0</v>
      </c>
      <c r="M38" s="28"/>
      <c r="N38" s="31">
        <f>L38-H38</f>
        <v>0</v>
      </c>
      <c r="O38" s="32" t="str">
        <f>IF((H38)=0,"",(N38/H38))</f>
        <v/>
      </c>
    </row>
    <row r="39" spans="2:15" x14ac:dyDescent="0.25">
      <c r="B39" s="296" t="s">
        <v>23</v>
      </c>
      <c r="C39" s="22"/>
      <c r="D39" s="56" t="s">
        <v>61</v>
      </c>
      <c r="E39" s="57"/>
      <c r="F39" s="29">
        <f>+'Res (100kWh)'!$F$39</f>
        <v>-1.4E-3</v>
      </c>
      <c r="G39" s="26">
        <f>$F$16</f>
        <v>1000</v>
      </c>
      <c r="H39" s="27">
        <f t="shared" ref="H39:H45" si="6">G39*F39</f>
        <v>-1.4</v>
      </c>
      <c r="I39" s="28"/>
      <c r="J39" s="29">
        <f>+'Res (100kWh)'!$J$39</f>
        <v>2.0000000000000009E-4</v>
      </c>
      <c r="K39" s="26">
        <f>$F$16</f>
        <v>1000</v>
      </c>
      <c r="L39" s="27">
        <f t="shared" ref="L39:L45" si="7">K39*J39</f>
        <v>0.20000000000000009</v>
      </c>
      <c r="M39" s="28"/>
      <c r="N39" s="31">
        <f t="shared" si="2"/>
        <v>1.6</v>
      </c>
      <c r="O39" s="32">
        <f t="shared" si="3"/>
        <v>-1.142857142857143</v>
      </c>
    </row>
    <row r="40" spans="2:15" x14ac:dyDescent="0.25">
      <c r="B40" s="46"/>
      <c r="C40" s="22"/>
      <c r="D40" s="23" t="s">
        <v>61</v>
      </c>
      <c r="E40" s="24"/>
      <c r="F40" s="25"/>
      <c r="G40" s="26">
        <f>$F$16</f>
        <v>1000</v>
      </c>
      <c r="H40" s="27">
        <f t="shared" si="6"/>
        <v>0</v>
      </c>
      <c r="I40" s="47"/>
      <c r="J40" s="29"/>
      <c r="K40" s="26">
        <f>$F$16</f>
        <v>1000</v>
      </c>
      <c r="L40" s="27">
        <f t="shared" si="7"/>
        <v>0</v>
      </c>
      <c r="M40" s="48"/>
      <c r="N40" s="31">
        <f t="shared" si="2"/>
        <v>0</v>
      </c>
      <c r="O40" s="32" t="str">
        <f t="shared" si="3"/>
        <v/>
      </c>
    </row>
    <row r="41" spans="2:15" x14ac:dyDescent="0.25">
      <c r="B41" s="46"/>
      <c r="C41" s="22"/>
      <c r="D41" s="23" t="s">
        <v>61</v>
      </c>
      <c r="E41" s="24"/>
      <c r="F41" s="25"/>
      <c r="G41" s="26">
        <f>$F$16</f>
        <v>1000</v>
      </c>
      <c r="H41" s="27">
        <f t="shared" si="6"/>
        <v>0</v>
      </c>
      <c r="I41" s="47"/>
      <c r="J41" s="29"/>
      <c r="K41" s="26">
        <f>$F$16</f>
        <v>1000</v>
      </c>
      <c r="L41" s="27">
        <f t="shared" si="7"/>
        <v>0</v>
      </c>
      <c r="M41" s="48"/>
      <c r="N41" s="31">
        <f t="shared" si="2"/>
        <v>0</v>
      </c>
      <c r="O41" s="32" t="str">
        <f t="shared" si="3"/>
        <v/>
      </c>
    </row>
    <row r="42" spans="2:15" x14ac:dyDescent="0.25">
      <c r="B42" s="46"/>
      <c r="C42" s="22"/>
      <c r="D42" s="23"/>
      <c r="E42" s="24"/>
      <c r="F42" s="25"/>
      <c r="G42" s="26">
        <f>$F$16</f>
        <v>1000</v>
      </c>
      <c r="H42" s="27">
        <f t="shared" si="6"/>
        <v>0</v>
      </c>
      <c r="I42" s="47"/>
      <c r="J42" s="29"/>
      <c r="K42" s="26">
        <f>$F$16</f>
        <v>1000</v>
      </c>
      <c r="L42" s="27">
        <f t="shared" si="7"/>
        <v>0</v>
      </c>
      <c r="M42" s="48"/>
      <c r="N42" s="31">
        <f t="shared" si="2"/>
        <v>0</v>
      </c>
      <c r="O42" s="32" t="str">
        <f t="shared" si="3"/>
        <v/>
      </c>
    </row>
    <row r="43" spans="2:15" x14ac:dyDescent="0.25">
      <c r="B43" s="49" t="s">
        <v>24</v>
      </c>
      <c r="C43" s="22"/>
      <c r="D43" s="23" t="s">
        <v>61</v>
      </c>
      <c r="E43" s="24"/>
      <c r="F43" s="25">
        <f>+'Res (100kWh)'!$F$43</f>
        <v>1E-4</v>
      </c>
      <c r="G43" s="26">
        <f>$F$16</f>
        <v>1000</v>
      </c>
      <c r="H43" s="27">
        <f t="shared" si="6"/>
        <v>0.1</v>
      </c>
      <c r="I43" s="28"/>
      <c r="J43" s="29">
        <f>+'Res (100kWh)'!$J$43</f>
        <v>2.0000000000000001E-4</v>
      </c>
      <c r="K43" s="26">
        <f>$F$16</f>
        <v>1000</v>
      </c>
      <c r="L43" s="27">
        <f t="shared" si="7"/>
        <v>0.2</v>
      </c>
      <c r="M43" s="28"/>
      <c r="N43" s="31">
        <f t="shared" si="2"/>
        <v>0.1</v>
      </c>
      <c r="O43" s="32">
        <f t="shared" si="3"/>
        <v>1</v>
      </c>
    </row>
    <row r="44" spans="2:15" s="34" customFormat="1" x14ac:dyDescent="0.25">
      <c r="B44" s="181" t="s">
        <v>25</v>
      </c>
      <c r="C44" s="24"/>
      <c r="D44" s="182" t="s">
        <v>61</v>
      </c>
      <c r="E44" s="24"/>
      <c r="F44" s="183">
        <f>IF(ISBLANK(D14)=TRUE, 0, IF(D14="TOU", 0.64*$F$54+0.18*$F$55+0.18*$F$56, IF(AND(D14="non-TOU", G58&gt;0), F58,F57)))</f>
        <v>9.5000000000000001E-2</v>
      </c>
      <c r="G44" s="26">
        <f>$F$16*(1+$F$73)-$F$16</f>
        <v>40.400000000000091</v>
      </c>
      <c r="H44" s="184">
        <f t="shared" si="6"/>
        <v>3.8380000000000085</v>
      </c>
      <c r="I44" s="57"/>
      <c r="J44" s="185">
        <f>0.64*$F$54+0.18*$F$55+0.18*$F$56</f>
        <v>9.5000000000000001E-2</v>
      </c>
      <c r="K44" s="26">
        <f>$F$16*(1+$J$73)-$F$16</f>
        <v>36.200000000000045</v>
      </c>
      <c r="L44" s="184">
        <f t="shared" si="7"/>
        <v>3.4390000000000045</v>
      </c>
      <c r="M44" s="57"/>
      <c r="N44" s="186">
        <f t="shared" si="2"/>
        <v>-0.39900000000000402</v>
      </c>
      <c r="O44" s="187">
        <f t="shared" si="3"/>
        <v>-0.10396039603960477</v>
      </c>
    </row>
    <row r="45" spans="2:15" ht="14.45" x14ac:dyDescent="0.3">
      <c r="B45" s="49" t="s">
        <v>26</v>
      </c>
      <c r="C45" s="22"/>
      <c r="D45" s="23" t="s">
        <v>60</v>
      </c>
      <c r="E45" s="24"/>
      <c r="F45" s="174">
        <f>+'Res (100kWh)'!$F$45</f>
        <v>0.79</v>
      </c>
      <c r="G45" s="26">
        <v>1</v>
      </c>
      <c r="H45" s="27">
        <f t="shared" si="6"/>
        <v>0.79</v>
      </c>
      <c r="I45" s="28"/>
      <c r="J45" s="174">
        <f>+'Res (100kWh)'!$J$45</f>
        <v>0.79</v>
      </c>
      <c r="K45" s="26">
        <v>1</v>
      </c>
      <c r="L45" s="27">
        <f t="shared" si="7"/>
        <v>0.79</v>
      </c>
      <c r="M45" s="28"/>
      <c r="N45" s="31">
        <f t="shared" si="2"/>
        <v>0</v>
      </c>
      <c r="O45" s="32"/>
    </row>
    <row r="46" spans="2:15" ht="14.45" x14ac:dyDescent="0.3">
      <c r="B46" s="50" t="s">
        <v>27</v>
      </c>
      <c r="C46" s="51"/>
      <c r="D46" s="51"/>
      <c r="E46" s="51"/>
      <c r="F46" s="52"/>
      <c r="G46" s="293"/>
      <c r="H46" s="54">
        <f>SUM(H38:H45)+H37</f>
        <v>39.738000000000007</v>
      </c>
      <c r="I46" s="41"/>
      <c r="J46" s="53"/>
      <c r="K46" s="55"/>
      <c r="L46" s="54">
        <f>SUM(L38:L45)+L37</f>
        <v>39.074191548721075</v>
      </c>
      <c r="M46" s="41"/>
      <c r="N46" s="44">
        <f>L46-H46</f>
        <v>-0.66380845127893195</v>
      </c>
      <c r="O46" s="45">
        <f>IF((H46)=0,"",(N46/H46))</f>
        <v>-1.6704626586112332E-2</v>
      </c>
    </row>
    <row r="47" spans="2:15" ht="14.45" x14ac:dyDescent="0.3">
      <c r="B47" s="28" t="s">
        <v>28</v>
      </c>
      <c r="C47" s="28"/>
      <c r="D47" s="56" t="s">
        <v>61</v>
      </c>
      <c r="E47" s="57"/>
      <c r="F47" s="29">
        <f>+'Res (100kWh)'!$F$47</f>
        <v>7.6E-3</v>
      </c>
      <c r="G47" s="69">
        <f>F16*(1+F73)</f>
        <v>1040.4000000000001</v>
      </c>
      <c r="H47" s="27">
        <f>G47*F47</f>
        <v>7.9070400000000003</v>
      </c>
      <c r="I47" s="28"/>
      <c r="J47" s="263">
        <f>+'Res (100kWh)'!$J$47</f>
        <v>7.4000000000000003E-3</v>
      </c>
      <c r="K47" s="70">
        <f>F16*(1+J73)</f>
        <v>1036.2</v>
      </c>
      <c r="L47" s="27">
        <f>K47*J47</f>
        <v>7.6678800000000003</v>
      </c>
      <c r="M47" s="28"/>
      <c r="N47" s="31">
        <f t="shared" si="2"/>
        <v>-0.23916000000000004</v>
      </c>
      <c r="O47" s="32">
        <f t="shared" ref="O47:O64" si="8">IF((H47)=0,"",(N47/H47))</f>
        <v>-3.0246463910641661E-2</v>
      </c>
    </row>
    <row r="48" spans="2:15" ht="14.45" x14ac:dyDescent="0.3">
      <c r="B48" s="59" t="s">
        <v>29</v>
      </c>
      <c r="C48" s="28"/>
      <c r="D48" s="56" t="s">
        <v>61</v>
      </c>
      <c r="E48" s="57"/>
      <c r="F48" s="29">
        <f>+'Res (100kWh)'!$F$48</f>
        <v>2.3E-3</v>
      </c>
      <c r="G48" s="69">
        <f>G47</f>
        <v>1040.4000000000001</v>
      </c>
      <c r="H48" s="27">
        <f>G48*F48</f>
        <v>2.3929200000000002</v>
      </c>
      <c r="I48" s="28"/>
      <c r="J48" s="263">
        <f>+'Res (100kWh)'!$J$48</f>
        <v>2.3E-3</v>
      </c>
      <c r="K48" s="70">
        <f>K47</f>
        <v>1036.2</v>
      </c>
      <c r="L48" s="27">
        <f>K48*J48</f>
        <v>2.3832599999999999</v>
      </c>
      <c r="M48" s="28"/>
      <c r="N48" s="31">
        <f t="shared" si="2"/>
        <v>-9.660000000000224E-3</v>
      </c>
      <c r="O48" s="32">
        <f t="shared" si="8"/>
        <v>-4.036908881199632E-3</v>
      </c>
    </row>
    <row r="49" spans="2:19" ht="14.45" x14ac:dyDescent="0.3">
      <c r="B49" s="50" t="s">
        <v>30</v>
      </c>
      <c r="C49" s="36"/>
      <c r="D49" s="36"/>
      <c r="E49" s="36"/>
      <c r="F49" s="60"/>
      <c r="G49" s="60"/>
      <c r="H49" s="54">
        <f>SUM(H46:H48)</f>
        <v>50.037960000000012</v>
      </c>
      <c r="I49" s="61"/>
      <c r="J49" s="62"/>
      <c r="K49" s="62"/>
      <c r="L49" s="54">
        <f>SUM(L46:L48)</f>
        <v>49.125331548721071</v>
      </c>
      <c r="M49" s="61"/>
      <c r="N49" s="44">
        <f t="shared" si="2"/>
        <v>-0.9126284512789411</v>
      </c>
      <c r="O49" s="45">
        <f t="shared" si="8"/>
        <v>-1.8238722187693922E-2</v>
      </c>
    </row>
    <row r="50" spans="2:19" ht="14.45" x14ac:dyDescent="0.3">
      <c r="B50" s="64" t="s">
        <v>31</v>
      </c>
      <c r="C50" s="22"/>
      <c r="D50" s="23" t="s">
        <v>61</v>
      </c>
      <c r="E50" s="24"/>
      <c r="F50" s="65">
        <f>+'Res (100kWh)'!$F$50</f>
        <v>4.4000000000000003E-3</v>
      </c>
      <c r="G50" s="69">
        <f>G48</f>
        <v>1040.4000000000001</v>
      </c>
      <c r="H50" s="66">
        <f t="shared" ref="H50:H56" si="9">G50*F50</f>
        <v>4.5777600000000005</v>
      </c>
      <c r="I50" s="28"/>
      <c r="J50" s="263">
        <f>+'Res (100kWh)'!$J$50</f>
        <v>4.4000000000000003E-3</v>
      </c>
      <c r="K50" s="70">
        <f>K48</f>
        <v>1036.2</v>
      </c>
      <c r="L50" s="66">
        <f t="shared" ref="L50:L56" si="10">K50*J50</f>
        <v>4.5592800000000002</v>
      </c>
      <c r="M50" s="28"/>
      <c r="N50" s="31">
        <f t="shared" si="2"/>
        <v>-1.8480000000000274E-2</v>
      </c>
      <c r="O50" s="68">
        <f t="shared" si="8"/>
        <v>-4.0369088811995982E-3</v>
      </c>
    </row>
    <row r="51" spans="2:19" ht="14.45" x14ac:dyDescent="0.3">
      <c r="B51" s="64" t="s">
        <v>32</v>
      </c>
      <c r="C51" s="22"/>
      <c r="D51" s="23" t="s">
        <v>61</v>
      </c>
      <c r="E51" s="24"/>
      <c r="F51" s="65">
        <f>+'Res (100kWh)'!$F$51</f>
        <v>1.2999999999999999E-3</v>
      </c>
      <c r="G51" s="69">
        <f>G48</f>
        <v>1040.4000000000001</v>
      </c>
      <c r="H51" s="66">
        <f t="shared" si="9"/>
        <v>1.3525200000000002</v>
      </c>
      <c r="I51" s="28"/>
      <c r="J51" s="263">
        <f>+'Res (100kWh)'!$J$51</f>
        <v>1.2999999999999999E-3</v>
      </c>
      <c r="K51" s="70">
        <f>K48</f>
        <v>1036.2</v>
      </c>
      <c r="L51" s="66">
        <f t="shared" si="10"/>
        <v>1.3470599999999999</v>
      </c>
      <c r="M51" s="28"/>
      <c r="N51" s="31">
        <f t="shared" si="2"/>
        <v>-5.4600000000002424E-3</v>
      </c>
      <c r="O51" s="68">
        <f t="shared" si="8"/>
        <v>-4.036908881199717E-3</v>
      </c>
    </row>
    <row r="52" spans="2:19" ht="14.45" x14ac:dyDescent="0.3">
      <c r="B52" s="22" t="s">
        <v>33</v>
      </c>
      <c r="C52" s="22"/>
      <c r="D52" s="23" t="s">
        <v>60</v>
      </c>
      <c r="E52" s="24"/>
      <c r="F52" s="176">
        <f>+'Res (100kWh)'!$F$52</f>
        <v>0.25</v>
      </c>
      <c r="G52" s="26">
        <v>1</v>
      </c>
      <c r="H52" s="66">
        <f t="shared" si="9"/>
        <v>0.25</v>
      </c>
      <c r="I52" s="28"/>
      <c r="J52" s="283">
        <f>+'Res (100kWh)'!$J$52</f>
        <v>0.25</v>
      </c>
      <c r="K52" s="30">
        <v>1</v>
      </c>
      <c r="L52" s="66">
        <f t="shared" si="10"/>
        <v>0.25</v>
      </c>
      <c r="M52" s="28"/>
      <c r="N52" s="31">
        <f t="shared" si="2"/>
        <v>0</v>
      </c>
      <c r="O52" s="68">
        <f t="shared" si="8"/>
        <v>0</v>
      </c>
    </row>
    <row r="53" spans="2:19" ht="14.45" x14ac:dyDescent="0.3">
      <c r="B53" s="24" t="s">
        <v>34</v>
      </c>
      <c r="C53" s="22"/>
      <c r="D53" s="23" t="s">
        <v>61</v>
      </c>
      <c r="E53" s="24"/>
      <c r="F53" s="65">
        <f>+'Res (100kWh)'!$F$53</f>
        <v>7.0000000000000001E-3</v>
      </c>
      <c r="G53" s="69">
        <f>F16</f>
        <v>1000</v>
      </c>
      <c r="H53" s="66">
        <f t="shared" si="9"/>
        <v>7</v>
      </c>
      <c r="I53" s="28"/>
      <c r="J53" s="263">
        <f>+'Res (100kWh)'!$J$53</f>
        <v>7.0000000000000001E-3</v>
      </c>
      <c r="K53" s="70">
        <f>F16</f>
        <v>1000</v>
      </c>
      <c r="L53" s="66">
        <f t="shared" si="10"/>
        <v>7</v>
      </c>
      <c r="M53" s="28"/>
      <c r="N53" s="31">
        <f t="shared" si="2"/>
        <v>0</v>
      </c>
      <c r="O53" s="68">
        <f t="shared" si="8"/>
        <v>0</v>
      </c>
    </row>
    <row r="54" spans="2:19" ht="14.45" x14ac:dyDescent="0.3">
      <c r="B54" s="49" t="s">
        <v>35</v>
      </c>
      <c r="C54" s="22"/>
      <c r="D54" s="23" t="s">
        <v>61</v>
      </c>
      <c r="E54" s="24"/>
      <c r="F54" s="71">
        <f>+'Res (100kWh)'!$F$54</f>
        <v>7.6999999999999999E-2</v>
      </c>
      <c r="G54" s="69">
        <f>0.64*$F$16</f>
        <v>640</v>
      </c>
      <c r="H54" s="66">
        <f t="shared" si="9"/>
        <v>49.28</v>
      </c>
      <c r="I54" s="28"/>
      <c r="J54" s="263">
        <f>+'Res (100kWh)'!$J$54</f>
        <v>7.6999999999999999E-2</v>
      </c>
      <c r="K54" s="69">
        <f>G54</f>
        <v>640</v>
      </c>
      <c r="L54" s="66">
        <f t="shared" si="10"/>
        <v>49.28</v>
      </c>
      <c r="M54" s="28"/>
      <c r="N54" s="31">
        <f t="shared" si="2"/>
        <v>0</v>
      </c>
      <c r="O54" s="68">
        <f t="shared" si="8"/>
        <v>0</v>
      </c>
      <c r="S54" s="72"/>
    </row>
    <row r="55" spans="2:19" ht="14.45" x14ac:dyDescent="0.3">
      <c r="B55" s="49" t="s">
        <v>36</v>
      </c>
      <c r="C55" s="22"/>
      <c r="D55" s="23" t="s">
        <v>61</v>
      </c>
      <c r="E55" s="24"/>
      <c r="F55" s="71">
        <f>+'Res (100kWh)'!$F$55</f>
        <v>0.114</v>
      </c>
      <c r="G55" s="69">
        <f>0.18*$F$16</f>
        <v>180</v>
      </c>
      <c r="H55" s="66">
        <f t="shared" si="9"/>
        <v>20.52</v>
      </c>
      <c r="I55" s="28"/>
      <c r="J55" s="263">
        <f>+'Res (100kWh)'!$J$55</f>
        <v>0.114</v>
      </c>
      <c r="K55" s="69">
        <f>G55</f>
        <v>180</v>
      </c>
      <c r="L55" s="66">
        <f t="shared" si="10"/>
        <v>20.52</v>
      </c>
      <c r="M55" s="28"/>
      <c r="N55" s="31">
        <f t="shared" si="2"/>
        <v>0</v>
      </c>
      <c r="O55" s="68">
        <f t="shared" si="8"/>
        <v>0</v>
      </c>
      <c r="S55" s="72"/>
    </row>
    <row r="56" spans="2:19" ht="14.45" x14ac:dyDescent="0.3">
      <c r="B56" s="12" t="s">
        <v>37</v>
      </c>
      <c r="C56" s="22"/>
      <c r="D56" s="23" t="s">
        <v>61</v>
      </c>
      <c r="E56" s="24"/>
      <c r="F56" s="71">
        <f>+'Res (100kWh)'!$F$56</f>
        <v>0.14000000000000001</v>
      </c>
      <c r="G56" s="69">
        <f>0.18*$F$16</f>
        <v>180</v>
      </c>
      <c r="H56" s="66">
        <f t="shared" si="9"/>
        <v>25.200000000000003</v>
      </c>
      <c r="I56" s="28"/>
      <c r="J56" s="263">
        <f>+'Res (100kWh)'!$J$56</f>
        <v>0.14000000000000001</v>
      </c>
      <c r="K56" s="69">
        <f>G56</f>
        <v>180</v>
      </c>
      <c r="L56" s="66">
        <f t="shared" si="10"/>
        <v>25.200000000000003</v>
      </c>
      <c r="M56" s="28"/>
      <c r="N56" s="31">
        <f t="shared" si="2"/>
        <v>0</v>
      </c>
      <c r="O56" s="68">
        <f t="shared" si="8"/>
        <v>0</v>
      </c>
      <c r="S56" s="72"/>
    </row>
    <row r="57" spans="2:19" s="73" customFormat="1" ht="14.45" x14ac:dyDescent="0.25">
      <c r="B57" s="74" t="s">
        <v>38</v>
      </c>
      <c r="C57" s="75"/>
      <c r="D57" s="76" t="s">
        <v>61</v>
      </c>
      <c r="E57" s="77"/>
      <c r="F57" s="71">
        <f>+'Res (100kWh)'!$F$57</f>
        <v>8.7999999999999995E-2</v>
      </c>
      <c r="G57" s="78">
        <f>IF(AND($T$1=1, F16&gt;=600), 600, IF(AND($T$1=1, AND(F16&lt;600, F16&gt;=0)), F16, IF(AND($T$1=2, F16&gt;=1000), 1000, IF(AND($T$1=2, AND(F16&lt;1000, F16&gt;=0)), F16))))</f>
        <v>600</v>
      </c>
      <c r="H57" s="66">
        <f>G57*F57</f>
        <v>52.8</v>
      </c>
      <c r="I57" s="79"/>
      <c r="J57" s="263">
        <f>+'Res (100kWh)'!$J$57</f>
        <v>8.7999999999999995E-2</v>
      </c>
      <c r="K57" s="78">
        <f>G57</f>
        <v>600</v>
      </c>
      <c r="L57" s="66">
        <f>K57*J57</f>
        <v>52.8</v>
      </c>
      <c r="M57" s="79"/>
      <c r="N57" s="80">
        <f t="shared" si="2"/>
        <v>0</v>
      </c>
      <c r="O57" s="68">
        <f t="shared" si="8"/>
        <v>0</v>
      </c>
    </row>
    <row r="58" spans="2:19" s="73" customFormat="1" thickBot="1" x14ac:dyDescent="0.3">
      <c r="B58" s="74" t="s">
        <v>39</v>
      </c>
      <c r="C58" s="75"/>
      <c r="D58" s="76" t="s">
        <v>61</v>
      </c>
      <c r="E58" s="77"/>
      <c r="F58" s="71">
        <f>+'Res (100kWh)'!$F$58</f>
        <v>0.10299999999999999</v>
      </c>
      <c r="G58" s="78">
        <f>IF(AND($T$1=1, F16&gt;=600), F16-600, IF(AND($T$1=1, AND(F16&lt;600, F16&gt;=0)), 0, IF(AND($T$1=2, F16&gt;=1000), F16-1000, IF(AND($T$1=2, AND(F16&lt;1000, F16&gt;=0)), 0))))</f>
        <v>400</v>
      </c>
      <c r="H58" s="66">
        <f>G58*F58</f>
        <v>41.199999999999996</v>
      </c>
      <c r="I58" s="79"/>
      <c r="J58" s="263">
        <f>+'Res (100kWh)'!$J$58</f>
        <v>0.10299999999999999</v>
      </c>
      <c r="K58" s="78">
        <f>G58</f>
        <v>400</v>
      </c>
      <c r="L58" s="66">
        <f>K58*J58</f>
        <v>41.199999999999996</v>
      </c>
      <c r="M58" s="79"/>
      <c r="N58" s="80">
        <f t="shared" si="2"/>
        <v>0</v>
      </c>
      <c r="O58" s="68">
        <f t="shared" si="8"/>
        <v>0</v>
      </c>
    </row>
    <row r="59" spans="2:19" ht="8.25" customHeight="1" thickBot="1" x14ac:dyDescent="0.35">
      <c r="B59" s="81"/>
      <c r="C59" s="82"/>
      <c r="D59" s="83"/>
      <c r="E59" s="82"/>
      <c r="F59" s="84"/>
      <c r="G59" s="85"/>
      <c r="H59" s="86"/>
      <c r="I59" s="87"/>
      <c r="J59" s="84"/>
      <c r="K59" s="88"/>
      <c r="L59" s="86"/>
      <c r="M59" s="87"/>
      <c r="N59" s="89"/>
      <c r="O59" s="90"/>
    </row>
    <row r="60" spans="2:19" x14ac:dyDescent="0.25">
      <c r="B60" s="91" t="s">
        <v>40</v>
      </c>
      <c r="C60" s="22"/>
      <c r="D60" s="22"/>
      <c r="E60" s="22"/>
      <c r="F60" s="92"/>
      <c r="G60" s="93"/>
      <c r="H60" s="94">
        <f>SUM(H50:H56,H49)</f>
        <v>158.21824000000001</v>
      </c>
      <c r="I60" s="95"/>
      <c r="J60" s="96"/>
      <c r="K60" s="96"/>
      <c r="L60" s="190">
        <f>SUM(L50:L56,L49)</f>
        <v>157.28167154872108</v>
      </c>
      <c r="M60" s="97"/>
      <c r="N60" s="98">
        <f>L60-H60</f>
        <v>-0.93656845127893007</v>
      </c>
      <c r="O60" s="99">
        <f>IF((H60)=0,"",(N60/H60))</f>
        <v>-5.9194720613687142E-3</v>
      </c>
      <c r="S60" s="72"/>
    </row>
    <row r="61" spans="2:19" x14ac:dyDescent="0.25">
      <c r="B61" s="100" t="s">
        <v>41</v>
      </c>
      <c r="C61" s="22"/>
      <c r="D61" s="22"/>
      <c r="E61" s="22"/>
      <c r="F61" s="101">
        <v>0.13</v>
      </c>
      <c r="G61" s="102"/>
      <c r="H61" s="103">
        <f>H60*F61</f>
        <v>20.568371200000001</v>
      </c>
      <c r="I61" s="104"/>
      <c r="J61" s="105">
        <v>0.13</v>
      </c>
      <c r="K61" s="104"/>
      <c r="L61" s="106">
        <f>L60*J61</f>
        <v>20.446617301333742</v>
      </c>
      <c r="M61" s="107"/>
      <c r="N61" s="108">
        <f t="shared" si="2"/>
        <v>-0.12175389866625963</v>
      </c>
      <c r="O61" s="109">
        <f t="shared" si="8"/>
        <v>-5.9194720613686526E-3</v>
      </c>
      <c r="S61" s="72"/>
    </row>
    <row r="62" spans="2:19" x14ac:dyDescent="0.25">
      <c r="B62" s="110" t="s">
        <v>42</v>
      </c>
      <c r="C62" s="22"/>
      <c r="D62" s="22"/>
      <c r="E62" s="22"/>
      <c r="F62" s="111"/>
      <c r="G62" s="102"/>
      <c r="H62" s="103">
        <f>H60+H61</f>
        <v>178.78661120000001</v>
      </c>
      <c r="I62" s="104"/>
      <c r="J62" s="104"/>
      <c r="K62" s="104"/>
      <c r="L62" s="106">
        <f>L60+L61</f>
        <v>177.72828885005481</v>
      </c>
      <c r="M62" s="107"/>
      <c r="N62" s="108">
        <f t="shared" si="2"/>
        <v>-1.0583223499452004</v>
      </c>
      <c r="O62" s="109">
        <f t="shared" si="8"/>
        <v>-5.9194720613687671E-3</v>
      </c>
      <c r="S62" s="72"/>
    </row>
    <row r="63" spans="2:19" ht="15.75" customHeight="1" x14ac:dyDescent="0.25">
      <c r="B63" s="383" t="s">
        <v>43</v>
      </c>
      <c r="C63" s="383"/>
      <c r="D63" s="383"/>
      <c r="E63" s="22"/>
      <c r="F63" s="111"/>
      <c r="G63" s="102"/>
      <c r="H63" s="112">
        <f>ROUND(-H62*10%,2)</f>
        <v>-17.88</v>
      </c>
      <c r="I63" s="104"/>
      <c r="J63" s="104"/>
      <c r="K63" s="104"/>
      <c r="L63" s="113">
        <f>ROUND(-L62*10%,2)</f>
        <v>-17.77</v>
      </c>
      <c r="M63" s="107"/>
      <c r="N63" s="114">
        <f t="shared" si="2"/>
        <v>0.10999999999999943</v>
      </c>
      <c r="O63" s="115">
        <f t="shared" si="8"/>
        <v>-6.152125279642027E-3</v>
      </c>
    </row>
    <row r="64" spans="2:19" ht="15.75" thickBot="1" x14ac:dyDescent="0.3">
      <c r="B64" s="384" t="s">
        <v>44</v>
      </c>
      <c r="C64" s="384"/>
      <c r="D64" s="384"/>
      <c r="E64" s="116"/>
      <c r="F64" s="117"/>
      <c r="G64" s="118"/>
      <c r="H64" s="119">
        <f>H62+H63</f>
        <v>160.90661120000001</v>
      </c>
      <c r="I64" s="120"/>
      <c r="J64" s="120"/>
      <c r="K64" s="120"/>
      <c r="L64" s="121">
        <f>L62+L63</f>
        <v>159.9582888500548</v>
      </c>
      <c r="M64" s="122"/>
      <c r="N64" s="123">
        <f t="shared" si="2"/>
        <v>-0.94832234994521514</v>
      </c>
      <c r="O64" s="124">
        <f t="shared" si="8"/>
        <v>-5.8936195528130984E-3</v>
      </c>
    </row>
    <row r="65" spans="1:15" s="73" customFormat="1" ht="8.25" customHeight="1" thickBot="1" x14ac:dyDescent="0.25">
      <c r="B65" s="125"/>
      <c r="C65" s="126"/>
      <c r="D65" s="127"/>
      <c r="E65" s="126"/>
      <c r="F65" s="84"/>
      <c r="G65" s="128"/>
      <c r="H65" s="86"/>
      <c r="I65" s="129"/>
      <c r="J65" s="84"/>
      <c r="K65" s="130"/>
      <c r="L65" s="86"/>
      <c r="M65" s="129"/>
      <c r="N65" s="131"/>
      <c r="O65" s="90"/>
    </row>
    <row r="66" spans="1:15" s="73" customFormat="1" ht="12.75" x14ac:dyDescent="0.2">
      <c r="B66" s="132" t="s">
        <v>45</v>
      </c>
      <c r="C66" s="75"/>
      <c r="D66" s="75"/>
      <c r="E66" s="75"/>
      <c r="F66" s="133"/>
      <c r="G66" s="134"/>
      <c r="H66" s="135">
        <f>SUM(H57:H58,H49,H50:H53)</f>
        <v>157.21824000000001</v>
      </c>
      <c r="I66" s="136"/>
      <c r="J66" s="137"/>
      <c r="K66" s="137"/>
      <c r="L66" s="189">
        <f>SUM(L57:L58,L49,L50:L53)</f>
        <v>156.28167154872108</v>
      </c>
      <c r="M66" s="138"/>
      <c r="N66" s="139">
        <f>L66-H66</f>
        <v>-0.93656845127893007</v>
      </c>
      <c r="O66" s="99">
        <f>IF((H66)=0,"",(N66/H66))</f>
        <v>-5.9571233673582019E-3</v>
      </c>
    </row>
    <row r="67" spans="1:15" s="73" customFormat="1" ht="12.75" x14ac:dyDescent="0.2">
      <c r="B67" s="140" t="s">
        <v>41</v>
      </c>
      <c r="C67" s="75"/>
      <c r="D67" s="75"/>
      <c r="E67" s="75"/>
      <c r="F67" s="141">
        <v>0.13</v>
      </c>
      <c r="G67" s="134"/>
      <c r="H67" s="142">
        <f>H66*F67</f>
        <v>20.438371200000002</v>
      </c>
      <c r="I67" s="143"/>
      <c r="J67" s="144">
        <v>0.13</v>
      </c>
      <c r="K67" s="145"/>
      <c r="L67" s="146">
        <f>L66*J67</f>
        <v>20.316617301333739</v>
      </c>
      <c r="M67" s="147"/>
      <c r="N67" s="148">
        <f>L67-H67</f>
        <v>-0.12175389866626318</v>
      </c>
      <c r="O67" s="109">
        <f>IF((H67)=0,"",(N67/H67))</f>
        <v>-5.957123367358313E-3</v>
      </c>
    </row>
    <row r="68" spans="1:15" s="73" customFormat="1" ht="12.75" x14ac:dyDescent="0.2">
      <c r="B68" s="149" t="s">
        <v>42</v>
      </c>
      <c r="C68" s="75"/>
      <c r="D68" s="75"/>
      <c r="E68" s="75"/>
      <c r="F68" s="150"/>
      <c r="G68" s="151"/>
      <c r="H68" s="142">
        <f>H66+H67</f>
        <v>177.65661120000001</v>
      </c>
      <c r="I68" s="143"/>
      <c r="J68" s="143"/>
      <c r="K68" s="143"/>
      <c r="L68" s="146">
        <f>L66+L67</f>
        <v>176.59828885005481</v>
      </c>
      <c r="M68" s="147"/>
      <c r="N68" s="148">
        <f>L68-H68</f>
        <v>-1.0583223499452004</v>
      </c>
      <c r="O68" s="109">
        <f>IF((H68)=0,"",(N68/H68))</f>
        <v>-5.9571233673582549E-3</v>
      </c>
    </row>
    <row r="69" spans="1:15" s="73" customFormat="1" ht="15.75" customHeight="1" x14ac:dyDescent="0.2">
      <c r="B69" s="385" t="s">
        <v>43</v>
      </c>
      <c r="C69" s="385"/>
      <c r="D69" s="385"/>
      <c r="E69" s="75"/>
      <c r="F69" s="150"/>
      <c r="G69" s="151"/>
      <c r="H69" s="152">
        <f>ROUND(-H68*10%,2)</f>
        <v>-17.77</v>
      </c>
      <c r="I69" s="143"/>
      <c r="J69" s="143"/>
      <c r="K69" s="143"/>
      <c r="L69" s="153">
        <f>ROUND(-L68*10%,2)</f>
        <v>-17.66</v>
      </c>
      <c r="M69" s="147"/>
      <c r="N69" s="154">
        <f>L69-H69</f>
        <v>0.10999999999999943</v>
      </c>
      <c r="O69" s="115">
        <f>IF((H69)=0,"",(N69/H69))</f>
        <v>-6.1902082160945095E-3</v>
      </c>
    </row>
    <row r="70" spans="1:15" s="73" customFormat="1" ht="13.5" thickBot="1" x14ac:dyDescent="0.25">
      <c r="B70" s="376" t="s">
        <v>46</v>
      </c>
      <c r="C70" s="376"/>
      <c r="D70" s="376"/>
      <c r="E70" s="155"/>
      <c r="F70" s="156"/>
      <c r="G70" s="157"/>
      <c r="H70" s="158">
        <f>SUM(H68:H69)</f>
        <v>159.8866112</v>
      </c>
      <c r="I70" s="159"/>
      <c r="J70" s="159"/>
      <c r="K70" s="159"/>
      <c r="L70" s="160">
        <f>SUM(L68:L69)</f>
        <v>158.93828885005482</v>
      </c>
      <c r="M70" s="161"/>
      <c r="N70" s="162">
        <f>L70-H70</f>
        <v>-0.94832234994518672</v>
      </c>
      <c r="O70" s="163">
        <f>IF((H70)=0,"",(N70/H70))</f>
        <v>-5.931218022745776E-3</v>
      </c>
    </row>
    <row r="71" spans="1:15" s="73" customFormat="1" ht="8.25" customHeight="1" thickBot="1" x14ac:dyDescent="0.25">
      <c r="B71" s="125"/>
      <c r="C71" s="126"/>
      <c r="D71" s="127"/>
      <c r="E71" s="126"/>
      <c r="F71" s="164"/>
      <c r="G71" s="165"/>
      <c r="H71" s="166"/>
      <c r="I71" s="167"/>
      <c r="J71" s="164"/>
      <c r="K71" s="128"/>
      <c r="L71" s="168"/>
      <c r="M71" s="129"/>
      <c r="N71" s="169"/>
      <c r="O71" s="90"/>
    </row>
    <row r="72" spans="1:15" ht="10.5" customHeight="1" x14ac:dyDescent="0.25">
      <c r="L72" s="72"/>
    </row>
    <row r="73" spans="1:15" x14ac:dyDescent="0.25">
      <c r="B73" s="13" t="s">
        <v>47</v>
      </c>
      <c r="F73" s="170">
        <f>+'Res (100kWh)'!$F$73</f>
        <v>4.0399999999999998E-2</v>
      </c>
      <c r="J73" s="170">
        <f>+'Res (100kWh)'!$J$73</f>
        <v>3.6200000000000003E-2</v>
      </c>
    </row>
    <row r="74" spans="1:15" ht="10.5" customHeight="1" x14ac:dyDescent="0.25"/>
    <row r="75" spans="1:15" x14ac:dyDescent="0.25">
      <c r="A75" s="171" t="s">
        <v>48</v>
      </c>
    </row>
    <row r="76" spans="1:15" ht="10.5" customHeight="1" x14ac:dyDescent="0.25"/>
    <row r="77" spans="1:15" x14ac:dyDescent="0.25">
      <c r="A77" s="7" t="s">
        <v>49</v>
      </c>
    </row>
    <row r="78" spans="1:15" x14ac:dyDescent="0.25">
      <c r="A78" s="7" t="s">
        <v>50</v>
      </c>
    </row>
    <row r="80" spans="1:15" x14ac:dyDescent="0.25">
      <c r="A80" s="12" t="s">
        <v>51</v>
      </c>
    </row>
    <row r="81" spans="1:2" x14ac:dyDescent="0.25">
      <c r="A81" s="12" t="s">
        <v>52</v>
      </c>
    </row>
    <row r="83" spans="1:2" x14ac:dyDescent="0.25">
      <c r="A83" s="7" t="s">
        <v>53</v>
      </c>
    </row>
    <row r="84" spans="1:2" x14ac:dyDescent="0.25">
      <c r="A84" s="7" t="s">
        <v>54</v>
      </c>
    </row>
    <row r="85" spans="1:2" x14ac:dyDescent="0.25">
      <c r="A85" s="7" t="s">
        <v>55</v>
      </c>
    </row>
    <row r="86" spans="1:2" x14ac:dyDescent="0.25">
      <c r="A86" s="7" t="s">
        <v>56</v>
      </c>
    </row>
    <row r="87" spans="1:2" x14ac:dyDescent="0.25">
      <c r="A87" s="7" t="s">
        <v>57</v>
      </c>
    </row>
    <row r="89" spans="1:2" x14ac:dyDescent="0.25">
      <c r="A89" s="172"/>
      <c r="B89" s="7" t="s">
        <v>58</v>
      </c>
    </row>
  </sheetData>
  <mergeCells count="17">
    <mergeCell ref="B69:D69"/>
    <mergeCell ref="F18:H18"/>
    <mergeCell ref="J18:L18"/>
    <mergeCell ref="N18:O18"/>
    <mergeCell ref="B70:D70"/>
    <mergeCell ref="D19:D20"/>
    <mergeCell ref="N19:N20"/>
    <mergeCell ref="O19:O20"/>
    <mergeCell ref="B63:D63"/>
    <mergeCell ref="B64:D64"/>
    <mergeCell ref="D12:O12"/>
    <mergeCell ref="N1:O1"/>
    <mergeCell ref="N2:O2"/>
    <mergeCell ref="N5:O5"/>
    <mergeCell ref="B8:O8"/>
    <mergeCell ref="B9:O9"/>
    <mergeCell ref="N3:O3"/>
  </mergeCells>
  <dataValidations count="4">
    <dataValidation type="list" allowBlank="1" showInputMessage="1" showErrorMessage="1" sqref="E47:E48 E50:E56 E59 E38:E45 E21:E36">
      <formula1>#REF!</formula1>
    </dataValidation>
    <dataValidation type="list" allowBlank="1" showInputMessage="1" showErrorMessage="1" prompt="Select Charge Unit - monthly, per kWh, per kW" sqref="D47:D48 D65 D71 D50:D59 D38:D45 D21:D36">
      <formula1>"Monthly, per kWh, per kW"</formula1>
    </dataValidation>
    <dataValidation type="list" allowBlank="1" showInputMessage="1" showErrorMessage="1" sqref="E71 E65 E57:E58">
      <formula1>#REF!</formula1>
    </dataValidation>
    <dataValidation type="list" allowBlank="1" showInputMessage="1" showErrorMessage="1" sqref="D14">
      <formula1>"TOU, non-TOU"</formula1>
    </dataValidation>
  </dataValidations>
  <pageMargins left="0.7" right="0.7" top="0.75" bottom="0.75" header="0.3" footer="0.3"/>
  <pageSetup scale="5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T89"/>
  <sheetViews>
    <sheetView showGridLines="0" topLeftCell="A15" workbookViewId="0">
      <selection activeCell="J29" sqref="J29"/>
    </sheetView>
  </sheetViews>
  <sheetFormatPr defaultColWidth="9.140625" defaultRowHeight="15" x14ac:dyDescent="0.25"/>
  <cols>
    <col min="1" max="1" width="2.140625" style="7" customWidth="1"/>
    <col min="2" max="2" width="44.5703125" style="7" customWidth="1"/>
    <col min="3" max="3" width="1.28515625" style="7" customWidth="1"/>
    <col min="4" max="4" width="11.28515625" style="7" customWidth="1"/>
    <col min="5" max="5" width="1.28515625" style="7" customWidth="1"/>
    <col min="6" max="6" width="12.28515625" style="7" customWidth="1"/>
    <col min="7" max="7" width="8.5703125" style="7" customWidth="1"/>
    <col min="8" max="8" width="9.7109375" style="7" customWidth="1"/>
    <col min="9" max="9" width="2.85546875" style="7" customWidth="1"/>
    <col min="10" max="10" width="12.140625" style="7" customWidth="1"/>
    <col min="11" max="11" width="8.5703125" style="7" customWidth="1"/>
    <col min="12" max="12" width="9.7109375" style="7" customWidth="1"/>
    <col min="13" max="13" width="2.85546875" style="7" customWidth="1"/>
    <col min="14" max="14" width="12.7109375" style="7" bestFit="1" customWidth="1"/>
    <col min="15" max="15" width="10.85546875" style="7" bestFit="1" customWidth="1"/>
    <col min="16" max="16" width="7.5703125" style="7" customWidth="1"/>
    <col min="17" max="19" width="9.140625" style="7"/>
    <col min="20" max="20" width="9.140625" style="7" customWidth="1"/>
    <col min="21" max="16384" width="9.140625" style="7"/>
  </cols>
  <sheetData>
    <row r="1" spans="1:20" s="2" customFormat="1" ht="15" customHeigh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3" t="s">
        <v>0</v>
      </c>
      <c r="N1" s="368" t="s">
        <v>94</v>
      </c>
      <c r="O1" s="368"/>
      <c r="P1" s="192"/>
      <c r="T1" s="2">
        <v>1</v>
      </c>
    </row>
    <row r="2" spans="1:20" s="2" customFormat="1" ht="15" customHeight="1" x14ac:dyDescent="0.3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3" t="s">
        <v>95</v>
      </c>
      <c r="N2" s="369">
        <v>8</v>
      </c>
      <c r="O2" s="369"/>
      <c r="P2" s="193"/>
    </row>
    <row r="3" spans="1:20" s="2" customFormat="1" ht="15" customHeight="1" x14ac:dyDescent="0.3">
      <c r="C3" s="6"/>
      <c r="D3" s="6"/>
      <c r="E3" s="6"/>
      <c r="L3" s="3" t="s">
        <v>96</v>
      </c>
      <c r="N3" s="370" t="s">
        <v>97</v>
      </c>
      <c r="O3" s="370"/>
      <c r="P3" s="192"/>
    </row>
    <row r="4" spans="1:20" s="2" customFormat="1" ht="9" customHeight="1" x14ac:dyDescent="0.3">
      <c r="L4" s="3"/>
      <c r="N4" s="310"/>
      <c r="O4"/>
      <c r="P4" s="194"/>
    </row>
    <row r="5" spans="1:20" s="2" customFormat="1" ht="14.45" x14ac:dyDescent="0.3">
      <c r="L5" s="3" t="s">
        <v>76</v>
      </c>
      <c r="N5" s="387">
        <v>42124</v>
      </c>
      <c r="O5" s="387"/>
      <c r="P5" s="192"/>
    </row>
    <row r="6" spans="1:20" s="2" customFormat="1" ht="15" customHeight="1" x14ac:dyDescent="0.3">
      <c r="N6" s="7"/>
      <c r="O6"/>
      <c r="P6"/>
    </row>
    <row r="7" spans="1:20" ht="7.5" customHeight="1" x14ac:dyDescent="0.3">
      <c r="L7"/>
      <c r="M7"/>
      <c r="N7"/>
      <c r="O7"/>
      <c r="P7"/>
    </row>
    <row r="8" spans="1:20" ht="18.75" customHeight="1" x14ac:dyDescent="0.3">
      <c r="B8" s="367" t="s">
        <v>1</v>
      </c>
      <c r="C8" s="367"/>
      <c r="D8" s="367"/>
      <c r="E8" s="367"/>
      <c r="F8" s="367"/>
      <c r="G8" s="367"/>
      <c r="H8" s="367"/>
      <c r="I8" s="367"/>
      <c r="J8" s="367"/>
      <c r="K8" s="367"/>
      <c r="L8" s="367"/>
      <c r="M8" s="367"/>
      <c r="N8" s="367"/>
      <c r="O8" s="367"/>
      <c r="P8"/>
    </row>
    <row r="9" spans="1:20" ht="18.75" customHeight="1" x14ac:dyDescent="0.3">
      <c r="B9" s="367" t="s">
        <v>2</v>
      </c>
      <c r="C9" s="367"/>
      <c r="D9" s="367"/>
      <c r="E9" s="367"/>
      <c r="F9" s="367"/>
      <c r="G9" s="367"/>
      <c r="H9" s="367"/>
      <c r="I9" s="367"/>
      <c r="J9" s="367"/>
      <c r="K9" s="367"/>
      <c r="L9" s="367"/>
      <c r="M9" s="367"/>
      <c r="N9" s="367"/>
      <c r="O9" s="367"/>
      <c r="P9"/>
    </row>
    <row r="10" spans="1:20" ht="7.5" customHeight="1" x14ac:dyDescent="0.3">
      <c r="L10"/>
      <c r="M10"/>
      <c r="N10"/>
      <c r="O10"/>
      <c r="P10"/>
    </row>
    <row r="11" spans="1:20" ht="7.5" customHeight="1" x14ac:dyDescent="0.3">
      <c r="L11"/>
      <c r="M11"/>
      <c r="N11"/>
      <c r="O11"/>
      <c r="P11"/>
    </row>
    <row r="12" spans="1:20" ht="15.6" x14ac:dyDescent="0.3">
      <c r="B12" s="8" t="s">
        <v>3</v>
      </c>
      <c r="D12" s="386" t="s">
        <v>59</v>
      </c>
      <c r="E12" s="386"/>
      <c r="F12" s="386"/>
      <c r="G12" s="386"/>
      <c r="H12" s="386"/>
      <c r="I12" s="386"/>
      <c r="J12" s="386"/>
      <c r="K12" s="386"/>
      <c r="L12" s="386"/>
      <c r="M12" s="386"/>
      <c r="N12" s="386"/>
      <c r="O12" s="386"/>
    </row>
    <row r="13" spans="1:20" ht="7.5" customHeight="1" x14ac:dyDescent="0.3">
      <c r="B13" s="9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</row>
    <row r="14" spans="1:20" ht="15.6" x14ac:dyDescent="0.3">
      <c r="B14" s="8" t="s">
        <v>4</v>
      </c>
      <c r="D14" s="11" t="s">
        <v>5</v>
      </c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</row>
    <row r="15" spans="1:20" ht="15.6" x14ac:dyDescent="0.3">
      <c r="B15" s="9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</row>
    <row r="16" spans="1:20" ht="14.45" x14ac:dyDescent="0.3">
      <c r="B16" s="12"/>
      <c r="D16" s="13" t="s">
        <v>6</v>
      </c>
      <c r="E16" s="13"/>
      <c r="F16" s="14">
        <v>1500</v>
      </c>
      <c r="G16" s="13" t="s">
        <v>7</v>
      </c>
    </row>
    <row r="17" spans="2:15" ht="14.45" x14ac:dyDescent="0.3">
      <c r="B17" s="12"/>
    </row>
    <row r="18" spans="2:15" ht="14.45" x14ac:dyDescent="0.3">
      <c r="B18" s="12"/>
      <c r="D18" s="15"/>
      <c r="E18" s="15"/>
      <c r="F18" s="373" t="s">
        <v>8</v>
      </c>
      <c r="G18" s="374"/>
      <c r="H18" s="375"/>
      <c r="J18" s="373" t="s">
        <v>9</v>
      </c>
      <c r="K18" s="374"/>
      <c r="L18" s="375"/>
      <c r="N18" s="373" t="s">
        <v>10</v>
      </c>
      <c r="O18" s="375"/>
    </row>
    <row r="19" spans="2:15" x14ac:dyDescent="0.25">
      <c r="B19" s="12"/>
      <c r="D19" s="377" t="s">
        <v>11</v>
      </c>
      <c r="E19" s="16"/>
      <c r="F19" s="17" t="s">
        <v>12</v>
      </c>
      <c r="G19" s="17" t="s">
        <v>13</v>
      </c>
      <c r="H19" s="18" t="s">
        <v>14</v>
      </c>
      <c r="J19" s="17" t="s">
        <v>12</v>
      </c>
      <c r="K19" s="19" t="s">
        <v>13</v>
      </c>
      <c r="L19" s="18" t="s">
        <v>14</v>
      </c>
      <c r="N19" s="379" t="s">
        <v>15</v>
      </c>
      <c r="O19" s="381" t="s">
        <v>16</v>
      </c>
    </row>
    <row r="20" spans="2:15" x14ac:dyDescent="0.25">
      <c r="B20" s="12"/>
      <c r="D20" s="378"/>
      <c r="E20" s="16"/>
      <c r="F20" s="20" t="s">
        <v>17</v>
      </c>
      <c r="G20" s="20"/>
      <c r="H20" s="21" t="s">
        <v>17</v>
      </c>
      <c r="J20" s="20" t="s">
        <v>17</v>
      </c>
      <c r="K20" s="21"/>
      <c r="L20" s="21" t="s">
        <v>17</v>
      </c>
      <c r="N20" s="380"/>
      <c r="O20" s="382"/>
    </row>
    <row r="21" spans="2:15" ht="22.5" customHeight="1" x14ac:dyDescent="0.3">
      <c r="B21" s="22" t="s">
        <v>18</v>
      </c>
      <c r="C21" s="22"/>
      <c r="D21" s="23" t="s">
        <v>60</v>
      </c>
      <c r="E21" s="24"/>
      <c r="F21" s="174">
        <f>+'Res (100kWh)'!$F$21</f>
        <v>15.2</v>
      </c>
      <c r="G21" s="26">
        <v>1</v>
      </c>
      <c r="H21" s="27">
        <f>G21*F21</f>
        <v>15.2</v>
      </c>
      <c r="I21" s="28"/>
      <c r="J21" s="173">
        <f>+'Res (100kWh)'!$J$21</f>
        <v>19.87</v>
      </c>
      <c r="K21" s="30">
        <v>1</v>
      </c>
      <c r="L21" s="27">
        <f>K21*J21</f>
        <v>19.87</v>
      </c>
      <c r="M21" s="28"/>
      <c r="N21" s="31">
        <f>L21-H21</f>
        <v>4.6700000000000017</v>
      </c>
      <c r="O21" s="32">
        <f>IF((H21)=0,"",(N21/H21))</f>
        <v>0.30723684210526331</v>
      </c>
    </row>
    <row r="22" spans="2:15" ht="36.75" customHeight="1" x14ac:dyDescent="0.3">
      <c r="B22" s="64" t="s">
        <v>62</v>
      </c>
      <c r="C22" s="22"/>
      <c r="D22" s="56" t="s">
        <v>60</v>
      </c>
      <c r="E22" s="24"/>
      <c r="F22" s="173">
        <f>+'Res (100kWh)'!$F$22</f>
        <v>0</v>
      </c>
      <c r="G22" s="26">
        <v>1</v>
      </c>
      <c r="H22" s="27">
        <f t="shared" ref="H22:H36" si="0">G22*F22</f>
        <v>0</v>
      </c>
      <c r="I22" s="28"/>
      <c r="J22" s="29"/>
      <c r="K22" s="30">
        <v>1</v>
      </c>
      <c r="L22" s="27">
        <f>K22*J22</f>
        <v>0</v>
      </c>
      <c r="M22" s="28"/>
      <c r="N22" s="31">
        <f>L22-H22</f>
        <v>0</v>
      </c>
      <c r="O22" s="32" t="str">
        <f>IF((H22)=0,"",(N22/H22))</f>
        <v/>
      </c>
    </row>
    <row r="23" spans="2:15" ht="36.75" customHeight="1" x14ac:dyDescent="0.3">
      <c r="B23" s="297" t="s">
        <v>63</v>
      </c>
      <c r="C23" s="22"/>
      <c r="D23" s="56" t="s">
        <v>60</v>
      </c>
      <c r="E23" s="57"/>
      <c r="F23" s="173">
        <f>+'Res (100kWh)'!$F$23</f>
        <v>2.11</v>
      </c>
      <c r="G23" s="26">
        <v>1</v>
      </c>
      <c r="H23" s="27">
        <f t="shared" si="0"/>
        <v>2.11</v>
      </c>
      <c r="I23" s="28"/>
      <c r="J23" s="29"/>
      <c r="K23" s="30">
        <v>1</v>
      </c>
      <c r="L23" s="27">
        <f t="shared" ref="L23:L36" si="1">K23*J23</f>
        <v>0</v>
      </c>
      <c r="M23" s="28"/>
      <c r="N23" s="31">
        <f t="shared" ref="N23:N64" si="2">L23-H23</f>
        <v>-2.11</v>
      </c>
      <c r="O23" s="32">
        <f t="shared" ref="O23:O44" si="3">IF((H23)=0,"",(N23/H23))</f>
        <v>-1</v>
      </c>
    </row>
    <row r="24" spans="2:15" ht="14.45" x14ac:dyDescent="0.3">
      <c r="B24" s="297" t="s">
        <v>64</v>
      </c>
      <c r="C24" s="22"/>
      <c r="D24" s="23" t="s">
        <v>60</v>
      </c>
      <c r="E24" s="24"/>
      <c r="F24" s="25">
        <f>+'Res (100kWh)'!$F$24</f>
        <v>0</v>
      </c>
      <c r="G24" s="26">
        <v>1</v>
      </c>
      <c r="H24" s="27">
        <f t="shared" si="0"/>
        <v>0</v>
      </c>
      <c r="I24" s="28"/>
      <c r="J24" s="173">
        <f>+'Res (100kWh)'!$J$24</f>
        <v>0.5751915487210707</v>
      </c>
      <c r="K24" s="30">
        <v>1</v>
      </c>
      <c r="L24" s="27">
        <f t="shared" si="1"/>
        <v>0.5751915487210707</v>
      </c>
      <c r="M24" s="28"/>
      <c r="N24" s="31">
        <f t="shared" si="2"/>
        <v>0.5751915487210707</v>
      </c>
      <c r="O24" s="32" t="str">
        <f t="shared" si="3"/>
        <v/>
      </c>
    </row>
    <row r="25" spans="2:15" ht="14.45" x14ac:dyDescent="0.3">
      <c r="B25" s="296" t="s">
        <v>65</v>
      </c>
      <c r="C25" s="22"/>
      <c r="D25" s="23" t="s">
        <v>61</v>
      </c>
      <c r="E25" s="24"/>
      <c r="F25" s="25">
        <f>+'Res (100kWh)'!$F$25</f>
        <v>-1E-4</v>
      </c>
      <c r="G25" s="26">
        <f>$F$16</f>
        <v>1500</v>
      </c>
      <c r="H25" s="27">
        <f t="shared" si="0"/>
        <v>-0.15</v>
      </c>
      <c r="I25" s="28"/>
      <c r="J25" s="173">
        <f>+'Res (100kWh)'!$J$25</f>
        <v>-1E-4</v>
      </c>
      <c r="K25" s="26">
        <f>$F$16</f>
        <v>1500</v>
      </c>
      <c r="L25" s="27">
        <f t="shared" si="1"/>
        <v>-0.15</v>
      </c>
      <c r="M25" s="28"/>
      <c r="N25" s="31">
        <f t="shared" si="2"/>
        <v>0</v>
      </c>
      <c r="O25" s="32">
        <f t="shared" si="3"/>
        <v>0</v>
      </c>
    </row>
    <row r="26" spans="2:15" x14ac:dyDescent="0.25">
      <c r="B26" s="296" t="s">
        <v>66</v>
      </c>
      <c r="C26" s="22"/>
      <c r="D26" s="23" t="s">
        <v>61</v>
      </c>
      <c r="E26" s="24"/>
      <c r="F26" s="25">
        <f>+'Res (100kWh)'!$F$26</f>
        <v>0</v>
      </c>
      <c r="G26" s="26">
        <f>$F$16</f>
        <v>1500</v>
      </c>
      <c r="H26" s="27">
        <f t="shared" si="0"/>
        <v>0</v>
      </c>
      <c r="I26" s="28"/>
      <c r="J26" s="29">
        <f>+'Res (100kWh)'!$J$26</f>
        <v>-1.6000000000000001E-3</v>
      </c>
      <c r="K26" s="26">
        <f>$F$16</f>
        <v>1500</v>
      </c>
      <c r="L26" s="27">
        <f t="shared" si="1"/>
        <v>-2.4</v>
      </c>
      <c r="M26" s="28"/>
      <c r="N26" s="31">
        <f t="shared" si="2"/>
        <v>-2.4</v>
      </c>
      <c r="O26" s="32" t="str">
        <f t="shared" si="3"/>
        <v/>
      </c>
    </row>
    <row r="27" spans="2:15" x14ac:dyDescent="0.25">
      <c r="B27" s="24" t="s">
        <v>19</v>
      </c>
      <c r="C27" s="22"/>
      <c r="D27" s="23" t="s">
        <v>61</v>
      </c>
      <c r="E27" s="24"/>
      <c r="F27" s="25">
        <f>+'Res (100kWh)'!$F$27</f>
        <v>1.9199999999999998E-2</v>
      </c>
      <c r="G27" s="26">
        <f>$F$16</f>
        <v>1500</v>
      </c>
      <c r="H27" s="27">
        <f t="shared" si="0"/>
        <v>28.799999999999997</v>
      </c>
      <c r="I27" s="28"/>
      <c r="J27" s="29">
        <f>+'Res (100kWh)'!$J$27</f>
        <v>1.55E-2</v>
      </c>
      <c r="K27" s="26">
        <f>$F$16</f>
        <v>1500</v>
      </c>
      <c r="L27" s="27">
        <f t="shared" si="1"/>
        <v>23.25</v>
      </c>
      <c r="M27" s="28"/>
      <c r="N27" s="31">
        <f t="shared" si="2"/>
        <v>-5.5499999999999972</v>
      </c>
      <c r="O27" s="32">
        <f t="shared" si="3"/>
        <v>-0.19270833333333326</v>
      </c>
    </row>
    <row r="28" spans="2:15" x14ac:dyDescent="0.25">
      <c r="B28" s="24" t="s">
        <v>20</v>
      </c>
      <c r="C28" s="22"/>
      <c r="D28" s="23"/>
      <c r="E28" s="24"/>
      <c r="F28" s="25"/>
      <c r="G28" s="26">
        <f>$F$16</f>
        <v>1500</v>
      </c>
      <c r="H28" s="27">
        <f t="shared" si="0"/>
        <v>0</v>
      </c>
      <c r="I28" s="28"/>
      <c r="J28" s="29"/>
      <c r="K28" s="26">
        <f t="shared" ref="K28:K36" si="4">$F$16</f>
        <v>1500</v>
      </c>
      <c r="L28" s="27">
        <f t="shared" si="1"/>
        <v>0</v>
      </c>
      <c r="M28" s="28"/>
      <c r="N28" s="31">
        <f t="shared" si="2"/>
        <v>0</v>
      </c>
      <c r="O28" s="32" t="str">
        <f t="shared" si="3"/>
        <v/>
      </c>
    </row>
    <row r="29" spans="2:15" x14ac:dyDescent="0.25">
      <c r="B29" s="24" t="s">
        <v>21</v>
      </c>
      <c r="C29" s="22"/>
      <c r="D29" s="23"/>
      <c r="E29" s="24"/>
      <c r="F29" s="25"/>
      <c r="G29" s="26">
        <f>$F$16</f>
        <v>1500</v>
      </c>
      <c r="H29" s="27">
        <f t="shared" si="0"/>
        <v>0</v>
      </c>
      <c r="I29" s="28"/>
      <c r="J29" s="29">
        <f>+'Res (100kWh)'!$J$29</f>
        <v>2.0000000000000001E-4</v>
      </c>
      <c r="K29" s="26">
        <f t="shared" si="4"/>
        <v>1500</v>
      </c>
      <c r="L29" s="27">
        <f t="shared" si="1"/>
        <v>0.3</v>
      </c>
      <c r="M29" s="28"/>
      <c r="N29" s="31">
        <f t="shared" si="2"/>
        <v>0.3</v>
      </c>
      <c r="O29" s="32" t="str">
        <f t="shared" si="3"/>
        <v/>
      </c>
    </row>
    <row r="30" spans="2:15" x14ac:dyDescent="0.25">
      <c r="B30" s="182"/>
      <c r="C30" s="22"/>
      <c r="D30" s="23"/>
      <c r="E30" s="24"/>
      <c r="F30" s="25"/>
      <c r="G30" s="26">
        <f t="shared" ref="G30:G36" si="5">$F$16</f>
        <v>1500</v>
      </c>
      <c r="H30" s="27">
        <f t="shared" si="0"/>
        <v>0</v>
      </c>
      <c r="I30" s="28"/>
      <c r="J30" s="29"/>
      <c r="K30" s="26">
        <f t="shared" si="4"/>
        <v>1500</v>
      </c>
      <c r="L30" s="27">
        <f t="shared" si="1"/>
        <v>0</v>
      </c>
      <c r="M30" s="28"/>
      <c r="N30" s="31">
        <f t="shared" si="2"/>
        <v>0</v>
      </c>
      <c r="O30" s="32" t="str">
        <f t="shared" si="3"/>
        <v/>
      </c>
    </row>
    <row r="31" spans="2:15" x14ac:dyDescent="0.25">
      <c r="B31" s="182"/>
      <c r="C31" s="22"/>
      <c r="D31" s="23"/>
      <c r="E31" s="24"/>
      <c r="F31" s="25"/>
      <c r="G31" s="26">
        <f t="shared" si="5"/>
        <v>1500</v>
      </c>
      <c r="H31" s="27">
        <f t="shared" si="0"/>
        <v>0</v>
      </c>
      <c r="I31" s="28"/>
      <c r="J31" s="29"/>
      <c r="K31" s="26">
        <f t="shared" si="4"/>
        <v>1500</v>
      </c>
      <c r="L31" s="27">
        <f t="shared" si="1"/>
        <v>0</v>
      </c>
      <c r="M31" s="28"/>
      <c r="N31" s="31">
        <f t="shared" si="2"/>
        <v>0</v>
      </c>
      <c r="O31" s="32" t="str">
        <f t="shared" si="3"/>
        <v/>
      </c>
    </row>
    <row r="32" spans="2:15" x14ac:dyDescent="0.25">
      <c r="B32" s="182"/>
      <c r="C32" s="22"/>
      <c r="D32" s="23"/>
      <c r="E32" s="24"/>
      <c r="F32" s="25"/>
      <c r="G32" s="26">
        <f t="shared" si="5"/>
        <v>1500</v>
      </c>
      <c r="H32" s="27">
        <f t="shared" si="0"/>
        <v>0</v>
      </c>
      <c r="I32" s="28"/>
      <c r="J32" s="29"/>
      <c r="K32" s="26">
        <f t="shared" si="4"/>
        <v>1500</v>
      </c>
      <c r="L32" s="27">
        <f t="shared" si="1"/>
        <v>0</v>
      </c>
      <c r="M32" s="28"/>
      <c r="N32" s="31">
        <f t="shared" si="2"/>
        <v>0</v>
      </c>
      <c r="O32" s="32" t="str">
        <f t="shared" si="3"/>
        <v/>
      </c>
    </row>
    <row r="33" spans="2:15" x14ac:dyDescent="0.25">
      <c r="B33" s="182"/>
      <c r="C33" s="22"/>
      <c r="D33" s="23"/>
      <c r="E33" s="24"/>
      <c r="F33" s="25"/>
      <c r="G33" s="26">
        <f t="shared" si="5"/>
        <v>1500</v>
      </c>
      <c r="H33" s="27">
        <f t="shared" si="0"/>
        <v>0</v>
      </c>
      <c r="I33" s="28"/>
      <c r="J33" s="29"/>
      <c r="K33" s="26">
        <f t="shared" si="4"/>
        <v>1500</v>
      </c>
      <c r="L33" s="27">
        <f t="shared" si="1"/>
        <v>0</v>
      </c>
      <c r="M33" s="28"/>
      <c r="N33" s="31">
        <f t="shared" si="2"/>
        <v>0</v>
      </c>
      <c r="O33" s="32" t="str">
        <f t="shared" si="3"/>
        <v/>
      </c>
    </row>
    <row r="34" spans="2:15" x14ac:dyDescent="0.25">
      <c r="B34" s="182"/>
      <c r="C34" s="22"/>
      <c r="D34" s="23"/>
      <c r="E34" s="24"/>
      <c r="F34" s="25"/>
      <c r="G34" s="26">
        <f t="shared" si="5"/>
        <v>1500</v>
      </c>
      <c r="H34" s="27">
        <f t="shared" si="0"/>
        <v>0</v>
      </c>
      <c r="I34" s="28"/>
      <c r="J34" s="29"/>
      <c r="K34" s="26">
        <f t="shared" si="4"/>
        <v>1500</v>
      </c>
      <c r="L34" s="27">
        <f t="shared" si="1"/>
        <v>0</v>
      </c>
      <c r="M34" s="28"/>
      <c r="N34" s="31">
        <f t="shared" si="2"/>
        <v>0</v>
      </c>
      <c r="O34" s="32" t="str">
        <f t="shared" si="3"/>
        <v/>
      </c>
    </row>
    <row r="35" spans="2:15" x14ac:dyDescent="0.25">
      <c r="B35" s="182"/>
      <c r="C35" s="22"/>
      <c r="D35" s="23"/>
      <c r="E35" s="24"/>
      <c r="F35" s="25"/>
      <c r="G35" s="26">
        <f t="shared" si="5"/>
        <v>1500</v>
      </c>
      <c r="H35" s="27">
        <f t="shared" si="0"/>
        <v>0</v>
      </c>
      <c r="I35" s="28"/>
      <c r="J35" s="29"/>
      <c r="K35" s="26">
        <f t="shared" si="4"/>
        <v>1500</v>
      </c>
      <c r="L35" s="27">
        <f t="shared" si="1"/>
        <v>0</v>
      </c>
      <c r="M35" s="28"/>
      <c r="N35" s="31">
        <f t="shared" si="2"/>
        <v>0</v>
      </c>
      <c r="O35" s="32" t="str">
        <f t="shared" si="3"/>
        <v/>
      </c>
    </row>
    <row r="36" spans="2:15" x14ac:dyDescent="0.25">
      <c r="B36" s="182"/>
      <c r="C36" s="22"/>
      <c r="D36" s="23"/>
      <c r="E36" s="24"/>
      <c r="F36" s="25"/>
      <c r="G36" s="26">
        <f t="shared" si="5"/>
        <v>1500</v>
      </c>
      <c r="H36" s="27">
        <f t="shared" si="0"/>
        <v>0</v>
      </c>
      <c r="I36" s="28"/>
      <c r="J36" s="29"/>
      <c r="K36" s="26">
        <f t="shared" si="4"/>
        <v>1500</v>
      </c>
      <c r="L36" s="27">
        <f t="shared" si="1"/>
        <v>0</v>
      </c>
      <c r="M36" s="28"/>
      <c r="N36" s="31">
        <f t="shared" si="2"/>
        <v>0</v>
      </c>
      <c r="O36" s="32" t="str">
        <f t="shared" si="3"/>
        <v/>
      </c>
    </row>
    <row r="37" spans="2:15" s="34" customFormat="1" x14ac:dyDescent="0.25">
      <c r="B37" s="35" t="s">
        <v>22</v>
      </c>
      <c r="C37" s="36"/>
      <c r="D37" s="37"/>
      <c r="E37" s="36"/>
      <c r="F37" s="38"/>
      <c r="G37" s="39"/>
      <c r="H37" s="40">
        <f>SUM(H21:H36)</f>
        <v>45.959999999999994</v>
      </c>
      <c r="I37" s="41"/>
      <c r="J37" s="42"/>
      <c r="K37" s="43"/>
      <c r="L37" s="40">
        <f>SUM(L21:L36)</f>
        <v>41.44519154872107</v>
      </c>
      <c r="M37" s="41"/>
      <c r="N37" s="44">
        <f t="shared" si="2"/>
        <v>-4.5148084512789239</v>
      </c>
      <c r="O37" s="45">
        <f t="shared" si="3"/>
        <v>-9.8233430184484868E-2</v>
      </c>
    </row>
    <row r="38" spans="2:15" x14ac:dyDescent="0.25">
      <c r="B38" s="297"/>
      <c r="C38" s="22"/>
      <c r="D38" s="56" t="s">
        <v>60</v>
      </c>
      <c r="E38" s="24"/>
      <c r="F38" s="25"/>
      <c r="G38" s="26">
        <v>1</v>
      </c>
      <c r="H38" s="27">
        <f>G38*F38</f>
        <v>0</v>
      </c>
      <c r="I38" s="28"/>
      <c r="J38" s="173"/>
      <c r="K38" s="30">
        <v>1</v>
      </c>
      <c r="L38" s="27">
        <f>K38*J38</f>
        <v>0</v>
      </c>
      <c r="M38" s="28"/>
      <c r="N38" s="31">
        <f>L38-H38</f>
        <v>0</v>
      </c>
      <c r="O38" s="32" t="str">
        <f>IF((H38)=0,"",(N38/H38))</f>
        <v/>
      </c>
    </row>
    <row r="39" spans="2:15" x14ac:dyDescent="0.25">
      <c r="B39" s="296" t="s">
        <v>23</v>
      </c>
      <c r="C39" s="22"/>
      <c r="D39" s="56" t="s">
        <v>61</v>
      </c>
      <c r="E39" s="57"/>
      <c r="F39" s="29">
        <f>+'Res (100kWh)'!$F$39</f>
        <v>-1.4E-3</v>
      </c>
      <c r="G39" s="26">
        <f>$F$16</f>
        <v>1500</v>
      </c>
      <c r="H39" s="27">
        <f t="shared" ref="H39:H45" si="6">G39*F39</f>
        <v>-2.1</v>
      </c>
      <c r="I39" s="28"/>
      <c r="J39" s="29">
        <f>+'Res (100kWh)'!$J$39</f>
        <v>2.0000000000000009E-4</v>
      </c>
      <c r="K39" s="26">
        <f>$F$16</f>
        <v>1500</v>
      </c>
      <c r="L39" s="27">
        <f t="shared" ref="L39:L45" si="7">K39*J39</f>
        <v>0.30000000000000016</v>
      </c>
      <c r="M39" s="28"/>
      <c r="N39" s="31">
        <f t="shared" si="2"/>
        <v>2.4000000000000004</v>
      </c>
      <c r="O39" s="32">
        <f t="shared" si="3"/>
        <v>-1.142857142857143</v>
      </c>
    </row>
    <row r="40" spans="2:15" x14ac:dyDescent="0.25">
      <c r="B40" s="46"/>
      <c r="C40" s="22"/>
      <c r="D40" s="23" t="s">
        <v>61</v>
      </c>
      <c r="E40" s="24"/>
      <c r="F40" s="25"/>
      <c r="G40" s="26">
        <f>$F$16</f>
        <v>1500</v>
      </c>
      <c r="H40" s="27">
        <f t="shared" si="6"/>
        <v>0</v>
      </c>
      <c r="I40" s="47"/>
      <c r="J40" s="29"/>
      <c r="K40" s="26">
        <f>$F$16</f>
        <v>1500</v>
      </c>
      <c r="L40" s="27">
        <f t="shared" si="7"/>
        <v>0</v>
      </c>
      <c r="M40" s="48"/>
      <c r="N40" s="31">
        <f t="shared" si="2"/>
        <v>0</v>
      </c>
      <c r="O40" s="32" t="str">
        <f t="shared" si="3"/>
        <v/>
      </c>
    </row>
    <row r="41" spans="2:15" x14ac:dyDescent="0.25">
      <c r="B41" s="46"/>
      <c r="C41" s="22"/>
      <c r="D41" s="23" t="s">
        <v>61</v>
      </c>
      <c r="E41" s="24"/>
      <c r="F41" s="25"/>
      <c r="G41" s="26">
        <f>$F$16</f>
        <v>1500</v>
      </c>
      <c r="H41" s="27">
        <f t="shared" si="6"/>
        <v>0</v>
      </c>
      <c r="I41" s="47"/>
      <c r="J41" s="29"/>
      <c r="K41" s="26">
        <f>$F$16</f>
        <v>1500</v>
      </c>
      <c r="L41" s="27">
        <f t="shared" si="7"/>
        <v>0</v>
      </c>
      <c r="M41" s="48"/>
      <c r="N41" s="31">
        <f t="shared" si="2"/>
        <v>0</v>
      </c>
      <c r="O41" s="32" t="str">
        <f t="shared" si="3"/>
        <v/>
      </c>
    </row>
    <row r="42" spans="2:15" x14ac:dyDescent="0.25">
      <c r="B42" s="46"/>
      <c r="C42" s="22"/>
      <c r="D42" s="23"/>
      <c r="E42" s="24"/>
      <c r="F42" s="25"/>
      <c r="G42" s="26">
        <f>$F$16</f>
        <v>1500</v>
      </c>
      <c r="H42" s="27">
        <f t="shared" si="6"/>
        <v>0</v>
      </c>
      <c r="I42" s="47"/>
      <c r="J42" s="29"/>
      <c r="K42" s="26">
        <f>$F$16</f>
        <v>1500</v>
      </c>
      <c r="L42" s="27">
        <f t="shared" si="7"/>
        <v>0</v>
      </c>
      <c r="M42" s="48"/>
      <c r="N42" s="31">
        <f t="shared" si="2"/>
        <v>0</v>
      </c>
      <c r="O42" s="32" t="str">
        <f t="shared" si="3"/>
        <v/>
      </c>
    </row>
    <row r="43" spans="2:15" x14ac:dyDescent="0.25">
      <c r="B43" s="49" t="s">
        <v>24</v>
      </c>
      <c r="C43" s="22"/>
      <c r="D43" s="23" t="s">
        <v>61</v>
      </c>
      <c r="E43" s="24"/>
      <c r="F43" s="25">
        <f>+'Res (100kWh)'!$F$43</f>
        <v>1E-4</v>
      </c>
      <c r="G43" s="26">
        <f>$F$16</f>
        <v>1500</v>
      </c>
      <c r="H43" s="27">
        <f t="shared" si="6"/>
        <v>0.15</v>
      </c>
      <c r="I43" s="28"/>
      <c r="J43" s="29">
        <f>+'Res (100kWh)'!$J$43</f>
        <v>2.0000000000000001E-4</v>
      </c>
      <c r="K43" s="26">
        <f>$F$16</f>
        <v>1500</v>
      </c>
      <c r="L43" s="27">
        <f t="shared" si="7"/>
        <v>0.3</v>
      </c>
      <c r="M43" s="28"/>
      <c r="N43" s="31">
        <f t="shared" si="2"/>
        <v>0.15</v>
      </c>
      <c r="O43" s="32">
        <f t="shared" si="3"/>
        <v>1</v>
      </c>
    </row>
    <row r="44" spans="2:15" s="34" customFormat="1" x14ac:dyDescent="0.25">
      <c r="B44" s="181" t="s">
        <v>25</v>
      </c>
      <c r="C44" s="24"/>
      <c r="D44" s="182" t="s">
        <v>61</v>
      </c>
      <c r="E44" s="24"/>
      <c r="F44" s="183">
        <f>IF(ISBLANK(D14)=TRUE, 0, IF(D14="TOU", 0.64*$F$54+0.18*$F$55+0.18*$F$56, IF(AND(D14="non-TOU", G58&gt;0), F58,F57)))</f>
        <v>9.5000000000000001E-2</v>
      </c>
      <c r="G44" s="26">
        <f>$F$16*(1+$F$73)-$F$16</f>
        <v>60.599999999999909</v>
      </c>
      <c r="H44" s="184">
        <f t="shared" si="6"/>
        <v>5.7569999999999917</v>
      </c>
      <c r="I44" s="57"/>
      <c r="J44" s="185">
        <f>0.64*$F$54+0.18*$F$55+0.18*$F$56</f>
        <v>9.5000000000000001E-2</v>
      </c>
      <c r="K44" s="26">
        <f>$F$16*(1+$J$73)-$F$16</f>
        <v>54.299999999999955</v>
      </c>
      <c r="L44" s="184">
        <f t="shared" si="7"/>
        <v>5.1584999999999956</v>
      </c>
      <c r="M44" s="57"/>
      <c r="N44" s="186">
        <f t="shared" si="2"/>
        <v>-0.59849999999999604</v>
      </c>
      <c r="O44" s="187">
        <f t="shared" si="3"/>
        <v>-0.10396039603960343</v>
      </c>
    </row>
    <row r="45" spans="2:15" ht="14.45" x14ac:dyDescent="0.3">
      <c r="B45" s="49" t="s">
        <v>26</v>
      </c>
      <c r="C45" s="22"/>
      <c r="D45" s="23" t="s">
        <v>60</v>
      </c>
      <c r="E45" s="24"/>
      <c r="F45" s="174">
        <f>+'Res (100kWh)'!$F$45</f>
        <v>0.79</v>
      </c>
      <c r="G45" s="26">
        <v>1</v>
      </c>
      <c r="H45" s="27">
        <f t="shared" si="6"/>
        <v>0.79</v>
      </c>
      <c r="I45" s="28"/>
      <c r="J45" s="174">
        <f>+'Res (100kWh)'!$J$45</f>
        <v>0.79</v>
      </c>
      <c r="K45" s="26">
        <v>1</v>
      </c>
      <c r="L45" s="27">
        <f t="shared" si="7"/>
        <v>0.79</v>
      </c>
      <c r="M45" s="28"/>
      <c r="N45" s="31">
        <f t="shared" si="2"/>
        <v>0</v>
      </c>
      <c r="O45" s="32"/>
    </row>
    <row r="46" spans="2:15" ht="14.45" x14ac:dyDescent="0.3">
      <c r="B46" s="50" t="s">
        <v>27</v>
      </c>
      <c r="C46" s="51"/>
      <c r="D46" s="51"/>
      <c r="E46" s="51"/>
      <c r="F46" s="52"/>
      <c r="G46" s="53"/>
      <c r="H46" s="54">
        <f>SUM(H38:H45)+H37</f>
        <v>50.556999999999988</v>
      </c>
      <c r="I46" s="41"/>
      <c r="J46" s="53"/>
      <c r="K46" s="55"/>
      <c r="L46" s="54">
        <f>SUM(L38:L45)+L37</f>
        <v>47.993691548721067</v>
      </c>
      <c r="M46" s="41"/>
      <c r="N46" s="44">
        <f t="shared" si="2"/>
        <v>-2.563308451278921</v>
      </c>
      <c r="O46" s="45">
        <f t="shared" ref="O46:O64" si="8">IF((H46)=0,"",(N46/H46))</f>
        <v>-5.07013559206227E-2</v>
      </c>
    </row>
    <row r="47" spans="2:15" ht="14.45" x14ac:dyDescent="0.3">
      <c r="B47" s="28" t="s">
        <v>28</v>
      </c>
      <c r="C47" s="28"/>
      <c r="D47" s="56" t="s">
        <v>61</v>
      </c>
      <c r="E47" s="57"/>
      <c r="F47" s="29">
        <f>+'Res (100kWh)'!$F$47</f>
        <v>7.6E-3</v>
      </c>
      <c r="G47" s="69">
        <f>F16*(1+F73)</f>
        <v>1560.6</v>
      </c>
      <c r="H47" s="27">
        <f>G47*F47</f>
        <v>11.86056</v>
      </c>
      <c r="I47" s="28"/>
      <c r="J47" s="263">
        <f>+'Res (100kWh)'!$J$47</f>
        <v>7.4000000000000003E-3</v>
      </c>
      <c r="K47" s="70">
        <f>F16*(1+J73)</f>
        <v>1554.3</v>
      </c>
      <c r="L47" s="27">
        <f>K47*J47</f>
        <v>11.50182</v>
      </c>
      <c r="M47" s="28"/>
      <c r="N47" s="31">
        <f t="shared" si="2"/>
        <v>-0.35873999999999917</v>
      </c>
      <c r="O47" s="32">
        <f t="shared" si="8"/>
        <v>-3.0246463910641588E-2</v>
      </c>
    </row>
    <row r="48" spans="2:15" ht="14.45" x14ac:dyDescent="0.3">
      <c r="B48" s="59" t="s">
        <v>29</v>
      </c>
      <c r="C48" s="28"/>
      <c r="D48" s="56" t="s">
        <v>61</v>
      </c>
      <c r="E48" s="57"/>
      <c r="F48" s="29">
        <f>+'Res (100kWh)'!$F$48</f>
        <v>2.3E-3</v>
      </c>
      <c r="G48" s="69">
        <f>G47</f>
        <v>1560.6</v>
      </c>
      <c r="H48" s="27">
        <f>G48*F48</f>
        <v>3.5893799999999998</v>
      </c>
      <c r="I48" s="28"/>
      <c r="J48" s="263">
        <f>+'Res (100kWh)'!$J$48</f>
        <v>2.3E-3</v>
      </c>
      <c r="K48" s="70">
        <f>K47</f>
        <v>1554.3</v>
      </c>
      <c r="L48" s="27">
        <f>K48*J48</f>
        <v>3.5748899999999999</v>
      </c>
      <c r="M48" s="28"/>
      <c r="N48" s="31">
        <f t="shared" si="2"/>
        <v>-1.4489999999999892E-2</v>
      </c>
      <c r="O48" s="32">
        <f t="shared" si="8"/>
        <v>-4.0369088811995088E-3</v>
      </c>
    </row>
    <row r="49" spans="2:19" ht="14.45" x14ac:dyDescent="0.3">
      <c r="B49" s="50" t="s">
        <v>30</v>
      </c>
      <c r="C49" s="36"/>
      <c r="D49" s="36"/>
      <c r="E49" s="36"/>
      <c r="F49" s="60"/>
      <c r="G49" s="60"/>
      <c r="H49" s="54">
        <f>SUM(H46:H48)</f>
        <v>66.006939999999986</v>
      </c>
      <c r="I49" s="61"/>
      <c r="J49" s="62"/>
      <c r="K49" s="63"/>
      <c r="L49" s="54">
        <f>SUM(L46:L48)</f>
        <v>63.070401548721065</v>
      </c>
      <c r="M49" s="61"/>
      <c r="N49" s="44">
        <f t="shared" si="2"/>
        <v>-2.9365384512789205</v>
      </c>
      <c r="O49" s="45">
        <f t="shared" si="8"/>
        <v>-4.4488328822377181E-2</v>
      </c>
    </row>
    <row r="50" spans="2:19" ht="14.45" x14ac:dyDescent="0.3">
      <c r="B50" s="64" t="s">
        <v>31</v>
      </c>
      <c r="C50" s="22"/>
      <c r="D50" s="23" t="s">
        <v>61</v>
      </c>
      <c r="E50" s="24"/>
      <c r="F50" s="65">
        <f>+'Res (100kWh)'!$F$50</f>
        <v>4.4000000000000003E-3</v>
      </c>
      <c r="G50" s="69">
        <f>G48</f>
        <v>1560.6</v>
      </c>
      <c r="H50" s="66">
        <f t="shared" ref="H50:H56" si="9">G50*F50</f>
        <v>6.8666400000000003</v>
      </c>
      <c r="I50" s="28"/>
      <c r="J50" s="263">
        <f>+'Res (100kWh)'!$J$50</f>
        <v>4.4000000000000003E-3</v>
      </c>
      <c r="K50" s="70">
        <f>K48</f>
        <v>1554.3</v>
      </c>
      <c r="L50" s="66">
        <f t="shared" ref="L50:L56" si="10">K50*J50</f>
        <v>6.8389199999999999</v>
      </c>
      <c r="M50" s="28"/>
      <c r="N50" s="31">
        <f t="shared" si="2"/>
        <v>-2.7720000000000411E-2</v>
      </c>
      <c r="O50" s="68">
        <f t="shared" si="8"/>
        <v>-4.0369088811995982E-3</v>
      </c>
    </row>
    <row r="51" spans="2:19" ht="14.45" x14ac:dyDescent="0.3">
      <c r="B51" s="64" t="s">
        <v>32</v>
      </c>
      <c r="C51" s="22"/>
      <c r="D51" s="23" t="s">
        <v>61</v>
      </c>
      <c r="E51" s="24"/>
      <c r="F51" s="65">
        <f>+'Res (100kWh)'!$F$51</f>
        <v>1.2999999999999999E-3</v>
      </c>
      <c r="G51" s="69">
        <f>G48</f>
        <v>1560.6</v>
      </c>
      <c r="H51" s="66">
        <f t="shared" si="9"/>
        <v>2.0287799999999998</v>
      </c>
      <c r="I51" s="28"/>
      <c r="J51" s="263">
        <f>+'Res (100kWh)'!$J$51</f>
        <v>1.2999999999999999E-3</v>
      </c>
      <c r="K51" s="70">
        <f>K48</f>
        <v>1554.3</v>
      </c>
      <c r="L51" s="66">
        <f t="shared" si="10"/>
        <v>2.0205899999999999</v>
      </c>
      <c r="M51" s="28"/>
      <c r="N51" s="31">
        <f t="shared" si="2"/>
        <v>-8.1899999999999196E-3</v>
      </c>
      <c r="O51" s="68">
        <f t="shared" si="8"/>
        <v>-4.0369088811994993E-3</v>
      </c>
    </row>
    <row r="52" spans="2:19" ht="14.45" x14ac:dyDescent="0.3">
      <c r="B52" s="22" t="s">
        <v>33</v>
      </c>
      <c r="C52" s="22"/>
      <c r="D52" s="23" t="s">
        <v>60</v>
      </c>
      <c r="E52" s="24"/>
      <c r="F52" s="176">
        <f>+'Res (100kWh)'!$F$52</f>
        <v>0.25</v>
      </c>
      <c r="G52" s="26">
        <v>1</v>
      </c>
      <c r="H52" s="66">
        <f t="shared" si="9"/>
        <v>0.25</v>
      </c>
      <c r="I52" s="28"/>
      <c r="J52" s="283">
        <f>+'Res (100kWh)'!$J$52</f>
        <v>0.25</v>
      </c>
      <c r="K52" s="30">
        <v>1</v>
      </c>
      <c r="L52" s="66">
        <f t="shared" si="10"/>
        <v>0.25</v>
      </c>
      <c r="M52" s="28"/>
      <c r="N52" s="31">
        <f t="shared" si="2"/>
        <v>0</v>
      </c>
      <c r="O52" s="68">
        <f t="shared" si="8"/>
        <v>0</v>
      </c>
    </row>
    <row r="53" spans="2:19" ht="14.45" x14ac:dyDescent="0.3">
      <c r="B53" s="24" t="s">
        <v>34</v>
      </c>
      <c r="C53" s="22"/>
      <c r="D53" s="23" t="s">
        <v>61</v>
      </c>
      <c r="E53" s="24"/>
      <c r="F53" s="65">
        <f>+'Res (100kWh)'!$F$53</f>
        <v>7.0000000000000001E-3</v>
      </c>
      <c r="G53" s="69">
        <f>F16</f>
        <v>1500</v>
      </c>
      <c r="H53" s="66">
        <f t="shared" si="9"/>
        <v>10.5</v>
      </c>
      <c r="I53" s="28"/>
      <c r="J53" s="263">
        <f>+'Res (100kWh)'!$J$53</f>
        <v>7.0000000000000001E-3</v>
      </c>
      <c r="K53" s="70">
        <f>F16</f>
        <v>1500</v>
      </c>
      <c r="L53" s="66">
        <f t="shared" si="10"/>
        <v>10.5</v>
      </c>
      <c r="M53" s="28"/>
      <c r="N53" s="31">
        <f t="shared" si="2"/>
        <v>0</v>
      </c>
      <c r="O53" s="68">
        <f t="shared" si="8"/>
        <v>0</v>
      </c>
    </row>
    <row r="54" spans="2:19" x14ac:dyDescent="0.25">
      <c r="B54" s="49" t="s">
        <v>35</v>
      </c>
      <c r="C54" s="22"/>
      <c r="D54" s="23" t="s">
        <v>61</v>
      </c>
      <c r="E54" s="24"/>
      <c r="F54" s="65">
        <f>+'Res (100kWh)'!$F$54</f>
        <v>7.6999999999999999E-2</v>
      </c>
      <c r="G54" s="69">
        <f>0.64*$F$16</f>
        <v>960</v>
      </c>
      <c r="H54" s="66">
        <f t="shared" si="9"/>
        <v>73.92</v>
      </c>
      <c r="I54" s="28"/>
      <c r="J54" s="263">
        <f>+'Res (100kWh)'!$J$54</f>
        <v>7.6999999999999999E-2</v>
      </c>
      <c r="K54" s="69">
        <f>G54</f>
        <v>960</v>
      </c>
      <c r="L54" s="66">
        <f t="shared" si="10"/>
        <v>73.92</v>
      </c>
      <c r="M54" s="28"/>
      <c r="N54" s="31">
        <f t="shared" si="2"/>
        <v>0</v>
      </c>
      <c r="O54" s="68">
        <f t="shared" si="8"/>
        <v>0</v>
      </c>
      <c r="S54" s="72"/>
    </row>
    <row r="55" spans="2:19" x14ac:dyDescent="0.25">
      <c r="B55" s="49" t="s">
        <v>36</v>
      </c>
      <c r="C55" s="22"/>
      <c r="D55" s="23" t="s">
        <v>61</v>
      </c>
      <c r="E55" s="24"/>
      <c r="F55" s="65">
        <f>+'Res (100kWh)'!$F$55</f>
        <v>0.114</v>
      </c>
      <c r="G55" s="69">
        <f>0.18*$F$16</f>
        <v>270</v>
      </c>
      <c r="H55" s="66">
        <f t="shared" si="9"/>
        <v>30.78</v>
      </c>
      <c r="I55" s="28"/>
      <c r="J55" s="263">
        <f>+'Res (100kWh)'!$J$55</f>
        <v>0.114</v>
      </c>
      <c r="K55" s="69">
        <f>G55</f>
        <v>270</v>
      </c>
      <c r="L55" s="66">
        <f t="shared" si="10"/>
        <v>30.78</v>
      </c>
      <c r="M55" s="28"/>
      <c r="N55" s="31">
        <f t="shared" si="2"/>
        <v>0</v>
      </c>
      <c r="O55" s="68">
        <f t="shared" si="8"/>
        <v>0</v>
      </c>
      <c r="S55" s="72"/>
    </row>
    <row r="56" spans="2:19" x14ac:dyDescent="0.25">
      <c r="B56" s="12" t="s">
        <v>37</v>
      </c>
      <c r="C56" s="22"/>
      <c r="D56" s="23" t="s">
        <v>61</v>
      </c>
      <c r="E56" s="24"/>
      <c r="F56" s="65">
        <f>+'Res (100kWh)'!$F$56</f>
        <v>0.14000000000000001</v>
      </c>
      <c r="G56" s="69">
        <f>0.18*$F$16</f>
        <v>270</v>
      </c>
      <c r="H56" s="66">
        <f t="shared" si="9"/>
        <v>37.800000000000004</v>
      </c>
      <c r="I56" s="28"/>
      <c r="J56" s="263">
        <f>+'Res (100kWh)'!$J$56</f>
        <v>0.14000000000000001</v>
      </c>
      <c r="K56" s="69">
        <f>G56</f>
        <v>270</v>
      </c>
      <c r="L56" s="66">
        <f t="shared" si="10"/>
        <v>37.800000000000004</v>
      </c>
      <c r="M56" s="28"/>
      <c r="N56" s="31">
        <f t="shared" si="2"/>
        <v>0</v>
      </c>
      <c r="O56" s="68">
        <f t="shared" si="8"/>
        <v>0</v>
      </c>
      <c r="S56" s="72"/>
    </row>
    <row r="57" spans="2:19" s="73" customFormat="1" x14ac:dyDescent="0.2">
      <c r="B57" s="74" t="s">
        <v>38</v>
      </c>
      <c r="C57" s="75"/>
      <c r="D57" s="76" t="s">
        <v>61</v>
      </c>
      <c r="E57" s="77"/>
      <c r="F57" s="65">
        <f>+'Res (100kWh)'!$F$57</f>
        <v>8.7999999999999995E-2</v>
      </c>
      <c r="G57" s="78">
        <f>IF(AND($T$1=1, F16&gt;=600), 600, IF(AND($T$1=1, AND(F16&lt;600, F16&gt;=0)), F16, IF(AND($T$1=2, F16&gt;=1000), 1000, IF(AND($T$1=2, AND(F16&lt;1000, F16&gt;=0)), F16))))</f>
        <v>600</v>
      </c>
      <c r="H57" s="66">
        <f>G57*F57</f>
        <v>52.8</v>
      </c>
      <c r="I57" s="79"/>
      <c r="J57" s="263">
        <f>+'Res (100kWh)'!$J$57</f>
        <v>8.7999999999999995E-2</v>
      </c>
      <c r="K57" s="78">
        <f>G57</f>
        <v>600</v>
      </c>
      <c r="L57" s="66">
        <f>K57*J57</f>
        <v>52.8</v>
      </c>
      <c r="M57" s="79"/>
      <c r="N57" s="80">
        <f t="shared" si="2"/>
        <v>0</v>
      </c>
      <c r="O57" s="68">
        <f t="shared" si="8"/>
        <v>0</v>
      </c>
    </row>
    <row r="58" spans="2:19" s="73" customFormat="1" ht="15.75" thickBot="1" x14ac:dyDescent="0.25">
      <c r="B58" s="74" t="s">
        <v>39</v>
      </c>
      <c r="C58" s="75"/>
      <c r="D58" s="76" t="s">
        <v>61</v>
      </c>
      <c r="E58" s="77"/>
      <c r="F58" s="65">
        <f>+'Res (100kWh)'!$F$58</f>
        <v>0.10299999999999999</v>
      </c>
      <c r="G58" s="78">
        <f>IF(AND($T$1=1, F16&gt;=600), F16-600, IF(AND($T$1=1, AND(F16&lt;600, F16&gt;=0)), 0, IF(AND($T$1=2, F16&gt;=1000), F16-1000, IF(AND($T$1=2, AND(F16&lt;1000, F16&gt;=0)), 0))))</f>
        <v>900</v>
      </c>
      <c r="H58" s="66">
        <f>G58*F58</f>
        <v>92.699999999999989</v>
      </c>
      <c r="I58" s="79"/>
      <c r="J58" s="263">
        <f>+'Res (100kWh)'!$J$58</f>
        <v>0.10299999999999999</v>
      </c>
      <c r="K58" s="78">
        <f>G58</f>
        <v>900</v>
      </c>
      <c r="L58" s="66">
        <f>K58*J58</f>
        <v>92.699999999999989</v>
      </c>
      <c r="M58" s="79"/>
      <c r="N58" s="80">
        <f t="shared" si="2"/>
        <v>0</v>
      </c>
      <c r="O58" s="68">
        <f t="shared" si="8"/>
        <v>0</v>
      </c>
    </row>
    <row r="59" spans="2:19" ht="8.25" customHeight="1" thickBot="1" x14ac:dyDescent="0.3">
      <c r="B59" s="81"/>
      <c r="C59" s="82"/>
      <c r="D59" s="83"/>
      <c r="E59" s="82"/>
      <c r="F59" s="84"/>
      <c r="G59" s="85"/>
      <c r="H59" s="86"/>
      <c r="I59" s="87"/>
      <c r="J59" s="84"/>
      <c r="K59" s="88"/>
      <c r="L59" s="86"/>
      <c r="M59" s="87"/>
      <c r="N59" s="89"/>
      <c r="O59" s="90"/>
    </row>
    <row r="60" spans="2:19" x14ac:dyDescent="0.25">
      <c r="B60" s="91" t="s">
        <v>40</v>
      </c>
      <c r="C60" s="22"/>
      <c r="D60" s="22"/>
      <c r="E60" s="22"/>
      <c r="F60" s="92"/>
      <c r="G60" s="93"/>
      <c r="H60" s="94">
        <f>SUM(H50:H56,H49)</f>
        <v>228.15235999999999</v>
      </c>
      <c r="I60" s="95"/>
      <c r="J60" s="96"/>
      <c r="K60" s="96"/>
      <c r="L60" s="190">
        <f>SUM(L50:L56,L49)</f>
        <v>225.17991154872107</v>
      </c>
      <c r="M60" s="97"/>
      <c r="N60" s="98">
        <f>L60-H60</f>
        <v>-2.9724484512789218</v>
      </c>
      <c r="O60" s="99">
        <f>IF((H60)=0,"",(N60/H60))</f>
        <v>-1.3028348474146495E-2</v>
      </c>
      <c r="S60" s="72"/>
    </row>
    <row r="61" spans="2:19" x14ac:dyDescent="0.25">
      <c r="B61" s="100" t="s">
        <v>41</v>
      </c>
      <c r="C61" s="22"/>
      <c r="D61" s="22"/>
      <c r="E61" s="22"/>
      <c r="F61" s="101">
        <v>0.13</v>
      </c>
      <c r="G61" s="102"/>
      <c r="H61" s="103">
        <f>H60*F61</f>
        <v>29.659806799999998</v>
      </c>
      <c r="I61" s="104"/>
      <c r="J61" s="105">
        <v>0.13</v>
      </c>
      <c r="K61" s="104"/>
      <c r="L61" s="106">
        <f>L60*J61</f>
        <v>29.273388501333738</v>
      </c>
      <c r="M61" s="107"/>
      <c r="N61" s="108">
        <f t="shared" si="2"/>
        <v>-0.38641829866626054</v>
      </c>
      <c r="O61" s="109">
        <f t="shared" si="8"/>
        <v>-1.3028348474146519E-2</v>
      </c>
      <c r="S61" s="72"/>
    </row>
    <row r="62" spans="2:19" x14ac:dyDescent="0.25">
      <c r="B62" s="110" t="s">
        <v>42</v>
      </c>
      <c r="C62" s="22"/>
      <c r="D62" s="22"/>
      <c r="E62" s="22"/>
      <c r="F62" s="111"/>
      <c r="G62" s="102"/>
      <c r="H62" s="103">
        <f>H60+H61</f>
        <v>257.8121668</v>
      </c>
      <c r="I62" s="104"/>
      <c r="J62" s="104"/>
      <c r="K62" s="104"/>
      <c r="L62" s="106">
        <f>L60+L61</f>
        <v>254.45330005005479</v>
      </c>
      <c r="M62" s="107"/>
      <c r="N62" s="108">
        <f t="shared" si="2"/>
        <v>-3.3588667499452072</v>
      </c>
      <c r="O62" s="109">
        <f t="shared" si="8"/>
        <v>-1.3028348474146594E-2</v>
      </c>
      <c r="S62" s="72"/>
    </row>
    <row r="63" spans="2:19" ht="15.75" customHeight="1" x14ac:dyDescent="0.25">
      <c r="B63" s="383" t="s">
        <v>43</v>
      </c>
      <c r="C63" s="383"/>
      <c r="D63" s="383"/>
      <c r="E63" s="22"/>
      <c r="F63" s="111"/>
      <c r="G63" s="102"/>
      <c r="H63" s="112">
        <f>ROUND(-H62*10%,2)</f>
        <v>-25.78</v>
      </c>
      <c r="I63" s="104"/>
      <c r="J63" s="104"/>
      <c r="K63" s="104"/>
      <c r="L63" s="113">
        <f>ROUND(-L62*10%,2)</f>
        <v>-25.45</v>
      </c>
      <c r="M63" s="107"/>
      <c r="N63" s="114">
        <f t="shared" si="2"/>
        <v>0.33000000000000185</v>
      </c>
      <c r="O63" s="115">
        <f t="shared" si="8"/>
        <v>-1.2800620636152126E-2</v>
      </c>
    </row>
    <row r="64" spans="2:19" ht="15.75" thickBot="1" x14ac:dyDescent="0.3">
      <c r="B64" s="384" t="s">
        <v>44</v>
      </c>
      <c r="C64" s="384"/>
      <c r="D64" s="384"/>
      <c r="E64" s="116"/>
      <c r="F64" s="117"/>
      <c r="G64" s="118"/>
      <c r="H64" s="119">
        <f>H62+H63</f>
        <v>232.0321668</v>
      </c>
      <c r="I64" s="120"/>
      <c r="J64" s="120"/>
      <c r="K64" s="120"/>
      <c r="L64" s="121">
        <f>L62+L63</f>
        <v>229.0033000500548</v>
      </c>
      <c r="M64" s="122"/>
      <c r="N64" s="123">
        <f t="shared" si="2"/>
        <v>-3.0288667499451947</v>
      </c>
      <c r="O64" s="124">
        <f t="shared" si="8"/>
        <v>-1.3053650240468274E-2</v>
      </c>
    </row>
    <row r="65" spans="1:15" s="73" customFormat="1" ht="8.25" customHeight="1" thickBot="1" x14ac:dyDescent="0.25">
      <c r="B65" s="125"/>
      <c r="C65" s="126"/>
      <c r="D65" s="127"/>
      <c r="E65" s="126"/>
      <c r="F65" s="84"/>
      <c r="G65" s="128"/>
      <c r="H65" s="86"/>
      <c r="I65" s="129"/>
      <c r="J65" s="84"/>
      <c r="K65" s="130"/>
      <c r="L65" s="86"/>
      <c r="M65" s="129"/>
      <c r="N65" s="131"/>
      <c r="O65" s="90"/>
    </row>
    <row r="66" spans="1:15" s="73" customFormat="1" ht="12.75" x14ac:dyDescent="0.2">
      <c r="B66" s="132" t="s">
        <v>45</v>
      </c>
      <c r="C66" s="75"/>
      <c r="D66" s="75"/>
      <c r="E66" s="75"/>
      <c r="F66" s="133"/>
      <c r="G66" s="134"/>
      <c r="H66" s="135">
        <f>SUM(H57:H58,H49,H50:H53)</f>
        <v>231.15235999999999</v>
      </c>
      <c r="I66" s="136"/>
      <c r="J66" s="137"/>
      <c r="K66" s="137"/>
      <c r="L66" s="189">
        <f>SUM(L57:L58,L49,L50:L53)</f>
        <v>228.17991154872107</v>
      </c>
      <c r="M66" s="138"/>
      <c r="N66" s="139">
        <f>L66-H66</f>
        <v>-2.9724484512789218</v>
      </c>
      <c r="O66" s="99">
        <f>IF((H66)=0,"",(N66/H66))</f>
        <v>-1.2859260668067252E-2</v>
      </c>
    </row>
    <row r="67" spans="1:15" s="73" customFormat="1" ht="12.75" x14ac:dyDescent="0.2">
      <c r="B67" s="140" t="s">
        <v>41</v>
      </c>
      <c r="C67" s="75"/>
      <c r="D67" s="75"/>
      <c r="E67" s="75"/>
      <c r="F67" s="141">
        <v>0.13</v>
      </c>
      <c r="G67" s="134"/>
      <c r="H67" s="142">
        <f>H66*F67</f>
        <v>30.049806799999999</v>
      </c>
      <c r="I67" s="143"/>
      <c r="J67" s="144">
        <v>0.13</v>
      </c>
      <c r="K67" s="145"/>
      <c r="L67" s="146">
        <f>L66*J67</f>
        <v>29.663388501333738</v>
      </c>
      <c r="M67" s="147"/>
      <c r="N67" s="148">
        <f>L67-H67</f>
        <v>-0.38641829866626054</v>
      </c>
      <c r="O67" s="109">
        <f>IF((H67)=0,"",(N67/H67))</f>
        <v>-1.2859260668067276E-2</v>
      </c>
    </row>
    <row r="68" spans="1:15" s="73" customFormat="1" ht="12.75" x14ac:dyDescent="0.2">
      <c r="B68" s="149" t="s">
        <v>42</v>
      </c>
      <c r="C68" s="75"/>
      <c r="D68" s="75"/>
      <c r="E68" s="75"/>
      <c r="F68" s="150"/>
      <c r="G68" s="151"/>
      <c r="H68" s="142">
        <f>H66+H67</f>
        <v>261.20216679999999</v>
      </c>
      <c r="I68" s="143"/>
      <c r="J68" s="143"/>
      <c r="K68" s="143"/>
      <c r="L68" s="146">
        <f>L66+L67</f>
        <v>257.84330005005478</v>
      </c>
      <c r="M68" s="147"/>
      <c r="N68" s="148">
        <f>L68-H68</f>
        <v>-3.3588667499452072</v>
      </c>
      <c r="O68" s="109">
        <f>IF((H68)=0,"",(N68/H68))</f>
        <v>-1.2859260668067351E-2</v>
      </c>
    </row>
    <row r="69" spans="1:15" s="73" customFormat="1" ht="15.75" customHeight="1" x14ac:dyDescent="0.2">
      <c r="B69" s="385" t="s">
        <v>43</v>
      </c>
      <c r="C69" s="385"/>
      <c r="D69" s="385"/>
      <c r="E69" s="75"/>
      <c r="F69" s="150"/>
      <c r="G69" s="151"/>
      <c r="H69" s="152">
        <f>ROUND(-H68*10%,2)</f>
        <v>-26.12</v>
      </c>
      <c r="I69" s="143"/>
      <c r="J69" s="143"/>
      <c r="K69" s="143"/>
      <c r="L69" s="153">
        <f>ROUND(-L68*10%,2)</f>
        <v>-25.78</v>
      </c>
      <c r="M69" s="147"/>
      <c r="N69" s="154">
        <f>L69-H69</f>
        <v>0.33999999999999986</v>
      </c>
      <c r="O69" s="115">
        <f>IF((H69)=0,"",(N69/H69))</f>
        <v>-1.3016845329249611E-2</v>
      </c>
    </row>
    <row r="70" spans="1:15" s="73" customFormat="1" ht="13.5" thickBot="1" x14ac:dyDescent="0.25">
      <c r="B70" s="376" t="s">
        <v>46</v>
      </c>
      <c r="C70" s="376"/>
      <c r="D70" s="376"/>
      <c r="E70" s="155"/>
      <c r="F70" s="156"/>
      <c r="G70" s="157"/>
      <c r="H70" s="158">
        <f>SUM(H68:H69)</f>
        <v>235.08216679999998</v>
      </c>
      <c r="I70" s="159"/>
      <c r="J70" s="159"/>
      <c r="K70" s="159"/>
      <c r="L70" s="160">
        <f>SUM(L68:L69)</f>
        <v>232.06330005005478</v>
      </c>
      <c r="M70" s="161"/>
      <c r="N70" s="162">
        <f>L70-H70</f>
        <v>-3.0188667499452038</v>
      </c>
      <c r="O70" s="163">
        <f>IF((H70)=0,"",(N70/H70))</f>
        <v>-1.2841751422657059E-2</v>
      </c>
    </row>
    <row r="71" spans="1:15" s="73" customFormat="1" ht="8.25" customHeight="1" thickBot="1" x14ac:dyDescent="0.25">
      <c r="B71" s="125"/>
      <c r="C71" s="126"/>
      <c r="D71" s="127"/>
      <c r="E71" s="126"/>
      <c r="F71" s="164"/>
      <c r="G71" s="165"/>
      <c r="H71" s="166"/>
      <c r="I71" s="167"/>
      <c r="J71" s="164"/>
      <c r="K71" s="128"/>
      <c r="L71" s="168"/>
      <c r="M71" s="129"/>
      <c r="N71" s="169"/>
      <c r="O71" s="90"/>
    </row>
    <row r="72" spans="1:15" ht="10.5" customHeight="1" x14ac:dyDescent="0.25">
      <c r="L72" s="72"/>
    </row>
    <row r="73" spans="1:15" x14ac:dyDescent="0.25">
      <c r="B73" s="13" t="s">
        <v>47</v>
      </c>
      <c r="F73" s="170">
        <f>+'Res (100kWh)'!$F$73</f>
        <v>4.0399999999999998E-2</v>
      </c>
      <c r="J73" s="170">
        <f>+'Res (100kWh)'!$J$73</f>
        <v>3.6200000000000003E-2</v>
      </c>
    </row>
    <row r="74" spans="1:15" ht="10.5" customHeight="1" x14ac:dyDescent="0.25"/>
    <row r="75" spans="1:15" x14ac:dyDescent="0.25">
      <c r="A75" s="171" t="s">
        <v>48</v>
      </c>
    </row>
    <row r="76" spans="1:15" ht="10.5" customHeight="1" x14ac:dyDescent="0.25"/>
    <row r="77" spans="1:15" x14ac:dyDescent="0.25">
      <c r="A77" s="7" t="s">
        <v>49</v>
      </c>
    </row>
    <row r="78" spans="1:15" x14ac:dyDescent="0.25">
      <c r="A78" s="7" t="s">
        <v>50</v>
      </c>
    </row>
    <row r="80" spans="1:15" x14ac:dyDescent="0.25">
      <c r="A80" s="12" t="s">
        <v>51</v>
      </c>
    </row>
    <row r="81" spans="1:2" x14ac:dyDescent="0.25">
      <c r="A81" s="12" t="s">
        <v>52</v>
      </c>
    </row>
    <row r="83" spans="1:2" x14ac:dyDescent="0.25">
      <c r="A83" s="7" t="s">
        <v>53</v>
      </c>
    </row>
    <row r="84" spans="1:2" x14ac:dyDescent="0.25">
      <c r="A84" s="7" t="s">
        <v>54</v>
      </c>
    </row>
    <row r="85" spans="1:2" x14ac:dyDescent="0.25">
      <c r="A85" s="7" t="s">
        <v>55</v>
      </c>
    </row>
    <row r="86" spans="1:2" x14ac:dyDescent="0.25">
      <c r="A86" s="7" t="s">
        <v>56</v>
      </c>
    </row>
    <row r="87" spans="1:2" x14ac:dyDescent="0.25">
      <c r="A87" s="7" t="s">
        <v>57</v>
      </c>
    </row>
    <row r="89" spans="1:2" x14ac:dyDescent="0.25">
      <c r="A89" s="172"/>
      <c r="B89" s="7" t="s">
        <v>58</v>
      </c>
    </row>
  </sheetData>
  <mergeCells count="17">
    <mergeCell ref="B70:D70"/>
    <mergeCell ref="D19:D20"/>
    <mergeCell ref="N19:N20"/>
    <mergeCell ref="O19:O20"/>
    <mergeCell ref="B63:D63"/>
    <mergeCell ref="B64:D64"/>
    <mergeCell ref="B69:D69"/>
    <mergeCell ref="D12:O12"/>
    <mergeCell ref="F18:H18"/>
    <mergeCell ref="N1:O1"/>
    <mergeCell ref="N2:O2"/>
    <mergeCell ref="N5:O5"/>
    <mergeCell ref="B8:O8"/>
    <mergeCell ref="B9:O9"/>
    <mergeCell ref="J18:L18"/>
    <mergeCell ref="N18:O18"/>
    <mergeCell ref="N3:O3"/>
  </mergeCells>
  <dataValidations count="4">
    <dataValidation type="list" allowBlank="1" showInputMessage="1" showErrorMessage="1" sqref="D14">
      <formula1>"TOU, non-TOU"</formula1>
    </dataValidation>
    <dataValidation type="list" allowBlank="1" showInputMessage="1" showErrorMessage="1" sqref="E71 E65 E57:E58">
      <formula1>#REF!</formula1>
    </dataValidation>
    <dataValidation type="list" allowBlank="1" showInputMessage="1" showErrorMessage="1" prompt="Select Charge Unit - monthly, per kWh, per kW" sqref="D47:D48 D65 D71 D50:D59 D38:D45 D21:D36">
      <formula1>"Monthly, per kWh, per kW"</formula1>
    </dataValidation>
    <dataValidation type="list" allowBlank="1" showInputMessage="1" showErrorMessage="1" sqref="E47:E48 E50:E56 E59 E38:E45 E21:E36">
      <formula1>#REF!</formula1>
    </dataValidation>
  </dataValidations>
  <pageMargins left="0.7" right="0.7" top="0.75" bottom="0.75" header="0.3" footer="0.3"/>
  <pageSetup scale="59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T89"/>
  <sheetViews>
    <sheetView showGridLines="0" topLeftCell="A21" workbookViewId="0">
      <selection activeCell="J29" sqref="J29"/>
    </sheetView>
  </sheetViews>
  <sheetFormatPr defaultColWidth="9.140625" defaultRowHeight="15" x14ac:dyDescent="0.25"/>
  <cols>
    <col min="1" max="1" width="2.140625" style="7" customWidth="1"/>
    <col min="2" max="2" width="44.5703125" style="7" customWidth="1"/>
    <col min="3" max="3" width="1.28515625" style="7" customWidth="1"/>
    <col min="4" max="4" width="11.28515625" style="7" customWidth="1"/>
    <col min="5" max="5" width="1.28515625" style="7" customWidth="1"/>
    <col min="6" max="6" width="12.28515625" style="7" customWidth="1"/>
    <col min="7" max="7" width="8.5703125" style="7" customWidth="1"/>
    <col min="8" max="8" width="9.7109375" style="7" customWidth="1"/>
    <col min="9" max="9" width="2.85546875" style="7" customWidth="1"/>
    <col min="10" max="10" width="12.140625" style="7" customWidth="1"/>
    <col min="11" max="11" width="8.5703125" style="7" customWidth="1"/>
    <col min="12" max="12" width="9.7109375" style="7" customWidth="1"/>
    <col min="13" max="13" width="2.85546875" style="7" customWidth="1"/>
    <col min="14" max="14" width="12.7109375" style="7" bestFit="1" customWidth="1"/>
    <col min="15" max="15" width="10.85546875" style="7" bestFit="1" customWidth="1"/>
    <col min="16" max="16" width="7.85546875" style="7" customWidth="1"/>
    <col min="17" max="19" width="9.140625" style="7"/>
    <col min="20" max="20" width="9.140625" style="7" customWidth="1"/>
    <col min="21" max="16384" width="9.140625" style="7"/>
  </cols>
  <sheetData>
    <row r="1" spans="1:20" s="2" customFormat="1" ht="15" customHeigh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3" t="s">
        <v>0</v>
      </c>
      <c r="N1" s="368" t="s">
        <v>94</v>
      </c>
      <c r="O1" s="368"/>
      <c r="P1" s="192"/>
      <c r="T1" s="2">
        <v>1</v>
      </c>
    </row>
    <row r="2" spans="1:20" s="2" customFormat="1" ht="15" customHeight="1" x14ac:dyDescent="0.3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3" t="s">
        <v>95</v>
      </c>
      <c r="N2" s="369">
        <v>8</v>
      </c>
      <c r="O2" s="369"/>
      <c r="P2" s="193"/>
    </row>
    <row r="3" spans="1:20" s="2" customFormat="1" ht="15" customHeight="1" x14ac:dyDescent="0.3">
      <c r="C3" s="6"/>
      <c r="D3" s="6"/>
      <c r="E3" s="6"/>
      <c r="L3" s="3" t="s">
        <v>96</v>
      </c>
      <c r="N3" s="370" t="s">
        <v>97</v>
      </c>
      <c r="O3" s="370"/>
      <c r="P3" s="192"/>
    </row>
    <row r="4" spans="1:20" s="2" customFormat="1" ht="9" customHeight="1" x14ac:dyDescent="0.3">
      <c r="L4" s="3"/>
      <c r="N4" s="310"/>
      <c r="O4"/>
      <c r="P4" s="194"/>
    </row>
    <row r="5" spans="1:20" s="2" customFormat="1" ht="14.45" x14ac:dyDescent="0.3">
      <c r="L5" s="3" t="s">
        <v>76</v>
      </c>
      <c r="N5" s="387">
        <v>42124</v>
      </c>
      <c r="O5" s="387"/>
      <c r="P5" s="192"/>
    </row>
    <row r="6" spans="1:20" s="2" customFormat="1" ht="15" customHeight="1" x14ac:dyDescent="0.3">
      <c r="N6" s="7"/>
      <c r="O6"/>
      <c r="P6"/>
    </row>
    <row r="7" spans="1:20" ht="7.5" customHeight="1" x14ac:dyDescent="0.3">
      <c r="L7"/>
      <c r="M7"/>
      <c r="N7"/>
      <c r="O7"/>
      <c r="P7"/>
    </row>
    <row r="8" spans="1:20" ht="18.75" customHeight="1" x14ac:dyDescent="0.3">
      <c r="B8" s="367" t="s">
        <v>1</v>
      </c>
      <c r="C8" s="367"/>
      <c r="D8" s="367"/>
      <c r="E8" s="367"/>
      <c r="F8" s="367"/>
      <c r="G8" s="367"/>
      <c r="H8" s="367"/>
      <c r="I8" s="367"/>
      <c r="J8" s="367"/>
      <c r="K8" s="367"/>
      <c r="L8" s="367"/>
      <c r="M8" s="367"/>
      <c r="N8" s="367"/>
      <c r="O8" s="367"/>
      <c r="P8"/>
    </row>
    <row r="9" spans="1:20" ht="18.75" customHeight="1" x14ac:dyDescent="0.3">
      <c r="B9" s="367" t="s">
        <v>2</v>
      </c>
      <c r="C9" s="367"/>
      <c r="D9" s="367"/>
      <c r="E9" s="367"/>
      <c r="F9" s="367"/>
      <c r="G9" s="367"/>
      <c r="H9" s="367"/>
      <c r="I9" s="367"/>
      <c r="J9" s="367"/>
      <c r="K9" s="367"/>
      <c r="L9" s="367"/>
      <c r="M9" s="367"/>
      <c r="N9" s="367"/>
      <c r="O9" s="367"/>
      <c r="P9"/>
    </row>
    <row r="10" spans="1:20" ht="7.5" customHeight="1" x14ac:dyDescent="0.3">
      <c r="L10"/>
      <c r="M10"/>
      <c r="N10"/>
      <c r="O10"/>
      <c r="P10"/>
    </row>
    <row r="11" spans="1:20" ht="7.5" customHeight="1" x14ac:dyDescent="0.3">
      <c r="L11"/>
      <c r="M11"/>
      <c r="N11"/>
      <c r="O11"/>
      <c r="P11"/>
    </row>
    <row r="12" spans="1:20" ht="15.6" x14ac:dyDescent="0.3">
      <c r="B12" s="8" t="s">
        <v>3</v>
      </c>
      <c r="D12" s="386" t="s">
        <v>59</v>
      </c>
      <c r="E12" s="386"/>
      <c r="F12" s="386"/>
      <c r="G12" s="386"/>
      <c r="H12" s="386"/>
      <c r="I12" s="386"/>
      <c r="J12" s="386"/>
      <c r="K12" s="386"/>
      <c r="L12" s="386"/>
      <c r="M12" s="386"/>
      <c r="N12" s="386"/>
      <c r="O12" s="386"/>
    </row>
    <row r="13" spans="1:20" ht="7.5" customHeight="1" x14ac:dyDescent="0.3">
      <c r="B13" s="9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</row>
    <row r="14" spans="1:20" ht="15.6" x14ac:dyDescent="0.3">
      <c r="B14" s="8" t="s">
        <v>4</v>
      </c>
      <c r="D14" s="11" t="s">
        <v>5</v>
      </c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</row>
    <row r="15" spans="1:20" ht="15.6" x14ac:dyDescent="0.3">
      <c r="B15" s="9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</row>
    <row r="16" spans="1:20" ht="14.45" x14ac:dyDescent="0.3">
      <c r="B16" s="12"/>
      <c r="D16" s="13" t="s">
        <v>6</v>
      </c>
      <c r="E16" s="13"/>
      <c r="F16" s="14">
        <v>2000</v>
      </c>
      <c r="G16" s="13" t="s">
        <v>7</v>
      </c>
    </row>
    <row r="17" spans="2:15" ht="14.45" x14ac:dyDescent="0.3">
      <c r="B17" s="12"/>
    </row>
    <row r="18" spans="2:15" ht="14.45" x14ac:dyDescent="0.3">
      <c r="B18" s="12"/>
      <c r="D18" s="15"/>
      <c r="E18" s="15"/>
      <c r="F18" s="373" t="s">
        <v>8</v>
      </c>
      <c r="G18" s="374"/>
      <c r="H18" s="375"/>
      <c r="J18" s="373" t="s">
        <v>9</v>
      </c>
      <c r="K18" s="374"/>
      <c r="L18" s="375"/>
      <c r="N18" s="373" t="s">
        <v>10</v>
      </c>
      <c r="O18" s="375"/>
    </row>
    <row r="19" spans="2:15" x14ac:dyDescent="0.25">
      <c r="B19" s="12"/>
      <c r="D19" s="377" t="s">
        <v>11</v>
      </c>
      <c r="E19" s="16"/>
      <c r="F19" s="17" t="s">
        <v>12</v>
      </c>
      <c r="G19" s="17" t="s">
        <v>13</v>
      </c>
      <c r="H19" s="18" t="s">
        <v>14</v>
      </c>
      <c r="J19" s="17" t="s">
        <v>12</v>
      </c>
      <c r="K19" s="19" t="s">
        <v>13</v>
      </c>
      <c r="L19" s="18" t="s">
        <v>14</v>
      </c>
      <c r="N19" s="379" t="s">
        <v>15</v>
      </c>
      <c r="O19" s="381" t="s">
        <v>16</v>
      </c>
    </row>
    <row r="20" spans="2:15" x14ac:dyDescent="0.25">
      <c r="B20" s="12"/>
      <c r="D20" s="378"/>
      <c r="E20" s="16"/>
      <c r="F20" s="20" t="s">
        <v>17</v>
      </c>
      <c r="G20" s="20"/>
      <c r="H20" s="21" t="s">
        <v>17</v>
      </c>
      <c r="J20" s="20" t="s">
        <v>17</v>
      </c>
      <c r="K20" s="21"/>
      <c r="L20" s="21" t="s">
        <v>17</v>
      </c>
      <c r="N20" s="380"/>
      <c r="O20" s="382"/>
    </row>
    <row r="21" spans="2:15" ht="22.5" customHeight="1" x14ac:dyDescent="0.3">
      <c r="B21" s="22" t="s">
        <v>18</v>
      </c>
      <c r="C21" s="22"/>
      <c r="D21" s="23" t="s">
        <v>60</v>
      </c>
      <c r="E21" s="24"/>
      <c r="F21" s="174">
        <f>+'Res (100kWh)'!$F$21</f>
        <v>15.2</v>
      </c>
      <c r="G21" s="26">
        <v>1</v>
      </c>
      <c r="H21" s="27">
        <f>G21*F21</f>
        <v>15.2</v>
      </c>
      <c r="I21" s="28"/>
      <c r="J21" s="173">
        <f>+'Res (100kWh)'!$J$21</f>
        <v>19.87</v>
      </c>
      <c r="K21" s="30">
        <v>1</v>
      </c>
      <c r="L21" s="27">
        <f>K21*J21</f>
        <v>19.87</v>
      </c>
      <c r="M21" s="28"/>
      <c r="N21" s="31">
        <f>L21-H21</f>
        <v>4.6700000000000017</v>
      </c>
      <c r="O21" s="32">
        <f>IF((H21)=0,"",(N21/H21))</f>
        <v>0.30723684210526331</v>
      </c>
    </row>
    <row r="22" spans="2:15" ht="36.75" customHeight="1" x14ac:dyDescent="0.3">
      <c r="B22" s="64" t="s">
        <v>62</v>
      </c>
      <c r="C22" s="22"/>
      <c r="D22" s="56" t="s">
        <v>60</v>
      </c>
      <c r="E22" s="24"/>
      <c r="F22" s="173">
        <f>+'Res (100kWh)'!$F$22</f>
        <v>0</v>
      </c>
      <c r="G22" s="26">
        <v>1</v>
      </c>
      <c r="H22" s="27">
        <f t="shared" ref="H22:H36" si="0">G22*F22</f>
        <v>0</v>
      </c>
      <c r="I22" s="28"/>
      <c r="J22" s="29"/>
      <c r="K22" s="30">
        <v>1</v>
      </c>
      <c r="L22" s="27">
        <f>K22*J22</f>
        <v>0</v>
      </c>
      <c r="M22" s="28"/>
      <c r="N22" s="31">
        <f>L22-H22</f>
        <v>0</v>
      </c>
      <c r="O22" s="32" t="str">
        <f>IF((H22)=0,"",(N22/H22))</f>
        <v/>
      </c>
    </row>
    <row r="23" spans="2:15" ht="36.75" customHeight="1" x14ac:dyDescent="0.3">
      <c r="B23" s="297" t="s">
        <v>63</v>
      </c>
      <c r="C23" s="22"/>
      <c r="D23" s="56" t="s">
        <v>60</v>
      </c>
      <c r="E23" s="57"/>
      <c r="F23" s="173">
        <f>+'Res (100kWh)'!$F$23</f>
        <v>2.11</v>
      </c>
      <c r="G23" s="26">
        <v>1</v>
      </c>
      <c r="H23" s="27">
        <f t="shared" si="0"/>
        <v>2.11</v>
      </c>
      <c r="I23" s="28"/>
      <c r="J23" s="29"/>
      <c r="K23" s="30">
        <v>1</v>
      </c>
      <c r="L23" s="27">
        <f t="shared" ref="L23:L36" si="1">K23*J23</f>
        <v>0</v>
      </c>
      <c r="M23" s="28"/>
      <c r="N23" s="31">
        <f t="shared" ref="N23:N64" si="2">L23-H23</f>
        <v>-2.11</v>
      </c>
      <c r="O23" s="32">
        <f t="shared" ref="O23:O44" si="3">IF((H23)=0,"",(N23/H23))</f>
        <v>-1</v>
      </c>
    </row>
    <row r="24" spans="2:15" ht="14.45" x14ac:dyDescent="0.3">
      <c r="B24" s="297" t="s">
        <v>64</v>
      </c>
      <c r="C24" s="22"/>
      <c r="D24" s="23" t="s">
        <v>60</v>
      </c>
      <c r="E24" s="24"/>
      <c r="F24" s="25">
        <f>+'Res (100kWh)'!$F$24</f>
        <v>0</v>
      </c>
      <c r="G24" s="26">
        <v>1</v>
      </c>
      <c r="H24" s="27">
        <f t="shared" si="0"/>
        <v>0</v>
      </c>
      <c r="I24" s="28"/>
      <c r="J24" s="173">
        <f>+'Res (100kWh)'!$J$24</f>
        <v>0.5751915487210707</v>
      </c>
      <c r="K24" s="30">
        <v>1</v>
      </c>
      <c r="L24" s="27">
        <f t="shared" si="1"/>
        <v>0.5751915487210707</v>
      </c>
      <c r="M24" s="28"/>
      <c r="N24" s="31">
        <f t="shared" si="2"/>
        <v>0.5751915487210707</v>
      </c>
      <c r="O24" s="32" t="str">
        <f t="shared" si="3"/>
        <v/>
      </c>
    </row>
    <row r="25" spans="2:15" ht="14.45" x14ac:dyDescent="0.3">
      <c r="B25" s="296" t="s">
        <v>65</v>
      </c>
      <c r="C25" s="22"/>
      <c r="D25" s="23" t="s">
        <v>61</v>
      </c>
      <c r="E25" s="24"/>
      <c r="F25" s="25">
        <f>+'Res (100kWh)'!$F$25</f>
        <v>-1E-4</v>
      </c>
      <c r="G25" s="26">
        <f>$F$16</f>
        <v>2000</v>
      </c>
      <c r="H25" s="27">
        <f t="shared" si="0"/>
        <v>-0.2</v>
      </c>
      <c r="I25" s="28"/>
      <c r="J25" s="173">
        <f>+'Res (100kWh)'!$J$25</f>
        <v>-1E-4</v>
      </c>
      <c r="K25" s="26">
        <f>$F$16</f>
        <v>2000</v>
      </c>
      <c r="L25" s="27">
        <f t="shared" si="1"/>
        <v>-0.2</v>
      </c>
      <c r="M25" s="28"/>
      <c r="N25" s="31">
        <f t="shared" si="2"/>
        <v>0</v>
      </c>
      <c r="O25" s="32">
        <f t="shared" si="3"/>
        <v>0</v>
      </c>
    </row>
    <row r="26" spans="2:15" x14ac:dyDescent="0.25">
      <c r="B26" s="296" t="s">
        <v>66</v>
      </c>
      <c r="C26" s="22"/>
      <c r="D26" s="23" t="s">
        <v>61</v>
      </c>
      <c r="E26" s="24"/>
      <c r="F26" s="25">
        <f>+'Res (100kWh)'!$F$26</f>
        <v>0</v>
      </c>
      <c r="G26" s="26">
        <f>$F$16</f>
        <v>2000</v>
      </c>
      <c r="H26" s="27">
        <f t="shared" si="0"/>
        <v>0</v>
      </c>
      <c r="I26" s="28"/>
      <c r="J26" s="29">
        <f>+'Res (100kWh)'!$J$26</f>
        <v>-1.6000000000000001E-3</v>
      </c>
      <c r="K26" s="26">
        <f>$F$16</f>
        <v>2000</v>
      </c>
      <c r="L26" s="27">
        <f t="shared" si="1"/>
        <v>-3.2</v>
      </c>
      <c r="M26" s="28"/>
      <c r="N26" s="31">
        <f t="shared" si="2"/>
        <v>-3.2</v>
      </c>
      <c r="O26" s="32" t="str">
        <f t="shared" si="3"/>
        <v/>
      </c>
    </row>
    <row r="27" spans="2:15" x14ac:dyDescent="0.25">
      <c r="B27" s="22" t="s">
        <v>19</v>
      </c>
      <c r="C27" s="22"/>
      <c r="D27" s="23" t="s">
        <v>61</v>
      </c>
      <c r="E27" s="24"/>
      <c r="F27" s="25">
        <f>+'Res (100kWh)'!$F$27</f>
        <v>1.9199999999999998E-2</v>
      </c>
      <c r="G27" s="26">
        <f>$F$16</f>
        <v>2000</v>
      </c>
      <c r="H27" s="27">
        <f t="shared" si="0"/>
        <v>38.4</v>
      </c>
      <c r="I27" s="28"/>
      <c r="J27" s="29">
        <f>+'Res (100kWh)'!$J$27</f>
        <v>1.55E-2</v>
      </c>
      <c r="K27" s="26">
        <f>$F$16</f>
        <v>2000</v>
      </c>
      <c r="L27" s="27">
        <f t="shared" si="1"/>
        <v>31</v>
      </c>
      <c r="M27" s="28"/>
      <c r="N27" s="31">
        <f t="shared" si="2"/>
        <v>-7.3999999999999986</v>
      </c>
      <c r="O27" s="32">
        <f t="shared" si="3"/>
        <v>-0.19270833333333331</v>
      </c>
    </row>
    <row r="28" spans="2:15" x14ac:dyDescent="0.25">
      <c r="B28" s="22" t="s">
        <v>20</v>
      </c>
      <c r="C28" s="22"/>
      <c r="D28" s="23"/>
      <c r="E28" s="24"/>
      <c r="F28" s="25"/>
      <c r="G28" s="26">
        <f>$F$16</f>
        <v>2000</v>
      </c>
      <c r="H28" s="27">
        <f t="shared" si="0"/>
        <v>0</v>
      </c>
      <c r="I28" s="28"/>
      <c r="J28" s="29"/>
      <c r="K28" s="26">
        <f t="shared" ref="K28:K36" si="4">$F$16</f>
        <v>2000</v>
      </c>
      <c r="L28" s="27">
        <f t="shared" si="1"/>
        <v>0</v>
      </c>
      <c r="M28" s="28"/>
      <c r="N28" s="31">
        <f t="shared" si="2"/>
        <v>0</v>
      </c>
      <c r="O28" s="32" t="str">
        <f t="shared" si="3"/>
        <v/>
      </c>
    </row>
    <row r="29" spans="2:15" x14ac:dyDescent="0.25">
      <c r="B29" s="22" t="s">
        <v>21</v>
      </c>
      <c r="C29" s="22"/>
      <c r="D29" s="23"/>
      <c r="E29" s="24"/>
      <c r="F29" s="25"/>
      <c r="G29" s="26">
        <f>$F$16</f>
        <v>2000</v>
      </c>
      <c r="H29" s="27">
        <f t="shared" si="0"/>
        <v>0</v>
      </c>
      <c r="I29" s="28"/>
      <c r="J29" s="29">
        <f>+'Res (100kWh)'!$J$29</f>
        <v>2.0000000000000001E-4</v>
      </c>
      <c r="K29" s="26">
        <f t="shared" si="4"/>
        <v>2000</v>
      </c>
      <c r="L29" s="27">
        <f t="shared" si="1"/>
        <v>0.4</v>
      </c>
      <c r="M29" s="28"/>
      <c r="N29" s="31">
        <f t="shared" si="2"/>
        <v>0.4</v>
      </c>
      <c r="O29" s="32" t="str">
        <f t="shared" si="3"/>
        <v/>
      </c>
    </row>
    <row r="30" spans="2:15" x14ac:dyDescent="0.25">
      <c r="B30" s="33"/>
      <c r="C30" s="22"/>
      <c r="D30" s="23"/>
      <c r="E30" s="24"/>
      <c r="F30" s="25"/>
      <c r="G30" s="26">
        <f t="shared" ref="G30:G36" si="5">$F$16</f>
        <v>2000</v>
      </c>
      <c r="H30" s="27">
        <f t="shared" si="0"/>
        <v>0</v>
      </c>
      <c r="I30" s="28"/>
      <c r="J30" s="29"/>
      <c r="K30" s="26">
        <f t="shared" si="4"/>
        <v>2000</v>
      </c>
      <c r="L30" s="27">
        <f t="shared" si="1"/>
        <v>0</v>
      </c>
      <c r="M30" s="28"/>
      <c r="N30" s="31">
        <f t="shared" si="2"/>
        <v>0</v>
      </c>
      <c r="O30" s="32" t="str">
        <f t="shared" si="3"/>
        <v/>
      </c>
    </row>
    <row r="31" spans="2:15" x14ac:dyDescent="0.25">
      <c r="B31" s="33"/>
      <c r="C31" s="22"/>
      <c r="D31" s="23"/>
      <c r="E31" s="24"/>
      <c r="F31" s="25"/>
      <c r="G31" s="26">
        <f t="shared" si="5"/>
        <v>2000</v>
      </c>
      <c r="H31" s="27">
        <f t="shared" si="0"/>
        <v>0</v>
      </c>
      <c r="I31" s="28"/>
      <c r="J31" s="29"/>
      <c r="K31" s="26">
        <f t="shared" si="4"/>
        <v>2000</v>
      </c>
      <c r="L31" s="27">
        <f t="shared" si="1"/>
        <v>0</v>
      </c>
      <c r="M31" s="28"/>
      <c r="N31" s="31">
        <f t="shared" si="2"/>
        <v>0</v>
      </c>
      <c r="O31" s="32" t="str">
        <f t="shared" si="3"/>
        <v/>
      </c>
    </row>
    <row r="32" spans="2:15" x14ac:dyDescent="0.25">
      <c r="B32" s="33"/>
      <c r="C32" s="22"/>
      <c r="D32" s="23"/>
      <c r="E32" s="24"/>
      <c r="F32" s="25"/>
      <c r="G32" s="26">
        <f t="shared" si="5"/>
        <v>2000</v>
      </c>
      <c r="H32" s="27">
        <f t="shared" si="0"/>
        <v>0</v>
      </c>
      <c r="I32" s="28"/>
      <c r="J32" s="29"/>
      <c r="K32" s="26">
        <f t="shared" si="4"/>
        <v>2000</v>
      </c>
      <c r="L32" s="27">
        <f t="shared" si="1"/>
        <v>0</v>
      </c>
      <c r="M32" s="28"/>
      <c r="N32" s="31">
        <f t="shared" si="2"/>
        <v>0</v>
      </c>
      <c r="O32" s="32" t="str">
        <f t="shared" si="3"/>
        <v/>
      </c>
    </row>
    <row r="33" spans="2:15" x14ac:dyDescent="0.25">
      <c r="B33" s="33"/>
      <c r="C33" s="22"/>
      <c r="D33" s="23"/>
      <c r="E33" s="24"/>
      <c r="F33" s="25"/>
      <c r="G33" s="26">
        <f t="shared" si="5"/>
        <v>2000</v>
      </c>
      <c r="H33" s="27">
        <f t="shared" si="0"/>
        <v>0</v>
      </c>
      <c r="I33" s="28"/>
      <c r="J33" s="29"/>
      <c r="K33" s="26">
        <f t="shared" si="4"/>
        <v>2000</v>
      </c>
      <c r="L33" s="27">
        <f t="shared" si="1"/>
        <v>0</v>
      </c>
      <c r="M33" s="28"/>
      <c r="N33" s="31">
        <f t="shared" si="2"/>
        <v>0</v>
      </c>
      <c r="O33" s="32" t="str">
        <f t="shared" si="3"/>
        <v/>
      </c>
    </row>
    <row r="34" spans="2:15" x14ac:dyDescent="0.25">
      <c r="B34" s="33"/>
      <c r="C34" s="22"/>
      <c r="D34" s="23"/>
      <c r="E34" s="24"/>
      <c r="F34" s="25"/>
      <c r="G34" s="26">
        <f t="shared" si="5"/>
        <v>2000</v>
      </c>
      <c r="H34" s="27">
        <f t="shared" si="0"/>
        <v>0</v>
      </c>
      <c r="I34" s="28"/>
      <c r="J34" s="29"/>
      <c r="K34" s="26">
        <f t="shared" si="4"/>
        <v>2000</v>
      </c>
      <c r="L34" s="27">
        <f t="shared" si="1"/>
        <v>0</v>
      </c>
      <c r="M34" s="28"/>
      <c r="N34" s="31">
        <f t="shared" si="2"/>
        <v>0</v>
      </c>
      <c r="O34" s="32" t="str">
        <f t="shared" si="3"/>
        <v/>
      </c>
    </row>
    <row r="35" spans="2:15" x14ac:dyDescent="0.25">
      <c r="B35" s="33"/>
      <c r="C35" s="22"/>
      <c r="D35" s="23"/>
      <c r="E35" s="24"/>
      <c r="F35" s="25"/>
      <c r="G35" s="26">
        <f t="shared" si="5"/>
        <v>2000</v>
      </c>
      <c r="H35" s="27">
        <f t="shared" si="0"/>
        <v>0</v>
      </c>
      <c r="I35" s="28"/>
      <c r="J35" s="29"/>
      <c r="K35" s="26">
        <f t="shared" si="4"/>
        <v>2000</v>
      </c>
      <c r="L35" s="27">
        <f t="shared" si="1"/>
        <v>0</v>
      </c>
      <c r="M35" s="28"/>
      <c r="N35" s="31">
        <f t="shared" si="2"/>
        <v>0</v>
      </c>
      <c r="O35" s="32" t="str">
        <f t="shared" si="3"/>
        <v/>
      </c>
    </row>
    <row r="36" spans="2:15" x14ac:dyDescent="0.25">
      <c r="B36" s="33"/>
      <c r="C36" s="22"/>
      <c r="D36" s="23"/>
      <c r="E36" s="24"/>
      <c r="F36" s="25"/>
      <c r="G36" s="26">
        <f t="shared" si="5"/>
        <v>2000</v>
      </c>
      <c r="H36" s="27">
        <f t="shared" si="0"/>
        <v>0</v>
      </c>
      <c r="I36" s="28"/>
      <c r="J36" s="29"/>
      <c r="K36" s="26">
        <f t="shared" si="4"/>
        <v>2000</v>
      </c>
      <c r="L36" s="27">
        <f t="shared" si="1"/>
        <v>0</v>
      </c>
      <c r="M36" s="28"/>
      <c r="N36" s="31">
        <f t="shared" si="2"/>
        <v>0</v>
      </c>
      <c r="O36" s="32" t="str">
        <f t="shared" si="3"/>
        <v/>
      </c>
    </row>
    <row r="37" spans="2:15" s="34" customFormat="1" x14ac:dyDescent="0.25">
      <c r="B37" s="35" t="s">
        <v>22</v>
      </c>
      <c r="C37" s="36"/>
      <c r="D37" s="37"/>
      <c r="E37" s="36"/>
      <c r="F37" s="38"/>
      <c r="G37" s="39"/>
      <c r="H37" s="40">
        <f>SUM(H21:H36)</f>
        <v>55.51</v>
      </c>
      <c r="I37" s="41"/>
      <c r="J37" s="42"/>
      <c r="K37" s="43"/>
      <c r="L37" s="40">
        <f>SUM(L21:L36)</f>
        <v>48.445191548721077</v>
      </c>
      <c r="M37" s="41"/>
      <c r="N37" s="44">
        <f t="shared" si="2"/>
        <v>-7.0648084512789211</v>
      </c>
      <c r="O37" s="45">
        <f t="shared" si="3"/>
        <v>-0.12727091427272422</v>
      </c>
    </row>
    <row r="38" spans="2:15" x14ac:dyDescent="0.25">
      <c r="B38" s="175"/>
      <c r="C38" s="22"/>
      <c r="D38" s="56" t="s">
        <v>60</v>
      </c>
      <c r="E38" s="24"/>
      <c r="F38" s="25"/>
      <c r="G38" s="26">
        <v>1</v>
      </c>
      <c r="H38" s="27">
        <f>G38*F38</f>
        <v>0</v>
      </c>
      <c r="I38" s="28"/>
      <c r="J38" s="173"/>
      <c r="K38" s="30">
        <v>1</v>
      </c>
      <c r="L38" s="27">
        <f>K38*J38</f>
        <v>0</v>
      </c>
      <c r="M38" s="28"/>
      <c r="N38" s="31">
        <f>L38-H38</f>
        <v>0</v>
      </c>
      <c r="O38" s="32" t="str">
        <f>IF((H38)=0,"",(N38/H38))</f>
        <v/>
      </c>
    </row>
    <row r="39" spans="2:15" x14ac:dyDescent="0.25">
      <c r="B39" s="296" t="s">
        <v>23</v>
      </c>
      <c r="C39" s="22"/>
      <c r="D39" s="56" t="s">
        <v>61</v>
      </c>
      <c r="E39" s="57"/>
      <c r="F39" s="29">
        <f>+'Res (100kWh)'!$F$39</f>
        <v>-1.4E-3</v>
      </c>
      <c r="G39" s="26">
        <f>$F$16</f>
        <v>2000</v>
      </c>
      <c r="H39" s="27">
        <f t="shared" ref="H39:H45" si="6">G39*F39</f>
        <v>-2.8</v>
      </c>
      <c r="I39" s="28"/>
      <c r="J39" s="29">
        <f>+'Res (100kWh)'!$J$39</f>
        <v>2.0000000000000009E-4</v>
      </c>
      <c r="K39" s="26">
        <f>$F$16</f>
        <v>2000</v>
      </c>
      <c r="L39" s="27">
        <f t="shared" ref="L39:L45" si="7">K39*J39</f>
        <v>0.40000000000000019</v>
      </c>
      <c r="M39" s="28"/>
      <c r="N39" s="31">
        <f t="shared" si="2"/>
        <v>3.2</v>
      </c>
      <c r="O39" s="32">
        <f t="shared" si="3"/>
        <v>-1.142857142857143</v>
      </c>
    </row>
    <row r="40" spans="2:15" x14ac:dyDescent="0.25">
      <c r="B40" s="46"/>
      <c r="C40" s="22"/>
      <c r="D40" s="23" t="s">
        <v>61</v>
      </c>
      <c r="E40" s="24"/>
      <c r="F40" s="25"/>
      <c r="G40" s="26">
        <f>$F$16</f>
        <v>2000</v>
      </c>
      <c r="H40" s="27">
        <f t="shared" si="6"/>
        <v>0</v>
      </c>
      <c r="I40" s="47"/>
      <c r="J40" s="29"/>
      <c r="K40" s="26">
        <f>$F$16</f>
        <v>2000</v>
      </c>
      <c r="L40" s="27">
        <f t="shared" si="7"/>
        <v>0</v>
      </c>
      <c r="M40" s="48"/>
      <c r="N40" s="31">
        <f t="shared" si="2"/>
        <v>0</v>
      </c>
      <c r="O40" s="32" t="str">
        <f t="shared" si="3"/>
        <v/>
      </c>
    </row>
    <row r="41" spans="2:15" x14ac:dyDescent="0.25">
      <c r="B41" s="46"/>
      <c r="C41" s="22"/>
      <c r="D41" s="23" t="s">
        <v>61</v>
      </c>
      <c r="E41" s="24"/>
      <c r="F41" s="25"/>
      <c r="G41" s="26">
        <f>$F$16</f>
        <v>2000</v>
      </c>
      <c r="H41" s="27">
        <f t="shared" si="6"/>
        <v>0</v>
      </c>
      <c r="I41" s="47"/>
      <c r="J41" s="29"/>
      <c r="K41" s="26">
        <f>$F$16</f>
        <v>2000</v>
      </c>
      <c r="L41" s="27">
        <f t="shared" si="7"/>
        <v>0</v>
      </c>
      <c r="M41" s="48"/>
      <c r="N41" s="31">
        <f t="shared" si="2"/>
        <v>0</v>
      </c>
      <c r="O41" s="32" t="str">
        <f t="shared" si="3"/>
        <v/>
      </c>
    </row>
    <row r="42" spans="2:15" x14ac:dyDescent="0.25">
      <c r="B42" s="46"/>
      <c r="C42" s="22"/>
      <c r="D42" s="23"/>
      <c r="E42" s="24"/>
      <c r="F42" s="25"/>
      <c r="G42" s="26">
        <f>$F$16</f>
        <v>2000</v>
      </c>
      <c r="H42" s="27">
        <f t="shared" si="6"/>
        <v>0</v>
      </c>
      <c r="I42" s="47"/>
      <c r="J42" s="29"/>
      <c r="K42" s="26">
        <f>$F$16</f>
        <v>2000</v>
      </c>
      <c r="L42" s="27">
        <f t="shared" si="7"/>
        <v>0</v>
      </c>
      <c r="M42" s="48"/>
      <c r="N42" s="31">
        <f t="shared" si="2"/>
        <v>0</v>
      </c>
      <c r="O42" s="32" t="str">
        <f t="shared" si="3"/>
        <v/>
      </c>
    </row>
    <row r="43" spans="2:15" x14ac:dyDescent="0.25">
      <c r="B43" s="49" t="s">
        <v>24</v>
      </c>
      <c r="C43" s="22"/>
      <c r="D43" s="23" t="s">
        <v>61</v>
      </c>
      <c r="E43" s="24"/>
      <c r="F43" s="25">
        <f>+'Res (100kWh)'!$F$43</f>
        <v>1E-4</v>
      </c>
      <c r="G43" s="26">
        <f>$F$16</f>
        <v>2000</v>
      </c>
      <c r="H43" s="27">
        <f t="shared" si="6"/>
        <v>0.2</v>
      </c>
      <c r="I43" s="28"/>
      <c r="J43" s="29">
        <f>+'Res (100kWh)'!$J$43</f>
        <v>2.0000000000000001E-4</v>
      </c>
      <c r="K43" s="26">
        <f>$F$16</f>
        <v>2000</v>
      </c>
      <c r="L43" s="27">
        <f t="shared" si="7"/>
        <v>0.4</v>
      </c>
      <c r="M43" s="28"/>
      <c r="N43" s="31">
        <f t="shared" si="2"/>
        <v>0.2</v>
      </c>
      <c r="O43" s="32">
        <f t="shared" si="3"/>
        <v>1</v>
      </c>
    </row>
    <row r="44" spans="2:15" s="34" customFormat="1" x14ac:dyDescent="0.25">
      <c r="B44" s="181" t="s">
        <v>25</v>
      </c>
      <c r="C44" s="24"/>
      <c r="D44" s="182" t="s">
        <v>61</v>
      </c>
      <c r="E44" s="24"/>
      <c r="F44" s="183">
        <f>IF(ISBLANK(D14)=TRUE, 0, IF(D14="TOU", 0.64*$F$54+0.18*$F$55+0.18*$F$56, IF(AND(D14="non-TOU", G58&gt;0), F58,F57)))</f>
        <v>9.5000000000000001E-2</v>
      </c>
      <c r="G44" s="26">
        <f>$F$16*(1+$F$73)-$F$16</f>
        <v>80.800000000000182</v>
      </c>
      <c r="H44" s="184">
        <f t="shared" si="6"/>
        <v>7.676000000000017</v>
      </c>
      <c r="I44" s="57"/>
      <c r="J44" s="185">
        <f>0.64*$F$54+0.18*$F$55+0.18*$F$56</f>
        <v>9.5000000000000001E-2</v>
      </c>
      <c r="K44" s="26">
        <f>$F$16*(1+$J$73)-$F$16</f>
        <v>72.400000000000091</v>
      </c>
      <c r="L44" s="184">
        <f t="shared" si="7"/>
        <v>6.878000000000009</v>
      </c>
      <c r="M44" s="57"/>
      <c r="N44" s="186">
        <f t="shared" si="2"/>
        <v>-0.79800000000000804</v>
      </c>
      <c r="O44" s="187">
        <f t="shared" si="3"/>
        <v>-0.10396039603960477</v>
      </c>
    </row>
    <row r="45" spans="2:15" ht="14.45" x14ac:dyDescent="0.3">
      <c r="B45" s="49" t="s">
        <v>26</v>
      </c>
      <c r="C45" s="22"/>
      <c r="D45" s="23" t="s">
        <v>60</v>
      </c>
      <c r="E45" s="24"/>
      <c r="F45" s="174">
        <f>+'Res (100kWh)'!$F$45</f>
        <v>0.79</v>
      </c>
      <c r="G45" s="26">
        <v>1</v>
      </c>
      <c r="H45" s="27">
        <f t="shared" si="6"/>
        <v>0.79</v>
      </c>
      <c r="I45" s="28"/>
      <c r="J45" s="174">
        <f>+'Res (100kWh)'!$J$45</f>
        <v>0.79</v>
      </c>
      <c r="K45" s="26">
        <v>1</v>
      </c>
      <c r="L45" s="27">
        <f t="shared" si="7"/>
        <v>0.79</v>
      </c>
      <c r="M45" s="28"/>
      <c r="N45" s="31">
        <f t="shared" si="2"/>
        <v>0</v>
      </c>
      <c r="O45" s="32"/>
    </row>
    <row r="46" spans="2:15" ht="14.45" x14ac:dyDescent="0.3">
      <c r="B46" s="50" t="s">
        <v>27</v>
      </c>
      <c r="C46" s="51"/>
      <c r="D46" s="51"/>
      <c r="E46" s="51"/>
      <c r="F46" s="52"/>
      <c r="G46" s="53"/>
      <c r="H46" s="54">
        <f>SUM(H38:H45)+H37</f>
        <v>61.376000000000019</v>
      </c>
      <c r="I46" s="41"/>
      <c r="J46" s="53"/>
      <c r="K46" s="55"/>
      <c r="L46" s="54">
        <f>SUM(L38:L45)+L37</f>
        <v>56.913191548721088</v>
      </c>
      <c r="M46" s="41"/>
      <c r="N46" s="44">
        <f t="shared" si="2"/>
        <v>-4.4628084512789314</v>
      </c>
      <c r="O46" s="45">
        <f t="shared" ref="O46:O64" si="8">IF((H46)=0,"",(N46/H46))</f>
        <v>-7.2712598593569641E-2</v>
      </c>
    </row>
    <row r="47" spans="2:15" ht="14.45" x14ac:dyDescent="0.3">
      <c r="B47" s="28" t="s">
        <v>28</v>
      </c>
      <c r="C47" s="28"/>
      <c r="D47" s="56" t="s">
        <v>61</v>
      </c>
      <c r="E47" s="57"/>
      <c r="F47" s="29">
        <f>+'Res (100kWh)'!$F$47</f>
        <v>7.6E-3</v>
      </c>
      <c r="G47" s="69">
        <f>F16*(1+F73)</f>
        <v>2080.8000000000002</v>
      </c>
      <c r="H47" s="27">
        <f>G47*F47</f>
        <v>15.814080000000001</v>
      </c>
      <c r="I47" s="28"/>
      <c r="J47" s="263">
        <f>+'Res (100kWh)'!$J$47</f>
        <v>7.4000000000000003E-3</v>
      </c>
      <c r="K47" s="70">
        <f>F16*(1+J73)</f>
        <v>2072.4</v>
      </c>
      <c r="L47" s="27">
        <f>K47*J47</f>
        <v>15.335760000000001</v>
      </c>
      <c r="M47" s="28"/>
      <c r="N47" s="31">
        <f t="shared" si="2"/>
        <v>-0.47832000000000008</v>
      </c>
      <c r="O47" s="32">
        <f t="shared" si="8"/>
        <v>-3.0246463910641661E-2</v>
      </c>
    </row>
    <row r="48" spans="2:15" ht="14.45" x14ac:dyDescent="0.3">
      <c r="B48" s="59" t="s">
        <v>29</v>
      </c>
      <c r="C48" s="28"/>
      <c r="D48" s="56" t="s">
        <v>61</v>
      </c>
      <c r="E48" s="57"/>
      <c r="F48" s="29">
        <f>+'Res (100kWh)'!$F$48</f>
        <v>2.3E-3</v>
      </c>
      <c r="G48" s="69">
        <f>G47</f>
        <v>2080.8000000000002</v>
      </c>
      <c r="H48" s="27">
        <f>G48*F48</f>
        <v>4.7858400000000003</v>
      </c>
      <c r="I48" s="28"/>
      <c r="J48" s="263">
        <f>+'Res (100kWh)'!$J$48</f>
        <v>2.3E-3</v>
      </c>
      <c r="K48" s="70">
        <f>K47</f>
        <v>2072.4</v>
      </c>
      <c r="L48" s="27">
        <f>K48*J48</f>
        <v>4.7665199999999999</v>
      </c>
      <c r="M48" s="28"/>
      <c r="N48" s="31">
        <f t="shared" si="2"/>
        <v>-1.9320000000000448E-2</v>
      </c>
      <c r="O48" s="32">
        <f t="shared" si="8"/>
        <v>-4.036908881199632E-3</v>
      </c>
    </row>
    <row r="49" spans="2:19" ht="14.45" x14ac:dyDescent="0.3">
      <c r="B49" s="50" t="s">
        <v>30</v>
      </c>
      <c r="C49" s="36"/>
      <c r="D49" s="36"/>
      <c r="E49" s="36"/>
      <c r="F49" s="60"/>
      <c r="G49" s="53"/>
      <c r="H49" s="54">
        <f>SUM(H46:H48)</f>
        <v>81.975920000000031</v>
      </c>
      <c r="I49" s="61"/>
      <c r="J49" s="62"/>
      <c r="K49" s="63"/>
      <c r="L49" s="54">
        <f>SUM(L46:L48)</f>
        <v>77.015471548721095</v>
      </c>
      <c r="M49" s="61"/>
      <c r="N49" s="44">
        <f t="shared" si="2"/>
        <v>-4.9604484512789355</v>
      </c>
      <c r="O49" s="45">
        <f t="shared" si="8"/>
        <v>-6.0511043380530941E-2</v>
      </c>
    </row>
    <row r="50" spans="2:19" ht="14.45" x14ac:dyDescent="0.3">
      <c r="B50" s="64" t="s">
        <v>31</v>
      </c>
      <c r="C50" s="22"/>
      <c r="D50" s="23" t="s">
        <v>61</v>
      </c>
      <c r="E50" s="24"/>
      <c r="F50" s="65">
        <f>+'Res (100kWh)'!$F$50</f>
        <v>4.4000000000000003E-3</v>
      </c>
      <c r="G50" s="69">
        <f>G48</f>
        <v>2080.8000000000002</v>
      </c>
      <c r="H50" s="66">
        <f t="shared" ref="H50:H56" si="9">G50*F50</f>
        <v>9.155520000000001</v>
      </c>
      <c r="I50" s="28"/>
      <c r="J50" s="263">
        <f>+'Res (100kWh)'!$J$50</f>
        <v>4.4000000000000003E-3</v>
      </c>
      <c r="K50" s="70">
        <f>K48</f>
        <v>2072.4</v>
      </c>
      <c r="L50" s="66">
        <f t="shared" ref="L50:L56" si="10">K50*J50</f>
        <v>9.1185600000000004</v>
      </c>
      <c r="M50" s="28"/>
      <c r="N50" s="31">
        <f t="shared" si="2"/>
        <v>-3.6960000000000548E-2</v>
      </c>
      <c r="O50" s="68">
        <f t="shared" si="8"/>
        <v>-4.0369088811995982E-3</v>
      </c>
    </row>
    <row r="51" spans="2:19" ht="14.45" x14ac:dyDescent="0.3">
      <c r="B51" s="64" t="s">
        <v>32</v>
      </c>
      <c r="C51" s="22"/>
      <c r="D51" s="23" t="s">
        <v>61</v>
      </c>
      <c r="E51" s="24"/>
      <c r="F51" s="65">
        <f>+'Res (100kWh)'!$F$51</f>
        <v>1.2999999999999999E-3</v>
      </c>
      <c r="G51" s="69">
        <f>G48</f>
        <v>2080.8000000000002</v>
      </c>
      <c r="H51" s="66">
        <f t="shared" si="9"/>
        <v>2.7050400000000003</v>
      </c>
      <c r="I51" s="28"/>
      <c r="J51" s="263">
        <f>+'Res (100kWh)'!$J$51</f>
        <v>1.2999999999999999E-3</v>
      </c>
      <c r="K51" s="70">
        <f>K48</f>
        <v>2072.4</v>
      </c>
      <c r="L51" s="66">
        <f t="shared" si="10"/>
        <v>2.6941199999999998</v>
      </c>
      <c r="M51" s="28"/>
      <c r="N51" s="31">
        <f t="shared" si="2"/>
        <v>-1.0920000000000485E-2</v>
      </c>
      <c r="O51" s="68">
        <f t="shared" si="8"/>
        <v>-4.036908881199717E-3</v>
      </c>
    </row>
    <row r="52" spans="2:19" ht="14.45" x14ac:dyDescent="0.3">
      <c r="B52" s="22" t="s">
        <v>33</v>
      </c>
      <c r="C52" s="22"/>
      <c r="D52" s="23" t="s">
        <v>60</v>
      </c>
      <c r="E52" s="24"/>
      <c r="F52" s="176">
        <f>+'Res (100kWh)'!$F$52</f>
        <v>0.25</v>
      </c>
      <c r="G52" s="26">
        <v>1</v>
      </c>
      <c r="H52" s="66">
        <f t="shared" si="9"/>
        <v>0.25</v>
      </c>
      <c r="I52" s="28"/>
      <c r="J52" s="283">
        <f>+'Res (100kWh)'!$J$52</f>
        <v>0.25</v>
      </c>
      <c r="K52" s="30">
        <v>1</v>
      </c>
      <c r="L52" s="66">
        <f t="shared" si="10"/>
        <v>0.25</v>
      </c>
      <c r="M52" s="28"/>
      <c r="N52" s="31">
        <f t="shared" si="2"/>
        <v>0</v>
      </c>
      <c r="O52" s="68">
        <f t="shared" si="8"/>
        <v>0</v>
      </c>
    </row>
    <row r="53" spans="2:19" ht="14.45" x14ac:dyDescent="0.3">
      <c r="B53" s="24" t="s">
        <v>34</v>
      </c>
      <c r="C53" s="22"/>
      <c r="D53" s="23" t="s">
        <v>61</v>
      </c>
      <c r="E53" s="24"/>
      <c r="F53" s="65">
        <f>+'Res (100kWh)'!$F$53</f>
        <v>7.0000000000000001E-3</v>
      </c>
      <c r="G53" s="69">
        <f>F16</f>
        <v>2000</v>
      </c>
      <c r="H53" s="66">
        <f t="shared" si="9"/>
        <v>14</v>
      </c>
      <c r="I53" s="28"/>
      <c r="J53" s="263">
        <f>+'Res (100kWh)'!$J$53</f>
        <v>7.0000000000000001E-3</v>
      </c>
      <c r="K53" s="70">
        <f>F16</f>
        <v>2000</v>
      </c>
      <c r="L53" s="66">
        <f t="shared" si="10"/>
        <v>14</v>
      </c>
      <c r="M53" s="28"/>
      <c r="N53" s="31">
        <f t="shared" si="2"/>
        <v>0</v>
      </c>
      <c r="O53" s="68">
        <f t="shared" si="8"/>
        <v>0</v>
      </c>
    </row>
    <row r="54" spans="2:19" ht="14.45" x14ac:dyDescent="0.3">
      <c r="B54" s="49" t="s">
        <v>35</v>
      </c>
      <c r="C54" s="22"/>
      <c r="D54" s="23" t="s">
        <v>61</v>
      </c>
      <c r="E54" s="24"/>
      <c r="F54" s="71">
        <f>+'Res (100kWh)'!$F$54</f>
        <v>7.6999999999999999E-2</v>
      </c>
      <c r="G54" s="69">
        <f>0.64*$F$16</f>
        <v>1280</v>
      </c>
      <c r="H54" s="66">
        <f t="shared" si="9"/>
        <v>98.56</v>
      </c>
      <c r="I54" s="28"/>
      <c r="J54" s="263">
        <f>+'Res (100kWh)'!$J$54</f>
        <v>7.6999999999999999E-2</v>
      </c>
      <c r="K54" s="69">
        <f>G54</f>
        <v>1280</v>
      </c>
      <c r="L54" s="66">
        <f t="shared" si="10"/>
        <v>98.56</v>
      </c>
      <c r="M54" s="28"/>
      <c r="N54" s="31">
        <f t="shared" si="2"/>
        <v>0</v>
      </c>
      <c r="O54" s="68">
        <f t="shared" si="8"/>
        <v>0</v>
      </c>
      <c r="S54" s="72"/>
    </row>
    <row r="55" spans="2:19" ht="14.45" x14ac:dyDescent="0.3">
      <c r="B55" s="49" t="s">
        <v>36</v>
      </c>
      <c r="C55" s="22"/>
      <c r="D55" s="23" t="s">
        <v>61</v>
      </c>
      <c r="E55" s="24"/>
      <c r="F55" s="71">
        <f>+'Res (100kWh)'!$F$55</f>
        <v>0.114</v>
      </c>
      <c r="G55" s="69">
        <f>0.18*$F$16</f>
        <v>360</v>
      </c>
      <c r="H55" s="66">
        <f t="shared" si="9"/>
        <v>41.04</v>
      </c>
      <c r="I55" s="28"/>
      <c r="J55" s="263">
        <f>+'Res (100kWh)'!$J$55</f>
        <v>0.114</v>
      </c>
      <c r="K55" s="69">
        <f>G55</f>
        <v>360</v>
      </c>
      <c r="L55" s="66">
        <f t="shared" si="10"/>
        <v>41.04</v>
      </c>
      <c r="M55" s="28"/>
      <c r="N55" s="31">
        <f t="shared" si="2"/>
        <v>0</v>
      </c>
      <c r="O55" s="68">
        <f t="shared" si="8"/>
        <v>0</v>
      </c>
      <c r="S55" s="72"/>
    </row>
    <row r="56" spans="2:19" ht="14.45" x14ac:dyDescent="0.3">
      <c r="B56" s="12" t="s">
        <v>37</v>
      </c>
      <c r="C56" s="22"/>
      <c r="D56" s="23" t="s">
        <v>61</v>
      </c>
      <c r="E56" s="24"/>
      <c r="F56" s="71">
        <f>+'Res (100kWh)'!$F$56</f>
        <v>0.14000000000000001</v>
      </c>
      <c r="G56" s="69">
        <f>0.18*$F$16</f>
        <v>360</v>
      </c>
      <c r="H56" s="66">
        <f t="shared" si="9"/>
        <v>50.400000000000006</v>
      </c>
      <c r="I56" s="28"/>
      <c r="J56" s="263">
        <f>+'Res (100kWh)'!$J$56</f>
        <v>0.14000000000000001</v>
      </c>
      <c r="K56" s="69">
        <f>G56</f>
        <v>360</v>
      </c>
      <c r="L56" s="66">
        <f t="shared" si="10"/>
        <v>50.400000000000006</v>
      </c>
      <c r="M56" s="28"/>
      <c r="N56" s="31">
        <f t="shared" si="2"/>
        <v>0</v>
      </c>
      <c r="O56" s="68">
        <f t="shared" si="8"/>
        <v>0</v>
      </c>
      <c r="S56" s="72"/>
    </row>
    <row r="57" spans="2:19" s="73" customFormat="1" ht="14.45" x14ac:dyDescent="0.25">
      <c r="B57" s="74" t="s">
        <v>38</v>
      </c>
      <c r="C57" s="75"/>
      <c r="D57" s="76" t="s">
        <v>61</v>
      </c>
      <c r="E57" s="77"/>
      <c r="F57" s="71">
        <f>+'Res (100kWh)'!$F$57</f>
        <v>8.7999999999999995E-2</v>
      </c>
      <c r="G57" s="78">
        <f>IF(AND($T$1=1, F16&gt;=600), 600, IF(AND($T$1=1, AND(F16&lt;600, F16&gt;=0)), F16, IF(AND($T$1=2, F16&gt;=1000), 1000, IF(AND($T$1=2, AND(F16&lt;1000, F16&gt;=0)), F16))))</f>
        <v>600</v>
      </c>
      <c r="H57" s="66">
        <f>G57*F57</f>
        <v>52.8</v>
      </c>
      <c r="I57" s="79"/>
      <c r="J57" s="263">
        <f>+'Res (100kWh)'!$J$57</f>
        <v>8.7999999999999995E-2</v>
      </c>
      <c r="K57" s="78">
        <f>G57</f>
        <v>600</v>
      </c>
      <c r="L57" s="66">
        <f>K57*J57</f>
        <v>52.8</v>
      </c>
      <c r="M57" s="79"/>
      <c r="N57" s="80">
        <f t="shared" si="2"/>
        <v>0</v>
      </c>
      <c r="O57" s="68">
        <f t="shared" si="8"/>
        <v>0</v>
      </c>
    </row>
    <row r="58" spans="2:19" s="73" customFormat="1" thickBot="1" x14ac:dyDescent="0.3">
      <c r="B58" s="74" t="s">
        <v>39</v>
      </c>
      <c r="C58" s="75"/>
      <c r="D58" s="76" t="s">
        <v>61</v>
      </c>
      <c r="E58" s="77"/>
      <c r="F58" s="71">
        <f>+'Res (100kWh)'!$F$58</f>
        <v>0.10299999999999999</v>
      </c>
      <c r="G58" s="78">
        <f>IF(AND($T$1=1, F16&gt;=600), F16-600, IF(AND($T$1=1, AND(F16&lt;600, F16&gt;=0)), 0, IF(AND($T$1=2, F16&gt;=1000), F16-1000, IF(AND($T$1=2, AND(F16&lt;1000, F16&gt;=0)), 0))))</f>
        <v>1400</v>
      </c>
      <c r="H58" s="66">
        <f>G58*F58</f>
        <v>144.19999999999999</v>
      </c>
      <c r="I58" s="79"/>
      <c r="J58" s="263">
        <f>+'Res (100kWh)'!$J$58</f>
        <v>0.10299999999999999</v>
      </c>
      <c r="K58" s="78">
        <f>G58</f>
        <v>1400</v>
      </c>
      <c r="L58" s="66">
        <f>K58*J58</f>
        <v>144.19999999999999</v>
      </c>
      <c r="M58" s="79"/>
      <c r="N58" s="80">
        <f t="shared" si="2"/>
        <v>0</v>
      </c>
      <c r="O58" s="68">
        <f t="shared" si="8"/>
        <v>0</v>
      </c>
    </row>
    <row r="59" spans="2:19" ht="8.25" customHeight="1" thickBot="1" x14ac:dyDescent="0.35">
      <c r="B59" s="81"/>
      <c r="C59" s="82"/>
      <c r="D59" s="83"/>
      <c r="E59" s="82"/>
      <c r="F59" s="84"/>
      <c r="G59" s="85"/>
      <c r="H59" s="86"/>
      <c r="I59" s="87"/>
      <c r="J59" s="84"/>
      <c r="K59" s="88"/>
      <c r="L59" s="86"/>
      <c r="M59" s="87"/>
      <c r="N59" s="89"/>
      <c r="O59" s="90"/>
    </row>
    <row r="60" spans="2:19" x14ac:dyDescent="0.25">
      <c r="B60" s="91" t="s">
        <v>40</v>
      </c>
      <c r="C60" s="22"/>
      <c r="D60" s="22"/>
      <c r="E60" s="22"/>
      <c r="F60" s="92"/>
      <c r="G60" s="93"/>
      <c r="H60" s="94">
        <f>SUM(H50:H56,H49)</f>
        <v>298.08648000000005</v>
      </c>
      <c r="I60" s="95"/>
      <c r="J60" s="96"/>
      <c r="K60" s="96"/>
      <c r="L60" s="190">
        <f>SUM(L50:L56,L49)</f>
        <v>293.07815154872111</v>
      </c>
      <c r="M60" s="97"/>
      <c r="N60" s="98">
        <f>L60-H60</f>
        <v>-5.0083284512789419</v>
      </c>
      <c r="O60" s="99">
        <f>IF((H60)=0,"",(N60/H60))</f>
        <v>-1.6801595467459445E-2</v>
      </c>
      <c r="S60" s="72"/>
    </row>
    <row r="61" spans="2:19" x14ac:dyDescent="0.25">
      <c r="B61" s="100" t="s">
        <v>41</v>
      </c>
      <c r="C61" s="22"/>
      <c r="D61" s="22"/>
      <c r="E61" s="22"/>
      <c r="F61" s="101">
        <v>0.13</v>
      </c>
      <c r="G61" s="102"/>
      <c r="H61" s="103">
        <f>H60*F61</f>
        <v>38.75124240000001</v>
      </c>
      <c r="I61" s="104"/>
      <c r="J61" s="105">
        <v>0.13</v>
      </c>
      <c r="K61" s="104"/>
      <c r="L61" s="106">
        <f>L60*J61</f>
        <v>38.100159701333745</v>
      </c>
      <c r="M61" s="107"/>
      <c r="N61" s="108">
        <f t="shared" si="2"/>
        <v>-0.651082698666265</v>
      </c>
      <c r="O61" s="109">
        <f t="shared" si="8"/>
        <v>-1.6801595467459511E-2</v>
      </c>
      <c r="S61" s="72"/>
    </row>
    <row r="62" spans="2:19" x14ac:dyDescent="0.25">
      <c r="B62" s="110" t="s">
        <v>42</v>
      </c>
      <c r="C62" s="22"/>
      <c r="D62" s="22"/>
      <c r="E62" s="22"/>
      <c r="F62" s="111"/>
      <c r="G62" s="102"/>
      <c r="H62" s="103">
        <f>H60+H61</f>
        <v>336.83772240000008</v>
      </c>
      <c r="I62" s="104"/>
      <c r="J62" s="104"/>
      <c r="K62" s="104"/>
      <c r="L62" s="106">
        <f>L60+L61</f>
        <v>331.17831125005483</v>
      </c>
      <c r="M62" s="107"/>
      <c r="N62" s="108">
        <f t="shared" si="2"/>
        <v>-5.6594111499452424</v>
      </c>
      <c r="O62" s="109">
        <f t="shared" si="8"/>
        <v>-1.680159546745956E-2</v>
      </c>
      <c r="S62" s="72"/>
    </row>
    <row r="63" spans="2:19" ht="15.75" customHeight="1" x14ac:dyDescent="0.25">
      <c r="B63" s="383" t="s">
        <v>43</v>
      </c>
      <c r="C63" s="383"/>
      <c r="D63" s="383"/>
      <c r="E63" s="22"/>
      <c r="F63" s="111"/>
      <c r="G63" s="102"/>
      <c r="H63" s="112">
        <f>ROUND(-H62*10%,2)</f>
        <v>-33.68</v>
      </c>
      <c r="I63" s="104"/>
      <c r="J63" s="104"/>
      <c r="K63" s="104"/>
      <c r="L63" s="113">
        <f>ROUND(-L62*10%,2)</f>
        <v>-33.119999999999997</v>
      </c>
      <c r="M63" s="107"/>
      <c r="N63" s="114">
        <f t="shared" si="2"/>
        <v>0.56000000000000227</v>
      </c>
      <c r="O63" s="115">
        <f t="shared" si="8"/>
        <v>-1.6627078384798169E-2</v>
      </c>
    </row>
    <row r="64" spans="2:19" ht="15.75" thickBot="1" x14ac:dyDescent="0.3">
      <c r="B64" s="384" t="s">
        <v>44</v>
      </c>
      <c r="C64" s="384"/>
      <c r="D64" s="384"/>
      <c r="E64" s="116"/>
      <c r="F64" s="117"/>
      <c r="G64" s="118"/>
      <c r="H64" s="119">
        <f>H62+H63</f>
        <v>303.15772240000007</v>
      </c>
      <c r="I64" s="120"/>
      <c r="J64" s="120"/>
      <c r="K64" s="120"/>
      <c r="L64" s="121">
        <f>L62+L63</f>
        <v>298.05831125005483</v>
      </c>
      <c r="M64" s="122"/>
      <c r="N64" s="123">
        <f t="shared" si="2"/>
        <v>-5.0994111499452401</v>
      </c>
      <c r="O64" s="124">
        <f t="shared" si="8"/>
        <v>-1.6820983841595319E-2</v>
      </c>
    </row>
    <row r="65" spans="1:15" s="73" customFormat="1" ht="8.25" customHeight="1" thickBot="1" x14ac:dyDescent="0.25">
      <c r="B65" s="125"/>
      <c r="C65" s="126"/>
      <c r="D65" s="127"/>
      <c r="E65" s="126"/>
      <c r="F65" s="84"/>
      <c r="G65" s="128"/>
      <c r="H65" s="86"/>
      <c r="I65" s="129"/>
      <c r="J65" s="84"/>
      <c r="K65" s="130"/>
      <c r="L65" s="86"/>
      <c r="M65" s="129"/>
      <c r="N65" s="131"/>
      <c r="O65" s="90"/>
    </row>
    <row r="66" spans="1:15" s="73" customFormat="1" ht="12.75" x14ac:dyDescent="0.2">
      <c r="B66" s="132" t="s">
        <v>45</v>
      </c>
      <c r="C66" s="75"/>
      <c r="D66" s="75"/>
      <c r="E66" s="75"/>
      <c r="F66" s="133"/>
      <c r="G66" s="134"/>
      <c r="H66" s="135">
        <f>SUM(H57:H58,H49,H50:H53)</f>
        <v>305.08648000000005</v>
      </c>
      <c r="I66" s="136"/>
      <c r="J66" s="137"/>
      <c r="K66" s="137"/>
      <c r="L66" s="189">
        <f>SUM(L57:L58,L49,L50:L53)</f>
        <v>300.07815154872111</v>
      </c>
      <c r="M66" s="138"/>
      <c r="N66" s="139">
        <f>L66-H66</f>
        <v>-5.0083284512789419</v>
      </c>
      <c r="O66" s="99">
        <f>IF((H66)=0,"",(N66/H66))</f>
        <v>-1.6416094385037779E-2</v>
      </c>
    </row>
    <row r="67" spans="1:15" s="73" customFormat="1" ht="12.75" x14ac:dyDescent="0.2">
      <c r="B67" s="140" t="s">
        <v>41</v>
      </c>
      <c r="C67" s="75"/>
      <c r="D67" s="75"/>
      <c r="E67" s="75"/>
      <c r="F67" s="141">
        <v>0.13</v>
      </c>
      <c r="G67" s="134"/>
      <c r="H67" s="142">
        <f>H66*F67</f>
        <v>39.661242400000006</v>
      </c>
      <c r="I67" s="143"/>
      <c r="J67" s="144">
        <v>0.13</v>
      </c>
      <c r="K67" s="145"/>
      <c r="L67" s="146">
        <f>L66*J67</f>
        <v>39.010159701333748</v>
      </c>
      <c r="M67" s="147"/>
      <c r="N67" s="148">
        <f>L67-H67</f>
        <v>-0.6510826986662579</v>
      </c>
      <c r="O67" s="109">
        <f>IF((H67)=0,"",(N67/H67))</f>
        <v>-1.6416094385037668E-2</v>
      </c>
    </row>
    <row r="68" spans="1:15" s="73" customFormat="1" ht="12.75" x14ac:dyDescent="0.2">
      <c r="B68" s="149" t="s">
        <v>42</v>
      </c>
      <c r="C68" s="75"/>
      <c r="D68" s="75"/>
      <c r="E68" s="75"/>
      <c r="F68" s="150"/>
      <c r="G68" s="151"/>
      <c r="H68" s="142">
        <f>H66+H67</f>
        <v>344.74772240000004</v>
      </c>
      <c r="I68" s="143"/>
      <c r="J68" s="143"/>
      <c r="K68" s="143"/>
      <c r="L68" s="146">
        <f>L66+L67</f>
        <v>339.08831125005486</v>
      </c>
      <c r="M68" s="147"/>
      <c r="N68" s="148">
        <f>L68-H68</f>
        <v>-5.6594111499451856</v>
      </c>
      <c r="O68" s="109">
        <f>IF((H68)=0,"",(N68/H68))</f>
        <v>-1.6416094385037727E-2</v>
      </c>
    </row>
    <row r="69" spans="1:15" s="73" customFormat="1" ht="15.75" customHeight="1" x14ac:dyDescent="0.2">
      <c r="B69" s="385" t="s">
        <v>43</v>
      </c>
      <c r="C69" s="385"/>
      <c r="D69" s="385"/>
      <c r="E69" s="75"/>
      <c r="F69" s="150"/>
      <c r="G69" s="151"/>
      <c r="H69" s="152">
        <f>ROUND(-H68*10%,2)</f>
        <v>-34.47</v>
      </c>
      <c r="I69" s="143"/>
      <c r="J69" s="143"/>
      <c r="K69" s="143"/>
      <c r="L69" s="153">
        <f>ROUND(-L68*10%,2)</f>
        <v>-33.909999999999997</v>
      </c>
      <c r="M69" s="147"/>
      <c r="N69" s="154">
        <f>L69-H69</f>
        <v>0.56000000000000227</v>
      </c>
      <c r="O69" s="115">
        <f>IF((H69)=0,"",(N69/H69))</f>
        <v>-1.6246011024078976E-2</v>
      </c>
    </row>
    <row r="70" spans="1:15" s="73" customFormat="1" ht="13.5" thickBot="1" x14ac:dyDescent="0.25">
      <c r="B70" s="376" t="s">
        <v>46</v>
      </c>
      <c r="C70" s="376"/>
      <c r="D70" s="376"/>
      <c r="E70" s="155"/>
      <c r="F70" s="156"/>
      <c r="G70" s="157"/>
      <c r="H70" s="158">
        <f>SUM(H68:H69)</f>
        <v>310.27772240000002</v>
      </c>
      <c r="I70" s="159"/>
      <c r="J70" s="159"/>
      <c r="K70" s="159"/>
      <c r="L70" s="160">
        <f>SUM(L68:L69)</f>
        <v>305.17831125005489</v>
      </c>
      <c r="M70" s="161"/>
      <c r="N70" s="162">
        <f>L70-H70</f>
        <v>-5.0994111499451265</v>
      </c>
      <c r="O70" s="163">
        <f>IF((H70)=0,"",(N70/H70))</f>
        <v>-1.6434989629616818E-2</v>
      </c>
    </row>
    <row r="71" spans="1:15" s="73" customFormat="1" ht="8.25" customHeight="1" thickBot="1" x14ac:dyDescent="0.25">
      <c r="B71" s="125"/>
      <c r="C71" s="126"/>
      <c r="D71" s="127"/>
      <c r="E71" s="126"/>
      <c r="F71" s="164"/>
      <c r="G71" s="165"/>
      <c r="H71" s="166"/>
      <c r="I71" s="167"/>
      <c r="J71" s="164"/>
      <c r="K71" s="128"/>
      <c r="L71" s="168"/>
      <c r="M71" s="129"/>
      <c r="N71" s="169"/>
      <c r="O71" s="90"/>
    </row>
    <row r="72" spans="1:15" ht="10.5" customHeight="1" x14ac:dyDescent="0.25">
      <c r="L72" s="72"/>
    </row>
    <row r="73" spans="1:15" x14ac:dyDescent="0.25">
      <c r="B73" s="13" t="s">
        <v>47</v>
      </c>
      <c r="F73" s="170">
        <f>+'Res (100kWh)'!$F$73</f>
        <v>4.0399999999999998E-2</v>
      </c>
      <c r="J73" s="170">
        <f>+'Res (100kWh)'!$J$73</f>
        <v>3.6200000000000003E-2</v>
      </c>
    </row>
    <row r="74" spans="1:15" ht="10.5" customHeight="1" x14ac:dyDescent="0.25"/>
    <row r="75" spans="1:15" x14ac:dyDescent="0.25">
      <c r="A75" s="171" t="s">
        <v>48</v>
      </c>
    </row>
    <row r="76" spans="1:15" ht="10.5" customHeight="1" x14ac:dyDescent="0.25"/>
    <row r="77" spans="1:15" x14ac:dyDescent="0.25">
      <c r="A77" s="7" t="s">
        <v>49</v>
      </c>
    </row>
    <row r="78" spans="1:15" x14ac:dyDescent="0.25">
      <c r="A78" s="7" t="s">
        <v>50</v>
      </c>
    </row>
    <row r="80" spans="1:15" x14ac:dyDescent="0.25">
      <c r="A80" s="12" t="s">
        <v>51</v>
      </c>
    </row>
    <row r="81" spans="1:2" x14ac:dyDescent="0.25">
      <c r="A81" s="12" t="s">
        <v>52</v>
      </c>
    </row>
    <row r="83" spans="1:2" x14ac:dyDescent="0.25">
      <c r="A83" s="7" t="s">
        <v>53</v>
      </c>
    </row>
    <row r="84" spans="1:2" x14ac:dyDescent="0.25">
      <c r="A84" s="7" t="s">
        <v>54</v>
      </c>
    </row>
    <row r="85" spans="1:2" x14ac:dyDescent="0.25">
      <c r="A85" s="7" t="s">
        <v>55</v>
      </c>
    </row>
    <row r="86" spans="1:2" x14ac:dyDescent="0.25">
      <c r="A86" s="7" t="s">
        <v>56</v>
      </c>
    </row>
    <row r="87" spans="1:2" x14ac:dyDescent="0.25">
      <c r="A87" s="7" t="s">
        <v>57</v>
      </c>
    </row>
    <row r="89" spans="1:2" x14ac:dyDescent="0.25">
      <c r="A89" s="172"/>
      <c r="B89" s="7" t="s">
        <v>58</v>
      </c>
    </row>
  </sheetData>
  <mergeCells count="17">
    <mergeCell ref="B70:D70"/>
    <mergeCell ref="D19:D20"/>
    <mergeCell ref="N19:N20"/>
    <mergeCell ref="O19:O20"/>
    <mergeCell ref="B63:D63"/>
    <mergeCell ref="B64:D64"/>
    <mergeCell ref="B69:D69"/>
    <mergeCell ref="D12:O12"/>
    <mergeCell ref="F18:H18"/>
    <mergeCell ref="N1:O1"/>
    <mergeCell ref="N2:O2"/>
    <mergeCell ref="N5:O5"/>
    <mergeCell ref="B8:O8"/>
    <mergeCell ref="B9:O9"/>
    <mergeCell ref="J18:L18"/>
    <mergeCell ref="N18:O18"/>
    <mergeCell ref="N3:O3"/>
  </mergeCells>
  <dataValidations count="4">
    <dataValidation type="list" allowBlank="1" showInputMessage="1" showErrorMessage="1" sqref="E47:E48 E50:E56 E59 E38:E45 E21:E36">
      <formula1>#REF!</formula1>
    </dataValidation>
    <dataValidation type="list" allowBlank="1" showInputMessage="1" showErrorMessage="1" prompt="Select Charge Unit - monthly, per kWh, per kW" sqref="D47:D48 D65 D71 D50:D59 D38:D45 D21:D36">
      <formula1>"Monthly, per kWh, per kW"</formula1>
    </dataValidation>
    <dataValidation type="list" allowBlank="1" showInputMessage="1" showErrorMessage="1" sqref="E71 E65 E57:E58">
      <formula1>#REF!</formula1>
    </dataValidation>
    <dataValidation type="list" allowBlank="1" showInputMessage="1" showErrorMessage="1" sqref="D14">
      <formula1>"TOU, non-TOU"</formula1>
    </dataValidation>
  </dataValidations>
  <pageMargins left="0.7" right="0.7" top="0.75" bottom="0.75" header="0.3" footer="0.3"/>
  <pageSetup scale="59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T89"/>
  <sheetViews>
    <sheetView showGridLines="0" topLeftCell="B9" workbookViewId="0">
      <selection activeCell="J39" sqref="J39"/>
    </sheetView>
  </sheetViews>
  <sheetFormatPr defaultColWidth="9.140625" defaultRowHeight="15" x14ac:dyDescent="0.25"/>
  <cols>
    <col min="1" max="1" width="2.140625" style="7" customWidth="1"/>
    <col min="2" max="2" width="44.5703125" style="7" customWidth="1"/>
    <col min="3" max="3" width="1.28515625" style="7" customWidth="1"/>
    <col min="4" max="4" width="11.28515625" style="7" customWidth="1"/>
    <col min="5" max="5" width="1.28515625" style="7" customWidth="1"/>
    <col min="6" max="6" width="12.28515625" style="7" customWidth="1"/>
    <col min="7" max="7" width="8.5703125" style="7" customWidth="1"/>
    <col min="8" max="8" width="9.7109375" style="7" customWidth="1"/>
    <col min="9" max="9" width="2.85546875" style="7" customWidth="1"/>
    <col min="10" max="10" width="12.140625" style="7" customWidth="1"/>
    <col min="11" max="11" width="8.5703125" style="7" customWidth="1"/>
    <col min="12" max="12" width="9.7109375" style="7" customWidth="1"/>
    <col min="13" max="13" width="2.85546875" style="7" customWidth="1"/>
    <col min="14" max="14" width="12.7109375" style="7" bestFit="1" customWidth="1"/>
    <col min="15" max="15" width="10.85546875" style="7" bestFit="1" customWidth="1"/>
    <col min="16" max="16" width="9.7109375" style="7" customWidth="1"/>
    <col min="17" max="19" width="9.140625" style="7"/>
    <col min="20" max="20" width="9.140625" style="7" customWidth="1"/>
    <col min="21" max="16384" width="9.140625" style="7"/>
  </cols>
  <sheetData>
    <row r="1" spans="1:20" s="2" customFormat="1" ht="15" customHeigh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3" t="s">
        <v>0</v>
      </c>
      <c r="N1" s="368" t="s">
        <v>94</v>
      </c>
      <c r="O1" s="368"/>
      <c r="P1" s="192"/>
      <c r="T1" s="2">
        <v>1</v>
      </c>
    </row>
    <row r="2" spans="1:20" s="2" customFormat="1" ht="15" customHeight="1" x14ac:dyDescent="0.3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3" t="s">
        <v>95</v>
      </c>
      <c r="N2" s="369">
        <v>8</v>
      </c>
      <c r="O2" s="369"/>
      <c r="P2" s="193"/>
    </row>
    <row r="3" spans="1:20" s="2" customFormat="1" ht="15" customHeight="1" x14ac:dyDescent="0.3">
      <c r="C3" s="6"/>
      <c r="D3" s="6"/>
      <c r="E3" s="6"/>
      <c r="L3" s="3" t="s">
        <v>96</v>
      </c>
      <c r="N3" s="370" t="s">
        <v>97</v>
      </c>
      <c r="O3" s="370"/>
      <c r="P3" s="192"/>
    </row>
    <row r="4" spans="1:20" s="2" customFormat="1" ht="9" customHeight="1" x14ac:dyDescent="0.3">
      <c r="L4" s="3"/>
      <c r="N4" s="310"/>
      <c r="O4"/>
      <c r="P4" s="194"/>
    </row>
    <row r="5" spans="1:20" s="2" customFormat="1" ht="14.45" x14ac:dyDescent="0.3">
      <c r="L5" s="3" t="s">
        <v>76</v>
      </c>
      <c r="N5" s="387">
        <v>42124</v>
      </c>
      <c r="O5" s="387"/>
      <c r="P5" s="195"/>
    </row>
    <row r="6" spans="1:20" s="2" customFormat="1" ht="15" customHeight="1" x14ac:dyDescent="0.3">
      <c r="N6" s="7"/>
      <c r="O6"/>
      <c r="P6"/>
    </row>
    <row r="7" spans="1:20" ht="7.5" customHeight="1" x14ac:dyDescent="0.3">
      <c r="L7"/>
      <c r="M7"/>
      <c r="N7"/>
      <c r="O7"/>
      <c r="P7"/>
    </row>
    <row r="8" spans="1:20" ht="18.75" customHeight="1" x14ac:dyDescent="0.3">
      <c r="B8" s="367" t="s">
        <v>1</v>
      </c>
      <c r="C8" s="367"/>
      <c r="D8" s="367"/>
      <c r="E8" s="367"/>
      <c r="F8" s="367"/>
      <c r="G8" s="367"/>
      <c r="H8" s="367"/>
      <c r="I8" s="367"/>
      <c r="J8" s="367"/>
      <c r="K8" s="367"/>
      <c r="L8" s="367"/>
      <c r="M8" s="367"/>
      <c r="N8" s="367"/>
      <c r="O8" s="367"/>
      <c r="P8"/>
    </row>
    <row r="9" spans="1:20" ht="18.75" customHeight="1" x14ac:dyDescent="0.3">
      <c r="B9" s="367" t="s">
        <v>2</v>
      </c>
      <c r="C9" s="367"/>
      <c r="D9" s="367"/>
      <c r="E9" s="367"/>
      <c r="F9" s="367"/>
      <c r="G9" s="367"/>
      <c r="H9" s="367"/>
      <c r="I9" s="367"/>
      <c r="J9" s="367"/>
      <c r="K9" s="367"/>
      <c r="L9" s="367"/>
      <c r="M9" s="367"/>
      <c r="N9" s="367"/>
      <c r="O9" s="367"/>
      <c r="P9"/>
    </row>
    <row r="10" spans="1:20" ht="7.5" customHeight="1" x14ac:dyDescent="0.3">
      <c r="L10"/>
      <c r="M10"/>
      <c r="N10"/>
      <c r="O10"/>
      <c r="P10"/>
    </row>
    <row r="11" spans="1:20" ht="7.5" customHeight="1" x14ac:dyDescent="0.3">
      <c r="L11"/>
      <c r="M11"/>
      <c r="N11"/>
      <c r="O11"/>
      <c r="P11"/>
    </row>
    <row r="12" spans="1:20" ht="15.6" x14ac:dyDescent="0.3">
      <c r="B12" s="8" t="s">
        <v>3</v>
      </c>
      <c r="D12" s="386" t="s">
        <v>67</v>
      </c>
      <c r="E12" s="386"/>
      <c r="F12" s="386"/>
      <c r="G12" s="386"/>
      <c r="H12" s="386"/>
      <c r="I12" s="386"/>
      <c r="J12" s="386"/>
      <c r="K12" s="386"/>
      <c r="L12" s="386"/>
      <c r="M12" s="386"/>
      <c r="N12" s="386"/>
      <c r="O12" s="386"/>
    </row>
    <row r="13" spans="1:20" ht="7.5" customHeight="1" x14ac:dyDescent="0.3">
      <c r="B13" s="9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</row>
    <row r="14" spans="1:20" ht="15.6" x14ac:dyDescent="0.3">
      <c r="B14" s="8" t="s">
        <v>4</v>
      </c>
      <c r="D14" s="11" t="s">
        <v>5</v>
      </c>
      <c r="E14" s="10"/>
      <c r="F14" s="10"/>
      <c r="G14" s="10"/>
      <c r="H14" s="10"/>
      <c r="I14" s="10"/>
      <c r="J14" s="278"/>
      <c r="K14" s="279"/>
      <c r="L14" s="279"/>
      <c r="M14" s="10"/>
      <c r="N14" s="10"/>
      <c r="O14" s="10"/>
    </row>
    <row r="15" spans="1:20" ht="15.6" x14ac:dyDescent="0.3">
      <c r="B15" s="9"/>
      <c r="D15" s="10"/>
      <c r="E15" s="10"/>
      <c r="F15" s="10"/>
      <c r="G15" s="10"/>
      <c r="H15" s="10"/>
      <c r="I15" s="10"/>
      <c r="J15" s="278"/>
      <c r="K15" s="279"/>
      <c r="L15" s="279"/>
      <c r="M15" s="10"/>
      <c r="N15" s="10"/>
      <c r="O15" s="10"/>
    </row>
    <row r="16" spans="1:20" ht="14.45" x14ac:dyDescent="0.3">
      <c r="B16" s="12"/>
      <c r="D16" s="13" t="s">
        <v>6</v>
      </c>
      <c r="E16" s="13"/>
      <c r="F16" s="14">
        <v>1000</v>
      </c>
      <c r="G16" s="13" t="s">
        <v>7</v>
      </c>
      <c r="J16" s="280"/>
      <c r="K16" s="34"/>
      <c r="L16" s="34"/>
    </row>
    <row r="17" spans="2:15" ht="14.45" x14ac:dyDescent="0.3">
      <c r="B17" s="12"/>
      <c r="F17" s="281"/>
      <c r="G17" s="34"/>
      <c r="H17" s="34"/>
      <c r="J17" s="281"/>
      <c r="K17" s="34"/>
      <c r="L17" s="34"/>
    </row>
    <row r="18" spans="2:15" ht="14.45" x14ac:dyDescent="0.3">
      <c r="B18" s="12"/>
      <c r="D18" s="15"/>
      <c r="E18" s="15"/>
      <c r="F18" s="373" t="s">
        <v>8</v>
      </c>
      <c r="G18" s="374"/>
      <c r="H18" s="375"/>
      <c r="J18" s="373" t="s">
        <v>9</v>
      </c>
      <c r="K18" s="374"/>
      <c r="L18" s="375"/>
      <c r="N18" s="373" t="s">
        <v>10</v>
      </c>
      <c r="O18" s="375"/>
    </row>
    <row r="19" spans="2:15" x14ac:dyDescent="0.25">
      <c r="B19" s="12"/>
      <c r="D19" s="377" t="s">
        <v>11</v>
      </c>
      <c r="E19" s="16"/>
      <c r="F19" s="17" t="s">
        <v>12</v>
      </c>
      <c r="G19" s="17" t="s">
        <v>13</v>
      </c>
      <c r="H19" s="18" t="s">
        <v>14</v>
      </c>
      <c r="J19" s="17" t="s">
        <v>12</v>
      </c>
      <c r="K19" s="19" t="s">
        <v>13</v>
      </c>
      <c r="L19" s="18" t="s">
        <v>14</v>
      </c>
      <c r="N19" s="379" t="s">
        <v>15</v>
      </c>
      <c r="O19" s="381" t="s">
        <v>16</v>
      </c>
    </row>
    <row r="20" spans="2:15" x14ac:dyDescent="0.25">
      <c r="B20" s="334"/>
      <c r="D20" s="378"/>
      <c r="E20" s="16"/>
      <c r="F20" s="20" t="s">
        <v>17</v>
      </c>
      <c r="G20" s="20"/>
      <c r="H20" s="21" t="s">
        <v>17</v>
      </c>
      <c r="J20" s="20" t="s">
        <v>17</v>
      </c>
      <c r="K20" s="21"/>
      <c r="L20" s="21" t="s">
        <v>17</v>
      </c>
      <c r="N20" s="380"/>
      <c r="O20" s="382"/>
    </row>
    <row r="21" spans="2:15" ht="22.5" customHeight="1" x14ac:dyDescent="0.25">
      <c r="B21" s="22" t="s">
        <v>18</v>
      </c>
      <c r="C21" s="22"/>
      <c r="D21" s="23" t="s">
        <v>60</v>
      </c>
      <c r="E21" s="24"/>
      <c r="F21" s="282">
        <v>31.96</v>
      </c>
      <c r="G21" s="26">
        <v>1</v>
      </c>
      <c r="H21" s="27">
        <f>G21*F21</f>
        <v>31.96</v>
      </c>
      <c r="I21" s="28"/>
      <c r="J21" s="283">
        <v>31.96</v>
      </c>
      <c r="K21" s="30">
        <v>1</v>
      </c>
      <c r="L21" s="27">
        <f>K21*J21</f>
        <v>31.96</v>
      </c>
      <c r="M21" s="28"/>
      <c r="N21" s="31">
        <f>L21-H21</f>
        <v>0</v>
      </c>
      <c r="O21" s="32">
        <f>IF((H21)=0,"",(N21/H21))</f>
        <v>0</v>
      </c>
    </row>
    <row r="22" spans="2:15" ht="36.75" customHeight="1" x14ac:dyDescent="0.25">
      <c r="B22" s="297" t="s">
        <v>88</v>
      </c>
      <c r="C22" s="22"/>
      <c r="D22" s="56" t="s">
        <v>61</v>
      </c>
      <c r="E22" s="24"/>
      <c r="F22" s="283"/>
      <c r="G22" s="26">
        <f>$F$16</f>
        <v>1000</v>
      </c>
      <c r="H22" s="27">
        <f t="shared" ref="H22:H36" si="0">G22*F22</f>
        <v>0</v>
      </c>
      <c r="I22" s="28"/>
      <c r="J22" s="263">
        <v>8.9999999999999998E-4</v>
      </c>
      <c r="K22" s="26">
        <f>$F$16</f>
        <v>1000</v>
      </c>
      <c r="L22" s="27">
        <f>K22*J22</f>
        <v>0.9</v>
      </c>
      <c r="M22" s="28"/>
      <c r="N22" s="31">
        <f>L22-H22</f>
        <v>0.9</v>
      </c>
      <c r="O22" s="32" t="str">
        <f>IF((H22)=0,"",(N22/H22))</f>
        <v/>
      </c>
    </row>
    <row r="23" spans="2:15" ht="36.75" customHeight="1" x14ac:dyDescent="0.3">
      <c r="B23" s="297" t="s">
        <v>63</v>
      </c>
      <c r="C23" s="22"/>
      <c r="D23" s="56" t="s">
        <v>60</v>
      </c>
      <c r="E23" s="57"/>
      <c r="F23" s="283">
        <v>5.51</v>
      </c>
      <c r="G23" s="26">
        <v>1</v>
      </c>
      <c r="H23" s="27">
        <f t="shared" si="0"/>
        <v>5.51</v>
      </c>
      <c r="I23" s="28"/>
      <c r="J23" s="263"/>
      <c r="K23" s="30">
        <v>1</v>
      </c>
      <c r="L23" s="27">
        <f t="shared" ref="L23:L36" si="1">K23*J23</f>
        <v>0</v>
      </c>
      <c r="M23" s="28"/>
      <c r="N23" s="31">
        <f t="shared" ref="N23:N37" si="2">L23-H23</f>
        <v>-5.51</v>
      </c>
      <c r="O23" s="32">
        <f t="shared" ref="O23:O37" si="3">IF((H23)=0,"",(N23/H23))</f>
        <v>-1</v>
      </c>
    </row>
    <row r="24" spans="2:15" ht="14.45" x14ac:dyDescent="0.3">
      <c r="B24" s="297" t="s">
        <v>90</v>
      </c>
      <c r="C24" s="22"/>
      <c r="D24" s="23" t="s">
        <v>60</v>
      </c>
      <c r="E24" s="24"/>
      <c r="F24" s="284"/>
      <c r="G24" s="26">
        <v>1</v>
      </c>
      <c r="H24" s="27">
        <f t="shared" si="0"/>
        <v>0</v>
      </c>
      <c r="I24" s="28"/>
      <c r="J24" s="283">
        <v>1.3841528645202816</v>
      </c>
      <c r="K24" s="30">
        <v>1</v>
      </c>
      <c r="L24" s="27">
        <f t="shared" si="1"/>
        <v>1.3841528645202816</v>
      </c>
      <c r="M24" s="28"/>
      <c r="N24" s="31">
        <f t="shared" si="2"/>
        <v>1.3841528645202816</v>
      </c>
      <c r="O24" s="32" t="str">
        <f t="shared" si="3"/>
        <v/>
      </c>
    </row>
    <row r="25" spans="2:15" ht="14.45" x14ac:dyDescent="0.3">
      <c r="B25" s="296" t="s">
        <v>65</v>
      </c>
      <c r="C25" s="22"/>
      <c r="D25" s="23" t="s">
        <v>61</v>
      </c>
      <c r="E25" s="24"/>
      <c r="F25" s="305">
        <v>-5.0000000000000002E-5</v>
      </c>
      <c r="G25" s="26">
        <f>$F$16</f>
        <v>1000</v>
      </c>
      <c r="H25" s="27">
        <f t="shared" si="0"/>
        <v>-0.05</v>
      </c>
      <c r="I25" s="28"/>
      <c r="J25" s="305">
        <v>-5.0000000000000002E-5</v>
      </c>
      <c r="K25" s="26">
        <f>$F$16</f>
        <v>1000</v>
      </c>
      <c r="L25" s="27">
        <f t="shared" si="1"/>
        <v>-0.05</v>
      </c>
      <c r="M25" s="28"/>
      <c r="N25" s="31">
        <f t="shared" si="2"/>
        <v>0</v>
      </c>
      <c r="O25" s="32">
        <f t="shared" si="3"/>
        <v>0</v>
      </c>
    </row>
    <row r="26" spans="2:15" x14ac:dyDescent="0.25">
      <c r="B26" s="296" t="s">
        <v>66</v>
      </c>
      <c r="C26" s="22"/>
      <c r="D26" s="23" t="s">
        <v>61</v>
      </c>
      <c r="E26" s="24"/>
      <c r="F26" s="284"/>
      <c r="G26" s="26">
        <f>$F$16</f>
        <v>1000</v>
      </c>
      <c r="H26" s="27">
        <f t="shared" si="0"/>
        <v>0</v>
      </c>
      <c r="I26" s="28"/>
      <c r="J26" s="263">
        <v>-1.6000000000000001E-3</v>
      </c>
      <c r="K26" s="26">
        <f>$F$16</f>
        <v>1000</v>
      </c>
      <c r="L26" s="27">
        <f t="shared" si="1"/>
        <v>-1.6</v>
      </c>
      <c r="M26" s="28"/>
      <c r="N26" s="31">
        <f t="shared" si="2"/>
        <v>-1.6</v>
      </c>
      <c r="O26" s="32" t="str">
        <f t="shared" si="3"/>
        <v/>
      </c>
    </row>
    <row r="27" spans="2:15" x14ac:dyDescent="0.25">
      <c r="B27" s="24" t="s">
        <v>19</v>
      </c>
      <c r="C27" s="22"/>
      <c r="D27" s="23" t="s">
        <v>61</v>
      </c>
      <c r="E27" s="24"/>
      <c r="F27" s="284">
        <v>1.43E-2</v>
      </c>
      <c r="G27" s="26">
        <f>$F$16</f>
        <v>1000</v>
      </c>
      <c r="H27" s="27">
        <f t="shared" si="0"/>
        <v>14.3</v>
      </c>
      <c r="I27" s="28"/>
      <c r="J27" s="263">
        <v>1.61E-2</v>
      </c>
      <c r="K27" s="26">
        <f>$F$16</f>
        <v>1000</v>
      </c>
      <c r="L27" s="27">
        <f t="shared" si="1"/>
        <v>16.100000000000001</v>
      </c>
      <c r="M27" s="28"/>
      <c r="N27" s="31">
        <f t="shared" si="2"/>
        <v>1.8000000000000007</v>
      </c>
      <c r="O27" s="32">
        <f t="shared" si="3"/>
        <v>0.12587412587412591</v>
      </c>
    </row>
    <row r="28" spans="2:15" x14ac:dyDescent="0.25">
      <c r="B28" s="24" t="s">
        <v>20</v>
      </c>
      <c r="C28" s="22"/>
      <c r="D28" s="23"/>
      <c r="E28" s="24"/>
      <c r="F28" s="284"/>
      <c r="G28" s="26">
        <f>$F$16</f>
        <v>1000</v>
      </c>
      <c r="H28" s="27">
        <f t="shared" si="0"/>
        <v>0</v>
      </c>
      <c r="I28" s="28"/>
      <c r="J28" s="29"/>
      <c r="K28" s="26">
        <f t="shared" ref="K28:K36" si="4">$F$16</f>
        <v>1000</v>
      </c>
      <c r="L28" s="27">
        <f t="shared" si="1"/>
        <v>0</v>
      </c>
      <c r="M28" s="28"/>
      <c r="N28" s="31">
        <f t="shared" si="2"/>
        <v>0</v>
      </c>
      <c r="O28" s="32" t="str">
        <f t="shared" si="3"/>
        <v/>
      </c>
    </row>
    <row r="29" spans="2:15" x14ac:dyDescent="0.25">
      <c r="B29" s="24" t="s">
        <v>21</v>
      </c>
      <c r="C29" s="22"/>
      <c r="D29" s="23"/>
      <c r="E29" s="24"/>
      <c r="F29" s="284"/>
      <c r="G29" s="26">
        <f>$F$16</f>
        <v>1000</v>
      </c>
      <c r="H29" s="27">
        <f t="shared" si="0"/>
        <v>0</v>
      </c>
      <c r="I29" s="28"/>
      <c r="J29" s="29"/>
      <c r="K29" s="26">
        <f t="shared" si="4"/>
        <v>1000</v>
      </c>
      <c r="L29" s="27">
        <f t="shared" si="1"/>
        <v>0</v>
      </c>
      <c r="M29" s="28"/>
      <c r="N29" s="31">
        <f t="shared" si="2"/>
        <v>0</v>
      </c>
      <c r="O29" s="32" t="str">
        <f t="shared" si="3"/>
        <v/>
      </c>
    </row>
    <row r="30" spans="2:15" x14ac:dyDescent="0.25">
      <c r="B30" s="182"/>
      <c r="C30" s="22"/>
      <c r="D30" s="23"/>
      <c r="E30" s="24"/>
      <c r="F30" s="284"/>
      <c r="G30" s="26">
        <f t="shared" ref="G30:G36" si="5">$F$16</f>
        <v>1000</v>
      </c>
      <c r="H30" s="27">
        <f t="shared" si="0"/>
        <v>0</v>
      </c>
      <c r="I30" s="28"/>
      <c r="J30" s="29"/>
      <c r="K30" s="26">
        <f t="shared" si="4"/>
        <v>1000</v>
      </c>
      <c r="L30" s="27">
        <f t="shared" si="1"/>
        <v>0</v>
      </c>
      <c r="M30" s="28"/>
      <c r="N30" s="31">
        <f t="shared" si="2"/>
        <v>0</v>
      </c>
      <c r="O30" s="32" t="str">
        <f t="shared" si="3"/>
        <v/>
      </c>
    </row>
    <row r="31" spans="2:15" x14ac:dyDescent="0.25">
      <c r="B31" s="182"/>
      <c r="C31" s="22"/>
      <c r="D31" s="23"/>
      <c r="E31" s="24"/>
      <c r="F31" s="284"/>
      <c r="G31" s="26">
        <f t="shared" si="5"/>
        <v>1000</v>
      </c>
      <c r="H31" s="27">
        <f t="shared" si="0"/>
        <v>0</v>
      </c>
      <c r="I31" s="28"/>
      <c r="J31" s="29"/>
      <c r="K31" s="26">
        <f t="shared" si="4"/>
        <v>1000</v>
      </c>
      <c r="L31" s="27">
        <f t="shared" si="1"/>
        <v>0</v>
      </c>
      <c r="M31" s="28"/>
      <c r="N31" s="31">
        <f t="shared" si="2"/>
        <v>0</v>
      </c>
      <c r="O31" s="32" t="str">
        <f t="shared" si="3"/>
        <v/>
      </c>
    </row>
    <row r="32" spans="2:15" x14ac:dyDescent="0.25">
      <c r="B32" s="182"/>
      <c r="C32" s="22"/>
      <c r="D32" s="23"/>
      <c r="E32" s="24"/>
      <c r="F32" s="284"/>
      <c r="G32" s="26">
        <f t="shared" si="5"/>
        <v>1000</v>
      </c>
      <c r="H32" s="27">
        <f t="shared" si="0"/>
        <v>0</v>
      </c>
      <c r="I32" s="28"/>
      <c r="J32" s="29"/>
      <c r="K32" s="26">
        <f t="shared" si="4"/>
        <v>1000</v>
      </c>
      <c r="L32" s="27">
        <f t="shared" si="1"/>
        <v>0</v>
      </c>
      <c r="M32" s="28"/>
      <c r="N32" s="31">
        <f t="shared" si="2"/>
        <v>0</v>
      </c>
      <c r="O32" s="32" t="str">
        <f t="shared" si="3"/>
        <v/>
      </c>
    </row>
    <row r="33" spans="2:15" x14ac:dyDescent="0.25">
      <c r="B33" s="182"/>
      <c r="C33" s="22"/>
      <c r="D33" s="23"/>
      <c r="E33" s="24"/>
      <c r="F33" s="284"/>
      <c r="G33" s="26">
        <f t="shared" si="5"/>
        <v>1000</v>
      </c>
      <c r="H33" s="27">
        <f t="shared" si="0"/>
        <v>0</v>
      </c>
      <c r="I33" s="28"/>
      <c r="J33" s="29"/>
      <c r="K33" s="26">
        <f t="shared" si="4"/>
        <v>1000</v>
      </c>
      <c r="L33" s="27">
        <f t="shared" si="1"/>
        <v>0</v>
      </c>
      <c r="M33" s="28"/>
      <c r="N33" s="31">
        <f t="shared" si="2"/>
        <v>0</v>
      </c>
      <c r="O33" s="32" t="str">
        <f t="shared" si="3"/>
        <v/>
      </c>
    </row>
    <row r="34" spans="2:15" x14ac:dyDescent="0.25">
      <c r="B34" s="182"/>
      <c r="C34" s="22"/>
      <c r="D34" s="23"/>
      <c r="E34" s="24"/>
      <c r="F34" s="284"/>
      <c r="G34" s="26">
        <f t="shared" si="5"/>
        <v>1000</v>
      </c>
      <c r="H34" s="27">
        <f t="shared" si="0"/>
        <v>0</v>
      </c>
      <c r="I34" s="28"/>
      <c r="J34" s="29"/>
      <c r="K34" s="26">
        <f t="shared" si="4"/>
        <v>1000</v>
      </c>
      <c r="L34" s="27">
        <f t="shared" si="1"/>
        <v>0</v>
      </c>
      <c r="M34" s="28"/>
      <c r="N34" s="31">
        <f t="shared" si="2"/>
        <v>0</v>
      </c>
      <c r="O34" s="32" t="str">
        <f t="shared" si="3"/>
        <v/>
      </c>
    </row>
    <row r="35" spans="2:15" x14ac:dyDescent="0.25">
      <c r="B35" s="182"/>
      <c r="C35" s="22"/>
      <c r="D35" s="23"/>
      <c r="E35" s="24"/>
      <c r="F35" s="284"/>
      <c r="G35" s="26">
        <f t="shared" si="5"/>
        <v>1000</v>
      </c>
      <c r="H35" s="27">
        <f t="shared" si="0"/>
        <v>0</v>
      </c>
      <c r="I35" s="28"/>
      <c r="J35" s="29"/>
      <c r="K35" s="26">
        <f t="shared" si="4"/>
        <v>1000</v>
      </c>
      <c r="L35" s="27">
        <f t="shared" si="1"/>
        <v>0</v>
      </c>
      <c r="M35" s="28"/>
      <c r="N35" s="31">
        <f t="shared" si="2"/>
        <v>0</v>
      </c>
      <c r="O35" s="32" t="str">
        <f t="shared" si="3"/>
        <v/>
      </c>
    </row>
    <row r="36" spans="2:15" x14ac:dyDescent="0.25">
      <c r="B36" s="182"/>
      <c r="C36" s="22"/>
      <c r="D36" s="23"/>
      <c r="E36" s="24"/>
      <c r="F36" s="284"/>
      <c r="G36" s="26">
        <f t="shared" si="5"/>
        <v>1000</v>
      </c>
      <c r="H36" s="27">
        <f t="shared" si="0"/>
        <v>0</v>
      </c>
      <c r="I36" s="28"/>
      <c r="J36" s="29"/>
      <c r="K36" s="26">
        <f t="shared" si="4"/>
        <v>1000</v>
      </c>
      <c r="L36" s="27">
        <f t="shared" si="1"/>
        <v>0</v>
      </c>
      <c r="M36" s="28"/>
      <c r="N36" s="31">
        <f t="shared" si="2"/>
        <v>0</v>
      </c>
      <c r="O36" s="32" t="str">
        <f t="shared" si="3"/>
        <v/>
      </c>
    </row>
    <row r="37" spans="2:15" s="34" customFormat="1" x14ac:dyDescent="0.25">
      <c r="B37" s="35" t="s">
        <v>22</v>
      </c>
      <c r="C37" s="36"/>
      <c r="D37" s="37"/>
      <c r="E37" s="36"/>
      <c r="F37" s="285"/>
      <c r="G37" s="39"/>
      <c r="H37" s="40">
        <f>SUM(H21:H36)</f>
        <v>51.72</v>
      </c>
      <c r="I37" s="41"/>
      <c r="J37" s="42"/>
      <c r="K37" s="43"/>
      <c r="L37" s="40">
        <f>SUM(L21:L36)</f>
        <v>48.694152864520284</v>
      </c>
      <c r="M37" s="41"/>
      <c r="N37" s="44">
        <f t="shared" si="2"/>
        <v>-3.0258471354797152</v>
      </c>
      <c r="O37" s="45">
        <f t="shared" si="3"/>
        <v>-5.8504391637272141E-2</v>
      </c>
    </row>
    <row r="38" spans="2:15" x14ac:dyDescent="0.25">
      <c r="B38" s="297"/>
      <c r="C38" s="22"/>
      <c r="D38" s="56" t="s">
        <v>60</v>
      </c>
      <c r="E38" s="24"/>
      <c r="F38" s="284"/>
      <c r="G38" s="26">
        <v>1</v>
      </c>
      <c r="H38" s="27">
        <f>G38*F38</f>
        <v>0</v>
      </c>
      <c r="I38" s="28"/>
      <c r="J38" s="173"/>
      <c r="K38" s="30">
        <v>1</v>
      </c>
      <c r="L38" s="27">
        <f>K38*J38</f>
        <v>0</v>
      </c>
      <c r="M38" s="28"/>
      <c r="N38" s="31">
        <f>L38-H38</f>
        <v>0</v>
      </c>
      <c r="O38" s="32" t="str">
        <f>IF((H38)=0,"",(N38/H38))</f>
        <v/>
      </c>
    </row>
    <row r="39" spans="2:15" x14ac:dyDescent="0.25">
      <c r="B39" s="296" t="s">
        <v>23</v>
      </c>
      <c r="C39" s="22"/>
      <c r="D39" s="56" t="s">
        <v>61</v>
      </c>
      <c r="E39" s="57"/>
      <c r="F39" s="263">
        <v>-1.4E-3</v>
      </c>
      <c r="G39" s="26">
        <f>$F$16</f>
        <v>1000</v>
      </c>
      <c r="H39" s="27">
        <f t="shared" ref="H39:H45" si="6">G39*F39</f>
        <v>-1.4</v>
      </c>
      <c r="I39" s="28"/>
      <c r="J39" s="263">
        <f>0.0017-0.0014</f>
        <v>2.9999999999999992E-4</v>
      </c>
      <c r="K39" s="26">
        <f>$F$16</f>
        <v>1000</v>
      </c>
      <c r="L39" s="27">
        <f t="shared" ref="L39:L45" si="7">K39*J39</f>
        <v>0.29999999999999993</v>
      </c>
      <c r="M39" s="28"/>
      <c r="N39" s="31">
        <f t="shared" ref="N39:N45" si="8">L39-H39</f>
        <v>1.6999999999999997</v>
      </c>
      <c r="O39" s="32">
        <f t="shared" ref="O39:O44" si="9">IF((H39)=0,"",(N39/H39))</f>
        <v>-1.2142857142857142</v>
      </c>
    </row>
    <row r="40" spans="2:15" x14ac:dyDescent="0.25">
      <c r="B40" s="296"/>
      <c r="C40" s="22"/>
      <c r="D40" s="23" t="s">
        <v>61</v>
      </c>
      <c r="E40" s="24"/>
      <c r="F40" s="284"/>
      <c r="G40" s="26">
        <f>$F$16</f>
        <v>1000</v>
      </c>
      <c r="H40" s="27">
        <f t="shared" si="6"/>
        <v>0</v>
      </c>
      <c r="I40" s="47"/>
      <c r="J40" s="29"/>
      <c r="K40" s="26">
        <f>$F$16</f>
        <v>1000</v>
      </c>
      <c r="L40" s="27">
        <f t="shared" si="7"/>
        <v>0</v>
      </c>
      <c r="M40" s="48"/>
      <c r="N40" s="31">
        <f t="shared" si="8"/>
        <v>0</v>
      </c>
      <c r="O40" s="32" t="str">
        <f t="shared" si="9"/>
        <v/>
      </c>
    </row>
    <row r="41" spans="2:15" x14ac:dyDescent="0.25">
      <c r="B41" s="46"/>
      <c r="C41" s="22"/>
      <c r="D41" s="23" t="s">
        <v>61</v>
      </c>
      <c r="E41" s="24"/>
      <c r="F41" s="284"/>
      <c r="G41" s="26">
        <f>$F$16</f>
        <v>1000</v>
      </c>
      <c r="H41" s="27">
        <f t="shared" si="6"/>
        <v>0</v>
      </c>
      <c r="I41" s="47"/>
      <c r="J41" s="29"/>
      <c r="K41" s="26">
        <f>$F$16</f>
        <v>1000</v>
      </c>
      <c r="L41" s="27">
        <f t="shared" si="7"/>
        <v>0</v>
      </c>
      <c r="M41" s="48"/>
      <c r="N41" s="31">
        <f t="shared" si="8"/>
        <v>0</v>
      </c>
      <c r="O41" s="32" t="str">
        <f t="shared" si="9"/>
        <v/>
      </c>
    </row>
    <row r="42" spans="2:15" x14ac:dyDescent="0.25">
      <c r="B42" s="46"/>
      <c r="C42" s="22"/>
      <c r="D42" s="23"/>
      <c r="E42" s="24"/>
      <c r="F42" s="284"/>
      <c r="G42" s="26">
        <f>$F$16</f>
        <v>1000</v>
      </c>
      <c r="H42" s="27">
        <f t="shared" si="6"/>
        <v>0</v>
      </c>
      <c r="I42" s="47"/>
      <c r="J42" s="29"/>
      <c r="K42" s="26">
        <f>$F$16</f>
        <v>1000</v>
      </c>
      <c r="L42" s="27">
        <f t="shared" si="7"/>
        <v>0</v>
      </c>
      <c r="M42" s="48"/>
      <c r="N42" s="31">
        <f t="shared" si="8"/>
        <v>0</v>
      </c>
      <c r="O42" s="32" t="str">
        <f t="shared" si="9"/>
        <v/>
      </c>
    </row>
    <row r="43" spans="2:15" x14ac:dyDescent="0.25">
      <c r="B43" s="49" t="s">
        <v>24</v>
      </c>
      <c r="C43" s="22"/>
      <c r="D43" s="23" t="s">
        <v>61</v>
      </c>
      <c r="E43" s="24"/>
      <c r="F43" s="284">
        <v>1E-4</v>
      </c>
      <c r="G43" s="26">
        <f>$F$16</f>
        <v>1000</v>
      </c>
      <c r="H43" s="27">
        <f t="shared" si="6"/>
        <v>0.1</v>
      </c>
      <c r="I43" s="28"/>
      <c r="J43" s="29">
        <v>2.0000000000000001E-4</v>
      </c>
      <c r="K43" s="26">
        <f>$F$16</f>
        <v>1000</v>
      </c>
      <c r="L43" s="27">
        <f t="shared" si="7"/>
        <v>0.2</v>
      </c>
      <c r="M43" s="28"/>
      <c r="N43" s="31">
        <f t="shared" si="8"/>
        <v>0.1</v>
      </c>
      <c r="O43" s="32">
        <f t="shared" si="9"/>
        <v>1</v>
      </c>
    </row>
    <row r="44" spans="2:15" s="34" customFormat="1" x14ac:dyDescent="0.25">
      <c r="B44" s="181" t="s">
        <v>25</v>
      </c>
      <c r="C44" s="24"/>
      <c r="D44" s="182" t="s">
        <v>61</v>
      </c>
      <c r="E44" s="24"/>
      <c r="F44" s="286">
        <f>IF(ISBLANK(D14)=TRUE, 0, IF(D14="TOU", 0.64*$F$54+0.18*$F$55+0.18*$F$56, IF(AND(D14="non-TOU", G58&gt;0), F58,F57)))</f>
        <v>9.5000000000000001E-2</v>
      </c>
      <c r="G44" s="26">
        <f>$F$16*(1+$F$73)-$F$16</f>
        <v>40.400000000000091</v>
      </c>
      <c r="H44" s="184">
        <f t="shared" si="6"/>
        <v>3.8380000000000085</v>
      </c>
      <c r="I44" s="57"/>
      <c r="J44" s="185">
        <f>0.64*$F$54+0.18*$F$55+0.18*$F$56</f>
        <v>9.5000000000000001E-2</v>
      </c>
      <c r="K44" s="26">
        <f>$F$16*(1+$J$73)-$F$16</f>
        <v>36.200000000000045</v>
      </c>
      <c r="L44" s="184">
        <f t="shared" si="7"/>
        <v>3.4390000000000045</v>
      </c>
      <c r="M44" s="57"/>
      <c r="N44" s="186">
        <f t="shared" si="8"/>
        <v>-0.39900000000000402</v>
      </c>
      <c r="O44" s="187">
        <f t="shared" si="9"/>
        <v>-0.10396039603960477</v>
      </c>
    </row>
    <row r="45" spans="2:15" ht="14.45" x14ac:dyDescent="0.3">
      <c r="B45" s="49" t="s">
        <v>26</v>
      </c>
      <c r="C45" s="22"/>
      <c r="D45" s="23" t="s">
        <v>60</v>
      </c>
      <c r="E45" s="24"/>
      <c r="F45" s="282">
        <v>0.79</v>
      </c>
      <c r="G45" s="26">
        <v>1</v>
      </c>
      <c r="H45" s="27">
        <f t="shared" si="6"/>
        <v>0.79</v>
      </c>
      <c r="I45" s="28"/>
      <c r="J45" s="174">
        <v>0.79</v>
      </c>
      <c r="K45" s="26">
        <v>1</v>
      </c>
      <c r="L45" s="27">
        <f t="shared" si="7"/>
        <v>0.79</v>
      </c>
      <c r="M45" s="28"/>
      <c r="N45" s="31">
        <f t="shared" si="8"/>
        <v>0</v>
      </c>
      <c r="O45" s="32"/>
    </row>
    <row r="46" spans="2:15" ht="14.45" x14ac:dyDescent="0.3">
      <c r="B46" s="50" t="s">
        <v>27</v>
      </c>
      <c r="C46" s="51"/>
      <c r="D46" s="51"/>
      <c r="E46" s="51"/>
      <c r="F46" s="287"/>
      <c r="G46" s="53"/>
      <c r="H46" s="54">
        <f>SUM(H38:H45)+H37</f>
        <v>55.048000000000009</v>
      </c>
      <c r="I46" s="41"/>
      <c r="J46" s="53"/>
      <c r="K46" s="55"/>
      <c r="L46" s="54">
        <f>SUM(L38:L45)+L37</f>
        <v>53.42315286452029</v>
      </c>
      <c r="M46" s="41"/>
      <c r="N46" s="44">
        <f t="shared" ref="N46:N64" si="10">L46-H46</f>
        <v>-1.6248471354797189</v>
      </c>
      <c r="O46" s="45">
        <f t="shared" ref="O46:O64" si="11">IF((H46)=0,"",(N46/H46))</f>
        <v>-2.9516914973835899E-2</v>
      </c>
    </row>
    <row r="47" spans="2:15" ht="14.45" x14ac:dyDescent="0.3">
      <c r="B47" s="57" t="s">
        <v>28</v>
      </c>
      <c r="C47" s="28"/>
      <c r="D47" s="56" t="s">
        <v>61</v>
      </c>
      <c r="E47" s="57"/>
      <c r="F47" s="263">
        <v>6.8999999999999999E-3</v>
      </c>
      <c r="G47" s="69">
        <f>F16*(1+F73)</f>
        <v>1040.4000000000001</v>
      </c>
      <c r="H47" s="27">
        <f>G47*F47</f>
        <v>7.1787600000000005</v>
      </c>
      <c r="I47" s="28"/>
      <c r="J47" s="263">
        <v>6.7000000000000002E-3</v>
      </c>
      <c r="K47" s="70">
        <f>F16*(1+J73)</f>
        <v>1036.2</v>
      </c>
      <c r="L47" s="27">
        <f>K47*J47</f>
        <v>6.9425400000000002</v>
      </c>
      <c r="M47" s="28"/>
      <c r="N47" s="31">
        <f t="shared" si="10"/>
        <v>-0.23622000000000032</v>
      </c>
      <c r="O47" s="32">
        <f t="shared" si="11"/>
        <v>-3.2905404275947417E-2</v>
      </c>
    </row>
    <row r="48" spans="2:15" ht="14.45" x14ac:dyDescent="0.3">
      <c r="B48" s="295" t="s">
        <v>29</v>
      </c>
      <c r="C48" s="28"/>
      <c r="D48" s="56" t="s">
        <v>61</v>
      </c>
      <c r="E48" s="57"/>
      <c r="F48" s="263">
        <v>2.0999999999999999E-3</v>
      </c>
      <c r="G48" s="69">
        <f>G47</f>
        <v>1040.4000000000001</v>
      </c>
      <c r="H48" s="27">
        <f>G48*F48</f>
        <v>2.1848399999999999</v>
      </c>
      <c r="I48" s="28"/>
      <c r="J48" s="263">
        <v>2.0999999999999999E-3</v>
      </c>
      <c r="K48" s="70">
        <f>K47</f>
        <v>1036.2</v>
      </c>
      <c r="L48" s="27">
        <f>K48*J48</f>
        <v>2.1760199999999998</v>
      </c>
      <c r="M48" s="28"/>
      <c r="N48" s="31">
        <f t="shared" si="10"/>
        <v>-8.82000000000005E-3</v>
      </c>
      <c r="O48" s="32">
        <f t="shared" si="11"/>
        <v>-4.0369088811995617E-3</v>
      </c>
    </row>
    <row r="49" spans="2:19" x14ac:dyDescent="0.25">
      <c r="B49" s="50" t="s">
        <v>30</v>
      </c>
      <c r="C49" s="36"/>
      <c r="D49" s="36"/>
      <c r="E49" s="36"/>
      <c r="F49" s="60"/>
      <c r="G49" s="53"/>
      <c r="H49" s="54">
        <f>SUM(H46:H48)</f>
        <v>64.411600000000007</v>
      </c>
      <c r="I49" s="61"/>
      <c r="J49" s="62"/>
      <c r="K49" s="63"/>
      <c r="L49" s="54">
        <f>SUM(L46:L48)</f>
        <v>62.541712864520292</v>
      </c>
      <c r="M49" s="61"/>
      <c r="N49" s="44">
        <f t="shared" si="10"/>
        <v>-1.8698871354797149</v>
      </c>
      <c r="O49" s="45">
        <f t="shared" si="11"/>
        <v>-2.9030285468451562E-2</v>
      </c>
    </row>
    <row r="50" spans="2:19" x14ac:dyDescent="0.25">
      <c r="B50" s="297" t="s">
        <v>31</v>
      </c>
      <c r="C50" s="22"/>
      <c r="D50" s="23" t="s">
        <v>61</v>
      </c>
      <c r="E50" s="24"/>
      <c r="F50" s="65">
        <v>4.4000000000000003E-3</v>
      </c>
      <c r="G50" s="69">
        <f>G48</f>
        <v>1040.4000000000001</v>
      </c>
      <c r="H50" s="66">
        <f t="shared" ref="H50:H56" si="12">G50*F50</f>
        <v>4.5777600000000005</v>
      </c>
      <c r="I50" s="28"/>
      <c r="J50" s="67">
        <f>+F50</f>
        <v>4.4000000000000003E-3</v>
      </c>
      <c r="K50" s="70">
        <f>K48</f>
        <v>1036.2</v>
      </c>
      <c r="L50" s="66">
        <f t="shared" ref="L50:L56" si="13">K50*J50</f>
        <v>4.5592800000000002</v>
      </c>
      <c r="M50" s="28"/>
      <c r="N50" s="31">
        <f t="shared" si="10"/>
        <v>-1.8480000000000274E-2</v>
      </c>
      <c r="O50" s="68">
        <f t="shared" si="11"/>
        <v>-4.0369088811995982E-3</v>
      </c>
    </row>
    <row r="51" spans="2:19" x14ac:dyDescent="0.25">
      <c r="B51" s="297" t="s">
        <v>32</v>
      </c>
      <c r="C51" s="22"/>
      <c r="D51" s="23" t="s">
        <v>61</v>
      </c>
      <c r="E51" s="24"/>
      <c r="F51" s="65">
        <v>1.2999999999999999E-3</v>
      </c>
      <c r="G51" s="69">
        <f>G48</f>
        <v>1040.4000000000001</v>
      </c>
      <c r="H51" s="66">
        <f t="shared" si="12"/>
        <v>1.3525200000000002</v>
      </c>
      <c r="I51" s="28"/>
      <c r="J51" s="67">
        <f>+F51</f>
        <v>1.2999999999999999E-3</v>
      </c>
      <c r="K51" s="70">
        <f>K48</f>
        <v>1036.2</v>
      </c>
      <c r="L51" s="66">
        <f t="shared" si="13"/>
        <v>1.3470599999999999</v>
      </c>
      <c r="M51" s="28"/>
      <c r="N51" s="31">
        <f t="shared" si="10"/>
        <v>-5.4600000000002424E-3</v>
      </c>
      <c r="O51" s="68">
        <f t="shared" si="11"/>
        <v>-4.036908881199717E-3</v>
      </c>
    </row>
    <row r="52" spans="2:19" x14ac:dyDescent="0.25">
      <c r="B52" s="24" t="s">
        <v>33</v>
      </c>
      <c r="C52" s="22"/>
      <c r="D52" s="23" t="s">
        <v>60</v>
      </c>
      <c r="E52" s="24"/>
      <c r="F52" s="176">
        <v>0.25</v>
      </c>
      <c r="G52" s="26">
        <v>1</v>
      </c>
      <c r="H52" s="66">
        <f t="shared" si="12"/>
        <v>0.25</v>
      </c>
      <c r="I52" s="28"/>
      <c r="J52" s="177">
        <f>+F52</f>
        <v>0.25</v>
      </c>
      <c r="K52" s="30">
        <v>1</v>
      </c>
      <c r="L52" s="66">
        <f t="shared" si="13"/>
        <v>0.25</v>
      </c>
      <c r="M52" s="28"/>
      <c r="N52" s="31">
        <f t="shared" si="10"/>
        <v>0</v>
      </c>
      <c r="O52" s="68">
        <f t="shared" si="11"/>
        <v>0</v>
      </c>
    </row>
    <row r="53" spans="2:19" x14ac:dyDescent="0.25">
      <c r="B53" s="24" t="s">
        <v>34</v>
      </c>
      <c r="C53" s="22"/>
      <c r="D53" s="23" t="s">
        <v>61</v>
      </c>
      <c r="E53" s="24"/>
      <c r="F53" s="65">
        <v>7.0000000000000001E-3</v>
      </c>
      <c r="G53" s="69">
        <f>F16</f>
        <v>1000</v>
      </c>
      <c r="H53" s="66">
        <f t="shared" si="12"/>
        <v>7</v>
      </c>
      <c r="I53" s="28"/>
      <c r="J53" s="67">
        <f>+F53</f>
        <v>7.0000000000000001E-3</v>
      </c>
      <c r="K53" s="70">
        <f>F16</f>
        <v>1000</v>
      </c>
      <c r="L53" s="66">
        <f t="shared" si="13"/>
        <v>7</v>
      </c>
      <c r="M53" s="28"/>
      <c r="N53" s="31">
        <f t="shared" si="10"/>
        <v>0</v>
      </c>
      <c r="O53" s="68">
        <f t="shared" si="11"/>
        <v>0</v>
      </c>
    </row>
    <row r="54" spans="2:19" x14ac:dyDescent="0.25">
      <c r="B54" s="49" t="s">
        <v>35</v>
      </c>
      <c r="C54" s="22"/>
      <c r="D54" s="23" t="s">
        <v>61</v>
      </c>
      <c r="E54" s="24"/>
      <c r="F54" s="65">
        <f>+'Res (100kWh)'!F54</f>
        <v>7.6999999999999999E-2</v>
      </c>
      <c r="G54" s="69">
        <f>0.64*$F$16</f>
        <v>640</v>
      </c>
      <c r="H54" s="66">
        <f t="shared" si="12"/>
        <v>49.28</v>
      </c>
      <c r="I54" s="28"/>
      <c r="J54" s="263">
        <f t="shared" ref="J54:J58" si="14">+F54</f>
        <v>7.6999999999999999E-2</v>
      </c>
      <c r="K54" s="69">
        <f>G54</f>
        <v>640</v>
      </c>
      <c r="L54" s="66">
        <f t="shared" si="13"/>
        <v>49.28</v>
      </c>
      <c r="M54" s="28"/>
      <c r="N54" s="31">
        <f t="shared" si="10"/>
        <v>0</v>
      </c>
      <c r="O54" s="68">
        <f t="shared" si="11"/>
        <v>0</v>
      </c>
      <c r="S54" s="72"/>
    </row>
    <row r="55" spans="2:19" x14ac:dyDescent="0.25">
      <c r="B55" s="49" t="s">
        <v>36</v>
      </c>
      <c r="C55" s="22"/>
      <c r="D55" s="23" t="s">
        <v>61</v>
      </c>
      <c r="E55" s="24"/>
      <c r="F55" s="65">
        <f>+'Res (100kWh)'!F55</f>
        <v>0.114</v>
      </c>
      <c r="G55" s="69">
        <f>0.18*$F$16</f>
        <v>180</v>
      </c>
      <c r="H55" s="66">
        <f t="shared" si="12"/>
        <v>20.52</v>
      </c>
      <c r="I55" s="28"/>
      <c r="J55" s="263">
        <f t="shared" si="14"/>
        <v>0.114</v>
      </c>
      <c r="K55" s="69">
        <f>G55</f>
        <v>180</v>
      </c>
      <c r="L55" s="66">
        <f t="shared" si="13"/>
        <v>20.52</v>
      </c>
      <c r="M55" s="28"/>
      <c r="N55" s="31">
        <f t="shared" si="10"/>
        <v>0</v>
      </c>
      <c r="O55" s="68">
        <f t="shared" si="11"/>
        <v>0</v>
      </c>
      <c r="S55" s="72"/>
    </row>
    <row r="56" spans="2:19" x14ac:dyDescent="0.25">
      <c r="B56" s="12" t="s">
        <v>37</v>
      </c>
      <c r="C56" s="22"/>
      <c r="D56" s="23" t="s">
        <v>61</v>
      </c>
      <c r="E56" s="24"/>
      <c r="F56" s="65">
        <f>+'Res (100kWh)'!F56</f>
        <v>0.14000000000000001</v>
      </c>
      <c r="G56" s="69">
        <f>0.18*$F$16</f>
        <v>180</v>
      </c>
      <c r="H56" s="66">
        <f t="shared" si="12"/>
        <v>25.200000000000003</v>
      </c>
      <c r="I56" s="28"/>
      <c r="J56" s="263">
        <f t="shared" si="14"/>
        <v>0.14000000000000001</v>
      </c>
      <c r="K56" s="69">
        <f>G56</f>
        <v>180</v>
      </c>
      <c r="L56" s="66">
        <f t="shared" si="13"/>
        <v>25.200000000000003</v>
      </c>
      <c r="M56" s="28"/>
      <c r="N56" s="31">
        <f t="shared" si="10"/>
        <v>0</v>
      </c>
      <c r="O56" s="68">
        <f t="shared" si="11"/>
        <v>0</v>
      </c>
      <c r="S56" s="72"/>
    </row>
    <row r="57" spans="2:19" s="73" customFormat="1" x14ac:dyDescent="0.2">
      <c r="B57" s="74" t="s">
        <v>38</v>
      </c>
      <c r="C57" s="75"/>
      <c r="D57" s="76" t="s">
        <v>61</v>
      </c>
      <c r="E57" s="77"/>
      <c r="F57" s="65">
        <f>+'Res (100kWh)'!F57</f>
        <v>8.7999999999999995E-2</v>
      </c>
      <c r="G57" s="78">
        <f>IF(AND($T$1=1, F16&gt;=600), 600, IF(AND($T$1=1, AND(F16&lt;600, F16&gt;=0)), F16, IF(AND($T$1=2, F16&gt;=1000), 1000, IF(AND($T$1=2, AND(F16&lt;1000, F16&gt;=0)), F16))))</f>
        <v>600</v>
      </c>
      <c r="H57" s="66">
        <f>G57*F57</f>
        <v>52.8</v>
      </c>
      <c r="I57" s="79"/>
      <c r="J57" s="263">
        <f t="shared" si="14"/>
        <v>8.7999999999999995E-2</v>
      </c>
      <c r="K57" s="78">
        <f>G57</f>
        <v>600</v>
      </c>
      <c r="L57" s="66">
        <f>K57*J57</f>
        <v>52.8</v>
      </c>
      <c r="M57" s="79"/>
      <c r="N57" s="80">
        <f t="shared" si="10"/>
        <v>0</v>
      </c>
      <c r="O57" s="68">
        <f t="shared" si="11"/>
        <v>0</v>
      </c>
    </row>
    <row r="58" spans="2:19" s="73" customFormat="1" ht="15.75" thickBot="1" x14ac:dyDescent="0.25">
      <c r="B58" s="74" t="s">
        <v>39</v>
      </c>
      <c r="C58" s="75"/>
      <c r="D58" s="76" t="s">
        <v>61</v>
      </c>
      <c r="E58" s="77"/>
      <c r="F58" s="65">
        <f>+'Res (100kWh)'!F58</f>
        <v>0.10299999999999999</v>
      </c>
      <c r="G58" s="78">
        <f>IF(AND($T$1=1, F16&gt;=600), F16-600, IF(AND($T$1=1, AND(F16&lt;600, F16&gt;=0)), 0, IF(AND($T$1=2, F16&gt;=1000), F16-1000, IF(AND($T$1=2, AND(F16&lt;1000, F16&gt;=0)), 0))))</f>
        <v>400</v>
      </c>
      <c r="H58" s="66">
        <f>G58*F58</f>
        <v>41.199999999999996</v>
      </c>
      <c r="I58" s="79"/>
      <c r="J58" s="263">
        <f t="shared" si="14"/>
        <v>0.10299999999999999</v>
      </c>
      <c r="K58" s="78">
        <f>G58</f>
        <v>400</v>
      </c>
      <c r="L58" s="66">
        <f>K58*J58</f>
        <v>41.199999999999996</v>
      </c>
      <c r="M58" s="79"/>
      <c r="N58" s="80">
        <f t="shared" si="10"/>
        <v>0</v>
      </c>
      <c r="O58" s="68">
        <f t="shared" si="11"/>
        <v>0</v>
      </c>
    </row>
    <row r="59" spans="2:19" ht="8.25" customHeight="1" thickBot="1" x14ac:dyDescent="0.3">
      <c r="B59" s="81"/>
      <c r="C59" s="82"/>
      <c r="D59" s="83"/>
      <c r="E59" s="82"/>
      <c r="F59" s="84"/>
      <c r="G59" s="85"/>
      <c r="H59" s="86"/>
      <c r="I59" s="87"/>
      <c r="J59" s="84"/>
      <c r="K59" s="88"/>
      <c r="L59" s="86"/>
      <c r="M59" s="87"/>
      <c r="N59" s="89"/>
      <c r="O59" s="90"/>
    </row>
    <row r="60" spans="2:19" x14ac:dyDescent="0.25">
      <c r="B60" s="91" t="s">
        <v>40</v>
      </c>
      <c r="C60" s="22"/>
      <c r="D60" s="22"/>
      <c r="E60" s="22"/>
      <c r="F60" s="92"/>
      <c r="G60" s="93"/>
      <c r="H60" s="94">
        <f>SUM(H50:H56,H49)</f>
        <v>172.59188</v>
      </c>
      <c r="I60" s="95"/>
      <c r="J60" s="96"/>
      <c r="K60" s="96"/>
      <c r="L60" s="190">
        <f>SUM(L50:L56,L49)</f>
        <v>170.69805286452029</v>
      </c>
      <c r="M60" s="97"/>
      <c r="N60" s="98">
        <f>L60-H60</f>
        <v>-1.8938271354797109</v>
      </c>
      <c r="O60" s="99">
        <f>IF((H60)=0,"",(N60/H60))</f>
        <v>-1.0972863471211455E-2</v>
      </c>
      <c r="S60" s="72"/>
    </row>
    <row r="61" spans="2:19" x14ac:dyDescent="0.25">
      <c r="B61" s="100" t="s">
        <v>41</v>
      </c>
      <c r="C61" s="22"/>
      <c r="D61" s="22"/>
      <c r="E61" s="22"/>
      <c r="F61" s="101">
        <v>0.13</v>
      </c>
      <c r="G61" s="102"/>
      <c r="H61" s="103">
        <f>H60*F61</f>
        <v>22.436944400000002</v>
      </c>
      <c r="I61" s="104"/>
      <c r="J61" s="105">
        <v>0.13</v>
      </c>
      <c r="K61" s="104"/>
      <c r="L61" s="106">
        <f>L60*J61</f>
        <v>22.190746872387638</v>
      </c>
      <c r="M61" s="107"/>
      <c r="N61" s="108">
        <f t="shared" si="10"/>
        <v>-0.24619752761236313</v>
      </c>
      <c r="O61" s="109">
        <f t="shared" si="11"/>
        <v>-1.0972863471211486E-2</v>
      </c>
      <c r="S61" s="72"/>
    </row>
    <row r="62" spans="2:19" x14ac:dyDescent="0.25">
      <c r="B62" s="110" t="s">
        <v>42</v>
      </c>
      <c r="C62" s="22"/>
      <c r="D62" s="22"/>
      <c r="E62" s="22"/>
      <c r="F62" s="111"/>
      <c r="G62" s="102"/>
      <c r="H62" s="103">
        <f>H60+H61</f>
        <v>195.02882440000002</v>
      </c>
      <c r="I62" s="104"/>
      <c r="J62" s="104"/>
      <c r="K62" s="104"/>
      <c r="L62" s="106">
        <f>L60+L61</f>
        <v>192.88879973690794</v>
      </c>
      <c r="M62" s="107"/>
      <c r="N62" s="108">
        <f t="shared" si="10"/>
        <v>-2.1400246630920776</v>
      </c>
      <c r="O62" s="109">
        <f t="shared" si="11"/>
        <v>-1.0972863471211475E-2</v>
      </c>
      <c r="S62" s="72"/>
    </row>
    <row r="63" spans="2:19" ht="15.75" customHeight="1" x14ac:dyDescent="0.25">
      <c r="B63" s="383" t="s">
        <v>43</v>
      </c>
      <c r="C63" s="383"/>
      <c r="D63" s="383"/>
      <c r="E63" s="22"/>
      <c r="F63" s="111"/>
      <c r="G63" s="102"/>
      <c r="H63" s="112">
        <f>ROUND(-H62*10%,2)</f>
        <v>-19.5</v>
      </c>
      <c r="I63" s="104"/>
      <c r="J63" s="104"/>
      <c r="K63" s="104"/>
      <c r="L63" s="113">
        <f>ROUND(-L62*10%,2)</f>
        <v>-19.29</v>
      </c>
      <c r="M63" s="107"/>
      <c r="N63" s="114">
        <f t="shared" si="10"/>
        <v>0.21000000000000085</v>
      </c>
      <c r="O63" s="115">
        <f t="shared" si="11"/>
        <v>-1.0769230769230812E-2</v>
      </c>
    </row>
    <row r="64" spans="2:19" ht="15.75" thickBot="1" x14ac:dyDescent="0.3">
      <c r="B64" s="384" t="s">
        <v>44</v>
      </c>
      <c r="C64" s="384"/>
      <c r="D64" s="384"/>
      <c r="E64" s="116"/>
      <c r="F64" s="117"/>
      <c r="G64" s="118"/>
      <c r="H64" s="119">
        <f>H62+H63</f>
        <v>175.52882440000002</v>
      </c>
      <c r="I64" s="120"/>
      <c r="J64" s="120"/>
      <c r="K64" s="120"/>
      <c r="L64" s="121">
        <f>L62+L63</f>
        <v>173.59879973690795</v>
      </c>
      <c r="M64" s="122"/>
      <c r="N64" s="123">
        <f t="shared" si="10"/>
        <v>-1.9300246630920697</v>
      </c>
      <c r="O64" s="124">
        <f t="shared" si="11"/>
        <v>-1.0995485611490653E-2</v>
      </c>
    </row>
    <row r="65" spans="1:15" s="73" customFormat="1" ht="8.25" customHeight="1" thickBot="1" x14ac:dyDescent="0.25">
      <c r="B65" s="125"/>
      <c r="C65" s="126"/>
      <c r="D65" s="127"/>
      <c r="E65" s="126"/>
      <c r="F65" s="84"/>
      <c r="G65" s="128"/>
      <c r="H65" s="86"/>
      <c r="I65" s="129"/>
      <c r="J65" s="84"/>
      <c r="K65" s="130"/>
      <c r="L65" s="86"/>
      <c r="M65" s="129"/>
      <c r="N65" s="131"/>
      <c r="O65" s="90"/>
    </row>
    <row r="66" spans="1:15" s="73" customFormat="1" ht="12.75" x14ac:dyDescent="0.2">
      <c r="B66" s="132" t="s">
        <v>45</v>
      </c>
      <c r="C66" s="75"/>
      <c r="D66" s="75"/>
      <c r="E66" s="75"/>
      <c r="F66" s="133"/>
      <c r="G66" s="134"/>
      <c r="H66" s="135">
        <f>SUM(H57:H58,H49,H50:H53)</f>
        <v>171.59188000000003</v>
      </c>
      <c r="I66" s="136"/>
      <c r="J66" s="137"/>
      <c r="K66" s="137"/>
      <c r="L66" s="189">
        <f>SUM(L57:L58,L49,L50:L53)</f>
        <v>169.69805286452029</v>
      </c>
      <c r="M66" s="138"/>
      <c r="N66" s="139">
        <f>L66-H66</f>
        <v>-1.8938271354797394</v>
      </c>
      <c r="O66" s="99">
        <f>IF((H66)=0,"",(N66/H66))</f>
        <v>-1.1036810922986209E-2</v>
      </c>
    </row>
    <row r="67" spans="1:15" s="73" customFormat="1" ht="12.75" x14ac:dyDescent="0.2">
      <c r="B67" s="140" t="s">
        <v>41</v>
      </c>
      <c r="C67" s="75"/>
      <c r="D67" s="75"/>
      <c r="E67" s="75"/>
      <c r="F67" s="141">
        <v>0.13</v>
      </c>
      <c r="G67" s="134"/>
      <c r="H67" s="142">
        <f>H66*F67</f>
        <v>22.306944400000006</v>
      </c>
      <c r="I67" s="143"/>
      <c r="J67" s="144">
        <v>0.13</v>
      </c>
      <c r="K67" s="145"/>
      <c r="L67" s="146">
        <f>L66*J67</f>
        <v>22.060746872387639</v>
      </c>
      <c r="M67" s="147"/>
      <c r="N67" s="148">
        <f>L67-H67</f>
        <v>-0.24619752761236668</v>
      </c>
      <c r="O67" s="109">
        <f>IF((H67)=0,"",(N67/H67))</f>
        <v>-1.1036810922986235E-2</v>
      </c>
    </row>
    <row r="68" spans="1:15" s="73" customFormat="1" ht="12.75" x14ac:dyDescent="0.2">
      <c r="B68" s="149" t="s">
        <v>42</v>
      </c>
      <c r="C68" s="75"/>
      <c r="D68" s="75"/>
      <c r="E68" s="75"/>
      <c r="F68" s="150"/>
      <c r="G68" s="151"/>
      <c r="H68" s="142">
        <f>H66+H67</f>
        <v>193.89882440000002</v>
      </c>
      <c r="I68" s="143"/>
      <c r="J68" s="143"/>
      <c r="K68" s="143"/>
      <c r="L68" s="146">
        <f>L66+L67</f>
        <v>191.75879973690792</v>
      </c>
      <c r="M68" s="147"/>
      <c r="N68" s="148">
        <f>L68-H68</f>
        <v>-2.140024663092106</v>
      </c>
      <c r="O68" s="109">
        <f>IF((H68)=0,"",(N68/H68))</f>
        <v>-1.1036810922986215E-2</v>
      </c>
    </row>
    <row r="69" spans="1:15" s="73" customFormat="1" ht="15.75" customHeight="1" x14ac:dyDescent="0.2">
      <c r="B69" s="385" t="s">
        <v>43</v>
      </c>
      <c r="C69" s="385"/>
      <c r="D69" s="385"/>
      <c r="E69" s="75"/>
      <c r="F69" s="150"/>
      <c r="G69" s="151"/>
      <c r="H69" s="152">
        <f>ROUND(-H68*10%,2)</f>
        <v>-19.39</v>
      </c>
      <c r="I69" s="143"/>
      <c r="J69" s="143"/>
      <c r="K69" s="143"/>
      <c r="L69" s="153">
        <f>ROUND(-L68*10%,2)</f>
        <v>-19.18</v>
      </c>
      <c r="M69" s="147"/>
      <c r="N69" s="154">
        <f>L69-H69</f>
        <v>0.21000000000000085</v>
      </c>
      <c r="O69" s="115">
        <f>IF((H69)=0,"",(N69/H69))</f>
        <v>-1.0830324909747335E-2</v>
      </c>
    </row>
    <row r="70" spans="1:15" s="73" customFormat="1" ht="13.5" thickBot="1" x14ac:dyDescent="0.25">
      <c r="B70" s="376" t="s">
        <v>46</v>
      </c>
      <c r="C70" s="376"/>
      <c r="D70" s="376"/>
      <c r="E70" s="155"/>
      <c r="F70" s="156"/>
      <c r="G70" s="157"/>
      <c r="H70" s="158">
        <f>SUM(H68:H69)</f>
        <v>174.50882440000004</v>
      </c>
      <c r="I70" s="159"/>
      <c r="J70" s="159"/>
      <c r="K70" s="159"/>
      <c r="L70" s="160">
        <f>SUM(L68:L69)</f>
        <v>172.57879973690791</v>
      </c>
      <c r="M70" s="161"/>
      <c r="N70" s="162">
        <f>L70-H70</f>
        <v>-1.9300246630921265</v>
      </c>
      <c r="O70" s="163">
        <f>IF((H70)=0,"",(N70/H70))</f>
        <v>-1.1059753967903792E-2</v>
      </c>
    </row>
    <row r="71" spans="1:15" s="73" customFormat="1" ht="8.25" customHeight="1" thickBot="1" x14ac:dyDescent="0.25">
      <c r="B71" s="125"/>
      <c r="C71" s="126"/>
      <c r="D71" s="127"/>
      <c r="E71" s="126"/>
      <c r="F71" s="164"/>
      <c r="G71" s="165"/>
      <c r="H71" s="166"/>
      <c r="I71" s="167"/>
      <c r="J71" s="164"/>
      <c r="K71" s="128"/>
      <c r="L71" s="168"/>
      <c r="M71" s="129"/>
      <c r="N71" s="169"/>
      <c r="O71" s="90"/>
    </row>
    <row r="72" spans="1:15" ht="10.5" customHeight="1" x14ac:dyDescent="0.25">
      <c r="L72" s="72"/>
    </row>
    <row r="73" spans="1:15" x14ac:dyDescent="0.25">
      <c r="B73" s="13" t="s">
        <v>47</v>
      </c>
      <c r="F73" s="170">
        <v>4.0399999999999998E-2</v>
      </c>
      <c r="J73" s="292">
        <f>+'Res (100kWh)'!$J$73</f>
        <v>3.6200000000000003E-2</v>
      </c>
    </row>
    <row r="74" spans="1:15" ht="10.5" customHeight="1" x14ac:dyDescent="0.25"/>
    <row r="75" spans="1:15" x14ac:dyDescent="0.25">
      <c r="A75" s="171" t="s">
        <v>48</v>
      </c>
    </row>
    <row r="76" spans="1:15" ht="10.5" customHeight="1" x14ac:dyDescent="0.25"/>
    <row r="77" spans="1:15" x14ac:dyDescent="0.25">
      <c r="A77" s="7" t="s">
        <v>49</v>
      </c>
    </row>
    <row r="78" spans="1:15" x14ac:dyDescent="0.25">
      <c r="A78" s="7" t="s">
        <v>50</v>
      </c>
    </row>
    <row r="80" spans="1:15" x14ac:dyDescent="0.25">
      <c r="A80" s="12" t="s">
        <v>51</v>
      </c>
    </row>
    <row r="81" spans="1:2" x14ac:dyDescent="0.25">
      <c r="A81" s="12" t="s">
        <v>52</v>
      </c>
    </row>
    <row r="83" spans="1:2" x14ac:dyDescent="0.25">
      <c r="A83" s="7" t="s">
        <v>53</v>
      </c>
    </row>
    <row r="84" spans="1:2" x14ac:dyDescent="0.25">
      <c r="A84" s="7" t="s">
        <v>54</v>
      </c>
    </row>
    <row r="85" spans="1:2" x14ac:dyDescent="0.25">
      <c r="A85" s="7" t="s">
        <v>55</v>
      </c>
    </row>
    <row r="86" spans="1:2" x14ac:dyDescent="0.25">
      <c r="A86" s="7" t="s">
        <v>56</v>
      </c>
    </row>
    <row r="87" spans="1:2" x14ac:dyDescent="0.25">
      <c r="A87" s="7" t="s">
        <v>57</v>
      </c>
    </row>
    <row r="89" spans="1:2" x14ac:dyDescent="0.25">
      <c r="A89" s="172"/>
      <c r="B89" s="7" t="s">
        <v>58</v>
      </c>
    </row>
  </sheetData>
  <mergeCells count="17">
    <mergeCell ref="B70:D70"/>
    <mergeCell ref="D19:D20"/>
    <mergeCell ref="N19:N20"/>
    <mergeCell ref="O19:O20"/>
    <mergeCell ref="B63:D63"/>
    <mergeCell ref="B64:D64"/>
    <mergeCell ref="B69:D69"/>
    <mergeCell ref="D12:O12"/>
    <mergeCell ref="F18:H18"/>
    <mergeCell ref="N1:O1"/>
    <mergeCell ref="N2:O2"/>
    <mergeCell ref="N5:O5"/>
    <mergeCell ref="B8:O8"/>
    <mergeCell ref="B9:O9"/>
    <mergeCell ref="J18:L18"/>
    <mergeCell ref="N18:O18"/>
    <mergeCell ref="N3:O3"/>
  </mergeCells>
  <dataValidations count="4">
    <dataValidation type="list" allowBlank="1" showInputMessage="1" showErrorMessage="1" sqref="E47:E48 E50:E56 E59 E38:E45 E21:E36">
      <formula1>#REF!</formula1>
    </dataValidation>
    <dataValidation type="list" allowBlank="1" showInputMessage="1" showErrorMessage="1" prompt="Select Charge Unit - monthly, per kWh, per kW" sqref="D47:D48 D65 D71 D50:D59 D38:D45 D21:D36">
      <formula1>"Monthly, per kWh, per kW"</formula1>
    </dataValidation>
    <dataValidation type="list" allowBlank="1" showInputMessage="1" showErrorMessage="1" sqref="E71 E65 E57:E58">
      <formula1>#REF!</formula1>
    </dataValidation>
    <dataValidation type="list" allowBlank="1" showInputMessage="1" showErrorMessage="1" sqref="D14">
      <formula1>"TOU, non-TOU"</formula1>
    </dataValidation>
  </dataValidations>
  <pageMargins left="0.7" right="0.7" top="0.75" bottom="0.75" header="0.3" footer="0.3"/>
  <pageSetup scale="59"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9CCFF"/>
    <pageSetUpPr fitToPage="1"/>
  </sheetPr>
  <dimension ref="A1:T89"/>
  <sheetViews>
    <sheetView showGridLines="0" topLeftCell="B15" workbookViewId="0">
      <selection activeCell="J39" sqref="J39"/>
    </sheetView>
  </sheetViews>
  <sheetFormatPr defaultColWidth="9.140625" defaultRowHeight="15" x14ac:dyDescent="0.25"/>
  <cols>
    <col min="1" max="1" width="2.140625" style="7" customWidth="1"/>
    <col min="2" max="2" width="44.5703125" style="7" customWidth="1"/>
    <col min="3" max="3" width="1.28515625" style="7" customWidth="1"/>
    <col min="4" max="4" width="11.28515625" style="7" customWidth="1"/>
    <col min="5" max="5" width="1.28515625" style="7" customWidth="1"/>
    <col min="6" max="6" width="12.28515625" style="7" customWidth="1"/>
    <col min="7" max="7" width="8.5703125" style="7" customWidth="1"/>
    <col min="8" max="8" width="9.7109375" style="7" customWidth="1"/>
    <col min="9" max="9" width="2.85546875" style="7" customWidth="1"/>
    <col min="10" max="10" width="12.140625" style="7" customWidth="1"/>
    <col min="11" max="11" width="8.5703125" style="7" customWidth="1"/>
    <col min="12" max="12" width="9.7109375" style="7" customWidth="1"/>
    <col min="13" max="13" width="2.85546875" style="7" customWidth="1"/>
    <col min="14" max="14" width="12.7109375" style="7" bestFit="1" customWidth="1"/>
    <col min="15" max="15" width="10.85546875" style="7" bestFit="1" customWidth="1"/>
    <col min="16" max="16" width="9.5703125" style="7" customWidth="1"/>
    <col min="17" max="19" width="9.140625" style="7"/>
    <col min="20" max="20" width="9.140625" style="7" customWidth="1"/>
    <col min="21" max="16384" width="9.140625" style="7"/>
  </cols>
  <sheetData>
    <row r="1" spans="1:20" s="2" customFormat="1" ht="15" customHeigh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3" t="s">
        <v>0</v>
      </c>
      <c r="N1" s="368" t="s">
        <v>94</v>
      </c>
      <c r="O1" s="368"/>
      <c r="P1" s="192"/>
      <c r="T1" s="2">
        <v>1</v>
      </c>
    </row>
    <row r="2" spans="1:20" s="2" customFormat="1" ht="15" customHeight="1" x14ac:dyDescent="0.3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3" t="s">
        <v>95</v>
      </c>
      <c r="N2" s="369">
        <v>8</v>
      </c>
      <c r="O2" s="369"/>
      <c r="P2" s="193"/>
    </row>
    <row r="3" spans="1:20" s="2" customFormat="1" ht="15" customHeight="1" x14ac:dyDescent="0.3">
      <c r="C3" s="6"/>
      <c r="D3" s="6"/>
      <c r="E3" s="6"/>
      <c r="L3" s="3" t="s">
        <v>96</v>
      </c>
      <c r="N3" s="370" t="s">
        <v>97</v>
      </c>
      <c r="O3" s="370"/>
      <c r="P3" s="192"/>
    </row>
    <row r="4" spans="1:20" s="2" customFormat="1" ht="9" customHeight="1" x14ac:dyDescent="0.3">
      <c r="L4" s="3"/>
      <c r="N4" s="310"/>
      <c r="O4"/>
      <c r="P4" s="194"/>
    </row>
    <row r="5" spans="1:20" s="2" customFormat="1" ht="14.45" x14ac:dyDescent="0.3">
      <c r="L5" s="3" t="s">
        <v>76</v>
      </c>
      <c r="N5" s="387">
        <v>42124</v>
      </c>
      <c r="O5" s="387"/>
      <c r="P5" s="195"/>
    </row>
    <row r="6" spans="1:20" s="2" customFormat="1" ht="15" customHeight="1" x14ac:dyDescent="0.3">
      <c r="N6" s="7"/>
      <c r="O6"/>
      <c r="P6"/>
    </row>
    <row r="7" spans="1:20" ht="7.5" customHeight="1" x14ac:dyDescent="0.3">
      <c r="L7"/>
      <c r="M7"/>
      <c r="N7"/>
      <c r="O7"/>
      <c r="P7"/>
    </row>
    <row r="8" spans="1:20" ht="18.75" customHeight="1" x14ac:dyDescent="0.3">
      <c r="B8" s="367" t="s">
        <v>1</v>
      </c>
      <c r="C8" s="367"/>
      <c r="D8" s="367"/>
      <c r="E8" s="367"/>
      <c r="F8" s="367"/>
      <c r="G8" s="367"/>
      <c r="H8" s="367"/>
      <c r="I8" s="367"/>
      <c r="J8" s="367"/>
      <c r="K8" s="367"/>
      <c r="L8" s="367"/>
      <c r="M8" s="367"/>
      <c r="N8" s="367"/>
      <c r="O8" s="367"/>
      <c r="P8"/>
    </row>
    <row r="9" spans="1:20" ht="18.75" customHeight="1" x14ac:dyDescent="0.3">
      <c r="B9" s="367" t="s">
        <v>2</v>
      </c>
      <c r="C9" s="367"/>
      <c r="D9" s="367"/>
      <c r="E9" s="367"/>
      <c r="F9" s="367"/>
      <c r="G9" s="367"/>
      <c r="H9" s="367"/>
      <c r="I9" s="367"/>
      <c r="J9" s="367"/>
      <c r="K9" s="367"/>
      <c r="L9" s="367"/>
      <c r="M9" s="367"/>
      <c r="N9" s="367"/>
      <c r="O9" s="367"/>
      <c r="P9"/>
    </row>
    <row r="10" spans="1:20" ht="7.5" customHeight="1" x14ac:dyDescent="0.3">
      <c r="L10"/>
      <c r="M10"/>
      <c r="N10"/>
      <c r="O10"/>
      <c r="P10"/>
    </row>
    <row r="11" spans="1:20" ht="7.5" customHeight="1" x14ac:dyDescent="0.3">
      <c r="L11"/>
      <c r="M11"/>
      <c r="N11"/>
      <c r="O11"/>
      <c r="P11"/>
    </row>
    <row r="12" spans="1:20" ht="15.6" x14ac:dyDescent="0.3">
      <c r="B12" s="8" t="s">
        <v>3</v>
      </c>
      <c r="D12" s="386" t="s">
        <v>67</v>
      </c>
      <c r="E12" s="386"/>
      <c r="F12" s="386"/>
      <c r="G12" s="386"/>
      <c r="H12" s="386"/>
      <c r="I12" s="386"/>
      <c r="J12" s="386"/>
      <c r="K12" s="386"/>
      <c r="L12" s="386"/>
      <c r="M12" s="386"/>
      <c r="N12" s="386"/>
      <c r="O12" s="386"/>
    </row>
    <row r="13" spans="1:20" ht="7.5" customHeight="1" x14ac:dyDescent="0.3">
      <c r="B13" s="9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</row>
    <row r="14" spans="1:20" ht="15.6" x14ac:dyDescent="0.3">
      <c r="B14" s="8" t="s">
        <v>4</v>
      </c>
      <c r="D14" s="11" t="s">
        <v>5</v>
      </c>
      <c r="E14" s="10"/>
      <c r="F14" s="10"/>
      <c r="G14" s="10"/>
      <c r="H14" s="10"/>
      <c r="I14" s="10"/>
      <c r="J14" s="278"/>
      <c r="K14" s="279"/>
      <c r="L14" s="279"/>
      <c r="M14" s="10"/>
      <c r="N14" s="10"/>
      <c r="O14" s="10"/>
    </row>
    <row r="15" spans="1:20" ht="15.6" x14ac:dyDescent="0.3">
      <c r="B15" s="9"/>
      <c r="D15" s="10"/>
      <c r="E15" s="10"/>
      <c r="F15" s="10"/>
      <c r="G15" s="10"/>
      <c r="H15" s="10"/>
      <c r="I15" s="10"/>
      <c r="J15" s="278"/>
      <c r="K15" s="279"/>
      <c r="L15" s="279"/>
      <c r="M15" s="10"/>
      <c r="N15" s="10"/>
      <c r="O15" s="10"/>
    </row>
    <row r="16" spans="1:20" ht="14.45" x14ac:dyDescent="0.3">
      <c r="B16" s="12"/>
      <c r="D16" s="13" t="s">
        <v>6</v>
      </c>
      <c r="E16" s="13"/>
      <c r="F16" s="14">
        <v>2000</v>
      </c>
      <c r="G16" s="13" t="s">
        <v>7</v>
      </c>
      <c r="J16" s="280"/>
      <c r="K16" s="34"/>
      <c r="L16" s="34"/>
    </row>
    <row r="17" spans="2:15" ht="14.45" x14ac:dyDescent="0.3">
      <c r="B17" s="12"/>
      <c r="F17" s="281"/>
      <c r="G17" s="34"/>
      <c r="H17" s="34"/>
      <c r="J17" s="281"/>
      <c r="K17" s="34"/>
      <c r="L17" s="34"/>
    </row>
    <row r="18" spans="2:15" ht="14.45" x14ac:dyDescent="0.3">
      <c r="B18" s="12"/>
      <c r="D18" s="15"/>
      <c r="E18" s="15"/>
      <c r="F18" s="373" t="s">
        <v>8</v>
      </c>
      <c r="G18" s="374"/>
      <c r="H18" s="375"/>
      <c r="J18" s="373" t="s">
        <v>9</v>
      </c>
      <c r="K18" s="374"/>
      <c r="L18" s="375"/>
      <c r="N18" s="373" t="s">
        <v>10</v>
      </c>
      <c r="O18" s="375"/>
    </row>
    <row r="19" spans="2:15" x14ac:dyDescent="0.25">
      <c r="B19" s="12"/>
      <c r="D19" s="377" t="s">
        <v>11</v>
      </c>
      <c r="E19" s="16"/>
      <c r="F19" s="17" t="s">
        <v>12</v>
      </c>
      <c r="G19" s="17" t="s">
        <v>13</v>
      </c>
      <c r="H19" s="18" t="s">
        <v>14</v>
      </c>
      <c r="J19" s="17" t="s">
        <v>12</v>
      </c>
      <c r="K19" s="19" t="s">
        <v>13</v>
      </c>
      <c r="L19" s="18" t="s">
        <v>14</v>
      </c>
      <c r="N19" s="379" t="s">
        <v>15</v>
      </c>
      <c r="O19" s="381" t="s">
        <v>16</v>
      </c>
    </row>
    <row r="20" spans="2:15" x14ac:dyDescent="0.25">
      <c r="B20" s="12"/>
      <c r="D20" s="378"/>
      <c r="E20" s="16"/>
      <c r="F20" s="20" t="s">
        <v>17</v>
      </c>
      <c r="G20" s="20"/>
      <c r="H20" s="21" t="s">
        <v>17</v>
      </c>
      <c r="J20" s="20" t="s">
        <v>17</v>
      </c>
      <c r="K20" s="21"/>
      <c r="L20" s="21" t="s">
        <v>17</v>
      </c>
      <c r="N20" s="380"/>
      <c r="O20" s="382"/>
    </row>
    <row r="21" spans="2:15" ht="22.5" customHeight="1" x14ac:dyDescent="0.3">
      <c r="B21" s="22" t="s">
        <v>18</v>
      </c>
      <c r="C21" s="22"/>
      <c r="D21" s="23" t="s">
        <v>60</v>
      </c>
      <c r="E21" s="24"/>
      <c r="F21" s="174">
        <f>+'GS&lt;50 (1,000kWh)'!$F$21</f>
        <v>31.96</v>
      </c>
      <c r="G21" s="26">
        <v>1</v>
      </c>
      <c r="H21" s="27">
        <f>G21*F21</f>
        <v>31.96</v>
      </c>
      <c r="I21" s="28"/>
      <c r="J21" s="173">
        <f>+'GS&lt;50 (1,000kWh)'!$J$21</f>
        <v>31.96</v>
      </c>
      <c r="K21" s="30">
        <v>1</v>
      </c>
      <c r="L21" s="27">
        <f>K21*J21</f>
        <v>31.96</v>
      </c>
      <c r="M21" s="28"/>
      <c r="N21" s="31">
        <f>L21-H21</f>
        <v>0</v>
      </c>
      <c r="O21" s="32">
        <f>IF((H21)=0,"",(N21/H21))</f>
        <v>0</v>
      </c>
    </row>
    <row r="22" spans="2:15" ht="36.75" customHeight="1" x14ac:dyDescent="0.3">
      <c r="B22" s="296" t="s">
        <v>88</v>
      </c>
      <c r="C22" s="22"/>
      <c r="D22" s="56" t="s">
        <v>61</v>
      </c>
      <c r="E22" s="24"/>
      <c r="F22" s="173"/>
      <c r="G22" s="26">
        <f>$F$16</f>
        <v>2000</v>
      </c>
      <c r="H22" s="27">
        <f t="shared" ref="H22:H36" si="0">G22*F22</f>
        <v>0</v>
      </c>
      <c r="I22" s="28"/>
      <c r="J22" s="29">
        <f>+'GS&lt;50 (1,000kWh)'!$J$22</f>
        <v>8.9999999999999998E-4</v>
      </c>
      <c r="K22" s="26">
        <f>$F$16</f>
        <v>2000</v>
      </c>
      <c r="L22" s="27">
        <f>K22*J22</f>
        <v>1.8</v>
      </c>
      <c r="M22" s="28"/>
      <c r="N22" s="31">
        <f>L22-H22</f>
        <v>1.8</v>
      </c>
      <c r="O22" s="32" t="str">
        <f>IF((H22)=0,"",(N22/H22))</f>
        <v/>
      </c>
    </row>
    <row r="23" spans="2:15" ht="36.75" customHeight="1" x14ac:dyDescent="0.3">
      <c r="B23" s="297" t="s">
        <v>63</v>
      </c>
      <c r="C23" s="22"/>
      <c r="D23" s="56" t="s">
        <v>60</v>
      </c>
      <c r="E23" s="57"/>
      <c r="F23" s="173">
        <f>+'GS&lt;50 (1,000kWh)'!$F$23</f>
        <v>5.51</v>
      </c>
      <c r="G23" s="26">
        <v>1</v>
      </c>
      <c r="H23" s="27">
        <f t="shared" si="0"/>
        <v>5.51</v>
      </c>
      <c r="I23" s="28"/>
      <c r="J23" s="29"/>
      <c r="K23" s="30">
        <v>1</v>
      </c>
      <c r="L23" s="27">
        <f t="shared" ref="L23:L36" si="1">K23*J23</f>
        <v>0</v>
      </c>
      <c r="M23" s="28"/>
      <c r="N23" s="31">
        <f t="shared" ref="N23:N64" si="2">L23-H23</f>
        <v>-5.51</v>
      </c>
      <c r="O23" s="32">
        <f t="shared" ref="O23:O44" si="3">IF((H23)=0,"",(N23/H23))</f>
        <v>-1</v>
      </c>
    </row>
    <row r="24" spans="2:15" ht="14.45" x14ac:dyDescent="0.3">
      <c r="B24" s="297" t="s">
        <v>90</v>
      </c>
      <c r="C24" s="22"/>
      <c r="D24" s="23" t="s">
        <v>60</v>
      </c>
      <c r="E24" s="24"/>
      <c r="F24" s="25"/>
      <c r="G24" s="26">
        <v>1</v>
      </c>
      <c r="H24" s="27">
        <f t="shared" si="0"/>
        <v>0</v>
      </c>
      <c r="I24" s="28"/>
      <c r="J24" s="173">
        <f>+'GS&lt;50 (1,000kWh)'!$J$24</f>
        <v>1.3841528645202816</v>
      </c>
      <c r="K24" s="30">
        <v>1</v>
      </c>
      <c r="L24" s="27">
        <f t="shared" si="1"/>
        <v>1.3841528645202816</v>
      </c>
      <c r="M24" s="28"/>
      <c r="N24" s="31">
        <f t="shared" si="2"/>
        <v>1.3841528645202816</v>
      </c>
      <c r="O24" s="32" t="str">
        <f t="shared" si="3"/>
        <v/>
      </c>
    </row>
    <row r="25" spans="2:15" ht="14.45" x14ac:dyDescent="0.3">
      <c r="B25" s="296" t="s">
        <v>65</v>
      </c>
      <c r="C25" s="22"/>
      <c r="D25" s="23" t="s">
        <v>61</v>
      </c>
      <c r="E25" s="24"/>
      <c r="F25" s="201">
        <f>+'GS&lt;50 (1,000kWh)'!$F$25</f>
        <v>-5.0000000000000002E-5</v>
      </c>
      <c r="G25" s="26">
        <f>$F$16</f>
        <v>2000</v>
      </c>
      <c r="H25" s="27">
        <f t="shared" si="0"/>
        <v>-0.1</v>
      </c>
      <c r="I25" s="28"/>
      <c r="J25" s="29">
        <f>+'GS&lt;50 (1,000kWh)'!$J$25</f>
        <v>-5.0000000000000002E-5</v>
      </c>
      <c r="K25" s="26">
        <f>$F$16</f>
        <v>2000</v>
      </c>
      <c r="L25" s="27">
        <f t="shared" si="1"/>
        <v>-0.1</v>
      </c>
      <c r="M25" s="28"/>
      <c r="N25" s="31">
        <f t="shared" si="2"/>
        <v>0</v>
      </c>
      <c r="O25" s="32">
        <f t="shared" si="3"/>
        <v>0</v>
      </c>
    </row>
    <row r="26" spans="2:15" ht="14.45" x14ac:dyDescent="0.3">
      <c r="B26" s="296" t="s">
        <v>66</v>
      </c>
      <c r="C26" s="22"/>
      <c r="D26" s="23" t="s">
        <v>61</v>
      </c>
      <c r="E26" s="24"/>
      <c r="F26" s="25"/>
      <c r="G26" s="26">
        <f>$F$16</f>
        <v>2000</v>
      </c>
      <c r="H26" s="27">
        <f t="shared" si="0"/>
        <v>0</v>
      </c>
      <c r="I26" s="28"/>
      <c r="J26" s="263">
        <f>+'GS&lt;50 (1,000kWh)'!$J$26</f>
        <v>-1.6000000000000001E-3</v>
      </c>
      <c r="K26" s="26">
        <f>$F$16</f>
        <v>2000</v>
      </c>
      <c r="L26" s="27">
        <f t="shared" si="1"/>
        <v>-3.2</v>
      </c>
      <c r="M26" s="28"/>
      <c r="N26" s="31">
        <f t="shared" si="2"/>
        <v>-3.2</v>
      </c>
      <c r="O26" s="32" t="str">
        <f t="shared" si="3"/>
        <v/>
      </c>
    </row>
    <row r="27" spans="2:15" x14ac:dyDescent="0.25">
      <c r="B27" s="24" t="s">
        <v>19</v>
      </c>
      <c r="C27" s="22"/>
      <c r="D27" s="23" t="s">
        <v>61</v>
      </c>
      <c r="E27" s="24"/>
      <c r="F27" s="25">
        <f>+'GS&lt;50 (1,000kWh)'!$F$27</f>
        <v>1.43E-2</v>
      </c>
      <c r="G27" s="26">
        <f>$F$16</f>
        <v>2000</v>
      </c>
      <c r="H27" s="27">
        <f t="shared" si="0"/>
        <v>28.6</v>
      </c>
      <c r="I27" s="28"/>
      <c r="J27" s="29">
        <f>+'GS&lt;50 (1,000kWh)'!$J$27</f>
        <v>1.61E-2</v>
      </c>
      <c r="K27" s="26">
        <f>$F$16</f>
        <v>2000</v>
      </c>
      <c r="L27" s="27">
        <f t="shared" si="1"/>
        <v>32.200000000000003</v>
      </c>
      <c r="M27" s="28"/>
      <c r="N27" s="31">
        <f t="shared" si="2"/>
        <v>3.6000000000000014</v>
      </c>
      <c r="O27" s="32">
        <f t="shared" si="3"/>
        <v>0.12587412587412591</v>
      </c>
    </row>
    <row r="28" spans="2:15" x14ac:dyDescent="0.25">
      <c r="B28" s="24" t="s">
        <v>20</v>
      </c>
      <c r="C28" s="22"/>
      <c r="D28" s="23"/>
      <c r="E28" s="24"/>
      <c r="F28" s="25"/>
      <c r="G28" s="26">
        <f>$F$16</f>
        <v>2000</v>
      </c>
      <c r="H28" s="27">
        <f t="shared" si="0"/>
        <v>0</v>
      </c>
      <c r="I28" s="28"/>
      <c r="J28" s="29"/>
      <c r="K28" s="26">
        <f t="shared" ref="K28:K36" si="4">$F$16</f>
        <v>2000</v>
      </c>
      <c r="L28" s="27">
        <f t="shared" si="1"/>
        <v>0</v>
      </c>
      <c r="M28" s="28"/>
      <c r="N28" s="31">
        <f t="shared" si="2"/>
        <v>0</v>
      </c>
      <c r="O28" s="32" t="str">
        <f t="shared" si="3"/>
        <v/>
      </c>
    </row>
    <row r="29" spans="2:15" x14ac:dyDescent="0.25">
      <c r="B29" s="24" t="s">
        <v>21</v>
      </c>
      <c r="C29" s="22"/>
      <c r="D29" s="23"/>
      <c r="E29" s="24"/>
      <c r="F29" s="25"/>
      <c r="G29" s="26">
        <f>$F$16</f>
        <v>2000</v>
      </c>
      <c r="H29" s="27">
        <f t="shared" si="0"/>
        <v>0</v>
      </c>
      <c r="I29" s="28"/>
      <c r="J29" s="29"/>
      <c r="K29" s="26">
        <f t="shared" si="4"/>
        <v>2000</v>
      </c>
      <c r="L29" s="27">
        <f t="shared" si="1"/>
        <v>0</v>
      </c>
      <c r="M29" s="28"/>
      <c r="N29" s="31">
        <f t="shared" si="2"/>
        <v>0</v>
      </c>
      <c r="O29" s="32" t="str">
        <f t="shared" si="3"/>
        <v/>
      </c>
    </row>
    <row r="30" spans="2:15" x14ac:dyDescent="0.25">
      <c r="B30" s="182"/>
      <c r="C30" s="22"/>
      <c r="D30" s="23"/>
      <c r="E30" s="24"/>
      <c r="F30" s="25"/>
      <c r="G30" s="26">
        <f t="shared" ref="G30:G36" si="5">$F$16</f>
        <v>2000</v>
      </c>
      <c r="H30" s="27">
        <f t="shared" si="0"/>
        <v>0</v>
      </c>
      <c r="I30" s="28"/>
      <c r="J30" s="29"/>
      <c r="K30" s="26">
        <f t="shared" si="4"/>
        <v>2000</v>
      </c>
      <c r="L30" s="27">
        <f t="shared" si="1"/>
        <v>0</v>
      </c>
      <c r="M30" s="28"/>
      <c r="N30" s="31">
        <f t="shared" si="2"/>
        <v>0</v>
      </c>
      <c r="O30" s="32" t="str">
        <f t="shared" si="3"/>
        <v/>
      </c>
    </row>
    <row r="31" spans="2:15" x14ac:dyDescent="0.25">
      <c r="B31" s="182"/>
      <c r="C31" s="22"/>
      <c r="D31" s="23"/>
      <c r="E31" s="24"/>
      <c r="F31" s="25"/>
      <c r="G31" s="26">
        <f t="shared" si="5"/>
        <v>2000</v>
      </c>
      <c r="H31" s="27">
        <f t="shared" si="0"/>
        <v>0</v>
      </c>
      <c r="I31" s="28"/>
      <c r="J31" s="29"/>
      <c r="K31" s="26">
        <f t="shared" si="4"/>
        <v>2000</v>
      </c>
      <c r="L31" s="27">
        <f t="shared" si="1"/>
        <v>0</v>
      </c>
      <c r="M31" s="28"/>
      <c r="N31" s="31">
        <f t="shared" si="2"/>
        <v>0</v>
      </c>
      <c r="O31" s="32" t="str">
        <f t="shared" si="3"/>
        <v/>
      </c>
    </row>
    <row r="32" spans="2:15" x14ac:dyDescent="0.25">
      <c r="B32" s="182"/>
      <c r="C32" s="22"/>
      <c r="D32" s="23"/>
      <c r="E32" s="24"/>
      <c r="F32" s="25"/>
      <c r="G32" s="26">
        <f t="shared" si="5"/>
        <v>2000</v>
      </c>
      <c r="H32" s="27">
        <f t="shared" si="0"/>
        <v>0</v>
      </c>
      <c r="I32" s="28"/>
      <c r="J32" s="29"/>
      <c r="K32" s="26">
        <f t="shared" si="4"/>
        <v>2000</v>
      </c>
      <c r="L32" s="27">
        <f t="shared" si="1"/>
        <v>0</v>
      </c>
      <c r="M32" s="28"/>
      <c r="N32" s="31">
        <f t="shared" si="2"/>
        <v>0</v>
      </c>
      <c r="O32" s="32" t="str">
        <f t="shared" si="3"/>
        <v/>
      </c>
    </row>
    <row r="33" spans="2:15" x14ac:dyDescent="0.25">
      <c r="B33" s="182"/>
      <c r="C33" s="22"/>
      <c r="D33" s="23"/>
      <c r="E33" s="24"/>
      <c r="F33" s="25"/>
      <c r="G33" s="26">
        <f t="shared" si="5"/>
        <v>2000</v>
      </c>
      <c r="H33" s="27">
        <f t="shared" si="0"/>
        <v>0</v>
      </c>
      <c r="I33" s="28"/>
      <c r="J33" s="29"/>
      <c r="K33" s="26">
        <f t="shared" si="4"/>
        <v>2000</v>
      </c>
      <c r="L33" s="27">
        <f t="shared" si="1"/>
        <v>0</v>
      </c>
      <c r="M33" s="28"/>
      <c r="N33" s="31">
        <f t="shared" si="2"/>
        <v>0</v>
      </c>
      <c r="O33" s="32" t="str">
        <f t="shared" si="3"/>
        <v/>
      </c>
    </row>
    <row r="34" spans="2:15" x14ac:dyDescent="0.25">
      <c r="B34" s="182"/>
      <c r="C34" s="22"/>
      <c r="D34" s="23"/>
      <c r="E34" s="24"/>
      <c r="F34" s="25"/>
      <c r="G34" s="26">
        <f t="shared" si="5"/>
        <v>2000</v>
      </c>
      <c r="H34" s="27">
        <f t="shared" si="0"/>
        <v>0</v>
      </c>
      <c r="I34" s="28"/>
      <c r="J34" s="29"/>
      <c r="K34" s="26">
        <f t="shared" si="4"/>
        <v>2000</v>
      </c>
      <c r="L34" s="27">
        <f t="shared" si="1"/>
        <v>0</v>
      </c>
      <c r="M34" s="28"/>
      <c r="N34" s="31">
        <f t="shared" si="2"/>
        <v>0</v>
      </c>
      <c r="O34" s="32" t="str">
        <f t="shared" si="3"/>
        <v/>
      </c>
    </row>
    <row r="35" spans="2:15" x14ac:dyDescent="0.25">
      <c r="B35" s="182"/>
      <c r="C35" s="22"/>
      <c r="D35" s="23"/>
      <c r="E35" s="24"/>
      <c r="F35" s="25"/>
      <c r="G35" s="26">
        <f t="shared" si="5"/>
        <v>2000</v>
      </c>
      <c r="H35" s="27">
        <f t="shared" si="0"/>
        <v>0</v>
      </c>
      <c r="I35" s="28"/>
      <c r="J35" s="29"/>
      <c r="K35" s="26">
        <f t="shared" si="4"/>
        <v>2000</v>
      </c>
      <c r="L35" s="27">
        <f t="shared" si="1"/>
        <v>0</v>
      </c>
      <c r="M35" s="28"/>
      <c r="N35" s="31">
        <f t="shared" si="2"/>
        <v>0</v>
      </c>
      <c r="O35" s="32" t="str">
        <f t="shared" si="3"/>
        <v/>
      </c>
    </row>
    <row r="36" spans="2:15" x14ac:dyDescent="0.25">
      <c r="B36" s="182"/>
      <c r="C36" s="22"/>
      <c r="D36" s="23"/>
      <c r="E36" s="24"/>
      <c r="F36" s="25"/>
      <c r="G36" s="26">
        <f t="shared" si="5"/>
        <v>2000</v>
      </c>
      <c r="H36" s="27">
        <f t="shared" si="0"/>
        <v>0</v>
      </c>
      <c r="I36" s="28"/>
      <c r="J36" s="29"/>
      <c r="K36" s="26">
        <f t="shared" si="4"/>
        <v>2000</v>
      </c>
      <c r="L36" s="27">
        <f t="shared" si="1"/>
        <v>0</v>
      </c>
      <c r="M36" s="28"/>
      <c r="N36" s="31">
        <f t="shared" si="2"/>
        <v>0</v>
      </c>
      <c r="O36" s="32" t="str">
        <f t="shared" si="3"/>
        <v/>
      </c>
    </row>
    <row r="37" spans="2:15" s="34" customFormat="1" x14ac:dyDescent="0.25">
      <c r="B37" s="35" t="s">
        <v>22</v>
      </c>
      <c r="C37" s="36"/>
      <c r="D37" s="37"/>
      <c r="E37" s="36"/>
      <c r="F37" s="38"/>
      <c r="G37" s="39"/>
      <c r="H37" s="40">
        <f>SUM(H21:H36)</f>
        <v>65.97</v>
      </c>
      <c r="I37" s="41"/>
      <c r="J37" s="42"/>
      <c r="K37" s="43"/>
      <c r="L37" s="40">
        <f>SUM(L21:L36)</f>
        <v>64.044152864520285</v>
      </c>
      <c r="M37" s="41"/>
      <c r="N37" s="44">
        <f t="shared" si="2"/>
        <v>-1.9258471354797138</v>
      </c>
      <c r="O37" s="45">
        <f t="shared" si="3"/>
        <v>-2.9192771494311258E-2</v>
      </c>
    </row>
    <row r="38" spans="2:15" x14ac:dyDescent="0.25">
      <c r="B38" s="297"/>
      <c r="C38" s="22"/>
      <c r="D38" s="56" t="s">
        <v>60</v>
      </c>
      <c r="E38" s="24"/>
      <c r="F38" s="25"/>
      <c r="G38" s="26">
        <v>1</v>
      </c>
      <c r="H38" s="27">
        <f>G38*F38</f>
        <v>0</v>
      </c>
      <c r="I38" s="28"/>
      <c r="J38" s="173"/>
      <c r="K38" s="30">
        <v>1</v>
      </c>
      <c r="L38" s="27">
        <f>K38*J38</f>
        <v>0</v>
      </c>
      <c r="M38" s="28"/>
      <c r="N38" s="31">
        <f>L38-H38</f>
        <v>0</v>
      </c>
      <c r="O38" s="32" t="str">
        <f>IF((H38)=0,"",(N38/H38))</f>
        <v/>
      </c>
    </row>
    <row r="39" spans="2:15" x14ac:dyDescent="0.25">
      <c r="B39" s="296" t="s">
        <v>23</v>
      </c>
      <c r="C39" s="22"/>
      <c r="D39" s="56" t="s">
        <v>61</v>
      </c>
      <c r="E39" s="57"/>
      <c r="F39" s="29">
        <f>+'GS&lt;50 (1,000kWh)'!$F$39</f>
        <v>-1.4E-3</v>
      </c>
      <c r="G39" s="26">
        <f>$F$16</f>
        <v>2000</v>
      </c>
      <c r="H39" s="27">
        <f t="shared" ref="H39:H45" si="6">G39*F39</f>
        <v>-2.8</v>
      </c>
      <c r="I39" s="28"/>
      <c r="J39" s="263">
        <f>+'GS&lt;50 (1,000kWh)'!$J$39</f>
        <v>2.9999999999999992E-4</v>
      </c>
      <c r="K39" s="26">
        <f>$F$16</f>
        <v>2000</v>
      </c>
      <c r="L39" s="27">
        <f t="shared" ref="L39:L45" si="7">K39*J39</f>
        <v>0.59999999999999987</v>
      </c>
      <c r="M39" s="28"/>
      <c r="N39" s="31">
        <f t="shared" si="2"/>
        <v>3.3999999999999995</v>
      </c>
      <c r="O39" s="32">
        <f t="shared" si="3"/>
        <v>-1.2142857142857142</v>
      </c>
    </row>
    <row r="40" spans="2:15" x14ac:dyDescent="0.25">
      <c r="B40" s="296"/>
      <c r="C40" s="22"/>
      <c r="D40" s="23" t="s">
        <v>61</v>
      </c>
      <c r="E40" s="24"/>
      <c r="F40" s="25"/>
      <c r="G40" s="26">
        <f>$F$16</f>
        <v>2000</v>
      </c>
      <c r="H40" s="27">
        <f t="shared" si="6"/>
        <v>0</v>
      </c>
      <c r="I40" s="47"/>
      <c r="J40" s="29"/>
      <c r="K40" s="26">
        <f>$F$16</f>
        <v>2000</v>
      </c>
      <c r="L40" s="27">
        <f t="shared" si="7"/>
        <v>0</v>
      </c>
      <c r="M40" s="48"/>
      <c r="N40" s="31">
        <f t="shared" si="2"/>
        <v>0</v>
      </c>
      <c r="O40" s="32" t="str">
        <f t="shared" si="3"/>
        <v/>
      </c>
    </row>
    <row r="41" spans="2:15" x14ac:dyDescent="0.25">
      <c r="B41" s="46"/>
      <c r="C41" s="22"/>
      <c r="D41" s="23" t="s">
        <v>61</v>
      </c>
      <c r="E41" s="24"/>
      <c r="F41" s="25"/>
      <c r="G41" s="26">
        <f>$F$16</f>
        <v>2000</v>
      </c>
      <c r="H41" s="27">
        <f t="shared" si="6"/>
        <v>0</v>
      </c>
      <c r="I41" s="47"/>
      <c r="J41" s="29"/>
      <c r="K41" s="26">
        <f>$F$16</f>
        <v>2000</v>
      </c>
      <c r="L41" s="27">
        <f t="shared" si="7"/>
        <v>0</v>
      </c>
      <c r="M41" s="48"/>
      <c r="N41" s="31">
        <f t="shared" si="2"/>
        <v>0</v>
      </c>
      <c r="O41" s="32" t="str">
        <f t="shared" si="3"/>
        <v/>
      </c>
    </row>
    <row r="42" spans="2:15" x14ac:dyDescent="0.25">
      <c r="B42" s="46"/>
      <c r="C42" s="22"/>
      <c r="D42" s="23"/>
      <c r="E42" s="24"/>
      <c r="F42" s="25"/>
      <c r="G42" s="26">
        <f>$F$16</f>
        <v>2000</v>
      </c>
      <c r="H42" s="27">
        <f t="shared" si="6"/>
        <v>0</v>
      </c>
      <c r="I42" s="47"/>
      <c r="J42" s="29"/>
      <c r="K42" s="26">
        <f>$F$16</f>
        <v>2000</v>
      </c>
      <c r="L42" s="27">
        <f t="shared" si="7"/>
        <v>0</v>
      </c>
      <c r="M42" s="48"/>
      <c r="N42" s="31">
        <f t="shared" si="2"/>
        <v>0</v>
      </c>
      <c r="O42" s="32" t="str">
        <f t="shared" si="3"/>
        <v/>
      </c>
    </row>
    <row r="43" spans="2:15" x14ac:dyDescent="0.25">
      <c r="B43" s="49" t="s">
        <v>24</v>
      </c>
      <c r="C43" s="22"/>
      <c r="D43" s="23" t="s">
        <v>61</v>
      </c>
      <c r="E43" s="24"/>
      <c r="F43" s="25">
        <f>+'GS&lt;50 (1,000kWh)'!$F$43</f>
        <v>1E-4</v>
      </c>
      <c r="G43" s="26">
        <f>$F$16</f>
        <v>2000</v>
      </c>
      <c r="H43" s="27">
        <f t="shared" si="6"/>
        <v>0.2</v>
      </c>
      <c r="I43" s="28"/>
      <c r="J43" s="29">
        <f>+'GS&lt;50 (1,000kWh)'!$J$43</f>
        <v>2.0000000000000001E-4</v>
      </c>
      <c r="K43" s="26">
        <f>$F$16</f>
        <v>2000</v>
      </c>
      <c r="L43" s="27">
        <f t="shared" si="7"/>
        <v>0.4</v>
      </c>
      <c r="M43" s="28"/>
      <c r="N43" s="31">
        <f t="shared" si="2"/>
        <v>0.2</v>
      </c>
      <c r="O43" s="32">
        <f t="shared" si="3"/>
        <v>1</v>
      </c>
    </row>
    <row r="44" spans="2:15" s="34" customFormat="1" x14ac:dyDescent="0.25">
      <c r="B44" s="181" t="s">
        <v>25</v>
      </c>
      <c r="C44" s="24"/>
      <c r="D44" s="182" t="s">
        <v>61</v>
      </c>
      <c r="E44" s="24"/>
      <c r="F44" s="183">
        <f>IF(ISBLANK(D14)=TRUE, 0, IF(D14="TOU", 0.64*$F$54+0.18*$F$55+0.18*$F$56, IF(AND(D14="non-TOU", G58&gt;0), F58,F57)))</f>
        <v>9.5000000000000001E-2</v>
      </c>
      <c r="G44" s="26">
        <f>$F$16*(1+$F$73)-$F$16</f>
        <v>80.800000000000182</v>
      </c>
      <c r="H44" s="184">
        <f t="shared" si="6"/>
        <v>7.676000000000017</v>
      </c>
      <c r="I44" s="57"/>
      <c r="J44" s="185">
        <f>0.64*$F$54+0.18*$F$55+0.18*$F$56</f>
        <v>9.5000000000000001E-2</v>
      </c>
      <c r="K44" s="26">
        <f>$F$16*(1+$J$73)-$F$16</f>
        <v>72.400000000000091</v>
      </c>
      <c r="L44" s="184">
        <f t="shared" si="7"/>
        <v>6.878000000000009</v>
      </c>
      <c r="M44" s="57"/>
      <c r="N44" s="186">
        <f t="shared" si="2"/>
        <v>-0.79800000000000804</v>
      </c>
      <c r="O44" s="187">
        <f t="shared" si="3"/>
        <v>-0.10396039603960477</v>
      </c>
    </row>
    <row r="45" spans="2:15" ht="14.45" x14ac:dyDescent="0.3">
      <c r="B45" s="49" t="s">
        <v>26</v>
      </c>
      <c r="C45" s="22"/>
      <c r="D45" s="23" t="s">
        <v>60</v>
      </c>
      <c r="E45" s="24"/>
      <c r="F45" s="174">
        <f>+'GS&lt;50 (1,000kWh)'!$F$45</f>
        <v>0.79</v>
      </c>
      <c r="G45" s="26">
        <v>1</v>
      </c>
      <c r="H45" s="27">
        <f t="shared" si="6"/>
        <v>0.79</v>
      </c>
      <c r="I45" s="28"/>
      <c r="J45" s="174">
        <f>+'GS&lt;50 (1,000kWh)'!$J$45</f>
        <v>0.79</v>
      </c>
      <c r="K45" s="26">
        <v>1</v>
      </c>
      <c r="L45" s="27">
        <f t="shared" si="7"/>
        <v>0.79</v>
      </c>
      <c r="M45" s="28"/>
      <c r="N45" s="31">
        <f t="shared" si="2"/>
        <v>0</v>
      </c>
      <c r="O45" s="32"/>
    </row>
    <row r="46" spans="2:15" ht="14.45" x14ac:dyDescent="0.3">
      <c r="B46" s="50" t="s">
        <v>27</v>
      </c>
      <c r="C46" s="51"/>
      <c r="D46" s="51"/>
      <c r="E46" s="51"/>
      <c r="F46" s="52"/>
      <c r="G46" s="53"/>
      <c r="H46" s="54">
        <f>SUM(H38:H45)+H37</f>
        <v>71.836000000000013</v>
      </c>
      <c r="I46" s="41"/>
      <c r="J46" s="53"/>
      <c r="K46" s="55"/>
      <c r="L46" s="54">
        <f>SUM(L38:L45)+L37</f>
        <v>72.712152864520291</v>
      </c>
      <c r="M46" s="41"/>
      <c r="N46" s="44">
        <f t="shared" si="2"/>
        <v>0.87615286452027874</v>
      </c>
      <c r="O46" s="45">
        <f t="shared" ref="O46:O64" si="8">IF((H46)=0,"",(N46/H46))</f>
        <v>1.2196570863080887E-2</v>
      </c>
    </row>
    <row r="47" spans="2:15" ht="14.45" x14ac:dyDescent="0.3">
      <c r="B47" s="28" t="s">
        <v>28</v>
      </c>
      <c r="C47" s="28"/>
      <c r="D47" s="56" t="s">
        <v>61</v>
      </c>
      <c r="E47" s="57"/>
      <c r="F47" s="263">
        <f>+'GS&lt;50 (1,000kWh)'!$F$47</f>
        <v>6.8999999999999999E-3</v>
      </c>
      <c r="G47" s="69">
        <f>F16*(1+F73)</f>
        <v>2080.8000000000002</v>
      </c>
      <c r="H47" s="27">
        <f>G47*F47</f>
        <v>14.357520000000001</v>
      </c>
      <c r="I47" s="28"/>
      <c r="J47" s="263">
        <f>+'GS&lt;50 (1,000kWh)'!$J$47</f>
        <v>6.7000000000000002E-3</v>
      </c>
      <c r="K47" s="70">
        <f>F16*(1+J73)</f>
        <v>2072.4</v>
      </c>
      <c r="L47" s="27">
        <f>K47*J47</f>
        <v>13.88508</v>
      </c>
      <c r="M47" s="28"/>
      <c r="N47" s="31">
        <f t="shared" si="2"/>
        <v>-0.47244000000000064</v>
      </c>
      <c r="O47" s="32">
        <f t="shared" si="8"/>
        <v>-3.2905404275947417E-2</v>
      </c>
    </row>
    <row r="48" spans="2:15" ht="14.45" x14ac:dyDescent="0.3">
      <c r="B48" s="59" t="s">
        <v>29</v>
      </c>
      <c r="C48" s="28"/>
      <c r="D48" s="56" t="s">
        <v>61</v>
      </c>
      <c r="E48" s="57"/>
      <c r="F48" s="263">
        <f>+'GS&lt;50 (1,000kWh)'!$F$48</f>
        <v>2.0999999999999999E-3</v>
      </c>
      <c r="G48" s="69">
        <f>G47</f>
        <v>2080.8000000000002</v>
      </c>
      <c r="H48" s="27">
        <f>G48*F48</f>
        <v>4.3696799999999998</v>
      </c>
      <c r="I48" s="28"/>
      <c r="J48" s="263">
        <f>+'GS&lt;50 (1,000kWh)'!$J$48</f>
        <v>2.0999999999999999E-3</v>
      </c>
      <c r="K48" s="70">
        <f>K47</f>
        <v>2072.4</v>
      </c>
      <c r="L48" s="27">
        <f>K48*J48</f>
        <v>4.3520399999999997</v>
      </c>
      <c r="M48" s="28"/>
      <c r="N48" s="31">
        <f t="shared" si="2"/>
        <v>-1.76400000000001E-2</v>
      </c>
      <c r="O48" s="32">
        <f t="shared" si="8"/>
        <v>-4.0369088811995617E-3</v>
      </c>
    </row>
    <row r="49" spans="2:19" ht="14.45" x14ac:dyDescent="0.3">
      <c r="B49" s="50" t="s">
        <v>30</v>
      </c>
      <c r="C49" s="36"/>
      <c r="D49" s="36"/>
      <c r="E49" s="36"/>
      <c r="F49" s="60"/>
      <c r="G49" s="53"/>
      <c r="H49" s="54">
        <f>SUM(H46:H48)</f>
        <v>90.563200000000009</v>
      </c>
      <c r="I49" s="61"/>
      <c r="J49" s="62"/>
      <c r="K49" s="63"/>
      <c r="L49" s="54">
        <f>SUM(L46:L48)</f>
        <v>90.949272864520296</v>
      </c>
      <c r="M49" s="61"/>
      <c r="N49" s="44">
        <f t="shared" si="2"/>
        <v>0.38607286452028688</v>
      </c>
      <c r="O49" s="45">
        <f t="shared" si="8"/>
        <v>4.263021453750385E-3</v>
      </c>
    </row>
    <row r="50" spans="2:19" ht="14.45" x14ac:dyDescent="0.3">
      <c r="B50" s="64" t="s">
        <v>31</v>
      </c>
      <c r="C50" s="22"/>
      <c r="D50" s="23" t="s">
        <v>61</v>
      </c>
      <c r="E50" s="24"/>
      <c r="F50" s="65">
        <f>+'GS&lt;50 (1,000kWh)'!$F$50</f>
        <v>4.4000000000000003E-3</v>
      </c>
      <c r="G50" s="69">
        <f>G48</f>
        <v>2080.8000000000002</v>
      </c>
      <c r="H50" s="66">
        <f t="shared" ref="H50:H56" si="9">G50*F50</f>
        <v>9.155520000000001</v>
      </c>
      <c r="I50" s="28"/>
      <c r="J50" s="67">
        <f>+'GS&lt;50 (1,000kWh)'!$J$50</f>
        <v>4.4000000000000003E-3</v>
      </c>
      <c r="K50" s="70">
        <f>K48</f>
        <v>2072.4</v>
      </c>
      <c r="L50" s="66">
        <f t="shared" ref="L50:L56" si="10">K50*J50</f>
        <v>9.1185600000000004</v>
      </c>
      <c r="M50" s="28"/>
      <c r="N50" s="31">
        <f t="shared" si="2"/>
        <v>-3.6960000000000548E-2</v>
      </c>
      <c r="O50" s="68">
        <f t="shared" si="8"/>
        <v>-4.0369088811995982E-3</v>
      </c>
    </row>
    <row r="51" spans="2:19" ht="14.45" x14ac:dyDescent="0.3">
      <c r="B51" s="64" t="s">
        <v>32</v>
      </c>
      <c r="C51" s="22"/>
      <c r="D51" s="23" t="s">
        <v>61</v>
      </c>
      <c r="E51" s="24"/>
      <c r="F51" s="65">
        <f>+'GS&lt;50 (1,000kWh)'!$F$51</f>
        <v>1.2999999999999999E-3</v>
      </c>
      <c r="G51" s="69">
        <f>G48</f>
        <v>2080.8000000000002</v>
      </c>
      <c r="H51" s="66">
        <f t="shared" si="9"/>
        <v>2.7050400000000003</v>
      </c>
      <c r="I51" s="28"/>
      <c r="J51" s="67">
        <f>+'GS&lt;50 (1,000kWh)'!$J$51</f>
        <v>1.2999999999999999E-3</v>
      </c>
      <c r="K51" s="70">
        <f>K48</f>
        <v>2072.4</v>
      </c>
      <c r="L51" s="66">
        <f t="shared" si="10"/>
        <v>2.6941199999999998</v>
      </c>
      <c r="M51" s="28"/>
      <c r="N51" s="31">
        <f t="shared" si="2"/>
        <v>-1.0920000000000485E-2</v>
      </c>
      <c r="O51" s="68">
        <f t="shared" si="8"/>
        <v>-4.036908881199717E-3</v>
      </c>
    </row>
    <row r="52" spans="2:19" ht="14.45" x14ac:dyDescent="0.3">
      <c r="B52" s="22" t="s">
        <v>33</v>
      </c>
      <c r="C52" s="22"/>
      <c r="D52" s="23" t="s">
        <v>60</v>
      </c>
      <c r="E52" s="24"/>
      <c r="F52" s="176">
        <f>+'GS&lt;50 (1,000kWh)'!$F$52</f>
        <v>0.25</v>
      </c>
      <c r="G52" s="26">
        <v>1</v>
      </c>
      <c r="H52" s="66">
        <f t="shared" si="9"/>
        <v>0.25</v>
      </c>
      <c r="I52" s="28"/>
      <c r="J52" s="177">
        <f>+'GS&lt;50 (1,000kWh)'!$J$52</f>
        <v>0.25</v>
      </c>
      <c r="K52" s="30">
        <v>1</v>
      </c>
      <c r="L52" s="66">
        <f t="shared" si="10"/>
        <v>0.25</v>
      </c>
      <c r="M52" s="28"/>
      <c r="N52" s="31">
        <f t="shared" si="2"/>
        <v>0</v>
      </c>
      <c r="O52" s="68">
        <f t="shared" si="8"/>
        <v>0</v>
      </c>
    </row>
    <row r="53" spans="2:19" ht="14.45" x14ac:dyDescent="0.3">
      <c r="B53" s="24" t="s">
        <v>34</v>
      </c>
      <c r="C53" s="22"/>
      <c r="D53" s="23" t="s">
        <v>61</v>
      </c>
      <c r="E53" s="24"/>
      <c r="F53" s="65">
        <f>+'GS&lt;50 (1,000kWh)'!$F$53</f>
        <v>7.0000000000000001E-3</v>
      </c>
      <c r="G53" s="69">
        <f>F16</f>
        <v>2000</v>
      </c>
      <c r="H53" s="66">
        <f t="shared" si="9"/>
        <v>14</v>
      </c>
      <c r="I53" s="28"/>
      <c r="J53" s="67">
        <f>+'GS&lt;50 (1,000kWh)'!$J$53</f>
        <v>7.0000000000000001E-3</v>
      </c>
      <c r="K53" s="70">
        <f>F16</f>
        <v>2000</v>
      </c>
      <c r="L53" s="66">
        <f t="shared" si="10"/>
        <v>14</v>
      </c>
      <c r="M53" s="28"/>
      <c r="N53" s="31">
        <f t="shared" si="2"/>
        <v>0</v>
      </c>
      <c r="O53" s="68">
        <f t="shared" si="8"/>
        <v>0</v>
      </c>
    </row>
    <row r="54" spans="2:19" x14ac:dyDescent="0.25">
      <c r="B54" s="49" t="s">
        <v>35</v>
      </c>
      <c r="C54" s="22"/>
      <c r="D54" s="23" t="s">
        <v>61</v>
      </c>
      <c r="E54" s="24"/>
      <c r="F54" s="65">
        <f>+'GS&lt;50 (1,000kWh)'!$F$54</f>
        <v>7.6999999999999999E-2</v>
      </c>
      <c r="G54" s="69">
        <f>0.64*$F$16</f>
        <v>1280</v>
      </c>
      <c r="H54" s="66">
        <f t="shared" si="9"/>
        <v>98.56</v>
      </c>
      <c r="I54" s="28"/>
      <c r="J54" s="263">
        <f>+'GS&lt;50 (1,000kWh)'!$J$54</f>
        <v>7.6999999999999999E-2</v>
      </c>
      <c r="K54" s="69">
        <f>G54</f>
        <v>1280</v>
      </c>
      <c r="L54" s="66">
        <f t="shared" si="10"/>
        <v>98.56</v>
      </c>
      <c r="M54" s="28"/>
      <c r="N54" s="31">
        <f t="shared" si="2"/>
        <v>0</v>
      </c>
      <c r="O54" s="68">
        <f t="shared" si="8"/>
        <v>0</v>
      </c>
      <c r="S54" s="72"/>
    </row>
    <row r="55" spans="2:19" x14ac:dyDescent="0.25">
      <c r="B55" s="49" t="s">
        <v>36</v>
      </c>
      <c r="C55" s="22"/>
      <c r="D55" s="23" t="s">
        <v>61</v>
      </c>
      <c r="E55" s="24"/>
      <c r="F55" s="65">
        <f>+'GS&lt;50 (1,000kWh)'!$F$55</f>
        <v>0.114</v>
      </c>
      <c r="G55" s="69">
        <f>0.18*$F$16</f>
        <v>360</v>
      </c>
      <c r="H55" s="66">
        <f t="shared" si="9"/>
        <v>41.04</v>
      </c>
      <c r="I55" s="28"/>
      <c r="J55" s="263">
        <f>+'GS&lt;50 (1,000kWh)'!$J$55</f>
        <v>0.114</v>
      </c>
      <c r="K55" s="69">
        <f>G55</f>
        <v>360</v>
      </c>
      <c r="L55" s="66">
        <f t="shared" si="10"/>
        <v>41.04</v>
      </c>
      <c r="M55" s="28"/>
      <c r="N55" s="31">
        <f t="shared" si="2"/>
        <v>0</v>
      </c>
      <c r="O55" s="68">
        <f t="shared" si="8"/>
        <v>0</v>
      </c>
      <c r="S55" s="72"/>
    </row>
    <row r="56" spans="2:19" x14ac:dyDescent="0.25">
      <c r="B56" s="12" t="s">
        <v>37</v>
      </c>
      <c r="C56" s="22"/>
      <c r="D56" s="23" t="s">
        <v>61</v>
      </c>
      <c r="E56" s="24"/>
      <c r="F56" s="65">
        <f>+'GS&lt;50 (1,000kWh)'!$F$56</f>
        <v>0.14000000000000001</v>
      </c>
      <c r="G56" s="69">
        <f>0.18*$F$16</f>
        <v>360</v>
      </c>
      <c r="H56" s="66">
        <f t="shared" si="9"/>
        <v>50.400000000000006</v>
      </c>
      <c r="I56" s="28"/>
      <c r="J56" s="263">
        <f>+'GS&lt;50 (1,000kWh)'!$J$56</f>
        <v>0.14000000000000001</v>
      </c>
      <c r="K56" s="69">
        <f>G56</f>
        <v>360</v>
      </c>
      <c r="L56" s="66">
        <f t="shared" si="10"/>
        <v>50.400000000000006</v>
      </c>
      <c r="M56" s="28"/>
      <c r="N56" s="31">
        <f t="shared" si="2"/>
        <v>0</v>
      </c>
      <c r="O56" s="68">
        <f t="shared" si="8"/>
        <v>0</v>
      </c>
      <c r="S56" s="72"/>
    </row>
    <row r="57" spans="2:19" s="73" customFormat="1" x14ac:dyDescent="0.2">
      <c r="B57" s="74" t="s">
        <v>38</v>
      </c>
      <c r="C57" s="75"/>
      <c r="D57" s="76" t="s">
        <v>61</v>
      </c>
      <c r="E57" s="77"/>
      <c r="F57" s="65">
        <f>+'GS&lt;50 (1,000kWh)'!$F$57</f>
        <v>8.7999999999999995E-2</v>
      </c>
      <c r="G57" s="78">
        <f>IF(AND($T$1=1, F16&gt;=600), 600, IF(AND($T$1=1, AND(F16&lt;600, F16&gt;=0)), F16, IF(AND($T$1=2, F16&gt;=1000), 1000, IF(AND($T$1=2, AND(F16&lt;1000, F16&gt;=0)), F16))))</f>
        <v>600</v>
      </c>
      <c r="H57" s="66">
        <f>G57*F57</f>
        <v>52.8</v>
      </c>
      <c r="I57" s="79"/>
      <c r="J57" s="263">
        <f>+'GS&lt;50 (1,000kWh)'!$J$57</f>
        <v>8.7999999999999995E-2</v>
      </c>
      <c r="K57" s="78">
        <f>G57</f>
        <v>600</v>
      </c>
      <c r="L57" s="66">
        <f>K57*J57</f>
        <v>52.8</v>
      </c>
      <c r="M57" s="79"/>
      <c r="N57" s="80">
        <f t="shared" si="2"/>
        <v>0</v>
      </c>
      <c r="O57" s="68">
        <f t="shared" si="8"/>
        <v>0</v>
      </c>
    </row>
    <row r="58" spans="2:19" s="73" customFormat="1" ht="15.75" thickBot="1" x14ac:dyDescent="0.25">
      <c r="B58" s="74" t="s">
        <v>39</v>
      </c>
      <c r="C58" s="75"/>
      <c r="D58" s="76" t="s">
        <v>61</v>
      </c>
      <c r="E58" s="77"/>
      <c r="F58" s="65">
        <f>+'GS&lt;50 (1,000kWh)'!$F$58</f>
        <v>0.10299999999999999</v>
      </c>
      <c r="G58" s="78">
        <f>IF(AND($T$1=1, F16&gt;=600), F16-600, IF(AND($T$1=1, AND(F16&lt;600, F16&gt;=0)), 0, IF(AND($T$1=2, F16&gt;=1000), F16-1000, IF(AND($T$1=2, AND(F16&lt;1000, F16&gt;=0)), 0))))</f>
        <v>1400</v>
      </c>
      <c r="H58" s="66">
        <f>G58*F58</f>
        <v>144.19999999999999</v>
      </c>
      <c r="I58" s="79"/>
      <c r="J58" s="263">
        <f>+'GS&lt;50 (1,000kWh)'!$J$58</f>
        <v>0.10299999999999999</v>
      </c>
      <c r="K58" s="78">
        <f>G58</f>
        <v>1400</v>
      </c>
      <c r="L58" s="66">
        <f>K58*J58</f>
        <v>144.19999999999999</v>
      </c>
      <c r="M58" s="79"/>
      <c r="N58" s="80">
        <f t="shared" si="2"/>
        <v>0</v>
      </c>
      <c r="O58" s="68">
        <f t="shared" si="8"/>
        <v>0</v>
      </c>
    </row>
    <row r="59" spans="2:19" ht="8.25" customHeight="1" thickBot="1" x14ac:dyDescent="0.3">
      <c r="B59" s="81"/>
      <c r="C59" s="82"/>
      <c r="D59" s="83"/>
      <c r="E59" s="82"/>
      <c r="F59" s="84"/>
      <c r="G59" s="85"/>
      <c r="H59" s="86"/>
      <c r="I59" s="87"/>
      <c r="J59" s="84"/>
      <c r="K59" s="88"/>
      <c r="L59" s="86"/>
      <c r="M59" s="87"/>
      <c r="N59" s="89"/>
      <c r="O59" s="90"/>
    </row>
    <row r="60" spans="2:19" x14ac:dyDescent="0.25">
      <c r="B60" s="91" t="s">
        <v>40</v>
      </c>
      <c r="C60" s="22"/>
      <c r="D60" s="22"/>
      <c r="E60" s="22"/>
      <c r="F60" s="92"/>
      <c r="G60" s="93"/>
      <c r="H60" s="94">
        <f>SUM(H50:H56,H49)</f>
        <v>306.67376000000002</v>
      </c>
      <c r="I60" s="95"/>
      <c r="J60" s="96"/>
      <c r="K60" s="96"/>
      <c r="L60" s="190">
        <f>SUM(L50:L56,L49)</f>
        <v>307.01195286452031</v>
      </c>
      <c r="M60" s="97"/>
      <c r="N60" s="98">
        <f>L60-H60</f>
        <v>0.33819286452029473</v>
      </c>
      <c r="O60" s="99">
        <f>IF((H60)=0,"",(N60/H60))</f>
        <v>1.1027773113692371E-3</v>
      </c>
      <c r="S60" s="72"/>
    </row>
    <row r="61" spans="2:19" x14ac:dyDescent="0.25">
      <c r="B61" s="100" t="s">
        <v>41</v>
      </c>
      <c r="C61" s="22"/>
      <c r="D61" s="22"/>
      <c r="E61" s="22"/>
      <c r="F61" s="101">
        <v>0.13</v>
      </c>
      <c r="G61" s="102"/>
      <c r="H61" s="103">
        <f>H60*F61</f>
        <v>39.8675888</v>
      </c>
      <c r="I61" s="104"/>
      <c r="J61" s="105">
        <v>0.13</v>
      </c>
      <c r="K61" s="104"/>
      <c r="L61" s="106">
        <f>L60*J61</f>
        <v>39.911553872387643</v>
      </c>
      <c r="M61" s="107"/>
      <c r="N61" s="108">
        <f t="shared" si="2"/>
        <v>4.3965072387642579E-2</v>
      </c>
      <c r="O61" s="109">
        <f t="shared" si="8"/>
        <v>1.1027773113693443E-3</v>
      </c>
      <c r="S61" s="72"/>
    </row>
    <row r="62" spans="2:19" x14ac:dyDescent="0.25">
      <c r="B62" s="110" t="s">
        <v>42</v>
      </c>
      <c r="C62" s="22"/>
      <c r="D62" s="22"/>
      <c r="E62" s="22"/>
      <c r="F62" s="111"/>
      <c r="G62" s="102"/>
      <c r="H62" s="103">
        <f>H60+H61</f>
        <v>346.54134880000004</v>
      </c>
      <c r="I62" s="104"/>
      <c r="J62" s="104"/>
      <c r="K62" s="104"/>
      <c r="L62" s="106">
        <f>L60+L61</f>
        <v>346.92350673690794</v>
      </c>
      <c r="M62" s="107"/>
      <c r="N62" s="108">
        <f t="shared" si="2"/>
        <v>0.38215793690790179</v>
      </c>
      <c r="O62" s="109">
        <f t="shared" si="8"/>
        <v>1.1027773113691469E-3</v>
      </c>
      <c r="S62" s="72"/>
    </row>
    <row r="63" spans="2:19" ht="15.75" customHeight="1" x14ac:dyDescent="0.25">
      <c r="B63" s="383" t="s">
        <v>43</v>
      </c>
      <c r="C63" s="383"/>
      <c r="D63" s="383"/>
      <c r="E63" s="22"/>
      <c r="F63" s="111"/>
      <c r="G63" s="102"/>
      <c r="H63" s="112">
        <f>ROUND(-H62*10%,2)</f>
        <v>-34.65</v>
      </c>
      <c r="I63" s="104"/>
      <c r="J63" s="104"/>
      <c r="K63" s="104"/>
      <c r="L63" s="113">
        <f>ROUND(-L62*10%,2)</f>
        <v>-34.69</v>
      </c>
      <c r="M63" s="107"/>
      <c r="N63" s="114">
        <f t="shared" si="2"/>
        <v>-3.9999999999999147E-2</v>
      </c>
      <c r="O63" s="115">
        <f t="shared" si="8"/>
        <v>1.1544011544011299E-3</v>
      </c>
    </row>
    <row r="64" spans="2:19" ht="15.75" thickBot="1" x14ac:dyDescent="0.3">
      <c r="B64" s="384" t="s">
        <v>44</v>
      </c>
      <c r="C64" s="384"/>
      <c r="D64" s="384"/>
      <c r="E64" s="116"/>
      <c r="F64" s="117"/>
      <c r="G64" s="118"/>
      <c r="H64" s="119">
        <f>H62+H63</f>
        <v>311.89134880000006</v>
      </c>
      <c r="I64" s="120"/>
      <c r="J64" s="120"/>
      <c r="K64" s="120"/>
      <c r="L64" s="121">
        <f>L62+L63</f>
        <v>312.23350673690794</v>
      </c>
      <c r="M64" s="122"/>
      <c r="N64" s="123">
        <f t="shared" si="2"/>
        <v>0.34215793690788132</v>
      </c>
      <c r="O64" s="124">
        <f t="shared" si="8"/>
        <v>1.0970420892542603E-3</v>
      </c>
    </row>
    <row r="65" spans="1:15" s="73" customFormat="1" ht="8.25" customHeight="1" thickBot="1" x14ac:dyDescent="0.25">
      <c r="B65" s="125"/>
      <c r="C65" s="126"/>
      <c r="D65" s="127"/>
      <c r="E65" s="126"/>
      <c r="F65" s="84"/>
      <c r="G65" s="128"/>
      <c r="H65" s="86"/>
      <c r="I65" s="129"/>
      <c r="J65" s="84"/>
      <c r="K65" s="130"/>
      <c r="L65" s="86"/>
      <c r="M65" s="129"/>
      <c r="N65" s="131"/>
      <c r="O65" s="90"/>
    </row>
    <row r="66" spans="1:15" s="73" customFormat="1" ht="12.75" x14ac:dyDescent="0.2">
      <c r="B66" s="132" t="s">
        <v>45</v>
      </c>
      <c r="C66" s="75"/>
      <c r="D66" s="75"/>
      <c r="E66" s="75"/>
      <c r="F66" s="133"/>
      <c r="G66" s="134"/>
      <c r="H66" s="135">
        <f>SUM(H57:H58,H49,H50:H53)</f>
        <v>313.67376000000002</v>
      </c>
      <c r="I66" s="136"/>
      <c r="J66" s="137"/>
      <c r="K66" s="137"/>
      <c r="L66" s="189">
        <f>SUM(L57:L58,L49,L50:L53)</f>
        <v>314.01195286452031</v>
      </c>
      <c r="M66" s="138"/>
      <c r="N66" s="139">
        <f>L66-H66</f>
        <v>0.33819286452029473</v>
      </c>
      <c r="O66" s="99">
        <f>IF((H66)=0,"",(N66/H66))</f>
        <v>1.0781675347032366E-3</v>
      </c>
    </row>
    <row r="67" spans="1:15" s="73" customFormat="1" ht="12.75" x14ac:dyDescent="0.2">
      <c r="B67" s="140" t="s">
        <v>41</v>
      </c>
      <c r="C67" s="75"/>
      <c r="D67" s="75"/>
      <c r="E67" s="75"/>
      <c r="F67" s="141">
        <v>0.13</v>
      </c>
      <c r="G67" s="134"/>
      <c r="H67" s="142">
        <f>H66*F67</f>
        <v>40.777588800000004</v>
      </c>
      <c r="I67" s="143"/>
      <c r="J67" s="144">
        <v>0.13</v>
      </c>
      <c r="K67" s="145"/>
      <c r="L67" s="146">
        <f>L66*J67</f>
        <v>40.821553872387639</v>
      </c>
      <c r="M67" s="147"/>
      <c r="N67" s="148">
        <f>L67-H67</f>
        <v>4.3965072387635473E-2</v>
      </c>
      <c r="O67" s="109">
        <f>IF((H67)=0,"",(N67/H67))</f>
        <v>1.0781675347031668E-3</v>
      </c>
    </row>
    <row r="68" spans="1:15" s="73" customFormat="1" ht="12.75" x14ac:dyDescent="0.2">
      <c r="B68" s="149" t="s">
        <v>42</v>
      </c>
      <c r="C68" s="75"/>
      <c r="D68" s="75"/>
      <c r="E68" s="75"/>
      <c r="F68" s="150"/>
      <c r="G68" s="151"/>
      <c r="H68" s="142">
        <f>H66+H67</f>
        <v>354.45134880000001</v>
      </c>
      <c r="I68" s="143"/>
      <c r="J68" s="143"/>
      <c r="K68" s="143"/>
      <c r="L68" s="146">
        <f>L66+L67</f>
        <v>354.83350673690796</v>
      </c>
      <c r="M68" s="147"/>
      <c r="N68" s="148">
        <f>L68-H68</f>
        <v>0.38215793690795863</v>
      </c>
      <c r="O68" s="109">
        <f>IF((H68)=0,"",(N68/H68))</f>
        <v>1.0781675347033089E-3</v>
      </c>
    </row>
    <row r="69" spans="1:15" s="73" customFormat="1" ht="15.75" customHeight="1" x14ac:dyDescent="0.2">
      <c r="B69" s="385" t="s">
        <v>43</v>
      </c>
      <c r="C69" s="385"/>
      <c r="D69" s="385"/>
      <c r="E69" s="75"/>
      <c r="F69" s="150"/>
      <c r="G69" s="151"/>
      <c r="H69" s="152">
        <f>ROUND(-H68*10%,2)</f>
        <v>-35.450000000000003</v>
      </c>
      <c r="I69" s="143"/>
      <c r="J69" s="143"/>
      <c r="K69" s="143"/>
      <c r="L69" s="153">
        <f>ROUND(-L68*10%,2)</f>
        <v>-35.479999999999997</v>
      </c>
      <c r="M69" s="147"/>
      <c r="N69" s="154">
        <f>L69-H69</f>
        <v>-2.9999999999994031E-2</v>
      </c>
      <c r="O69" s="115">
        <f>IF((H69)=0,"",(N69/H69))</f>
        <v>8.4626234132564252E-4</v>
      </c>
    </row>
    <row r="70" spans="1:15" s="73" customFormat="1" ht="13.5" thickBot="1" x14ac:dyDescent="0.25">
      <c r="B70" s="376" t="s">
        <v>46</v>
      </c>
      <c r="C70" s="376"/>
      <c r="D70" s="376"/>
      <c r="E70" s="155"/>
      <c r="F70" s="156"/>
      <c r="G70" s="157"/>
      <c r="H70" s="158">
        <f>SUM(H68:H69)</f>
        <v>319.00134880000002</v>
      </c>
      <c r="I70" s="159"/>
      <c r="J70" s="159"/>
      <c r="K70" s="159"/>
      <c r="L70" s="160">
        <f>SUM(L68:L69)</f>
        <v>319.35350673690795</v>
      </c>
      <c r="M70" s="161"/>
      <c r="N70" s="162">
        <f>L70-H70</f>
        <v>0.35215793690792907</v>
      </c>
      <c r="O70" s="163">
        <f>IF((H70)=0,"",(N70/H70))</f>
        <v>1.1039387081987443E-3</v>
      </c>
    </row>
    <row r="71" spans="1:15" s="73" customFormat="1" ht="8.25" customHeight="1" thickBot="1" x14ac:dyDescent="0.25">
      <c r="B71" s="125"/>
      <c r="C71" s="126"/>
      <c r="D71" s="127"/>
      <c r="E71" s="126"/>
      <c r="F71" s="164"/>
      <c r="G71" s="165"/>
      <c r="H71" s="166"/>
      <c r="I71" s="167"/>
      <c r="J71" s="164"/>
      <c r="K71" s="128"/>
      <c r="L71" s="168"/>
      <c r="M71" s="129"/>
      <c r="N71" s="169"/>
      <c r="O71" s="90"/>
    </row>
    <row r="72" spans="1:15" ht="10.5" customHeight="1" x14ac:dyDescent="0.25">
      <c r="L72" s="72"/>
    </row>
    <row r="73" spans="1:15" x14ac:dyDescent="0.25">
      <c r="B73" s="13" t="s">
        <v>47</v>
      </c>
      <c r="F73" s="170">
        <f>+'Res (100kWh)'!$F$73</f>
        <v>4.0399999999999998E-2</v>
      </c>
      <c r="J73" s="170">
        <f>+'Res (100kWh)'!$J$73</f>
        <v>3.6200000000000003E-2</v>
      </c>
    </row>
    <row r="74" spans="1:15" ht="10.5" customHeight="1" x14ac:dyDescent="0.25"/>
    <row r="75" spans="1:15" x14ac:dyDescent="0.25">
      <c r="A75" s="171" t="s">
        <v>48</v>
      </c>
    </row>
    <row r="76" spans="1:15" ht="10.5" customHeight="1" x14ac:dyDescent="0.25"/>
    <row r="77" spans="1:15" x14ac:dyDescent="0.25">
      <c r="A77" s="7" t="s">
        <v>49</v>
      </c>
    </row>
    <row r="78" spans="1:15" x14ac:dyDescent="0.25">
      <c r="A78" s="7" t="s">
        <v>50</v>
      </c>
    </row>
    <row r="80" spans="1:15" x14ac:dyDescent="0.25">
      <c r="A80" s="12" t="s">
        <v>51</v>
      </c>
    </row>
    <row r="81" spans="1:2" x14ac:dyDescent="0.25">
      <c r="A81" s="12" t="s">
        <v>52</v>
      </c>
    </row>
    <row r="83" spans="1:2" x14ac:dyDescent="0.25">
      <c r="A83" s="7" t="s">
        <v>53</v>
      </c>
    </row>
    <row r="84" spans="1:2" x14ac:dyDescent="0.25">
      <c r="A84" s="7" t="s">
        <v>54</v>
      </c>
    </row>
    <row r="85" spans="1:2" x14ac:dyDescent="0.25">
      <c r="A85" s="7" t="s">
        <v>55</v>
      </c>
    </row>
    <row r="86" spans="1:2" x14ac:dyDescent="0.25">
      <c r="A86" s="7" t="s">
        <v>56</v>
      </c>
    </row>
    <row r="87" spans="1:2" x14ac:dyDescent="0.25">
      <c r="A87" s="7" t="s">
        <v>57</v>
      </c>
    </row>
    <row r="89" spans="1:2" x14ac:dyDescent="0.25">
      <c r="A89" s="172"/>
      <c r="B89" s="7" t="s">
        <v>58</v>
      </c>
    </row>
  </sheetData>
  <mergeCells count="17">
    <mergeCell ref="B70:D70"/>
    <mergeCell ref="D19:D20"/>
    <mergeCell ref="N19:N20"/>
    <mergeCell ref="O19:O20"/>
    <mergeCell ref="B63:D63"/>
    <mergeCell ref="B64:D64"/>
    <mergeCell ref="B69:D69"/>
    <mergeCell ref="D12:O12"/>
    <mergeCell ref="F18:H18"/>
    <mergeCell ref="N1:O1"/>
    <mergeCell ref="N2:O2"/>
    <mergeCell ref="N5:O5"/>
    <mergeCell ref="B8:O8"/>
    <mergeCell ref="B9:O9"/>
    <mergeCell ref="J18:L18"/>
    <mergeCell ref="N18:O18"/>
    <mergeCell ref="N3:O3"/>
  </mergeCells>
  <dataValidations count="4">
    <dataValidation type="list" allowBlank="1" showInputMessage="1" showErrorMessage="1" sqref="D14">
      <formula1>"TOU, non-TOU"</formula1>
    </dataValidation>
    <dataValidation type="list" allowBlank="1" showInputMessage="1" showErrorMessage="1" sqref="E71 E65 E57:E58">
      <formula1>#REF!</formula1>
    </dataValidation>
    <dataValidation type="list" allowBlank="1" showInputMessage="1" showErrorMessage="1" prompt="Select Charge Unit - monthly, per kWh, per kW" sqref="D47:D48 D65 D71 D50:D59 D38:D45 D21:D36">
      <formula1>"Monthly, per kWh, per kW"</formula1>
    </dataValidation>
    <dataValidation type="list" allowBlank="1" showInputMessage="1" showErrorMessage="1" sqref="E47:E48 E50:E56 E59 E38:E45 E21:E36">
      <formula1>#REF!</formula1>
    </dataValidation>
  </dataValidations>
  <pageMargins left="0.7" right="0.7" top="0.75" bottom="0.75" header="0.3" footer="0.3"/>
  <pageSetup scale="5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24</vt:i4>
      </vt:variant>
      <vt:variant>
        <vt:lpstr>Named Ranges</vt:lpstr>
      </vt:variant>
      <vt:variant>
        <vt:i4>22</vt:i4>
      </vt:variant>
    </vt:vector>
  </HeadingPairs>
  <TitlesOfParts>
    <vt:vector size="46" baseType="lpstr">
      <vt:lpstr>Res (100kWh)</vt:lpstr>
      <vt:lpstr>Res (250kWh)</vt:lpstr>
      <vt:lpstr>Res (500kWh)</vt:lpstr>
      <vt:lpstr>Res (800kWh)</vt:lpstr>
      <vt:lpstr>Res (1,000kWh)</vt:lpstr>
      <vt:lpstr>Res (1,500kWh)</vt:lpstr>
      <vt:lpstr>Res (2,000kWh)</vt:lpstr>
      <vt:lpstr>GS&lt;50 (1,000kWh)</vt:lpstr>
      <vt:lpstr>GS&lt;50 (2,000kWh)</vt:lpstr>
      <vt:lpstr>GS&lt;50 (5,000kWh)</vt:lpstr>
      <vt:lpstr>GS&lt;50 (10,000kWh)</vt:lpstr>
      <vt:lpstr>GS&lt;50 (15,000kWh)</vt:lpstr>
      <vt:lpstr>GS 50-4999 (60kW)</vt:lpstr>
      <vt:lpstr>GS 50-4999 (100kW)</vt:lpstr>
      <vt:lpstr>GS 50-4999 (250kW)</vt:lpstr>
      <vt:lpstr>GS 50-4999 (500kW)</vt:lpstr>
      <vt:lpstr>GS 50-4999 (1,000kW)</vt:lpstr>
      <vt:lpstr>LU (14,500kW)</vt:lpstr>
      <vt:lpstr>SL (1kW)</vt:lpstr>
      <vt:lpstr>SL (.14 kW)</vt:lpstr>
      <vt:lpstr>USL (150kWh)</vt:lpstr>
      <vt:lpstr>ED (6,000kW)</vt:lpstr>
      <vt:lpstr>Summary</vt:lpstr>
      <vt:lpstr>Sum Typical</vt:lpstr>
      <vt:lpstr>'ED (6,000kW)'!Print_Area</vt:lpstr>
      <vt:lpstr>'GS 50-4999 (1,000kW)'!Print_Area</vt:lpstr>
      <vt:lpstr>'GS 50-4999 (100kW)'!Print_Area</vt:lpstr>
      <vt:lpstr>'GS 50-4999 (250kW)'!Print_Area</vt:lpstr>
      <vt:lpstr>'GS 50-4999 (500kW)'!Print_Area</vt:lpstr>
      <vt:lpstr>'GS 50-4999 (60kW)'!Print_Area</vt:lpstr>
      <vt:lpstr>'GS&lt;50 (1,000kWh)'!Print_Area</vt:lpstr>
      <vt:lpstr>'GS&lt;50 (10,000kWh)'!Print_Area</vt:lpstr>
      <vt:lpstr>'GS&lt;50 (15,000kWh)'!Print_Area</vt:lpstr>
      <vt:lpstr>'GS&lt;50 (2,000kWh)'!Print_Area</vt:lpstr>
      <vt:lpstr>'GS&lt;50 (5,000kWh)'!Print_Area</vt:lpstr>
      <vt:lpstr>'LU (14,500kW)'!Print_Area</vt:lpstr>
      <vt:lpstr>'Res (1,000kWh)'!Print_Area</vt:lpstr>
      <vt:lpstr>'Res (1,500kWh)'!Print_Area</vt:lpstr>
      <vt:lpstr>'Res (100kWh)'!Print_Area</vt:lpstr>
      <vt:lpstr>'Res (2,000kWh)'!Print_Area</vt:lpstr>
      <vt:lpstr>'Res (250kWh)'!Print_Area</vt:lpstr>
      <vt:lpstr>'Res (500kWh)'!Print_Area</vt:lpstr>
      <vt:lpstr>'Res (800kWh)'!Print_Area</vt:lpstr>
      <vt:lpstr>'SL (.14 kW)'!Print_Area</vt:lpstr>
      <vt:lpstr>'SL (1kW)'!Print_Area</vt:lpstr>
      <vt:lpstr>'USL (150kWh)'!Print_Area</vt:lpstr>
    </vt:vector>
  </TitlesOfParts>
  <Manager/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_</dc:title>
  <dc:creator>
  </dc:creator>
  <cp:lastModifiedBy>
  </cp:lastModifiedBy>
  <cp:lastPrinted>2015-09-29T19:39:23.2578494Z</cp:lastPrinted>
  <dcterms:created xsi:type="dcterms:W3CDTF">2015-09-29T19:39:23.2578494Z</dcterms:created>
  <dcterms:modified xsi:type="dcterms:W3CDTF">2015-09-29T19:39:23.2578494Z</dcterms:modified>
</cp:coreProperties>
</file>