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795" activeTab="1"/>
  </bookViews>
  <sheets>
    <sheet name="Summary All" sheetId="1" r:id="rId1"/>
    <sheet name="Summary selected" sheetId="2" r:id="rId2"/>
    <sheet name="Res (100kWh)" sheetId="3" r:id="rId3"/>
    <sheet name="Res (250kWh)" sheetId="4" r:id="rId4"/>
    <sheet name="Res (350kWh)" sheetId="5" r:id="rId5"/>
    <sheet name="Res (800kWh)" sheetId="6" r:id="rId6"/>
    <sheet name="Res (1,000kWh)" sheetId="7" r:id="rId7"/>
    <sheet name="Res (1,500kWh)" sheetId="8" r:id="rId8"/>
    <sheet name="Res (2,000kWh)" sheetId="9" r:id="rId9"/>
    <sheet name="GS&lt;50 (1,000kWh)" sheetId="10" r:id="rId10"/>
    <sheet name="GS&lt;50 (2,000kWh)" sheetId="11" r:id="rId11"/>
    <sheet name="GS&lt;50 (5,000kWh)" sheetId="12" r:id="rId12"/>
    <sheet name="GS&lt;50 (10,000kWh)" sheetId="13" r:id="rId13"/>
    <sheet name="GS&lt;50 (15,000kWh)" sheetId="14" r:id="rId14"/>
    <sheet name="GS 50-4999 (60kW)" sheetId="15" r:id="rId15"/>
    <sheet name="GS 50-4999 (100kW)" sheetId="16" r:id="rId16"/>
    <sheet name="USL (800kWh)" sheetId="17" r:id="rId17"/>
    <sheet name="Sentinel" sheetId="18" r:id="rId18"/>
    <sheet name="ST (1kW)" sheetId="19" r:id="rId19"/>
  </sheets>
  <externalReferences>
    <externalReference r:id="rId22"/>
  </externalReferences>
  <definedNames>
    <definedName name="EBNUMBER">'[1]LDC Info'!$E$16</definedName>
    <definedName name="_xlnm.Print_Area" localSheetId="15">'GS 50-4999 (100kW)'!$A$1:$O$85</definedName>
    <definedName name="_xlnm.Print_Area" localSheetId="14">'GS 50-4999 (60kW)'!$A$1:$O$93</definedName>
    <definedName name="_xlnm.Print_Area" localSheetId="9">'GS&lt;50 (1,000kWh)'!$A$1:$O$95</definedName>
    <definedName name="_xlnm.Print_Area" localSheetId="12">'GS&lt;50 (10,000kWh)'!$A$1:$O$95</definedName>
    <definedName name="_xlnm.Print_Area" localSheetId="13">'GS&lt;50 (15,000kWh)'!$A$1:$O$95</definedName>
    <definedName name="_xlnm.Print_Area" localSheetId="10">'GS&lt;50 (2,000kWh)'!$A$1:$O$95</definedName>
    <definedName name="_xlnm.Print_Area" localSheetId="11">'GS&lt;50 (5,000kWh)'!$A$1:$O$95</definedName>
    <definedName name="_xlnm.Print_Area" localSheetId="6">'Res (1,000kWh)'!$A$1:$O$95</definedName>
    <definedName name="_xlnm.Print_Area" localSheetId="7">'Res (1,500kWh)'!$A$1:$O$95</definedName>
    <definedName name="_xlnm.Print_Area" localSheetId="2">'Res (100kWh)'!$A$1:$O$95</definedName>
    <definedName name="_xlnm.Print_Area" localSheetId="8">'Res (2,000kWh)'!$A$1:$O$95</definedName>
    <definedName name="_xlnm.Print_Area" localSheetId="3">'Res (250kWh)'!$A$1:$O$95</definedName>
    <definedName name="_xlnm.Print_Area" localSheetId="4">'Res (350kWh)'!$A$1:$O$95</definedName>
    <definedName name="_xlnm.Print_Area" localSheetId="5">'Res (800kWh)'!$A$1:$O$95</definedName>
    <definedName name="_xlnm.Print_Area" localSheetId="17">'Sentinel'!$A$1:$O$93</definedName>
    <definedName name="_xlnm.Print_Area" localSheetId="18">'ST (1kW)'!$A$1:$O$92</definedName>
    <definedName name="_xlnm.Print_Area" localSheetId="0">'Summary All'!$A$1:$J$31</definedName>
    <definedName name="_xlnm.Print_Area" localSheetId="16">'USL (800kWh)'!$A$1:$O$92</definedName>
  </definedNames>
  <calcPr fullCalcOnLoad="1"/>
</workbook>
</file>

<file path=xl/comments10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<sst xmlns="http://schemas.openxmlformats.org/spreadsheetml/2006/main" count="1962" uniqueCount="129">
  <si>
    <t>File Number:</t>
  </si>
  <si>
    <t>Exhibit:</t>
  </si>
  <si>
    <t>Page: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</si>
  <si>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</si>
  <si>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</si>
  <si>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</si>
  <si>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</si>
  <si>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</si>
  <si>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</si>
  <si>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</si>
  <si>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</si>
  <si>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</si>
  <si>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</si>
  <si>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</si>
  <si>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</si>
  <si>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</si>
  <si>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</si>
  <si>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</si>
  <si>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</si>
  <si>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</si>
  <si>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</si>
  <si>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</si>
  <si>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</si>
  <si>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</si>
  <si>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</si>
  <si>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</si>
  <si>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</si>
  <si>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</si>
  <si>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</si>
  <si>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</si>
  <si>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</si>
  <si>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</si>
  <si>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</si>
  <si>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</si>
  <si>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</si>
  <si>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</si>
  <si>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</si>
  <si>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</si>
  <si>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</si>
  <si>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</si>
  <si>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</si>
  <si>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</si>
  <si>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</si>
  <si>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</si>
  <si>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</si>
  <si>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</si>
  <si>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</si>
  <si>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</si>
  <si>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</si>
  <si>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</si>
  <si>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</si>
  <si>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</si>
  <si>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</si>
  <si>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</si>
  <si>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</si>
  <si>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</si>
  <si>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</si>
  <si>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</si>
  <si>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</si>
  <si>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</si>
  <si>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</si>
  <si>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</si>
  <si>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</si>
  <si>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</si>
  <si>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</si>
  <si>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</si>
  <si>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</si>
  <si>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</si>
  <si>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</si>
  <si>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</si>
  <si>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</si>
  <si>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</si>
  <si>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Street Lighting</t>
  </si>
  <si>
    <t>Unmetered Scattered Load</t>
  </si>
  <si>
    <t>COP Spot Price</t>
  </si>
  <si>
    <t>Rate Rider for Disposition of Global Adjustment Sub-Account(Applicable only for Non-RPP Customers)</t>
  </si>
  <si>
    <t>Appendix:</t>
  </si>
  <si>
    <t>8-5</t>
  </si>
  <si>
    <t>Sheet:</t>
  </si>
  <si>
    <t>Sheet 4- Res (800 kWh)</t>
  </si>
  <si>
    <t>Amended:</t>
  </si>
  <si>
    <t>Sheet 3- Res (500 kWh)</t>
  </si>
  <si>
    <t>Sheet 2- Res (250 kWh)</t>
  </si>
  <si>
    <t>Sheet 1- Res (100 kWh)</t>
  </si>
  <si>
    <t>Sheet 5- Res (1,000 kWh)</t>
  </si>
  <si>
    <t>Sheet 6- Res (1,500 kWh)</t>
  </si>
  <si>
    <t>Sheet 7- Res (2,000 kWh)</t>
  </si>
  <si>
    <t>Sheet 8- GS&lt;50 (1,000 kWh)</t>
  </si>
  <si>
    <t>Sheet 9- GS&lt;50 (2,000 kWh)</t>
  </si>
  <si>
    <t>Sheet 10- GS&lt;50 (5,000 kWh)</t>
  </si>
  <si>
    <t>Sheet 11- GS&lt;50 (10,000 kWh)</t>
  </si>
  <si>
    <t>Sheet 12- GS&lt;50 (15,000 kWh)</t>
  </si>
  <si>
    <t>Sheet 13- GS 50-999 (60 kW)</t>
  </si>
  <si>
    <t>Sheet 14- GS 50-999 (100 kW)</t>
  </si>
  <si>
    <t>Sheet 15- GS 1000-4999 (1,000 kW)</t>
  </si>
  <si>
    <t>Sheet 18- ST (1 kW)</t>
  </si>
  <si>
    <t>Sheet 19- USL (150kWh)</t>
  </si>
  <si>
    <t>Rate Rider for Recovery of Foregone Revenue</t>
  </si>
  <si>
    <t xml:space="preserve">Rate Rider for Recovery of Foregone Revenue </t>
  </si>
  <si>
    <t>Customer Class</t>
  </si>
  <si>
    <t>$</t>
  </si>
  <si>
    <t>%</t>
  </si>
  <si>
    <t>800 kWh</t>
  </si>
  <si>
    <t>2,000 kWh</t>
  </si>
  <si>
    <t>60 kW</t>
  </si>
  <si>
    <t>USL (1 connection)</t>
  </si>
  <si>
    <t>150 kWh</t>
  </si>
  <si>
    <t xml:space="preserve">1 kW </t>
  </si>
  <si>
    <t>Rate Class</t>
  </si>
  <si>
    <t>kWh</t>
  </si>
  <si>
    <t># of Connections</t>
  </si>
  <si>
    <t>Time-of-Use</t>
  </si>
  <si>
    <t>USL</t>
  </si>
  <si>
    <t>Difference     B - A = C</t>
  </si>
  <si>
    <t>Bill Impact   C/A</t>
  </si>
  <si>
    <t>LRAM Rate Rider</t>
  </si>
  <si>
    <t>Rate Rider for Recovery of Z-factor (storm) costs</t>
  </si>
  <si>
    <t>Street Lighting     (1 con)</t>
  </si>
  <si>
    <t>Distribution Impact</t>
  </si>
  <si>
    <t>GS 50-4999 kW</t>
  </si>
  <si>
    <t>Sentinel Lighting</t>
  </si>
  <si>
    <t>2015 Total  Bill          A</t>
  </si>
  <si>
    <t>2016 Bill  as Proposed             B</t>
  </si>
  <si>
    <t xml:space="preserve"> </t>
  </si>
  <si>
    <t>350 kWh</t>
  </si>
  <si>
    <t>Total Bill Impact Including OCEB</t>
  </si>
  <si>
    <t>Total Bill Impact Excluding OCEB</t>
  </si>
  <si>
    <t>GS 50 - 4999 kW</t>
  </si>
  <si>
    <t>65 kW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</si>
</sst>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_-;_-@_-"/>
    <numFmt numFmtId="168" formatCode="_-&quot;$&quot;* #,##0.000_-;\-&quot;$&quot;* #,##0.000_-;_-&quot;$&quot;* &quot;-&quot;??_-;_-@_-"/>
    <numFmt numFmtId="169" formatCode="_-* #,##0.0000_-;\-* #,##0.0000_-;_-* &quot;-&quot;??_-;_-@_-"/>
    <numFmt numFmtId="170" formatCode="0.0%"/>
    <numFmt numFmtId="171" formatCode="[$-409]dddd\,\ mmmm\ dd\,\ yyyy"/>
    <numFmt numFmtId="172" formatCode="[$-409]h:mm:ss\ AM/PM"/>
    <numFmt numFmtId="173" formatCode="&quot;$&quot;#,##0.00"/>
    <numFmt numFmtId="174" formatCode="&quot;$&quot;#,##0.0000_);\(&quot;$&quot;#,##0.0000\)"/>
    <numFmt numFmtId="175" formatCode="_(&quot;$&quot;* #,##0.0000_);_(&quot;$&quot;* \(#,##0.0000\);_(&quot;$&quot;* &quot;-&quot;??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1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4" borderId="10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7" fontId="0" fillId="4" borderId="16" xfId="44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7" fontId="0" fillId="4" borderId="16" xfId="44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166" fontId="0" fillId="0" borderId="16" xfId="0" applyNumberFormat="1" applyBorder="1" applyAlignment="1" applyProtection="1">
      <alignment vertical="center"/>
      <protection/>
    </xf>
    <xf numFmtId="10" fontId="0" fillId="0" borderId="12" xfId="58" applyNumberFormat="1" applyFont="1" applyBorder="1" applyAlignment="1" applyProtection="1">
      <alignment vertical="center"/>
      <protection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3" fillId="34" borderId="17" xfId="0" applyFont="1" applyFill="1" applyBorder="1" applyAlignment="1" applyProtection="1">
      <alignment vertical="top"/>
      <protection locked="0"/>
    </xf>
    <xf numFmtId="0" fontId="0" fillId="34" borderId="18" xfId="0" applyFill="1" applyBorder="1" applyAlignment="1" applyProtection="1">
      <alignment vertical="top"/>
      <protection/>
    </xf>
    <xf numFmtId="0" fontId="0" fillId="34" borderId="18" xfId="0" applyFill="1" applyBorder="1" applyAlignment="1" applyProtection="1">
      <alignment vertical="top"/>
      <protection locked="0"/>
    </xf>
    <xf numFmtId="167" fontId="0" fillId="34" borderId="10" xfId="44" applyNumberFormat="1" applyFont="1" applyFill="1" applyBorder="1" applyAlignment="1" applyProtection="1">
      <alignment vertical="top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0" fillId="34" borderId="19" xfId="44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67" fontId="0" fillId="34" borderId="10" xfId="44" applyNumberFormat="1" applyFont="1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166" fontId="3" fillId="34" borderId="10" xfId="0" applyNumberFormat="1" applyFont="1" applyFill="1" applyBorder="1" applyAlignment="1" applyProtection="1">
      <alignment vertical="center"/>
      <protection/>
    </xf>
    <xf numFmtId="10" fontId="3" fillId="34" borderId="19" xfId="58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top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3" fillId="34" borderId="17" xfId="0" applyFont="1" applyFill="1" applyBorder="1" applyAlignment="1" applyProtection="1">
      <alignment vertical="top" wrapText="1"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166" fontId="3" fillId="34" borderId="19" xfId="0" applyNumberFormat="1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vertical="center"/>
      <protection/>
    </xf>
    <xf numFmtId="1" fontId="0" fillId="35" borderId="12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top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167" fontId="0" fillId="4" borderId="16" xfId="44" applyNumberFormat="1" applyFill="1" applyBorder="1" applyAlignment="1" applyProtection="1">
      <alignment vertical="top"/>
      <protection locked="0"/>
    </xf>
    <xf numFmtId="44" fontId="0" fillId="0" borderId="12" xfId="44" applyBorder="1" applyAlignment="1" applyProtection="1">
      <alignment vertical="center"/>
      <protection/>
    </xf>
    <xf numFmtId="167" fontId="0" fillId="4" borderId="16" xfId="44" applyNumberFormat="1" applyFill="1" applyBorder="1" applyAlignment="1" applyProtection="1">
      <alignment vertical="center"/>
      <protection locked="0"/>
    </xf>
    <xf numFmtId="10" fontId="0" fillId="0" borderId="12" xfId="58" applyNumberFormat="1" applyBorder="1" applyAlignment="1" applyProtection="1">
      <alignment vertical="center"/>
      <protection/>
    </xf>
    <xf numFmtId="1" fontId="0" fillId="0" borderId="16" xfId="0" applyNumberFormat="1" applyFill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vertical="center"/>
      <protection/>
    </xf>
    <xf numFmtId="167" fontId="0" fillId="0" borderId="16" xfId="44" applyNumberFormat="1" applyFill="1" applyBorder="1" applyAlignment="1" applyProtection="1">
      <alignment vertical="top"/>
      <protection locked="0"/>
    </xf>
    <xf numFmtId="166" fontId="0" fillId="0" borderId="0" xfId="0" applyNumberFormat="1" applyAlignment="1" applyProtection="1">
      <alignment/>
      <protection/>
    </xf>
    <xf numFmtId="0" fontId="8" fillId="0" borderId="0" xfId="55" applyProtection="1">
      <alignment/>
      <protection/>
    </xf>
    <xf numFmtId="0" fontId="8" fillId="0" borderId="0" xfId="55" applyFont="1" applyAlignment="1" applyProtection="1">
      <alignment vertical="top"/>
      <protection/>
    </xf>
    <xf numFmtId="0" fontId="8" fillId="0" borderId="0" xfId="55" applyAlignment="1" applyProtection="1">
      <alignment vertical="top"/>
      <protection/>
    </xf>
    <xf numFmtId="0" fontId="8" fillId="2" borderId="0" xfId="55" applyFill="1" applyAlignment="1" applyProtection="1">
      <alignment vertical="top"/>
      <protection locked="0"/>
    </xf>
    <xf numFmtId="0" fontId="8" fillId="0" borderId="0" xfId="55" applyFill="1" applyAlignment="1" applyProtection="1">
      <alignment vertical="top"/>
      <protection/>
    </xf>
    <xf numFmtId="1" fontId="8" fillId="36" borderId="16" xfId="55" applyNumberFormat="1" applyFill="1" applyBorder="1" applyAlignment="1" applyProtection="1">
      <alignment vertical="center"/>
      <protection/>
    </xf>
    <xf numFmtId="0" fontId="8" fillId="0" borderId="0" xfId="55" applyAlignment="1" applyProtection="1">
      <alignment vertical="center"/>
      <protection/>
    </xf>
    <xf numFmtId="166" fontId="8" fillId="0" borderId="16" xfId="55" applyNumberFormat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/>
      <protection/>
    </xf>
    <xf numFmtId="0" fontId="0" fillId="37" borderId="22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 locked="0"/>
    </xf>
    <xf numFmtId="167" fontId="0" fillId="37" borderId="23" xfId="44" applyNumberFormat="1" applyFill="1" applyBorder="1" applyAlignment="1" applyProtection="1">
      <alignment vertical="top"/>
      <protection locked="0"/>
    </xf>
    <xf numFmtId="0" fontId="0" fillId="37" borderId="24" xfId="0" applyFill="1" applyBorder="1" applyAlignment="1" applyProtection="1">
      <alignment vertical="center"/>
      <protection locked="0"/>
    </xf>
    <xf numFmtId="44" fontId="0" fillId="37" borderId="22" xfId="44" applyFill="1" applyBorder="1" applyAlignment="1" applyProtection="1">
      <alignment vertical="center"/>
      <protection/>
    </xf>
    <xf numFmtId="0" fontId="0" fillId="37" borderId="22" xfId="0" applyFill="1" applyBorder="1" applyAlignment="1" applyProtection="1">
      <alignment vertical="center"/>
      <protection/>
    </xf>
    <xf numFmtId="0" fontId="0" fillId="37" borderId="23" xfId="0" applyFill="1" applyBorder="1" applyAlignment="1" applyProtection="1">
      <alignment vertical="center"/>
      <protection locked="0"/>
    </xf>
    <xf numFmtId="166" fontId="0" fillId="37" borderId="23" xfId="0" applyNumberFormat="1" applyFill="1" applyBorder="1" applyAlignment="1" applyProtection="1">
      <alignment vertical="center"/>
      <protection/>
    </xf>
    <xf numFmtId="10" fontId="0" fillId="37" borderId="25" xfId="58" applyNumberForma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9" fontId="0" fillId="0" borderId="16" xfId="0" applyNumberFormat="1" applyFill="1" applyBorder="1" applyAlignment="1" applyProtection="1">
      <alignment vertical="top"/>
      <protection/>
    </xf>
    <xf numFmtId="9" fontId="0" fillId="0" borderId="0" xfId="0" applyNumberFormat="1" applyFill="1" applyBorder="1" applyAlignment="1" applyProtection="1">
      <alignment vertical="center"/>
      <protection/>
    </xf>
    <xf numFmtId="166" fontId="3" fillId="0" borderId="20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9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16" xfId="0" applyNumberFormat="1" applyFont="1" applyFill="1" applyBorder="1" applyAlignment="1" applyProtection="1">
      <alignment vertical="center"/>
      <protection/>
    </xf>
    <xf numFmtId="10" fontId="3" fillId="0" borderId="12" xfId="58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top" indent="1"/>
      <protection/>
    </xf>
    <xf numFmtId="9" fontId="0" fillId="0" borderId="16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  <protection/>
    </xf>
    <xf numFmtId="166" fontId="8" fillId="0" borderId="20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 applyProtection="1">
      <alignment vertical="center"/>
      <protection locked="0"/>
    </xf>
    <xf numFmtId="166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6" fontId="8" fillId="0" borderId="16" xfId="0" applyNumberFormat="1" applyFont="1" applyFill="1" applyBorder="1" applyAlignment="1" applyProtection="1">
      <alignment vertical="center"/>
      <protection/>
    </xf>
    <xf numFmtId="10" fontId="8" fillId="0" borderId="12" xfId="58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 indent="1"/>
      <protection/>
    </xf>
    <xf numFmtId="0" fontId="0" fillId="0" borderId="16" xfId="0" applyFill="1" applyBorder="1" applyAlignment="1" applyProtection="1">
      <alignment vertical="top"/>
      <protection/>
    </xf>
    <xf numFmtId="166" fontId="49" fillId="0" borderId="20" xfId="0" applyNumberFormat="1" applyFont="1" applyFill="1" applyBorder="1" applyAlignment="1" applyProtection="1">
      <alignment vertical="center"/>
      <protection/>
    </xf>
    <xf numFmtId="166" fontId="49" fillId="0" borderId="12" xfId="0" applyNumberFormat="1" applyFont="1" applyFill="1" applyBorder="1" applyAlignment="1" applyProtection="1">
      <alignment vertical="center"/>
      <protection/>
    </xf>
    <xf numFmtId="166" fontId="49" fillId="0" borderId="16" xfId="0" applyNumberFormat="1" applyFont="1" applyFill="1" applyBorder="1" applyAlignment="1" applyProtection="1">
      <alignment vertical="center"/>
      <protection/>
    </xf>
    <xf numFmtId="10" fontId="49" fillId="0" borderId="12" xfId="58" applyNumberFormat="1" applyFont="1" applyFill="1" applyBorder="1" applyAlignment="1" applyProtection="1">
      <alignment vertical="center"/>
      <protection/>
    </xf>
    <xf numFmtId="0" fontId="0" fillId="7" borderId="0" xfId="0" applyFill="1" applyAlignment="1" applyProtection="1">
      <alignment vertical="top"/>
      <protection/>
    </xf>
    <xf numFmtId="0" fontId="0" fillId="7" borderId="14" xfId="0" applyFill="1" applyBorder="1" applyAlignment="1" applyProtection="1">
      <alignment vertical="top"/>
      <protection/>
    </xf>
    <xf numFmtId="0" fontId="0" fillId="7" borderId="26" xfId="0" applyFill="1" applyBorder="1" applyAlignment="1" applyProtection="1">
      <alignment vertical="center"/>
      <protection/>
    </xf>
    <xf numFmtId="166" fontId="3" fillId="7" borderId="27" xfId="0" applyNumberFormat="1" applyFont="1" applyFill="1" applyBorder="1" applyAlignment="1" applyProtection="1">
      <alignment vertical="center"/>
      <protection/>
    </xf>
    <xf numFmtId="0" fontId="3" fillId="7" borderId="14" xfId="0" applyFont="1" applyFill="1" applyBorder="1" applyAlignment="1" applyProtection="1">
      <alignment vertical="center"/>
      <protection/>
    </xf>
    <xf numFmtId="166" fontId="3" fillId="7" borderId="15" xfId="0" applyNumberFormat="1" applyFont="1" applyFill="1" applyBorder="1" applyAlignment="1" applyProtection="1">
      <alignment vertical="center"/>
      <protection/>
    </xf>
    <xf numFmtId="0" fontId="3" fillId="7" borderId="26" xfId="0" applyFont="1" applyFill="1" applyBorder="1" applyAlignment="1" applyProtection="1">
      <alignment vertical="center"/>
      <protection/>
    </xf>
    <xf numFmtId="166" fontId="3" fillId="7" borderId="14" xfId="0" applyNumberFormat="1" applyFont="1" applyFill="1" applyBorder="1" applyAlignment="1" applyProtection="1">
      <alignment vertical="center"/>
      <protection/>
    </xf>
    <xf numFmtId="10" fontId="3" fillId="7" borderId="15" xfId="58" applyNumberFormat="1" applyFont="1" applyFill="1" applyBorder="1" applyAlignment="1" applyProtection="1">
      <alignment vertical="center"/>
      <protection/>
    </xf>
    <xf numFmtId="0" fontId="8" fillId="37" borderId="21" xfId="55" applyFont="1" applyFill="1" applyBorder="1" applyProtection="1">
      <alignment/>
      <protection/>
    </xf>
    <xf numFmtId="0" fontId="8" fillId="37" borderId="22" xfId="55" applyFill="1" applyBorder="1" applyAlignment="1" applyProtection="1">
      <alignment vertical="top"/>
      <protection/>
    </xf>
    <xf numFmtId="0" fontId="8" fillId="37" borderId="22" xfId="55" applyFill="1" applyBorder="1" applyAlignment="1" applyProtection="1">
      <alignment vertical="top"/>
      <protection locked="0"/>
    </xf>
    <xf numFmtId="0" fontId="8" fillId="37" borderId="24" xfId="55" applyFill="1" applyBorder="1" applyAlignment="1" applyProtection="1">
      <alignment vertical="center"/>
      <protection locked="0"/>
    </xf>
    <xf numFmtId="0" fontId="8" fillId="37" borderId="22" xfId="55" applyFill="1" applyBorder="1" applyAlignment="1" applyProtection="1">
      <alignment vertical="center"/>
      <protection/>
    </xf>
    <xf numFmtId="0" fontId="8" fillId="37" borderId="23" xfId="55" applyFill="1" applyBorder="1" applyAlignment="1" applyProtection="1">
      <alignment vertical="center"/>
      <protection locked="0"/>
    </xf>
    <xf numFmtId="166" fontId="8" fillId="37" borderId="23" xfId="55" applyNumberForma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top"/>
      <protection/>
    </xf>
    <xf numFmtId="9" fontId="8" fillId="0" borderId="16" xfId="55" applyNumberFormat="1" applyFill="1" applyBorder="1" applyAlignment="1" applyProtection="1">
      <alignment vertical="top"/>
      <protection/>
    </xf>
    <xf numFmtId="9" fontId="8" fillId="0" borderId="0" xfId="55" applyNumberFormat="1" applyFill="1" applyBorder="1" applyAlignment="1" applyProtection="1">
      <alignment vertical="center"/>
      <protection/>
    </xf>
    <xf numFmtId="166" fontId="3" fillId="0" borderId="20" xfId="55" applyNumberFormat="1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vertical="center"/>
      <protection/>
    </xf>
    <xf numFmtId="9" fontId="3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6" fontId="3" fillId="0" borderId="16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top" indent="1"/>
      <protection/>
    </xf>
    <xf numFmtId="9" fontId="8" fillId="0" borderId="16" xfId="55" applyNumberFormat="1" applyFill="1" applyBorder="1" applyAlignment="1" applyProtection="1">
      <alignment vertical="top"/>
      <protection locked="0"/>
    </xf>
    <xf numFmtId="166" fontId="8" fillId="0" borderId="20" xfId="55" applyNumberFormat="1" applyFont="1" applyFill="1" applyBorder="1" applyAlignment="1" applyProtection="1">
      <alignment vertical="center"/>
      <protection/>
    </xf>
    <xf numFmtId="0" fontId="8" fillId="0" borderId="16" xfId="55" applyFont="1" applyFill="1" applyBorder="1" applyAlignment="1" applyProtection="1">
      <alignment vertical="center"/>
      <protection/>
    </xf>
    <xf numFmtId="9" fontId="8" fillId="0" borderId="16" xfId="55" applyNumberFormat="1" applyFont="1" applyFill="1" applyBorder="1" applyAlignment="1" applyProtection="1">
      <alignment vertical="top"/>
      <protection locked="0"/>
    </xf>
    <xf numFmtId="9" fontId="8" fillId="0" borderId="16" xfId="55" applyNumberFormat="1" applyFont="1" applyFill="1" applyBorder="1" applyAlignment="1" applyProtection="1">
      <alignment vertical="center"/>
      <protection/>
    </xf>
    <xf numFmtId="166" fontId="8" fillId="0" borderId="12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166" fontId="8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Alignment="1" applyProtection="1">
      <alignment horizontal="left" vertical="top" wrapText="1" indent="1"/>
      <protection/>
    </xf>
    <xf numFmtId="0" fontId="8" fillId="0" borderId="16" xfId="55" applyFill="1" applyBorder="1" applyAlignment="1" applyProtection="1">
      <alignment vertical="top"/>
      <protection/>
    </xf>
    <xf numFmtId="0" fontId="8" fillId="0" borderId="0" xfId="55" applyFill="1" applyBorder="1" applyAlignment="1" applyProtection="1">
      <alignment vertical="center"/>
      <protection/>
    </xf>
    <xf numFmtId="166" fontId="49" fillId="0" borderId="16" xfId="55" applyNumberFormat="1" applyFont="1" applyFill="1" applyBorder="1" applyAlignment="1" applyProtection="1">
      <alignment vertical="center"/>
      <protection/>
    </xf>
    <xf numFmtId="0" fontId="8" fillId="7" borderId="0" xfId="55" applyFill="1" applyAlignment="1" applyProtection="1">
      <alignment vertical="top"/>
      <protection/>
    </xf>
    <xf numFmtId="0" fontId="8" fillId="7" borderId="16" xfId="55" applyFill="1" applyBorder="1" applyAlignment="1" applyProtection="1">
      <alignment vertical="top"/>
      <protection/>
    </xf>
    <xf numFmtId="0" fontId="8" fillId="7" borderId="0" xfId="55" applyFill="1" applyBorder="1" applyAlignment="1" applyProtection="1">
      <alignment vertical="center"/>
      <protection/>
    </xf>
    <xf numFmtId="166" fontId="3" fillId="7" borderId="20" xfId="55" applyNumberFormat="1" applyFont="1" applyFill="1" applyBorder="1" applyAlignment="1" applyProtection="1">
      <alignment vertical="center"/>
      <protection/>
    </xf>
    <xf numFmtId="0" fontId="3" fillId="7" borderId="16" xfId="55" applyFont="1" applyFill="1" applyBorder="1" applyAlignment="1" applyProtection="1">
      <alignment vertical="center"/>
      <protection/>
    </xf>
    <xf numFmtId="166" fontId="3" fillId="7" borderId="12" xfId="55" applyNumberFormat="1" applyFont="1" applyFill="1" applyBorder="1" applyAlignment="1" applyProtection="1">
      <alignment vertical="center"/>
      <protection/>
    </xf>
    <xf numFmtId="0" fontId="3" fillId="7" borderId="0" xfId="55" applyFont="1" applyFill="1" applyBorder="1" applyAlignment="1" applyProtection="1">
      <alignment vertical="center"/>
      <protection/>
    </xf>
    <xf numFmtId="166" fontId="3" fillId="7" borderId="16" xfId="55" applyNumberFormat="1" applyFont="1" applyFill="1" applyBorder="1" applyAlignment="1" applyProtection="1">
      <alignment vertical="center"/>
      <protection/>
    </xf>
    <xf numFmtId="10" fontId="3" fillId="7" borderId="12" xfId="58" applyNumberFormat="1" applyFont="1" applyFill="1" applyBorder="1" applyAlignment="1" applyProtection="1">
      <alignment vertical="center"/>
      <protection/>
    </xf>
    <xf numFmtId="167" fontId="0" fillId="37" borderId="24" xfId="44" applyNumberFormat="1" applyFill="1" applyBorder="1" applyAlignment="1" applyProtection="1">
      <alignment vertical="top"/>
      <protection locked="0"/>
    </xf>
    <xf numFmtId="0" fontId="8" fillId="37" borderId="22" xfId="55" applyFill="1" applyBorder="1" applyAlignment="1" applyProtection="1">
      <alignment vertical="center"/>
      <protection locked="0"/>
    </xf>
    <xf numFmtId="44" fontId="0" fillId="37" borderId="28" xfId="44" applyFill="1" applyBorder="1" applyAlignment="1" applyProtection="1">
      <alignment vertical="center"/>
      <protection/>
    </xf>
    <xf numFmtId="0" fontId="8" fillId="37" borderId="24" xfId="55" applyFill="1" applyBorder="1" applyAlignment="1" applyProtection="1">
      <alignment vertical="center"/>
      <protection/>
    </xf>
    <xf numFmtId="44" fontId="0" fillId="37" borderId="23" xfId="44" applyFill="1" applyBorder="1" applyAlignment="1" applyProtection="1">
      <alignment vertical="center"/>
      <protection/>
    </xf>
    <xf numFmtId="166" fontId="8" fillId="37" borderId="24" xfId="55" applyNumberFormat="1" applyFill="1" applyBorder="1" applyAlignment="1" applyProtection="1">
      <alignment vertical="center"/>
      <protection/>
    </xf>
    <xf numFmtId="10" fontId="0" fillId="4" borderId="10" xfId="58" applyNumberForma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6" fontId="0" fillId="4" borderId="16" xfId="44" applyNumberFormat="1" applyFont="1" applyFill="1" applyBorder="1" applyAlignment="1" applyProtection="1">
      <alignment vertical="center"/>
      <protection locked="0"/>
    </xf>
    <xf numFmtId="166" fontId="0" fillId="4" borderId="16" xfId="44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/>
    </xf>
    <xf numFmtId="166" fontId="0" fillId="4" borderId="16" xfId="44" applyNumberFormat="1" applyFill="1" applyBorder="1" applyAlignment="1" applyProtection="1">
      <alignment vertical="top"/>
      <protection locked="0"/>
    </xf>
    <xf numFmtId="166" fontId="0" fillId="4" borderId="16" xfId="44" applyNumberFormat="1" applyFill="1" applyBorder="1" applyAlignment="1" applyProtection="1">
      <alignment vertical="center"/>
      <protection locked="0"/>
    </xf>
    <xf numFmtId="166" fontId="0" fillId="36" borderId="16" xfId="44" applyNumberFormat="1" applyFont="1" applyFill="1" applyBorder="1" applyAlignment="1" applyProtection="1">
      <alignment vertical="top"/>
      <protection locked="0"/>
    </xf>
    <xf numFmtId="165" fontId="0" fillId="0" borderId="16" xfId="0" applyNumberFormat="1" applyFill="1" applyBorder="1" applyAlignment="1" applyProtection="1">
      <alignment vertical="center"/>
      <protection/>
    </xf>
    <xf numFmtId="0" fontId="8" fillId="38" borderId="0" xfId="55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 locked="0"/>
    </xf>
    <xf numFmtId="167" fontId="0" fillId="0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Fill="1" applyBorder="1" applyAlignment="1" applyProtection="1">
      <alignment vertical="center"/>
      <protection/>
    </xf>
    <xf numFmtId="167" fontId="0" fillId="0" borderId="16" xfId="44" applyNumberFormat="1" applyFont="1" applyFill="1" applyBorder="1" applyAlignment="1" applyProtection="1">
      <alignment vertical="center"/>
      <protection locked="0"/>
    </xf>
    <xf numFmtId="166" fontId="0" fillId="0" borderId="16" xfId="0" applyNumberFormat="1" applyFill="1" applyBorder="1" applyAlignment="1" applyProtection="1">
      <alignment vertical="center"/>
      <protection/>
    </xf>
    <xf numFmtId="10" fontId="0" fillId="0" borderId="12" xfId="58" applyNumberFormat="1" applyFont="1" applyFill="1" applyBorder="1" applyAlignment="1" applyProtection="1">
      <alignment vertical="center"/>
      <protection/>
    </xf>
    <xf numFmtId="44" fontId="0" fillId="0" borderId="12" xfId="44" applyFill="1" applyBorder="1" applyAlignment="1" applyProtection="1">
      <alignment vertical="center"/>
      <protection/>
    </xf>
    <xf numFmtId="166" fontId="3" fillId="0" borderId="29" xfId="55" applyNumberFormat="1" applyFont="1" applyFill="1" applyBorder="1" applyAlignment="1" applyProtection="1">
      <alignment vertical="center"/>
      <protection/>
    </xf>
    <xf numFmtId="166" fontId="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vertical="top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34" xfId="0" applyNumberFormat="1" applyBorder="1" applyAlignment="1">
      <alignment/>
    </xf>
    <xf numFmtId="10" fontId="0" fillId="0" borderId="35" xfId="58" applyNumberFormat="1" applyFont="1" applyBorder="1" applyAlignment="1">
      <alignment/>
    </xf>
    <xf numFmtId="10" fontId="0" fillId="0" borderId="36" xfId="58" applyNumberFormat="1" applyFont="1" applyBorder="1" applyAlignment="1">
      <alignment/>
    </xf>
    <xf numFmtId="0" fontId="0" fillId="0" borderId="18" xfId="0" applyBorder="1" applyAlignment="1">
      <alignment horizontal="center"/>
    </xf>
    <xf numFmtId="44" fontId="0" fillId="0" borderId="37" xfId="0" applyNumberFormat="1" applyBorder="1" applyAlignment="1">
      <alignment/>
    </xf>
    <xf numFmtId="10" fontId="0" fillId="0" borderId="27" xfId="58" applyNumberFormat="1" applyFont="1" applyBorder="1" applyAlignment="1">
      <alignment/>
    </xf>
    <xf numFmtId="44" fontId="0" fillId="0" borderId="38" xfId="0" applyNumberFormat="1" applyBorder="1" applyAlignment="1">
      <alignment/>
    </xf>
    <xf numFmtId="10" fontId="0" fillId="0" borderId="39" xfId="58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44" fontId="0" fillId="0" borderId="41" xfId="0" applyNumberFormat="1" applyBorder="1" applyAlignment="1">
      <alignment vertical="center"/>
    </xf>
    <xf numFmtId="10" fontId="0" fillId="0" borderId="42" xfId="58" applyNumberFormat="1" applyFont="1" applyBorder="1" applyAlignment="1">
      <alignment vertical="center"/>
    </xf>
    <xf numFmtId="44" fontId="0" fillId="0" borderId="43" xfId="0" applyNumberFormat="1" applyBorder="1" applyAlignment="1">
      <alignment vertical="center"/>
    </xf>
    <xf numFmtId="10" fontId="0" fillId="0" borderId="31" xfId="58" applyNumberFormat="1" applyFont="1" applyBorder="1" applyAlignment="1">
      <alignment vertical="center"/>
    </xf>
    <xf numFmtId="0" fontId="3" fillId="39" borderId="22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10" fontId="0" fillId="0" borderId="45" xfId="58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43" fontId="0" fillId="0" borderId="26" xfId="42" applyFont="1" applyBorder="1" applyAlignment="1">
      <alignment/>
    </xf>
    <xf numFmtId="10" fontId="0" fillId="0" borderId="47" xfId="58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43" fontId="0" fillId="0" borderId="49" xfId="42" applyFont="1" applyBorder="1" applyAlignment="1">
      <alignment/>
    </xf>
    <xf numFmtId="10" fontId="0" fillId="0" borderId="50" xfId="0" applyNumberForma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0" fontId="0" fillId="0" borderId="45" xfId="58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3" fontId="0" fillId="0" borderId="0" xfId="42" applyFont="1" applyBorder="1" applyAlignment="1">
      <alignment vertical="center"/>
    </xf>
    <xf numFmtId="0" fontId="0" fillId="0" borderId="0" xfId="0" applyFill="1" applyBorder="1" applyAlignment="1" quotePrefix="1">
      <alignment horizontal="center"/>
    </xf>
    <xf numFmtId="0" fontId="0" fillId="0" borderId="45" xfId="0" applyBorder="1" applyAlignment="1" quotePrefix="1">
      <alignment horizontal="center"/>
    </xf>
    <xf numFmtId="44" fontId="0" fillId="0" borderId="12" xfId="44" applyFont="1" applyBorder="1" applyAlignment="1" applyProtection="1">
      <alignment vertical="center"/>
      <protection/>
    </xf>
    <xf numFmtId="10" fontId="0" fillId="0" borderId="12" xfId="58" applyNumberFormat="1" applyFont="1" applyBorder="1" applyAlignment="1" applyProtection="1">
      <alignment vertical="center"/>
      <protection/>
    </xf>
    <xf numFmtId="174" fontId="0" fillId="4" borderId="16" xfId="44" applyNumberFormat="1" applyFont="1" applyFill="1" applyBorder="1" applyAlignment="1" applyProtection="1">
      <alignment vertical="top"/>
      <protection locked="0"/>
    </xf>
    <xf numFmtId="174" fontId="0" fillId="4" borderId="16" xfId="44" applyNumberFormat="1" applyFont="1" applyFill="1" applyBorder="1" applyAlignment="1" applyProtection="1">
      <alignment vertical="center"/>
      <protection locked="0"/>
    </xf>
    <xf numFmtId="175" fontId="0" fillId="4" borderId="16" xfId="44" applyNumberFormat="1" applyFont="1" applyFill="1" applyBorder="1" applyAlignment="1" applyProtection="1">
      <alignment vertical="top"/>
      <protection locked="0"/>
    </xf>
    <xf numFmtId="175" fontId="0" fillId="4" borderId="16" xfId="44" applyNumberFormat="1" applyFont="1" applyFill="1" applyBorder="1" applyAlignment="1" applyProtection="1">
      <alignment vertical="center"/>
      <protection locked="0"/>
    </xf>
    <xf numFmtId="44" fontId="0" fillId="4" borderId="16" xfId="44" applyNumberFormat="1" applyFont="1" applyFill="1" applyBorder="1" applyAlignment="1" applyProtection="1">
      <alignment vertical="top"/>
      <protection locked="0"/>
    </xf>
    <xf numFmtId="44" fontId="49" fillId="0" borderId="20" xfId="55" applyNumberFormat="1" applyFont="1" applyFill="1" applyBorder="1" applyAlignment="1" applyProtection="1">
      <alignment vertical="center"/>
      <protection/>
    </xf>
    <xf numFmtId="44" fontId="49" fillId="0" borderId="12" xfId="55" applyNumberFormat="1" applyFont="1" applyFill="1" applyBorder="1" applyAlignment="1" applyProtection="1">
      <alignment vertical="center"/>
      <protection/>
    </xf>
    <xf numFmtId="44" fontId="49" fillId="0" borderId="16" xfId="55" applyNumberFormat="1" applyFont="1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44" fontId="3" fillId="34" borderId="10" xfId="0" applyNumberFormat="1" applyFont="1" applyFill="1" applyBorder="1" applyAlignment="1" applyProtection="1">
      <alignment vertical="center"/>
      <protection/>
    </xf>
    <xf numFmtId="167" fontId="0" fillId="4" borderId="16" xfId="44" applyNumberFormat="1" applyFont="1" applyFill="1" applyBorder="1" applyAlignment="1" applyProtection="1">
      <alignment vertical="top"/>
      <protection locked="0"/>
    </xf>
    <xf numFmtId="44" fontId="49" fillId="0" borderId="20" xfId="0" applyNumberFormat="1" applyFont="1" applyFill="1" applyBorder="1" applyAlignment="1" applyProtection="1">
      <alignment vertical="center"/>
      <protection/>
    </xf>
    <xf numFmtId="44" fontId="49" fillId="0" borderId="12" xfId="0" applyNumberFormat="1" applyFont="1" applyFill="1" applyBorder="1" applyAlignment="1" applyProtection="1">
      <alignment vertical="center"/>
      <protection/>
    </xf>
    <xf numFmtId="44" fontId="49" fillId="0" borderId="16" xfId="0" applyNumberFormat="1" applyFont="1" applyFill="1" applyBorder="1" applyAlignment="1" applyProtection="1">
      <alignment vertical="center"/>
      <protection/>
    </xf>
    <xf numFmtId="44" fontId="3" fillId="0" borderId="16" xfId="0" applyNumberFormat="1" applyFont="1" applyFill="1" applyBorder="1" applyAlignment="1" applyProtection="1">
      <alignment vertical="center"/>
      <protection/>
    </xf>
    <xf numFmtId="44" fontId="8" fillId="0" borderId="16" xfId="0" applyNumberFormat="1" applyFont="1" applyFill="1" applyBorder="1" applyAlignment="1" applyProtection="1">
      <alignment vertical="center"/>
      <protection/>
    </xf>
    <xf numFmtId="44" fontId="3" fillId="7" borderId="14" xfId="0" applyNumberFormat="1" applyFont="1" applyFill="1" applyBorder="1" applyAlignment="1" applyProtection="1">
      <alignment vertical="center"/>
      <protection/>
    </xf>
    <xf numFmtId="44" fontId="3" fillId="0" borderId="16" xfId="55" applyNumberFormat="1" applyFont="1" applyFill="1" applyBorder="1" applyAlignment="1" applyProtection="1">
      <alignment vertical="center"/>
      <protection/>
    </xf>
    <xf numFmtId="44" fontId="8" fillId="0" borderId="16" xfId="55" applyNumberFormat="1" applyFont="1" applyFill="1" applyBorder="1" applyAlignment="1" applyProtection="1">
      <alignment vertical="center"/>
      <protection/>
    </xf>
    <xf numFmtId="44" fontId="3" fillId="7" borderId="16" xfId="55" applyNumberFormat="1" applyFont="1" applyFill="1" applyBorder="1" applyAlignment="1" applyProtection="1">
      <alignment vertical="center"/>
      <protection/>
    </xf>
    <xf numFmtId="166" fontId="0" fillId="4" borderId="16" xfId="44" applyNumberFormat="1" applyFont="1" applyFill="1" applyBorder="1" applyAlignment="1" applyProtection="1">
      <alignment vertical="center"/>
      <protection locked="0"/>
    </xf>
    <xf numFmtId="0" fontId="3" fillId="39" borderId="22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43" fontId="0" fillId="38" borderId="0" xfId="42" applyFont="1" applyFill="1" applyBorder="1" applyAlignment="1">
      <alignment/>
    </xf>
    <xf numFmtId="10" fontId="0" fillId="38" borderId="45" xfId="58" applyNumberFormat="1" applyFont="1" applyFill="1" applyBorder="1" applyAlignment="1">
      <alignment/>
    </xf>
    <xf numFmtId="3" fontId="0" fillId="38" borderId="0" xfId="0" applyNumberFormat="1" applyFill="1" applyBorder="1" applyAlignment="1">
      <alignment horizontal="center"/>
    </xf>
    <xf numFmtId="167" fontId="48" fillId="4" borderId="16" xfId="44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 horizontal="left"/>
    </xf>
    <xf numFmtId="0" fontId="0" fillId="0" borderId="54" xfId="0" applyBorder="1" applyAlignment="1">
      <alignment horizontal="left"/>
    </xf>
    <xf numFmtId="166" fontId="32" fillId="4" borderId="16" xfId="44" applyNumberFormat="1" applyFont="1" applyFill="1" applyBorder="1" applyAlignment="1" applyProtection="1">
      <alignment vertical="center"/>
      <protection locked="0"/>
    </xf>
    <xf numFmtId="167" fontId="32" fillId="4" borderId="16" xfId="44" applyNumberFormat="1" applyFont="1" applyFill="1" applyBorder="1" applyAlignment="1" applyProtection="1">
      <alignment vertical="center"/>
      <protection locked="0"/>
    </xf>
    <xf numFmtId="175" fontId="32" fillId="4" borderId="16" xfId="44" applyNumberFormat="1" applyFont="1" applyFill="1" applyBorder="1" applyAlignment="1" applyProtection="1">
      <alignment vertical="center"/>
      <protection locked="0"/>
    </xf>
    <xf numFmtId="166" fontId="32" fillId="36" borderId="16" xfId="44" applyNumberFormat="1" applyFont="1" applyFill="1" applyBorder="1" applyAlignment="1" applyProtection="1">
      <alignment vertical="top"/>
      <protection locked="0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39" borderId="34" xfId="0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0" fillId="39" borderId="57" xfId="0" applyFill="1" applyBorder="1" applyAlignment="1">
      <alignment horizontal="center" vertical="center" wrapText="1"/>
    </xf>
    <xf numFmtId="0" fontId="0" fillId="39" borderId="43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39" borderId="58" xfId="0" applyFill="1" applyBorder="1" applyAlignment="1">
      <alignment horizontal="center" vertical="center" wrapText="1"/>
    </xf>
    <xf numFmtId="0" fontId="0" fillId="39" borderId="59" xfId="0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54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5" fontId="4" fillId="4" borderId="0" xfId="0" applyNumberFormat="1" applyFont="1" applyFill="1" applyAlignment="1">
      <alignment horizontal="right" vertical="top"/>
    </xf>
    <xf numFmtId="0" fontId="5" fillId="33" borderId="0" xfId="0" applyFont="1" applyFill="1" applyBorder="1" applyAlignment="1" applyProtection="1">
      <alignment horizontal="left" indent="7"/>
      <protection/>
    </xf>
    <xf numFmtId="0" fontId="7" fillId="0" borderId="0" xfId="0" applyFont="1" applyAlignment="1" applyProtection="1">
      <alignment horizontal="center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7" borderId="0" xfId="55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10" fillId="0" borderId="0" xfId="0" applyFont="1" applyAlignment="1" applyProtection="1">
      <alignment horizontal="left" vertical="top" wrapText="1" indent="1"/>
      <protection/>
    </xf>
    <xf numFmtId="0" fontId="3" fillId="7" borderId="0" xfId="0" applyFont="1" applyFill="1" applyAlignment="1" applyProtection="1">
      <alignment horizontal="left" vertical="top" wrapText="1"/>
      <protection/>
    </xf>
    <xf numFmtId="0" fontId="10" fillId="0" borderId="0" xfId="55" applyFont="1" applyAlignment="1" applyProtection="1">
      <alignment horizontal="left" vertical="top" wrapText="1" indent="1"/>
      <protection/>
    </xf>
    <xf numFmtId="0" fontId="0" fillId="33" borderId="0" xfId="0" applyFill="1" applyBorder="1" applyAlignment="1" applyProtection="1">
      <alignment horizontal="right"/>
      <protection/>
    </xf>
    <xf numFmtId="10" fontId="0" fillId="0" borderId="54" xfId="58" applyNumberFormat="1" applyFont="1" applyBorder="1" applyAlignment="1">
      <alignment/>
    </xf>
    <xf numFmtId="0" fontId="0" fillId="0" borderId="4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0" xfId="0" applyBorder="1" applyAlignment="1">
      <alignment horizontal="center"/>
    </xf>
    <xf numFmtId="44" fontId="0" fillId="0" borderId="41" xfId="0" applyNumberFormat="1" applyBorder="1" applyAlignment="1">
      <alignment/>
    </xf>
    <xf numFmtId="10" fontId="0" fillId="0" borderId="42" xfId="58" applyNumberFormat="1" applyFont="1" applyBorder="1" applyAlignment="1">
      <alignment/>
    </xf>
    <xf numFmtId="44" fontId="0" fillId="0" borderId="43" xfId="0" applyNumberFormat="1" applyBorder="1" applyAlignment="1">
      <alignment/>
    </xf>
    <xf numFmtId="10" fontId="0" fillId="0" borderId="31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zoomScalePageLayoutView="0" workbookViewId="0" topLeftCell="A10">
      <selection activeCell="F37" sqref="F37"/>
    </sheetView>
  </sheetViews>
  <sheetFormatPr defaultColWidth="9.140625" defaultRowHeight="15"/>
  <cols>
    <col min="1" max="1" width="1.57421875" style="0" customWidth="1"/>
    <col min="4" max="4" width="10.140625" style="0" bestFit="1" customWidth="1"/>
    <col min="6" max="6" width="12.57421875" style="0" customWidth="1"/>
    <col min="7" max="7" width="15.421875" style="0" customWidth="1"/>
    <col min="8" max="8" width="13.28125" style="0" bestFit="1" customWidth="1"/>
    <col min="9" max="9" width="12.8515625" style="0" customWidth="1"/>
    <col min="10" max="10" width="11.28125" style="0" customWidth="1"/>
  </cols>
  <sheetData>
    <row r="1" ht="8.25" customHeight="1" thickBot="1"/>
    <row r="2" spans="2:10" ht="39" thickBot="1">
      <c r="B2" s="286" t="s">
        <v>108</v>
      </c>
      <c r="C2" s="287"/>
      <c r="D2" s="270" t="s">
        <v>109</v>
      </c>
      <c r="E2" s="270" t="s">
        <v>70</v>
      </c>
      <c r="F2" s="217" t="s">
        <v>110</v>
      </c>
      <c r="G2" s="217" t="s">
        <v>121</v>
      </c>
      <c r="H2" s="217" t="s">
        <v>122</v>
      </c>
      <c r="I2" s="217" t="s">
        <v>113</v>
      </c>
      <c r="J2" s="271" t="s">
        <v>114</v>
      </c>
    </row>
    <row r="3" spans="2:10" ht="15">
      <c r="B3" s="218"/>
      <c r="C3" s="219"/>
      <c r="D3" s="219"/>
      <c r="E3" s="220"/>
      <c r="F3" s="219"/>
      <c r="G3" s="243" t="s">
        <v>100</v>
      </c>
      <c r="H3" s="243" t="s">
        <v>100</v>
      </c>
      <c r="I3" s="245" t="s">
        <v>100</v>
      </c>
      <c r="J3" s="246" t="s">
        <v>101</v>
      </c>
    </row>
    <row r="4" spans="2:10" ht="15">
      <c r="B4" s="288" t="s">
        <v>61</v>
      </c>
      <c r="C4" s="289"/>
      <c r="D4" s="220">
        <v>100</v>
      </c>
      <c r="E4" s="220"/>
      <c r="F4" s="219"/>
      <c r="G4" s="244">
        <f>'Res (100kWh)'!H70</f>
        <v>28.860499489999995</v>
      </c>
      <c r="H4" s="221">
        <f>'Res (100kWh)'!L70</f>
        <v>37.00110194</v>
      </c>
      <c r="I4" s="221">
        <f aca="true" t="shared" si="0" ref="I4:I10">H4-G4</f>
        <v>8.140602450000003</v>
      </c>
      <c r="J4" s="242">
        <f aca="true" t="shared" si="1" ref="J4:J10">I4/G4</f>
        <v>0.28206727512878554</v>
      </c>
    </row>
    <row r="5" spans="2:10" ht="15">
      <c r="B5" s="288" t="s">
        <v>111</v>
      </c>
      <c r="C5" s="289"/>
      <c r="D5" s="220">
        <v>250</v>
      </c>
      <c r="E5" s="220"/>
      <c r="F5" s="219"/>
      <c r="G5" s="221">
        <f>'Res (250kWh)'!H70</f>
        <v>50.78929872500001</v>
      </c>
      <c r="H5" s="221">
        <f>'Res (250kWh)'!L70</f>
        <v>61.41645485000001</v>
      </c>
      <c r="I5" s="221">
        <f t="shared" si="0"/>
        <v>10.627156124999999</v>
      </c>
      <c r="J5" s="242">
        <f t="shared" si="1"/>
        <v>0.20924006418243762</v>
      </c>
    </row>
    <row r="6" spans="2:10" ht="15">
      <c r="B6" s="218"/>
      <c r="C6" s="219"/>
      <c r="D6" s="220">
        <v>350</v>
      </c>
      <c r="E6" s="220"/>
      <c r="F6" s="219"/>
      <c r="G6" s="221">
        <f>'Res (350kWh)'!H70</f>
        <v>65.398498215</v>
      </c>
      <c r="H6" s="221">
        <f>'Res (350kWh)'!L70</f>
        <v>77.69335679000002</v>
      </c>
      <c r="I6" s="221">
        <f t="shared" si="0"/>
        <v>12.29485857500002</v>
      </c>
      <c r="J6" s="242">
        <f t="shared" si="1"/>
        <v>0.18799909647130145</v>
      </c>
    </row>
    <row r="7" spans="2:10" ht="15">
      <c r="B7" s="218"/>
      <c r="C7" s="219"/>
      <c r="D7" s="272">
        <v>800</v>
      </c>
      <c r="E7" s="272"/>
      <c r="F7" s="273"/>
      <c r="G7" s="274">
        <f>'Res (800kWh)'!H70</f>
        <v>131.17489592</v>
      </c>
      <c r="H7" s="274">
        <f>'Res (800kWh)'!L70</f>
        <v>150.93941552</v>
      </c>
      <c r="I7" s="274">
        <f t="shared" si="0"/>
        <v>19.7645196</v>
      </c>
      <c r="J7" s="275">
        <f t="shared" si="1"/>
        <v>0.15067303435905785</v>
      </c>
    </row>
    <row r="8" spans="2:10" ht="15">
      <c r="B8" s="218"/>
      <c r="C8" s="219"/>
      <c r="D8" s="223">
        <v>1000</v>
      </c>
      <c r="E8" s="220"/>
      <c r="F8" s="219"/>
      <c r="G8" s="221">
        <f>'Res (1,000kWh)'!H70</f>
        <v>160.40329490000005</v>
      </c>
      <c r="H8" s="221">
        <f>'Res (1,000kWh)'!L70</f>
        <v>183.4932194</v>
      </c>
      <c r="I8" s="221">
        <f t="shared" si="0"/>
        <v>23.08992449999994</v>
      </c>
      <c r="J8" s="242">
        <f t="shared" si="1"/>
        <v>0.1439491907843592</v>
      </c>
    </row>
    <row r="9" spans="2:10" ht="15">
      <c r="B9" s="218"/>
      <c r="C9" s="219"/>
      <c r="D9" s="223">
        <v>1500</v>
      </c>
      <c r="E9" s="220"/>
      <c r="F9" s="219"/>
      <c r="G9" s="221">
        <f>'Res (1,500kWh)'!H70</f>
        <v>233.47929235000004</v>
      </c>
      <c r="H9" s="221">
        <f>'Res (1,500kWh)'!L70</f>
        <v>264.8777291</v>
      </c>
      <c r="I9" s="221">
        <f t="shared" si="0"/>
        <v>31.398436749999973</v>
      </c>
      <c r="J9" s="242">
        <f t="shared" si="1"/>
        <v>0.13448060611273294</v>
      </c>
    </row>
    <row r="10" spans="2:10" ht="15">
      <c r="B10" s="218"/>
      <c r="C10" s="219"/>
      <c r="D10" s="223">
        <v>2000</v>
      </c>
      <c r="E10" s="220"/>
      <c r="F10" s="219"/>
      <c r="G10" s="221">
        <f>'Res (2,000kWh)'!H70</f>
        <v>267.65981840000006</v>
      </c>
      <c r="H10" s="221">
        <f>'Res (2,000kWh)'!L70</f>
        <v>303.04676739999996</v>
      </c>
      <c r="I10" s="221">
        <f t="shared" si="0"/>
        <v>35.3869489999999</v>
      </c>
      <c r="J10" s="242">
        <f t="shared" si="1"/>
        <v>0.13220867148283133</v>
      </c>
    </row>
    <row r="11" spans="2:10" ht="15">
      <c r="B11" s="224"/>
      <c r="C11" s="225"/>
      <c r="D11" s="226"/>
      <c r="E11" s="203"/>
      <c r="F11" s="225"/>
      <c r="G11" s="227"/>
      <c r="H11" s="227"/>
      <c r="I11" s="227"/>
      <c r="J11" s="228"/>
    </row>
    <row r="12" spans="2:10" ht="15">
      <c r="B12" s="229"/>
      <c r="C12" s="230"/>
      <c r="D12" s="231"/>
      <c r="E12" s="231"/>
      <c r="F12" s="230"/>
      <c r="G12" s="232"/>
      <c r="H12" s="232"/>
      <c r="I12" s="232"/>
      <c r="J12" s="233"/>
    </row>
    <row r="13" spans="2:10" ht="15">
      <c r="B13" s="284" t="s">
        <v>68</v>
      </c>
      <c r="C13" s="285"/>
      <c r="D13" s="223">
        <v>1000</v>
      </c>
      <c r="E13" s="220"/>
      <c r="F13" s="219"/>
      <c r="G13" s="221">
        <f>'GS&lt;50 (1,000kWh)'!H70</f>
        <v>165.37933390000003</v>
      </c>
      <c r="H13" s="221">
        <f>'GS&lt;50 (1,000kWh)'!L70</f>
        <v>198.1786429</v>
      </c>
      <c r="I13" s="221">
        <f>H13-G13</f>
        <v>32.799308999999965</v>
      </c>
      <c r="J13" s="222">
        <f>I13/G13</f>
        <v>0.1983277367644541</v>
      </c>
    </row>
    <row r="14" spans="2:10" ht="15">
      <c r="B14" s="288" t="s">
        <v>111</v>
      </c>
      <c r="C14" s="289"/>
      <c r="D14" s="276">
        <v>2000</v>
      </c>
      <c r="E14" s="272"/>
      <c r="F14" s="273"/>
      <c r="G14" s="274">
        <f>'GS&lt;50 (2,000kWh)'!H70</f>
        <v>307.63376780000004</v>
      </c>
      <c r="H14" s="274">
        <f>'GS&lt;50 (2,000kWh)'!L70</f>
        <v>370.6723858000001</v>
      </c>
      <c r="I14" s="274">
        <f>H14-G14</f>
        <v>63.03861800000004</v>
      </c>
      <c r="J14" s="275">
        <f>I14/G14</f>
        <v>0.20491449443541884</v>
      </c>
    </row>
    <row r="15" spans="2:10" ht="15">
      <c r="B15" s="218"/>
      <c r="C15" s="219"/>
      <c r="D15" s="223">
        <v>5000</v>
      </c>
      <c r="E15" s="220"/>
      <c r="F15" s="219"/>
      <c r="G15" s="221">
        <f>'GS&lt;50 (5,000kWh)'!H70</f>
        <v>734.4070695000001</v>
      </c>
      <c r="H15" s="221">
        <f>'GS&lt;50 (5,000kWh)'!L70</f>
        <v>888.1536145000001</v>
      </c>
      <c r="I15" s="221">
        <f>H15-G15</f>
        <v>153.74654499999997</v>
      </c>
      <c r="J15" s="222">
        <f>I15/G15</f>
        <v>0.20934785541303935</v>
      </c>
    </row>
    <row r="16" spans="2:10" ht="15">
      <c r="B16" s="218"/>
      <c r="C16" s="219"/>
      <c r="D16" s="223">
        <v>10000</v>
      </c>
      <c r="E16" s="220"/>
      <c r="F16" s="219"/>
      <c r="G16" s="221">
        <f>'GS&lt;50 (10,000kWh)'!H70</f>
        <v>1445.6992390000005</v>
      </c>
      <c r="H16" s="221">
        <f>'GS&lt;50 (10,000kWh)'!L70</f>
        <v>1750.6223290000003</v>
      </c>
      <c r="I16" s="221">
        <f>H16-G16</f>
        <v>304.9230899999998</v>
      </c>
      <c r="J16" s="222">
        <f>I16/G16</f>
        <v>0.21091737601723928</v>
      </c>
    </row>
    <row r="17" spans="2:10" ht="15">
      <c r="B17" s="218"/>
      <c r="C17" s="219"/>
      <c r="D17" s="223">
        <v>15000</v>
      </c>
      <c r="E17" s="220"/>
      <c r="F17" s="219"/>
      <c r="G17" s="221">
        <f>'GS&lt;50 (15,000kWh)'!H70</f>
        <v>2152.5785085000007</v>
      </c>
      <c r="H17" s="221">
        <f>'GS&lt;50 (15,000kWh)'!L70</f>
        <v>2608.1981435000002</v>
      </c>
      <c r="I17" s="221">
        <f>H17-G17</f>
        <v>455.61963499999956</v>
      </c>
      <c r="J17" s="222">
        <f>I17/G17</f>
        <v>0.21166226142315842</v>
      </c>
    </row>
    <row r="18" spans="2:10" ht="15">
      <c r="B18" s="224"/>
      <c r="C18" s="225"/>
      <c r="D18" s="226"/>
      <c r="E18" s="203"/>
      <c r="F18" s="225"/>
      <c r="G18" s="227"/>
      <c r="H18" s="227"/>
      <c r="I18" s="227"/>
      <c r="J18" s="228"/>
    </row>
    <row r="19" spans="2:10" ht="15">
      <c r="B19" s="229"/>
      <c r="C19" s="230"/>
      <c r="D19" s="231"/>
      <c r="E19" s="231"/>
      <c r="F19" s="230"/>
      <c r="G19" s="232"/>
      <c r="H19" s="232"/>
      <c r="I19" s="232"/>
      <c r="J19" s="233"/>
    </row>
    <row r="20" spans="2:10" ht="15">
      <c r="B20" s="284" t="s">
        <v>119</v>
      </c>
      <c r="C20" s="285"/>
      <c r="D20" s="223">
        <v>20000</v>
      </c>
      <c r="E20" s="220">
        <v>60</v>
      </c>
      <c r="F20" s="219"/>
      <c r="G20" s="221">
        <f>'GS 50-4999 (60kW)'!H74</f>
        <v>2932.1250378900004</v>
      </c>
      <c r="H20" s="221">
        <f>'GS 50-4999 (60kW)'!L74</f>
        <v>3407.9526207500003</v>
      </c>
      <c r="I20" s="221">
        <f>H20-G20</f>
        <v>475.8275828599999</v>
      </c>
      <c r="J20" s="222">
        <f>I20/G20</f>
        <v>0.16228079522911898</v>
      </c>
    </row>
    <row r="21" spans="2:10" ht="15">
      <c r="B21" s="234"/>
      <c r="C21" s="235"/>
      <c r="D21" s="223">
        <v>40000</v>
      </c>
      <c r="E21" s="220">
        <v>100</v>
      </c>
      <c r="F21" s="219"/>
      <c r="G21" s="221">
        <f>'GS 50-4999 (100kW)'!H66</f>
        <v>5612.141493150001</v>
      </c>
      <c r="H21" s="221">
        <f>'GS 50-4999 (100kW)'!L66</f>
        <v>6476.37253125</v>
      </c>
      <c r="I21" s="221">
        <f>H21-G21</f>
        <v>864.2310380999988</v>
      </c>
      <c r="J21" s="222">
        <f>I21/G21</f>
        <v>0.1539930949985583</v>
      </c>
    </row>
    <row r="22" spans="2:10" ht="15">
      <c r="B22" s="224"/>
      <c r="C22" s="225"/>
      <c r="D22" s="226"/>
      <c r="E22" s="203"/>
      <c r="F22" s="225"/>
      <c r="G22" s="227"/>
      <c r="H22" s="227"/>
      <c r="I22" s="227"/>
      <c r="J22" s="228"/>
    </row>
    <row r="23" spans="2:10" ht="15">
      <c r="B23" s="229"/>
      <c r="C23" s="230"/>
      <c r="D23" s="236"/>
      <c r="E23" s="231"/>
      <c r="F23" s="230"/>
      <c r="G23" s="232"/>
      <c r="H23" s="232"/>
      <c r="I23" s="232"/>
      <c r="J23" s="233"/>
    </row>
    <row r="24" spans="2:10" ht="15">
      <c r="B24" s="284" t="s">
        <v>120</v>
      </c>
      <c r="C24" s="285"/>
      <c r="D24" s="223">
        <v>65</v>
      </c>
      <c r="E24" s="223" t="s">
        <v>123</v>
      </c>
      <c r="F24" s="219">
        <v>1</v>
      </c>
      <c r="G24" s="221">
        <f>Sentinel!H74</f>
        <v>42.97177780849999</v>
      </c>
      <c r="H24" s="221">
        <f>Sentinel!L74</f>
        <v>49.995960350999994</v>
      </c>
      <c r="I24" s="221">
        <f>H24-G24</f>
        <v>7.0241825425</v>
      </c>
      <c r="J24" s="222">
        <f>I24/G24</f>
        <v>0.16346036633165753</v>
      </c>
    </row>
    <row r="25" spans="2:10" ht="15">
      <c r="B25" s="237"/>
      <c r="C25" s="238"/>
      <c r="D25" s="226"/>
      <c r="E25" s="226"/>
      <c r="F25" s="225"/>
      <c r="G25" s="227"/>
      <c r="H25" s="227"/>
      <c r="I25" s="227"/>
      <c r="J25" s="228"/>
    </row>
    <row r="26" spans="2:10" ht="15">
      <c r="B26" s="229"/>
      <c r="C26" s="230"/>
      <c r="D26" s="231"/>
      <c r="E26" s="231"/>
      <c r="F26" s="230"/>
      <c r="G26" s="232"/>
      <c r="H26" s="232"/>
      <c r="I26" s="232"/>
      <c r="J26" s="233"/>
    </row>
    <row r="27" spans="2:10" ht="15">
      <c r="B27" s="284" t="s">
        <v>112</v>
      </c>
      <c r="C27" s="285"/>
      <c r="D27" s="223">
        <v>800</v>
      </c>
      <c r="E27" s="220"/>
      <c r="F27" s="220">
        <v>1</v>
      </c>
      <c r="G27" s="221">
        <f>'USL (800kWh)'!H73</f>
        <v>123.09755040000002</v>
      </c>
      <c r="H27" s="221">
        <f>'USL (800kWh)'!L73</f>
        <v>142.1281456</v>
      </c>
      <c r="I27" s="221">
        <f>H27-G27</f>
        <v>19.030595199999993</v>
      </c>
      <c r="J27" s="222">
        <f>I27/G27</f>
        <v>0.15459767589331325</v>
      </c>
    </row>
    <row r="28" spans="2:10" ht="15">
      <c r="B28" s="237"/>
      <c r="C28" s="238"/>
      <c r="D28" s="226"/>
      <c r="E28" s="203"/>
      <c r="F28" s="203"/>
      <c r="G28" s="227"/>
      <c r="H28" s="227"/>
      <c r="I28" s="227"/>
      <c r="J28" s="228"/>
    </row>
    <row r="29" spans="2:10" ht="15">
      <c r="B29" s="229"/>
      <c r="C29" s="230"/>
      <c r="D29" s="231"/>
      <c r="E29" s="231"/>
      <c r="F29" s="231"/>
      <c r="G29" s="232"/>
      <c r="H29" s="232"/>
      <c r="I29" s="232"/>
      <c r="J29" s="233"/>
    </row>
    <row r="30" spans="2:10" ht="15">
      <c r="B30" s="284" t="s">
        <v>72</v>
      </c>
      <c r="C30" s="285"/>
      <c r="D30" s="220">
        <v>150</v>
      </c>
      <c r="E30" s="220">
        <v>1</v>
      </c>
      <c r="F30" s="220">
        <v>1</v>
      </c>
      <c r="G30" s="221">
        <f>'ST (1kW)'!H73</f>
        <v>67.23920736400001</v>
      </c>
      <c r="H30" s="221">
        <f>'ST (1kW)'!L73</f>
        <v>77.0657421905</v>
      </c>
      <c r="I30" s="221">
        <f>H30-G30</f>
        <v>9.826534826499994</v>
      </c>
      <c r="J30" s="222">
        <f>I30/G30</f>
        <v>0.14614293076514073</v>
      </c>
    </row>
    <row r="31" spans="2:10" ht="15.75" thickBot="1">
      <c r="B31" s="239"/>
      <c r="C31" s="240"/>
      <c r="D31" s="240"/>
      <c r="E31" s="240"/>
      <c r="F31" s="240"/>
      <c r="G31" s="240"/>
      <c r="H31" s="240"/>
      <c r="I31" s="240"/>
      <c r="J31" s="241"/>
    </row>
  </sheetData>
  <sheetProtection/>
  <mergeCells count="9">
    <mergeCell ref="B24:C24"/>
    <mergeCell ref="B27:C27"/>
    <mergeCell ref="B30:C30"/>
    <mergeCell ref="B2:C2"/>
    <mergeCell ref="B4:C4"/>
    <mergeCell ref="B5:C5"/>
    <mergeCell ref="B13:C13"/>
    <mergeCell ref="B14:C14"/>
    <mergeCell ref="B20:C20"/>
  </mergeCells>
  <printOptions/>
  <pageMargins left="0.7" right="0.7" top="0.75" bottom="0.75" header="0.3" footer="0.3"/>
  <pageSetup fitToHeight="0" fitToWidth="1" horizontalDpi="600" verticalDpi="600" orientation="portrait" scale="86" r:id="rId1"/>
  <rowBreaks count="1" manualBreakCount="1">
    <brk id="31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0">
      <selection activeCell="J60" sqref="J6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71093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8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87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v>17.36</v>
      </c>
      <c r="G23" s="27">
        <v>1</v>
      </c>
      <c r="H23" s="28">
        <f>G23*F23</f>
        <v>17.36</v>
      </c>
      <c r="I23" s="29"/>
      <c r="J23" s="173">
        <v>17.36</v>
      </c>
      <c r="K23" s="31">
        <v>1</v>
      </c>
      <c r="L23" s="28">
        <f>K23*J23</f>
        <v>17.36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v>4.33</v>
      </c>
      <c r="G26" s="27">
        <v>1</v>
      </c>
      <c r="H26" s="28">
        <f aca="true" t="shared" si="0" ref="H26:H40">G26*F26</f>
        <v>4.33</v>
      </c>
      <c r="I26" s="29"/>
      <c r="J26" s="30">
        <v>4.33</v>
      </c>
      <c r="K26" s="31">
        <v>1</v>
      </c>
      <c r="L26" s="28">
        <f aca="true" t="shared" si="1" ref="L26:L40">K26*J26</f>
        <v>4.33</v>
      </c>
      <c r="M26" s="29"/>
      <c r="N26" s="32">
        <f aca="true" t="shared" si="2" ref="N26:N41">L26-H26</f>
        <v>0</v>
      </c>
      <c r="O26" s="33">
        <f aca="true" t="shared" si="3" ref="O26:O41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51">
        <v>0</v>
      </c>
      <c r="G28" s="27">
        <f aca="true" t="shared" si="4" ref="G28:G33">$F$18</f>
        <v>1000</v>
      </c>
      <c r="H28" s="28">
        <f t="shared" si="0"/>
        <v>0</v>
      </c>
      <c r="I28" s="29"/>
      <c r="J28" s="173"/>
      <c r="K28" s="27">
        <f>$F$18</f>
        <v>1000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v>0</v>
      </c>
      <c r="G29" s="27">
        <f t="shared" si="4"/>
        <v>1000</v>
      </c>
      <c r="H29" s="28">
        <f t="shared" si="0"/>
        <v>0</v>
      </c>
      <c r="I29" s="29"/>
      <c r="J29" s="30">
        <v>0</v>
      </c>
      <c r="K29" s="27">
        <f>$F$18</f>
        <v>1000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v>0</v>
      </c>
      <c r="G30" s="27">
        <f t="shared" si="4"/>
        <v>1000</v>
      </c>
      <c r="H30" s="247">
        <f t="shared" si="0"/>
        <v>0</v>
      </c>
      <c r="I30" s="29"/>
      <c r="J30" s="30">
        <v>0</v>
      </c>
      <c r="K30" s="27">
        <f>$F$18</f>
        <v>1000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v>0.018</v>
      </c>
      <c r="G31" s="27">
        <f t="shared" si="4"/>
        <v>1000</v>
      </c>
      <c r="H31" s="28">
        <f t="shared" si="0"/>
        <v>18</v>
      </c>
      <c r="I31" s="29"/>
      <c r="J31" s="30">
        <v>0.018</v>
      </c>
      <c r="K31" s="27">
        <f>$F$18</f>
        <v>1000</v>
      </c>
      <c r="L31" s="28">
        <f t="shared" si="1"/>
        <v>18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1000</v>
      </c>
      <c r="H32" s="28">
        <f t="shared" si="0"/>
        <v>0</v>
      </c>
      <c r="I32" s="29"/>
      <c r="J32" s="30"/>
      <c r="K32" s="27">
        <f aca="true" t="shared" si="5" ref="K32:K40">$F$18</f>
        <v>1000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 t="shared" si="4"/>
        <v>1000</v>
      </c>
      <c r="H33" s="247">
        <f t="shared" si="0"/>
        <v>0</v>
      </c>
      <c r="I33" s="29"/>
      <c r="J33" s="30">
        <v>0</v>
      </c>
      <c r="K33" s="27">
        <f t="shared" si="5"/>
        <v>1000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1000</v>
      </c>
      <c r="H34" s="28">
        <f t="shared" si="0"/>
        <v>0</v>
      </c>
      <c r="I34" s="29"/>
      <c r="J34" s="30"/>
      <c r="K34" s="27">
        <f t="shared" si="5"/>
        <v>1000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1000</v>
      </c>
      <c r="H35" s="28">
        <f t="shared" si="0"/>
        <v>0</v>
      </c>
      <c r="I35" s="29"/>
      <c r="J35" s="30"/>
      <c r="K35" s="27">
        <f t="shared" si="5"/>
        <v>1000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1000</v>
      </c>
      <c r="H36" s="28">
        <f t="shared" si="0"/>
        <v>0</v>
      </c>
      <c r="I36" s="29"/>
      <c r="J36" s="30"/>
      <c r="K36" s="27">
        <f t="shared" si="5"/>
        <v>1000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1000</v>
      </c>
      <c r="H37" s="28">
        <f t="shared" si="0"/>
        <v>0</v>
      </c>
      <c r="I37" s="29"/>
      <c r="J37" s="30"/>
      <c r="K37" s="27">
        <f t="shared" si="5"/>
        <v>1000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1000</v>
      </c>
      <c r="H38" s="28">
        <f t="shared" si="0"/>
        <v>0</v>
      </c>
      <c r="I38" s="29"/>
      <c r="J38" s="30"/>
      <c r="K38" s="27">
        <f t="shared" si="5"/>
        <v>1000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1000</v>
      </c>
      <c r="H39" s="28">
        <f t="shared" si="0"/>
        <v>0</v>
      </c>
      <c r="I39" s="29"/>
      <c r="J39" s="30"/>
      <c r="K39" s="27">
        <f t="shared" si="5"/>
        <v>1000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1000</v>
      </c>
      <c r="H40" s="28">
        <f t="shared" si="0"/>
        <v>0</v>
      </c>
      <c r="I40" s="29"/>
      <c r="J40" s="30"/>
      <c r="K40" s="27">
        <f t="shared" si="5"/>
        <v>1000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39.69</v>
      </c>
      <c r="I41" s="42"/>
      <c r="J41" s="43"/>
      <c r="K41" s="44"/>
      <c r="L41" s="41">
        <f>SUM(L23:L40)</f>
        <v>39.69</v>
      </c>
      <c r="M41" s="42"/>
      <c r="N41" s="258">
        <f t="shared" si="2"/>
        <v>0</v>
      </c>
      <c r="O41" s="46">
        <f t="shared" si="3"/>
        <v>0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1">
        <v>-0.0071</v>
      </c>
      <c r="G43" s="27">
        <f aca="true" t="shared" si="7" ref="G43:G49">$F$18</f>
        <v>1000</v>
      </c>
      <c r="H43" s="28">
        <f aca="true" t="shared" si="8" ref="H43:H51">G43*F43</f>
        <v>-7.1000000000000005</v>
      </c>
      <c r="I43" s="29"/>
      <c r="J43" s="252">
        <v>0.0021</v>
      </c>
      <c r="K43" s="27">
        <f aca="true" t="shared" si="9" ref="K43:K49">$F$18</f>
        <v>1000</v>
      </c>
      <c r="L43" s="28">
        <f aca="true" t="shared" si="10" ref="L43:L51">K43*J43</f>
        <v>2.1</v>
      </c>
      <c r="M43" s="29"/>
      <c r="N43" s="32">
        <f aca="true" t="shared" si="11" ref="N43:N51">L43-H43</f>
        <v>9.200000000000001</v>
      </c>
      <c r="O43" s="33">
        <f aca="true" t="shared" si="12" ref="O43:O50">IF((H43)=0,"",(N43/H43))</f>
        <v>-1.295774647887324</v>
      </c>
    </row>
    <row r="44" spans="2:15" ht="15" hidden="1">
      <c r="B44" s="47"/>
      <c r="C44" s="23"/>
      <c r="D44" s="24" t="s">
        <v>63</v>
      </c>
      <c r="E44" s="25"/>
      <c r="F44" s="26"/>
      <c r="G44" s="27">
        <f t="shared" si="7"/>
        <v>1000</v>
      </c>
      <c r="H44" s="28">
        <f t="shared" si="8"/>
        <v>0</v>
      </c>
      <c r="I44" s="48"/>
      <c r="J44" s="30"/>
      <c r="K44" s="27">
        <f t="shared" si="9"/>
        <v>1000</v>
      </c>
      <c r="L44" s="28">
        <f t="shared" si="10"/>
        <v>0</v>
      </c>
      <c r="M44" s="49"/>
      <c r="N44" s="32">
        <f t="shared" si="11"/>
        <v>0</v>
      </c>
      <c r="O44" s="33">
        <f t="shared" si="12"/>
      </c>
    </row>
    <row r="45" spans="2:15" ht="15" hidden="1">
      <c r="B45" s="47"/>
      <c r="C45" s="23"/>
      <c r="D45" s="24" t="s">
        <v>63</v>
      </c>
      <c r="E45" s="25"/>
      <c r="F45" s="26"/>
      <c r="G45" s="27">
        <f t="shared" si="7"/>
        <v>1000</v>
      </c>
      <c r="H45" s="28">
        <f t="shared" si="8"/>
        <v>0</v>
      </c>
      <c r="I45" s="48"/>
      <c r="J45" s="30"/>
      <c r="K45" s="27">
        <f t="shared" si="9"/>
        <v>1000</v>
      </c>
      <c r="L45" s="28">
        <f t="shared" si="10"/>
        <v>0</v>
      </c>
      <c r="M45" s="49"/>
      <c r="N45" s="32">
        <f t="shared" si="11"/>
        <v>0</v>
      </c>
      <c r="O45" s="33">
        <f t="shared" si="12"/>
      </c>
    </row>
    <row r="46" spans="2:15" ht="15" hidden="1">
      <c r="B46" s="47"/>
      <c r="C46" s="23"/>
      <c r="D46" s="24"/>
      <c r="E46" s="25"/>
      <c r="F46" s="26"/>
      <c r="G46" s="27">
        <f t="shared" si="7"/>
        <v>1000</v>
      </c>
      <c r="H46" s="28">
        <f t="shared" si="8"/>
        <v>0</v>
      </c>
      <c r="I46" s="48"/>
      <c r="J46" s="30"/>
      <c r="K46" s="27">
        <f t="shared" si="9"/>
        <v>1000</v>
      </c>
      <c r="L46" s="28">
        <f t="shared" si="10"/>
        <v>0</v>
      </c>
      <c r="M46" s="49"/>
      <c r="N46" s="32">
        <f t="shared" si="11"/>
        <v>0</v>
      </c>
      <c r="O46" s="33">
        <f t="shared" si="12"/>
      </c>
    </row>
    <row r="47" spans="2:15" ht="15">
      <c r="B47" s="47" t="s">
        <v>66</v>
      </c>
      <c r="C47" s="23"/>
      <c r="D47" s="24" t="s">
        <v>63</v>
      </c>
      <c r="E47" s="25"/>
      <c r="F47" s="251">
        <v>0</v>
      </c>
      <c r="G47" s="27">
        <f t="shared" si="7"/>
        <v>1000</v>
      </c>
      <c r="H47" s="247">
        <f t="shared" si="8"/>
        <v>0</v>
      </c>
      <c r="I47" s="29"/>
      <c r="J47" s="269"/>
      <c r="K47" s="27">
        <f t="shared" si="9"/>
        <v>1000</v>
      </c>
      <c r="L47" s="247">
        <f t="shared" si="10"/>
        <v>0</v>
      </c>
      <c r="M47" s="29"/>
      <c r="N47" s="32">
        <f t="shared" si="11"/>
        <v>0</v>
      </c>
      <c r="O47" s="248">
        <f t="shared" si="12"/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 t="shared" si="7"/>
        <v>1000</v>
      </c>
      <c r="H48" s="247">
        <f>G48*F48</f>
        <v>0</v>
      </c>
      <c r="I48" s="29"/>
      <c r="J48" s="30">
        <v>0.0021</v>
      </c>
      <c r="K48" s="27">
        <f t="shared" si="9"/>
        <v>1000</v>
      </c>
      <c r="L48" s="247">
        <f>K48*J48</f>
        <v>2.1</v>
      </c>
      <c r="M48" s="29"/>
      <c r="N48" s="32">
        <f>L48-H48</f>
        <v>2.1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v>0.0024</v>
      </c>
      <c r="G49" s="27">
        <f t="shared" si="7"/>
        <v>1000</v>
      </c>
      <c r="H49" s="28">
        <f t="shared" si="8"/>
        <v>2.4</v>
      </c>
      <c r="I49" s="29"/>
      <c r="J49" s="30">
        <v>0.0024</v>
      </c>
      <c r="K49" s="27">
        <f t="shared" si="9"/>
        <v>1000</v>
      </c>
      <c r="L49" s="28">
        <f t="shared" si="10"/>
        <v>2.4</v>
      </c>
      <c r="M49" s="29"/>
      <c r="N49" s="32">
        <f t="shared" si="11"/>
        <v>0</v>
      </c>
      <c r="O49" s="33">
        <f t="shared" si="12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49.5</v>
      </c>
      <c r="H50" s="184">
        <f t="shared" si="8"/>
        <v>5.05593</v>
      </c>
      <c r="I50" s="58"/>
      <c r="J50" s="185">
        <f>0.64*$F$60+0.18*$F$61+0.18*$F$62</f>
        <v>0.10214000000000001</v>
      </c>
      <c r="K50" s="27">
        <f>$F$18*(1+$J$79)-$F$18</f>
        <v>49.5</v>
      </c>
      <c r="L50" s="184">
        <f t="shared" si="10"/>
        <v>5.05593</v>
      </c>
      <c r="M50" s="58"/>
      <c r="N50" s="186">
        <f t="shared" si="11"/>
        <v>0</v>
      </c>
      <c r="O50" s="187">
        <f t="shared" si="12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8"/>
        <v>0.79</v>
      </c>
      <c r="I51" s="29"/>
      <c r="J51" s="178">
        <v>0.79</v>
      </c>
      <c r="K51" s="27">
        <v>1</v>
      </c>
      <c r="L51" s="28">
        <f t="shared" si="10"/>
        <v>0.79</v>
      </c>
      <c r="M51" s="29"/>
      <c r="N51" s="32">
        <f t="shared" si="11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40.83593</v>
      </c>
      <c r="I52" s="42"/>
      <c r="J52" s="54"/>
      <c r="K52" s="56"/>
      <c r="L52" s="55">
        <f>SUM(L42:L51)+L41</f>
        <v>52.13593</v>
      </c>
      <c r="M52" s="42"/>
      <c r="N52" s="258">
        <f aca="true" t="shared" si="13" ref="N52:N70">L52-H52</f>
        <v>11.300000000000004</v>
      </c>
      <c r="O52" s="46">
        <f aca="true" t="shared" si="14" ref="O52:O70">IF((H52)=0,"",(N52/H52))</f>
        <v>0.2767170969291015</v>
      </c>
    </row>
    <row r="53" spans="2:15" ht="15">
      <c r="B53" s="29" t="s">
        <v>30</v>
      </c>
      <c r="C53" s="29"/>
      <c r="D53" s="57" t="s">
        <v>63</v>
      </c>
      <c r="E53" s="58"/>
      <c r="F53" s="30">
        <v>0.0044</v>
      </c>
      <c r="G53" s="59">
        <f>F18*(1+F79)</f>
        <v>1049.5</v>
      </c>
      <c r="H53" s="28">
        <f>G53*F53</f>
        <v>4.6178</v>
      </c>
      <c r="I53" s="29"/>
      <c r="J53" s="30">
        <v>0.0048</v>
      </c>
      <c r="K53" s="60">
        <f>F18*(1+J79)</f>
        <v>1049.5</v>
      </c>
      <c r="L53" s="28">
        <f>K53*J53</f>
        <v>5.037599999999999</v>
      </c>
      <c r="M53" s="29"/>
      <c r="N53" s="32">
        <f t="shared" si="13"/>
        <v>0.4197999999999995</v>
      </c>
      <c r="O53" s="33">
        <f t="shared" si="14"/>
        <v>0.0909090909090908</v>
      </c>
    </row>
    <row r="54" spans="2:15" ht="30">
      <c r="B54" s="61" t="s">
        <v>31</v>
      </c>
      <c r="C54" s="29"/>
      <c r="D54" s="57" t="s">
        <v>63</v>
      </c>
      <c r="E54" s="58"/>
      <c r="F54" s="30">
        <v>0.0017</v>
      </c>
      <c r="G54" s="59">
        <f>G53</f>
        <v>1049.5</v>
      </c>
      <c r="H54" s="28">
        <f>G54*F54</f>
        <v>1.78415</v>
      </c>
      <c r="I54" s="29"/>
      <c r="J54" s="30">
        <v>0.0027</v>
      </c>
      <c r="K54" s="60">
        <f>K53</f>
        <v>1049.5</v>
      </c>
      <c r="L54" s="28">
        <f>K54*J54</f>
        <v>2.83365</v>
      </c>
      <c r="M54" s="29"/>
      <c r="N54" s="32">
        <f t="shared" si="13"/>
        <v>1.0495</v>
      </c>
      <c r="O54" s="33">
        <f t="shared" si="14"/>
        <v>0.5882352941176472</v>
      </c>
    </row>
    <row r="55" spans="2:15" ht="25.5">
      <c r="B55" s="51" t="s">
        <v>32</v>
      </c>
      <c r="C55" s="37"/>
      <c r="D55" s="37"/>
      <c r="E55" s="37"/>
      <c r="F55" s="62"/>
      <c r="G55" s="54"/>
      <c r="H55" s="55">
        <f>SUM(H52:H54)</f>
        <v>47.23788</v>
      </c>
      <c r="I55" s="63"/>
      <c r="J55" s="64"/>
      <c r="K55" s="65"/>
      <c r="L55" s="55">
        <f>SUM(L52:L54)</f>
        <v>60.00718</v>
      </c>
      <c r="M55" s="63"/>
      <c r="N55" s="258">
        <f t="shared" si="13"/>
        <v>12.769300000000001</v>
      </c>
      <c r="O55" s="46">
        <f t="shared" si="14"/>
        <v>0.27031907443771824</v>
      </c>
    </row>
    <row r="56" spans="2:15" ht="30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1049.5</v>
      </c>
      <c r="H56" s="68">
        <f aca="true" t="shared" si="15" ref="H56:H62">G56*F56</f>
        <v>4.6178</v>
      </c>
      <c r="I56" s="29"/>
      <c r="J56" s="69">
        <v>0.0044</v>
      </c>
      <c r="K56" s="60">
        <f>K54</f>
        <v>1049.5</v>
      </c>
      <c r="L56" s="68">
        <f aca="true" t="shared" si="16" ref="L56:L62">K56*J56</f>
        <v>4.6178</v>
      </c>
      <c r="M56" s="29"/>
      <c r="N56" s="32">
        <f t="shared" si="13"/>
        <v>0</v>
      </c>
      <c r="O56" s="70">
        <f t="shared" si="14"/>
        <v>0</v>
      </c>
    </row>
    <row r="57" spans="2:15" ht="30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1049.5</v>
      </c>
      <c r="H57" s="68">
        <f t="shared" si="15"/>
        <v>1.36435</v>
      </c>
      <c r="I57" s="29"/>
      <c r="J57" s="69">
        <v>0.0013</v>
      </c>
      <c r="K57" s="60">
        <f>K54</f>
        <v>1049.5</v>
      </c>
      <c r="L57" s="68">
        <f t="shared" si="16"/>
        <v>1.36435</v>
      </c>
      <c r="M57" s="29"/>
      <c r="N57" s="32">
        <f t="shared" si="13"/>
        <v>0</v>
      </c>
      <c r="O57" s="70">
        <f t="shared" si="14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5"/>
        <v>0.25</v>
      </c>
      <c r="I58" s="29"/>
      <c r="J58" s="177">
        <v>0.25</v>
      </c>
      <c r="K58" s="31">
        <v>1</v>
      </c>
      <c r="L58" s="68">
        <f t="shared" si="16"/>
        <v>0.25</v>
      </c>
      <c r="M58" s="29"/>
      <c r="N58" s="32">
        <f t="shared" si="13"/>
        <v>0</v>
      </c>
      <c r="O58" s="70">
        <f t="shared" si="14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1000</v>
      </c>
      <c r="H59" s="68">
        <f t="shared" si="15"/>
        <v>7</v>
      </c>
      <c r="I59" s="29"/>
      <c r="J59" s="69">
        <v>0.007</v>
      </c>
      <c r="K59" s="72">
        <f>F18</f>
        <v>1000</v>
      </c>
      <c r="L59" s="68">
        <f t="shared" si="16"/>
        <v>7</v>
      </c>
      <c r="M59" s="29"/>
      <c r="N59" s="32">
        <f t="shared" si="13"/>
        <v>0</v>
      </c>
      <c r="O59" s="70">
        <f t="shared" si="14"/>
        <v>0</v>
      </c>
    </row>
    <row r="60" spans="2:19" ht="15">
      <c r="B60" s="50" t="s">
        <v>37</v>
      </c>
      <c r="C60" s="23"/>
      <c r="D60" s="24" t="s">
        <v>63</v>
      </c>
      <c r="E60" s="25"/>
      <c r="F60" s="73">
        <v>0.08</v>
      </c>
      <c r="G60" s="71">
        <f>0.64*$F$18</f>
        <v>640</v>
      </c>
      <c r="H60" s="68">
        <f t="shared" si="15"/>
        <v>51.2</v>
      </c>
      <c r="I60" s="29"/>
      <c r="J60" s="67">
        <f aca="true" t="shared" si="17" ref="J60:K64">F60</f>
        <v>0.08</v>
      </c>
      <c r="K60" s="71">
        <f t="shared" si="17"/>
        <v>640</v>
      </c>
      <c r="L60" s="68">
        <f t="shared" si="16"/>
        <v>51.2</v>
      </c>
      <c r="M60" s="29"/>
      <c r="N60" s="32">
        <f t="shared" si="13"/>
        <v>0</v>
      </c>
      <c r="O60" s="70">
        <f t="shared" si="14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v>0.122</v>
      </c>
      <c r="G61" s="71">
        <f>0.18*$F$18</f>
        <v>180</v>
      </c>
      <c r="H61" s="68">
        <f t="shared" si="15"/>
        <v>21.96</v>
      </c>
      <c r="I61" s="29"/>
      <c r="J61" s="67">
        <f t="shared" si="17"/>
        <v>0.122</v>
      </c>
      <c r="K61" s="71">
        <f t="shared" si="17"/>
        <v>180</v>
      </c>
      <c r="L61" s="68">
        <f t="shared" si="16"/>
        <v>21.96</v>
      </c>
      <c r="M61" s="29"/>
      <c r="N61" s="32">
        <f t="shared" si="13"/>
        <v>0</v>
      </c>
      <c r="O61" s="70">
        <f t="shared" si="14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v>0.161</v>
      </c>
      <c r="G62" s="71">
        <f>0.18*$F$18</f>
        <v>180</v>
      </c>
      <c r="H62" s="68">
        <f t="shared" si="15"/>
        <v>28.98</v>
      </c>
      <c r="I62" s="29"/>
      <c r="J62" s="67">
        <f t="shared" si="17"/>
        <v>0.161</v>
      </c>
      <c r="K62" s="71">
        <f t="shared" si="17"/>
        <v>180</v>
      </c>
      <c r="L62" s="68">
        <f t="shared" si="16"/>
        <v>28.98</v>
      </c>
      <c r="M62" s="29"/>
      <c r="N62" s="32">
        <f t="shared" si="13"/>
        <v>0</v>
      </c>
      <c r="O62" s="70">
        <f t="shared" si="14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0.094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 t="shared" si="17"/>
        <v>0.094</v>
      </c>
      <c r="K63" s="80">
        <f t="shared" si="17"/>
        <v>600</v>
      </c>
      <c r="L63" s="68">
        <f>K63*J63</f>
        <v>56.4</v>
      </c>
      <c r="M63" s="81"/>
      <c r="N63" s="82">
        <f t="shared" si="13"/>
        <v>0</v>
      </c>
      <c r="O63" s="70">
        <f t="shared" si="14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0.11</f>
        <v>0.11</v>
      </c>
      <c r="G64" s="80">
        <f>IF(AND($T$1=1,F18&gt;=600),F18-600,IF(AND($T$1=1,AND(F18&lt;600,F18&gt;=0)),0,IF(AND($T$1=2,F18&gt;=1000),F18-1000,IF(AND($T$1=2,AND(F18&lt;1000,F18&gt;=0)),0))))</f>
        <v>400</v>
      </c>
      <c r="H64" s="68">
        <f>G64*F64</f>
        <v>44</v>
      </c>
      <c r="I64" s="81"/>
      <c r="J64" s="67">
        <f t="shared" si="17"/>
        <v>0.11</v>
      </c>
      <c r="K64" s="80">
        <f t="shared" si="17"/>
        <v>400</v>
      </c>
      <c r="L64" s="68">
        <f>K64*J64</f>
        <v>44</v>
      </c>
      <c r="M64" s="81"/>
      <c r="N64" s="82">
        <f t="shared" si="13"/>
        <v>0</v>
      </c>
      <c r="O64" s="70">
        <f t="shared" si="14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162.61003000000002</v>
      </c>
      <c r="I66" s="97"/>
      <c r="J66" s="98"/>
      <c r="K66" s="98"/>
      <c r="L66" s="190">
        <f>SUM(L56:L62,L55)</f>
        <v>175.37933</v>
      </c>
      <c r="M66" s="99"/>
      <c r="N66" s="263">
        <f>L66-H66</f>
        <v>12.769299999999987</v>
      </c>
      <c r="O66" s="101">
        <f>IF((H66)=0,"",(N66/H66))</f>
        <v>0.0785271363642205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21.139303900000005</v>
      </c>
      <c r="I67" s="106"/>
      <c r="J67" s="107">
        <v>0.13</v>
      </c>
      <c r="K67" s="106"/>
      <c r="L67" s="108">
        <f>L66*J67</f>
        <v>22.7993129</v>
      </c>
      <c r="M67" s="109"/>
      <c r="N67" s="264">
        <f t="shared" si="13"/>
        <v>1.6600089999999952</v>
      </c>
      <c r="O67" s="111">
        <f t="shared" si="14"/>
        <v>0.07852713636422033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183.74933390000004</v>
      </c>
      <c r="I68" s="106"/>
      <c r="J68" s="106"/>
      <c r="K68" s="106"/>
      <c r="L68" s="108">
        <f>L66+L67</f>
        <v>198.1786429</v>
      </c>
      <c r="M68" s="109"/>
      <c r="N68" s="264">
        <f t="shared" si="13"/>
        <v>14.42930899999996</v>
      </c>
      <c r="O68" s="111">
        <f t="shared" si="14"/>
        <v>0.07852713636422036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-18.37</v>
      </c>
      <c r="I69" s="106"/>
      <c r="J69" s="106"/>
      <c r="K69" s="106"/>
      <c r="L69" s="261">
        <v>0</v>
      </c>
      <c r="M69" s="109"/>
      <c r="N69" s="116">
        <f t="shared" si="13"/>
        <v>18.37</v>
      </c>
      <c r="O69" s="117">
        <f t="shared" si="14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165.37933390000003</v>
      </c>
      <c r="I70" s="122"/>
      <c r="J70" s="122"/>
      <c r="K70" s="122"/>
      <c r="L70" s="123">
        <f>L68+L69</f>
        <v>198.1786429</v>
      </c>
      <c r="M70" s="124"/>
      <c r="N70" s="265">
        <f t="shared" si="13"/>
        <v>32.799308999999965</v>
      </c>
      <c r="O70" s="126">
        <f t="shared" si="14"/>
        <v>0.1983277367644541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160.87002999999999</v>
      </c>
      <c r="I72" s="138"/>
      <c r="J72" s="139"/>
      <c r="K72" s="139"/>
      <c r="L72" s="189">
        <f>SUM(L63:L64,L55,L56:L59)</f>
        <v>173.63933</v>
      </c>
      <c r="M72" s="140"/>
      <c r="N72" s="266">
        <f>L72-H72</f>
        <v>12.769300000000015</v>
      </c>
      <c r="O72" s="101">
        <f>IF((H72)=0,"",(N72/H72))</f>
        <v>0.07937650039600301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20.9131039</v>
      </c>
      <c r="I73" s="145"/>
      <c r="J73" s="146">
        <v>0.13</v>
      </c>
      <c r="K73" s="147"/>
      <c r="L73" s="148">
        <f>L72*J73</f>
        <v>22.5731129</v>
      </c>
      <c r="M73" s="149"/>
      <c r="N73" s="267">
        <f>L73-H73</f>
        <v>1.6600090000000023</v>
      </c>
      <c r="O73" s="111">
        <f>IF((H73)=0,"",(N73/H73))</f>
        <v>0.07937650039600302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181.7831339</v>
      </c>
      <c r="I74" s="145"/>
      <c r="J74" s="145"/>
      <c r="K74" s="145"/>
      <c r="L74" s="148">
        <f>L72+L73</f>
        <v>196.2124429</v>
      </c>
      <c r="M74" s="149"/>
      <c r="N74" s="267">
        <f>L74-H74</f>
        <v>14.429309000000018</v>
      </c>
      <c r="O74" s="111">
        <f>IF((H74)=0,"",(N74/H74))</f>
        <v>0.07937650039600301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-18.18</v>
      </c>
      <c r="I75" s="145"/>
      <c r="J75" s="145"/>
      <c r="K75" s="145"/>
      <c r="L75" s="255">
        <v>0</v>
      </c>
      <c r="M75" s="149"/>
      <c r="N75" s="154">
        <f>L75-H75</f>
        <v>18.18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163.6031339</v>
      </c>
      <c r="I76" s="159"/>
      <c r="J76" s="159"/>
      <c r="K76" s="159"/>
      <c r="L76" s="160">
        <f>SUM(L74:L75)</f>
        <v>196.2124429</v>
      </c>
      <c r="M76" s="161"/>
      <c r="N76" s="268">
        <f>L76-H76</f>
        <v>32.609309000000025</v>
      </c>
      <c r="O76" s="163">
        <f>IF((H76)=0,"",(N76/H76))</f>
        <v>0.19931958650579387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56:E62 E65 E23:E40 E42:E51">
      <formula1>'GS&lt;50 (1,000kWh)'!#REF!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'GS&lt;50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5"/>
  <sheetViews>
    <sheetView showGridLines="0" zoomScalePageLayoutView="0" workbookViewId="0" topLeftCell="A59">
      <selection activeCell="L70" sqref="L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9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88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'GS&lt;50 (1,000kWh)'!F23</f>
        <v>17.36</v>
      </c>
      <c r="G23" s="27">
        <v>1</v>
      </c>
      <c r="H23" s="28">
        <f>G23*F23</f>
        <v>17.36</v>
      </c>
      <c r="I23" s="29"/>
      <c r="J23" s="280">
        <f>'GS&lt;50 (1,000kWh)'!J23</f>
        <v>17.36</v>
      </c>
      <c r="K23" s="31">
        <v>1</v>
      </c>
      <c r="L23" s="28">
        <f>K23*J23</f>
        <v>17.36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'GS&lt;50 (1,000kWh)'!F24</f>
        <v>0</v>
      </c>
      <c r="G24" s="27">
        <v>1</v>
      </c>
      <c r="H24" s="247">
        <f>G24*F24</f>
        <v>0</v>
      </c>
      <c r="I24" s="29"/>
      <c r="J24" s="173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281">
        <f>'GS&lt;50 (1,000kWh)'!J25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v>4.33</v>
      </c>
      <c r="G26" s="27">
        <v>1</v>
      </c>
      <c r="H26" s="28">
        <f aca="true" t="shared" si="0" ref="H26:H40">G26*F26</f>
        <v>4.33</v>
      </c>
      <c r="I26" s="29"/>
      <c r="J26" s="30">
        <v>4.33</v>
      </c>
      <c r="K26" s="31">
        <v>1</v>
      </c>
      <c r="L26" s="28">
        <f aca="true" t="shared" si="1" ref="L26:L40">K26*J26</f>
        <v>4.33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'GS&lt;50 (1,000kWh)'!F27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v>1</v>
      </c>
      <c r="H28" s="28">
        <f t="shared" si="0"/>
        <v>0</v>
      </c>
      <c r="I28" s="29"/>
      <c r="J28" s="173"/>
      <c r="K28" s="27"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'GS&lt;50 (1,000kWh)'!F29</f>
        <v>0</v>
      </c>
      <c r="G29" s="179">
        <f>F18</f>
        <v>2000</v>
      </c>
      <c r="H29" s="28">
        <f t="shared" si="0"/>
        <v>0</v>
      </c>
      <c r="I29" s="29"/>
      <c r="J29" s="30">
        <f>'GS&lt;50 (1,000kWh)'!J29</f>
        <v>0</v>
      </c>
      <c r="K29" s="27">
        <f>$F$18</f>
        <v>2000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'GS&lt;50 (1,000kWh)'!F30</f>
        <v>0</v>
      </c>
      <c r="G30" s="27">
        <f>$F$18</f>
        <v>2000</v>
      </c>
      <c r="H30" s="247">
        <f t="shared" si="0"/>
        <v>0</v>
      </c>
      <c r="I30" s="29"/>
      <c r="J30" s="30">
        <f>'GS&lt;50 (1,000kWh)'!J30</f>
        <v>0</v>
      </c>
      <c r="K30" s="27">
        <f>$F$18</f>
        <v>2000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0.018</v>
      </c>
      <c r="G31" s="27">
        <f>$F$18</f>
        <v>2000</v>
      </c>
      <c r="H31" s="28">
        <f t="shared" si="0"/>
        <v>36</v>
      </c>
      <c r="I31" s="29"/>
      <c r="J31" s="281">
        <f>'GS&lt;50 (1,000kWh)'!J31</f>
        <v>0.018</v>
      </c>
      <c r="K31" s="27">
        <f>$F$18</f>
        <v>2000</v>
      </c>
      <c r="L31" s="28">
        <f t="shared" si="1"/>
        <v>36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2000</v>
      </c>
      <c r="H32" s="28">
        <f t="shared" si="0"/>
        <v>0</v>
      </c>
      <c r="I32" s="29"/>
      <c r="J32" s="30"/>
      <c r="K32" s="27">
        <f aca="true" t="shared" si="4" ref="K32:K40">$F$18</f>
        <v>2000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2000</v>
      </c>
      <c r="H33" s="247">
        <f t="shared" si="0"/>
        <v>0</v>
      </c>
      <c r="I33" s="29"/>
      <c r="J33" s="281">
        <f>'GS&lt;50 (1,000kWh)'!$J33</f>
        <v>0</v>
      </c>
      <c r="K33" s="27">
        <f t="shared" si="4"/>
        <v>2000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2000</v>
      </c>
      <c r="H34" s="28">
        <f t="shared" si="0"/>
        <v>0</v>
      </c>
      <c r="I34" s="29"/>
      <c r="J34" s="30"/>
      <c r="K34" s="27">
        <f t="shared" si="4"/>
        <v>2000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2000</v>
      </c>
      <c r="H35" s="28">
        <f t="shared" si="0"/>
        <v>0</v>
      </c>
      <c r="I35" s="29"/>
      <c r="J35" s="30"/>
      <c r="K35" s="27">
        <f t="shared" si="4"/>
        <v>2000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2000</v>
      </c>
      <c r="H36" s="28">
        <f t="shared" si="0"/>
        <v>0</v>
      </c>
      <c r="I36" s="29"/>
      <c r="J36" s="30"/>
      <c r="K36" s="27">
        <f t="shared" si="4"/>
        <v>2000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2000</v>
      </c>
      <c r="H37" s="28">
        <f t="shared" si="0"/>
        <v>0</v>
      </c>
      <c r="I37" s="29"/>
      <c r="J37" s="30"/>
      <c r="K37" s="27">
        <f t="shared" si="4"/>
        <v>2000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2000</v>
      </c>
      <c r="H38" s="28">
        <f t="shared" si="0"/>
        <v>0</v>
      </c>
      <c r="I38" s="29"/>
      <c r="J38" s="30"/>
      <c r="K38" s="27">
        <f t="shared" si="4"/>
        <v>2000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2000</v>
      </c>
      <c r="H39" s="28">
        <f t="shared" si="0"/>
        <v>0</v>
      </c>
      <c r="I39" s="29"/>
      <c r="J39" s="30"/>
      <c r="K39" s="27">
        <f t="shared" si="4"/>
        <v>2000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2000</v>
      </c>
      <c r="H40" s="28">
        <f t="shared" si="0"/>
        <v>0</v>
      </c>
      <c r="I40" s="29"/>
      <c r="J40" s="30"/>
      <c r="K40" s="27">
        <f t="shared" si="4"/>
        <v>2000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57.69</v>
      </c>
      <c r="I41" s="42"/>
      <c r="J41" s="43"/>
      <c r="K41" s="44"/>
      <c r="L41" s="41">
        <f>SUM(L23:L40)</f>
        <v>57.69</v>
      </c>
      <c r="M41" s="42"/>
      <c r="N41" s="258">
        <f t="shared" si="2"/>
        <v>0</v>
      </c>
      <c r="O41" s="46">
        <f t="shared" si="3"/>
        <v>0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'GS&lt;50 (1,000kWh)'!F43</f>
        <v>-0.0071</v>
      </c>
      <c r="G43" s="27">
        <f>$F$18</f>
        <v>2000</v>
      </c>
      <c r="H43" s="28">
        <f aca="true" t="shared" si="6" ref="H43:H51">G43*F43</f>
        <v>-14.200000000000001</v>
      </c>
      <c r="I43" s="29"/>
      <c r="J43" s="282">
        <f>'GS&lt;50 (1,000kWh)'!J43</f>
        <v>0.0021</v>
      </c>
      <c r="K43" s="27">
        <f>$F$18</f>
        <v>2000</v>
      </c>
      <c r="L43" s="28">
        <f aca="true" t="shared" si="7" ref="L43:L51">K43*J43</f>
        <v>4.2</v>
      </c>
      <c r="M43" s="29"/>
      <c r="N43" s="32">
        <f t="shared" si="2"/>
        <v>18.400000000000002</v>
      </c>
      <c r="O43" s="33">
        <f t="shared" si="3"/>
        <v>-1.295774647887324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2000</v>
      </c>
      <c r="H44" s="28">
        <f t="shared" si="6"/>
        <v>0</v>
      </c>
      <c r="I44" s="48"/>
      <c r="J44" s="30"/>
      <c r="K44" s="27">
        <f>$F$18</f>
        <v>2000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2000</v>
      </c>
      <c r="H45" s="28">
        <f t="shared" si="6"/>
        <v>0</v>
      </c>
      <c r="I45" s="48"/>
      <c r="J45" s="30"/>
      <c r="K45" s="27">
        <f>$F$18</f>
        <v>2000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2000</v>
      </c>
      <c r="H46" s="28">
        <f t="shared" si="6"/>
        <v>0</v>
      </c>
      <c r="I46" s="48"/>
      <c r="J46" s="30"/>
      <c r="K46" s="27">
        <f>$F$18</f>
        <v>2000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175" t="s">
        <v>65</v>
      </c>
      <c r="C47" s="23"/>
      <c r="D47" s="24" t="s">
        <v>62</v>
      </c>
      <c r="E47" s="25"/>
      <c r="F47" s="259">
        <f>'GS&lt;50 (1,000kWh)'!F47</f>
        <v>0</v>
      </c>
      <c r="G47" s="27">
        <v>1</v>
      </c>
      <c r="H47" s="247">
        <f t="shared" si="6"/>
        <v>0</v>
      </c>
      <c r="I47" s="29"/>
      <c r="J47" s="269">
        <v>0</v>
      </c>
      <c r="K47" s="31">
        <v>1</v>
      </c>
      <c r="L47" s="247">
        <f t="shared" si="7"/>
        <v>0</v>
      </c>
      <c r="M47" s="29"/>
      <c r="N47" s="257">
        <f>L47-H47</f>
        <v>0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2000</v>
      </c>
      <c r="H48" s="247">
        <f t="shared" si="6"/>
        <v>0</v>
      </c>
      <c r="I48" s="29"/>
      <c r="J48" s="281">
        <f>'GS&lt;50 (1,000kWh)'!$J48</f>
        <v>0.0021</v>
      </c>
      <c r="K48" s="27">
        <f>$F$18</f>
        <v>2000</v>
      </c>
      <c r="L48" s="247">
        <f t="shared" si="7"/>
        <v>4.2</v>
      </c>
      <c r="M48" s="29"/>
      <c r="N48" s="32">
        <f>L48-H48</f>
        <v>4.2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'GS&lt;50 (1,000kWh)'!F49</f>
        <v>0.0024</v>
      </c>
      <c r="G49" s="27">
        <f>$F$18</f>
        <v>2000</v>
      </c>
      <c r="H49" s="28">
        <f t="shared" si="6"/>
        <v>4.8</v>
      </c>
      <c r="I49" s="29"/>
      <c r="J49" s="281">
        <f>'GS&lt;50 (1,000kWh)'!J49</f>
        <v>0.0024</v>
      </c>
      <c r="K49" s="27">
        <f>$F$18</f>
        <v>2000</v>
      </c>
      <c r="L49" s="28">
        <f t="shared" si="7"/>
        <v>4.8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99</v>
      </c>
      <c r="H50" s="184">
        <f t="shared" si="6"/>
        <v>10.11186</v>
      </c>
      <c r="I50" s="58"/>
      <c r="J50" s="185">
        <f>0.64*$F$60+0.18*$F$61+0.18*$F$62</f>
        <v>0.10214000000000001</v>
      </c>
      <c r="K50" s="27">
        <f>$F$18*(1+$J$79)-$F$18</f>
        <v>99</v>
      </c>
      <c r="L50" s="184">
        <f t="shared" si="7"/>
        <v>10.11186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283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59.19186</v>
      </c>
      <c r="I52" s="42"/>
      <c r="J52" s="54"/>
      <c r="K52" s="56"/>
      <c r="L52" s="55">
        <f>SUM(L42:L51)+L41</f>
        <v>81.79186</v>
      </c>
      <c r="M52" s="42"/>
      <c r="N52" s="258">
        <f t="shared" si="2"/>
        <v>22.6</v>
      </c>
      <c r="O52" s="46">
        <f aca="true" t="shared" si="8" ref="O52:O70">IF((H52)=0,"",(N52/H52))</f>
        <v>0.3818092555293921</v>
      </c>
    </row>
    <row r="53" spans="2:15" ht="15">
      <c r="B53" s="29" t="s">
        <v>30</v>
      </c>
      <c r="C53" s="29"/>
      <c r="D53" s="57" t="s">
        <v>63</v>
      </c>
      <c r="E53" s="58"/>
      <c r="F53" s="30">
        <f>'GS&lt;50 (1,000kWh)'!F53</f>
        <v>0.0044</v>
      </c>
      <c r="G53" s="59">
        <f>F18*(1+F79)</f>
        <v>2099</v>
      </c>
      <c r="H53" s="28">
        <f>G53*F53</f>
        <v>9.2356</v>
      </c>
      <c r="I53" s="29"/>
      <c r="J53" s="281">
        <f>'GS&lt;50 (1,000kWh)'!J53</f>
        <v>0.0048</v>
      </c>
      <c r="K53" s="60">
        <f>F18*(1+J79)</f>
        <v>2099</v>
      </c>
      <c r="L53" s="28">
        <f>K53*J53</f>
        <v>10.075199999999999</v>
      </c>
      <c r="M53" s="29"/>
      <c r="N53" s="32">
        <f t="shared" si="2"/>
        <v>0.839599999999999</v>
      </c>
      <c r="O53" s="33">
        <f t="shared" si="8"/>
        <v>0.0909090909090908</v>
      </c>
    </row>
    <row r="54" spans="2:15" ht="15">
      <c r="B54" s="61" t="s">
        <v>31</v>
      </c>
      <c r="C54" s="29"/>
      <c r="D54" s="57" t="s">
        <v>63</v>
      </c>
      <c r="E54" s="58"/>
      <c r="F54" s="30">
        <f>'GS&lt;50 (1,000kWh)'!F54</f>
        <v>0.0017</v>
      </c>
      <c r="G54" s="59">
        <f>G53</f>
        <v>2099</v>
      </c>
      <c r="H54" s="28">
        <f>G54*F54</f>
        <v>3.5683</v>
      </c>
      <c r="I54" s="29"/>
      <c r="J54" s="281">
        <f>'GS&lt;50 (1,000kWh)'!J54</f>
        <v>0.0027</v>
      </c>
      <c r="K54" s="60">
        <f>K53</f>
        <v>2099</v>
      </c>
      <c r="L54" s="28">
        <f>K54*J54</f>
        <v>5.6673</v>
      </c>
      <c r="M54" s="29"/>
      <c r="N54" s="32">
        <f t="shared" si="2"/>
        <v>2.099</v>
      </c>
      <c r="O54" s="33">
        <f t="shared" si="8"/>
        <v>0.5882352941176472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71.99575999999999</v>
      </c>
      <c r="I55" s="63"/>
      <c r="J55" s="64"/>
      <c r="K55" s="65"/>
      <c r="L55" s="55">
        <f>SUM(L52:L54)</f>
        <v>97.53435999999999</v>
      </c>
      <c r="M55" s="63"/>
      <c r="N55" s="258">
        <f t="shared" si="2"/>
        <v>25.538600000000002</v>
      </c>
      <c r="O55" s="46">
        <f t="shared" si="8"/>
        <v>0.35472366706039365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2099</v>
      </c>
      <c r="H56" s="68">
        <f aca="true" t="shared" si="9" ref="H56:H62">G56*F56</f>
        <v>9.2356</v>
      </c>
      <c r="I56" s="29"/>
      <c r="J56" s="69">
        <v>0.0044</v>
      </c>
      <c r="K56" s="60">
        <f>K54</f>
        <v>2099</v>
      </c>
      <c r="L56" s="68">
        <f aca="true" t="shared" si="10" ref="L56:L62">K56*J56</f>
        <v>9.2356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2099</v>
      </c>
      <c r="H57" s="68">
        <f t="shared" si="9"/>
        <v>2.7287</v>
      </c>
      <c r="I57" s="29"/>
      <c r="J57" s="69">
        <v>0.0013</v>
      </c>
      <c r="K57" s="60">
        <f>K54</f>
        <v>2099</v>
      </c>
      <c r="L57" s="68">
        <f t="shared" si="10"/>
        <v>2.7287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2000</v>
      </c>
      <c r="H59" s="68">
        <f t="shared" si="9"/>
        <v>14</v>
      </c>
      <c r="I59" s="29"/>
      <c r="J59" s="69">
        <v>0.007</v>
      </c>
      <c r="K59" s="72">
        <f>F18</f>
        <v>2000</v>
      </c>
      <c r="L59" s="68">
        <f t="shared" si="10"/>
        <v>14</v>
      </c>
      <c r="M59" s="29"/>
      <c r="N59" s="32">
        <f t="shared" si="2"/>
        <v>0</v>
      </c>
      <c r="O59" s="70">
        <f t="shared" si="8"/>
        <v>0</v>
      </c>
    </row>
    <row r="60" spans="2:19" ht="15">
      <c r="B60" s="50" t="s">
        <v>37</v>
      </c>
      <c r="C60" s="23"/>
      <c r="D60" s="24" t="s">
        <v>63</v>
      </c>
      <c r="E60" s="25"/>
      <c r="F60" s="73">
        <f>'GS&lt;50 (1,000kWh)'!F60</f>
        <v>0.08</v>
      </c>
      <c r="G60" s="71">
        <f>0.64*$F$18</f>
        <v>1280</v>
      </c>
      <c r="H60" s="68">
        <f t="shared" si="9"/>
        <v>102.4</v>
      </c>
      <c r="I60" s="29"/>
      <c r="J60" s="67">
        <f aca="true" t="shared" si="11" ref="J60:K62">F60</f>
        <v>0.08</v>
      </c>
      <c r="K60" s="71">
        <f t="shared" si="11"/>
        <v>1280</v>
      </c>
      <c r="L60" s="68">
        <f t="shared" si="10"/>
        <v>102.4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'GS&lt;50 (1,000kWh)'!F61</f>
        <v>0.122</v>
      </c>
      <c r="G61" s="71">
        <f>0.18*$F$18</f>
        <v>360</v>
      </c>
      <c r="H61" s="68">
        <f t="shared" si="9"/>
        <v>43.92</v>
      </c>
      <c r="I61" s="29"/>
      <c r="J61" s="67">
        <f t="shared" si="11"/>
        <v>0.122</v>
      </c>
      <c r="K61" s="71">
        <f t="shared" si="11"/>
        <v>360</v>
      </c>
      <c r="L61" s="68">
        <f t="shared" si="10"/>
        <v>43.92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'GS&lt;50 (1,000kWh)'!F62</f>
        <v>0.161</v>
      </c>
      <c r="G62" s="71">
        <f>0.18*$F$18</f>
        <v>360</v>
      </c>
      <c r="H62" s="68">
        <f t="shared" si="9"/>
        <v>57.96</v>
      </c>
      <c r="I62" s="29"/>
      <c r="J62" s="67">
        <f t="shared" si="11"/>
        <v>0.161</v>
      </c>
      <c r="K62" s="71">
        <f t="shared" si="11"/>
        <v>360</v>
      </c>
      <c r="L62" s="68">
        <f t="shared" si="10"/>
        <v>57.96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'GS&lt;50 (1,000kWh)'!F63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>F63</f>
        <v>0.094</v>
      </c>
      <c r="K63" s="80">
        <f>G63</f>
        <v>600</v>
      </c>
      <c r="L63" s="68">
        <f>K63*J63</f>
        <v>56.4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'GS&lt;50 (1,000kWh)'!F64</f>
        <v>0.11</v>
      </c>
      <c r="G64" s="80">
        <f>IF(AND($T$1=1,F18&gt;=600),F18-600,IF(AND($T$1=1,AND(F18&lt;600,F18&gt;=0)),0,IF(AND($T$1=2,F18&gt;=1000),F18-1000,IF(AND($T$1=2,AND(F18&lt;1000,F18&gt;=0)),0))))</f>
        <v>1400</v>
      </c>
      <c r="H64" s="68">
        <f>G64*F64</f>
        <v>154</v>
      </c>
      <c r="I64" s="81"/>
      <c r="J64" s="67">
        <f>F64</f>
        <v>0.11</v>
      </c>
      <c r="K64" s="80">
        <f>G64</f>
        <v>1400</v>
      </c>
      <c r="L64" s="68">
        <f>K64*J64</f>
        <v>154</v>
      </c>
      <c r="M64" s="81"/>
      <c r="N64" s="82">
        <f t="shared" si="2"/>
        <v>0</v>
      </c>
      <c r="O64" s="70">
        <f t="shared" si="8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302.49006</v>
      </c>
      <c r="I66" s="97"/>
      <c r="J66" s="98"/>
      <c r="K66" s="98"/>
      <c r="L66" s="190">
        <f>SUM(L56:L62,L55)</f>
        <v>328.02866000000006</v>
      </c>
      <c r="M66" s="99"/>
      <c r="N66" s="263">
        <f>L66-H66</f>
        <v>25.53860000000003</v>
      </c>
      <c r="O66" s="101">
        <f>IF((H66)=0,"",(N66/H66))</f>
        <v>0.08442789822581287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39.32370780000001</v>
      </c>
      <c r="I67" s="106"/>
      <c r="J67" s="107">
        <v>0.13</v>
      </c>
      <c r="K67" s="106"/>
      <c r="L67" s="108">
        <f>L66*J67</f>
        <v>42.643725800000006</v>
      </c>
      <c r="M67" s="109"/>
      <c r="N67" s="264">
        <f t="shared" si="2"/>
        <v>3.3200179999999975</v>
      </c>
      <c r="O67" s="111">
        <f t="shared" si="8"/>
        <v>0.08442789822581269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341.81376780000005</v>
      </c>
      <c r="I68" s="106"/>
      <c r="J68" s="106"/>
      <c r="K68" s="106"/>
      <c r="L68" s="108">
        <f>L66+L67</f>
        <v>370.6723858000001</v>
      </c>
      <c r="M68" s="109"/>
      <c r="N68" s="264">
        <f t="shared" si="2"/>
        <v>28.858618000000035</v>
      </c>
      <c r="O68" s="111">
        <f t="shared" si="8"/>
        <v>0.08442789822581287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-34.18</v>
      </c>
      <c r="I69" s="106"/>
      <c r="J69" s="106"/>
      <c r="K69" s="106"/>
      <c r="L69" s="261">
        <v>0</v>
      </c>
      <c r="M69" s="109"/>
      <c r="N69" s="262">
        <f t="shared" si="2"/>
        <v>34.18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307.63376780000004</v>
      </c>
      <c r="I70" s="122"/>
      <c r="J70" s="122"/>
      <c r="K70" s="122"/>
      <c r="L70" s="123">
        <f>L68+L69</f>
        <v>370.6723858000001</v>
      </c>
      <c r="M70" s="124"/>
      <c r="N70" s="265">
        <f t="shared" si="2"/>
        <v>63.03861800000004</v>
      </c>
      <c r="O70" s="126">
        <f t="shared" si="8"/>
        <v>0.20491449443541884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308.61006</v>
      </c>
      <c r="I72" s="138"/>
      <c r="J72" s="139"/>
      <c r="K72" s="139"/>
      <c r="L72" s="189">
        <f>SUM(L63:L64,L55,L56:L59)</f>
        <v>334.14865999999995</v>
      </c>
      <c r="M72" s="140"/>
      <c r="N72" s="266">
        <f>L72-H72</f>
        <v>25.538599999999974</v>
      </c>
      <c r="O72" s="101">
        <f>IF((H72)=0,"",(N72/H72))</f>
        <v>0.08275362118785103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40.1193078</v>
      </c>
      <c r="I73" s="145"/>
      <c r="J73" s="146">
        <v>0.13</v>
      </c>
      <c r="K73" s="147"/>
      <c r="L73" s="148">
        <f>L72*J73</f>
        <v>43.43932579999999</v>
      </c>
      <c r="M73" s="149"/>
      <c r="N73" s="267">
        <f>L73-H73</f>
        <v>3.3200179999999904</v>
      </c>
      <c r="O73" s="111">
        <f>IF((H73)=0,"",(N73/H73))</f>
        <v>0.08275362118785086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348.7293678</v>
      </c>
      <c r="I74" s="145"/>
      <c r="J74" s="145"/>
      <c r="K74" s="145"/>
      <c r="L74" s="148">
        <f>L72+L73</f>
        <v>377.58798579999996</v>
      </c>
      <c r="M74" s="149"/>
      <c r="N74" s="267">
        <f>L74-H74</f>
        <v>28.85861799999998</v>
      </c>
      <c r="O74" s="111">
        <f>IF((H74)=0,"",(N74/H74))</f>
        <v>0.08275362118785104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-34.87</v>
      </c>
      <c r="I75" s="145"/>
      <c r="J75" s="145"/>
      <c r="K75" s="145"/>
      <c r="L75" s="255">
        <v>0</v>
      </c>
      <c r="M75" s="149"/>
      <c r="N75" s="256">
        <f>L75-H75</f>
        <v>34.87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313.8593678</v>
      </c>
      <c r="I76" s="159"/>
      <c r="J76" s="159"/>
      <c r="K76" s="159"/>
      <c r="L76" s="160">
        <f>SUM(L74:L75)</f>
        <v>377.58798579999996</v>
      </c>
      <c r="M76" s="161"/>
      <c r="N76" s="268">
        <f>L76-H76</f>
        <v>63.72861799999998</v>
      </c>
      <c r="O76" s="163">
        <f>IF((H76)=0,"",(N76/H76))</f>
        <v>0.2030483220771975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7 E71 E63:E64">
      <formula1>'GS&lt;50 (2,000kWh)'!#REF!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53:E54 E56:E62 E65 E23:E40 E42:E51">
      <formula1>'GS&lt;50 (2,000kWh)'!#REF!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6">
      <selection activeCell="L70" sqref="L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0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10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89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5000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'GS&lt;50 (1,000kWh)'!F23</f>
        <v>17.36</v>
      </c>
      <c r="G23" s="27">
        <v>1</v>
      </c>
      <c r="H23" s="28">
        <f>G23*F23</f>
        <v>17.36</v>
      </c>
      <c r="I23" s="29"/>
      <c r="J23" s="173">
        <f>'GS&lt;50 (1,000kWh)'!J23</f>
        <v>17.36</v>
      </c>
      <c r="K23" s="31">
        <v>1</v>
      </c>
      <c r="L23" s="28">
        <f>K23*J23</f>
        <v>17.36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'GS&lt;50 (1,000kWh)'!F24</f>
        <v>0</v>
      </c>
      <c r="G24" s="27">
        <v>1</v>
      </c>
      <c r="H24" s="247">
        <f>G24*F24</f>
        <v>0</v>
      </c>
      <c r="I24" s="29"/>
      <c r="J24" s="173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'GS&lt;50 (1,000kWh)'!J25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'GS&lt;50 (1,000kWh)'!F26</f>
        <v>4.33</v>
      </c>
      <c r="G26" s="27">
        <v>1</v>
      </c>
      <c r="H26" s="28">
        <f aca="true" t="shared" si="0" ref="H26:H40">G26*F26</f>
        <v>4.33</v>
      </c>
      <c r="I26" s="29"/>
      <c r="J26" s="30">
        <f>'GS&lt;50 (1,000kWh)'!J26</f>
        <v>4.33</v>
      </c>
      <c r="K26" s="31">
        <v>1</v>
      </c>
      <c r="L26" s="28">
        <f aca="true" t="shared" si="1" ref="L26:L40">K26*J26</f>
        <v>4.33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'GS&lt;50 (1,000kWh)'!F27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5000</v>
      </c>
      <c r="H28" s="28">
        <f t="shared" si="0"/>
        <v>0</v>
      </c>
      <c r="I28" s="29"/>
      <c r="J28" s="173"/>
      <c r="K28" s="27">
        <f>$F$18</f>
        <v>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'GS&lt;50 (1,000kWh)'!F29</f>
        <v>0</v>
      </c>
      <c r="G29" s="27">
        <f t="shared" si="4"/>
        <v>5000</v>
      </c>
      <c r="H29" s="28">
        <f t="shared" si="0"/>
        <v>0</v>
      </c>
      <c r="I29" s="29"/>
      <c r="J29" s="30">
        <f>'GS&lt;50 (1,000kWh)'!J29</f>
        <v>0</v>
      </c>
      <c r="K29" s="27">
        <f>$F$18</f>
        <v>5000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5000</v>
      </c>
      <c r="H30" s="247">
        <f t="shared" si="0"/>
        <v>0</v>
      </c>
      <c r="I30" s="29"/>
      <c r="J30" s="30">
        <f>'GS&lt;50 (1,000kWh)'!J30</f>
        <v>0</v>
      </c>
      <c r="K30" s="27">
        <f>$F$18</f>
        <v>5000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0.018</v>
      </c>
      <c r="G31" s="27">
        <f t="shared" si="4"/>
        <v>5000</v>
      </c>
      <c r="H31" s="28">
        <f t="shared" si="0"/>
        <v>90</v>
      </c>
      <c r="I31" s="29"/>
      <c r="J31" s="30">
        <f>'GS&lt;50 (1,000kWh)'!J31</f>
        <v>0.018</v>
      </c>
      <c r="K31" s="27">
        <f>$F$18</f>
        <v>5000</v>
      </c>
      <c r="L31" s="28">
        <f t="shared" si="1"/>
        <v>90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5000</v>
      </c>
      <c r="H32" s="28">
        <f t="shared" si="0"/>
        <v>0</v>
      </c>
      <c r="I32" s="29"/>
      <c r="J32" s="30"/>
      <c r="K32" s="27">
        <f aca="true" t="shared" si="5" ref="K32:K40">$F$18</f>
        <v>5000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 t="shared" si="4"/>
        <v>5000</v>
      </c>
      <c r="H33" s="247">
        <f t="shared" si="0"/>
        <v>0</v>
      </c>
      <c r="I33" s="29"/>
      <c r="J33" s="30">
        <f>'GS&lt;50 (1,000kWh)'!$J33</f>
        <v>0</v>
      </c>
      <c r="K33" s="27">
        <f t="shared" si="5"/>
        <v>5000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5000</v>
      </c>
      <c r="H34" s="28">
        <f t="shared" si="0"/>
        <v>0</v>
      </c>
      <c r="I34" s="29"/>
      <c r="J34" s="30"/>
      <c r="K34" s="27">
        <f t="shared" si="5"/>
        <v>5000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5000</v>
      </c>
      <c r="H35" s="28">
        <f t="shared" si="0"/>
        <v>0</v>
      </c>
      <c r="I35" s="29"/>
      <c r="J35" s="30"/>
      <c r="K35" s="27">
        <f t="shared" si="5"/>
        <v>5000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5000</v>
      </c>
      <c r="H36" s="28">
        <f t="shared" si="0"/>
        <v>0</v>
      </c>
      <c r="I36" s="29"/>
      <c r="J36" s="30"/>
      <c r="K36" s="27">
        <f t="shared" si="5"/>
        <v>5000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5000</v>
      </c>
      <c r="H37" s="28">
        <f t="shared" si="0"/>
        <v>0</v>
      </c>
      <c r="I37" s="29"/>
      <c r="J37" s="30"/>
      <c r="K37" s="27">
        <f t="shared" si="5"/>
        <v>5000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5000</v>
      </c>
      <c r="H38" s="28">
        <f t="shared" si="0"/>
        <v>0</v>
      </c>
      <c r="I38" s="29"/>
      <c r="J38" s="30"/>
      <c r="K38" s="27">
        <f t="shared" si="5"/>
        <v>5000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5000</v>
      </c>
      <c r="H39" s="28">
        <f t="shared" si="0"/>
        <v>0</v>
      </c>
      <c r="I39" s="29"/>
      <c r="J39" s="30"/>
      <c r="K39" s="27">
        <f t="shared" si="5"/>
        <v>5000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5000</v>
      </c>
      <c r="H40" s="28">
        <f t="shared" si="0"/>
        <v>0</v>
      </c>
      <c r="I40" s="29"/>
      <c r="J40" s="30"/>
      <c r="K40" s="27">
        <f t="shared" si="5"/>
        <v>5000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111.69</v>
      </c>
      <c r="I41" s="42"/>
      <c r="J41" s="43"/>
      <c r="K41" s="44"/>
      <c r="L41" s="41">
        <f>SUM(L23:L40)</f>
        <v>111.69</v>
      </c>
      <c r="M41" s="42"/>
      <c r="N41" s="45">
        <f t="shared" si="2"/>
        <v>0</v>
      </c>
      <c r="O41" s="46">
        <f t="shared" si="3"/>
        <v>0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'GS&lt;50 (1,000kWh)'!F43</f>
        <v>-0.0071</v>
      </c>
      <c r="G43" s="27">
        <f aca="true" t="shared" si="7" ref="G43:G49">$F$18</f>
        <v>5000</v>
      </c>
      <c r="H43" s="28">
        <f aca="true" t="shared" si="8" ref="H43:H51">G43*F43</f>
        <v>-35.5</v>
      </c>
      <c r="I43" s="29"/>
      <c r="J43" s="252">
        <f>'GS&lt;50 (1,000kWh)'!J43</f>
        <v>0.0021</v>
      </c>
      <c r="K43" s="27">
        <f aca="true" t="shared" si="9" ref="K43:K49">$F$18</f>
        <v>5000</v>
      </c>
      <c r="L43" s="28">
        <f aca="true" t="shared" si="10" ref="L43:L51">K43*J43</f>
        <v>10.5</v>
      </c>
      <c r="M43" s="29"/>
      <c r="N43" s="32">
        <f t="shared" si="2"/>
        <v>46</v>
      </c>
      <c r="O43" s="33">
        <f t="shared" si="3"/>
        <v>-1.295774647887324</v>
      </c>
    </row>
    <row r="44" spans="2:15" ht="15" hidden="1">
      <c r="B44" s="47"/>
      <c r="C44" s="23"/>
      <c r="D44" s="24" t="s">
        <v>63</v>
      </c>
      <c r="E44" s="25"/>
      <c r="F44" s="26"/>
      <c r="G44" s="27">
        <f t="shared" si="7"/>
        <v>5000</v>
      </c>
      <c r="H44" s="28">
        <f t="shared" si="8"/>
        <v>0</v>
      </c>
      <c r="I44" s="48"/>
      <c r="J44" s="30"/>
      <c r="K44" s="27">
        <f t="shared" si="9"/>
        <v>5000</v>
      </c>
      <c r="L44" s="28">
        <f t="shared" si="10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 t="shared" si="7"/>
        <v>5000</v>
      </c>
      <c r="H45" s="28">
        <f t="shared" si="8"/>
        <v>0</v>
      </c>
      <c r="I45" s="48"/>
      <c r="J45" s="30"/>
      <c r="K45" s="27">
        <f t="shared" si="9"/>
        <v>5000</v>
      </c>
      <c r="L45" s="28">
        <f t="shared" si="10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 t="shared" si="7"/>
        <v>5000</v>
      </c>
      <c r="H46" s="28">
        <f t="shared" si="8"/>
        <v>0</v>
      </c>
      <c r="I46" s="48"/>
      <c r="J46" s="30"/>
      <c r="K46" s="27">
        <f t="shared" si="9"/>
        <v>5000</v>
      </c>
      <c r="L46" s="28">
        <f t="shared" si="10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63</v>
      </c>
      <c r="E47" s="25"/>
      <c r="F47" s="259">
        <v>0</v>
      </c>
      <c r="G47" s="27">
        <f t="shared" si="7"/>
        <v>5000</v>
      </c>
      <c r="H47" s="247">
        <f t="shared" si="8"/>
        <v>0</v>
      </c>
      <c r="I47" s="29"/>
      <c r="J47" s="269"/>
      <c r="K47" s="27">
        <f t="shared" si="9"/>
        <v>5000</v>
      </c>
      <c r="L47" s="247">
        <f t="shared" si="10"/>
        <v>0</v>
      </c>
      <c r="M47" s="29"/>
      <c r="N47" s="32">
        <f>L47-H47</f>
        <v>0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 t="shared" si="7"/>
        <v>5000</v>
      </c>
      <c r="H48" s="247">
        <f t="shared" si="8"/>
        <v>0</v>
      </c>
      <c r="I48" s="29"/>
      <c r="J48" s="30">
        <f>'GS&lt;50 (1,000kWh)'!$J48</f>
        <v>0.0021</v>
      </c>
      <c r="K48" s="27">
        <f t="shared" si="9"/>
        <v>5000</v>
      </c>
      <c r="L48" s="247">
        <f t="shared" si="10"/>
        <v>10.5</v>
      </c>
      <c r="M48" s="29"/>
      <c r="N48" s="32">
        <f>L48-H48</f>
        <v>10.5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'GS&lt;50 (1,000kWh)'!F49</f>
        <v>0.0024</v>
      </c>
      <c r="G49" s="27">
        <f t="shared" si="7"/>
        <v>5000</v>
      </c>
      <c r="H49" s="28">
        <f t="shared" si="8"/>
        <v>11.999999999999998</v>
      </c>
      <c r="I49" s="29"/>
      <c r="J49" s="30">
        <f>'GS&lt;50 (1,000kWh)'!J49</f>
        <v>0.0024</v>
      </c>
      <c r="K49" s="27">
        <f t="shared" si="9"/>
        <v>5000</v>
      </c>
      <c r="L49" s="28">
        <f t="shared" si="10"/>
        <v>11.999999999999998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247.5000000000009</v>
      </c>
      <c r="H50" s="184">
        <f t="shared" si="8"/>
        <v>25.279650000000096</v>
      </c>
      <c r="I50" s="58"/>
      <c r="J50" s="185">
        <f>0.64*$F$60+0.18*$F$61+0.18*$F$62</f>
        <v>0.10214000000000001</v>
      </c>
      <c r="K50" s="27">
        <f>$F$18*(1+$J$79)-$F$18</f>
        <v>247.5000000000009</v>
      </c>
      <c r="L50" s="184">
        <f t="shared" si="10"/>
        <v>25.279650000000096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8"/>
        <v>0.79</v>
      </c>
      <c r="I51" s="29"/>
      <c r="J51" s="178">
        <v>0.79</v>
      </c>
      <c r="K51" s="27">
        <v>1</v>
      </c>
      <c r="L51" s="28">
        <f t="shared" si="10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114.2596500000001</v>
      </c>
      <c r="I52" s="42"/>
      <c r="J52" s="54"/>
      <c r="K52" s="56"/>
      <c r="L52" s="55">
        <f>SUM(L42:L51)+L41</f>
        <v>170.75965000000008</v>
      </c>
      <c r="M52" s="42"/>
      <c r="N52" s="45">
        <f t="shared" si="2"/>
        <v>56.499999999999986</v>
      </c>
      <c r="O52" s="46">
        <f aca="true" t="shared" si="11" ref="O52:O70">IF((H52)=0,"",(N52/H52))</f>
        <v>0.4944877741179843</v>
      </c>
    </row>
    <row r="53" spans="2:15" ht="15">
      <c r="B53" s="29" t="s">
        <v>30</v>
      </c>
      <c r="C53" s="29"/>
      <c r="D53" s="57" t="s">
        <v>63</v>
      </c>
      <c r="E53" s="58"/>
      <c r="F53" s="30">
        <f>'GS&lt;50 (1,000kWh)'!F53</f>
        <v>0.0044</v>
      </c>
      <c r="G53" s="59">
        <f>F18*(1+F79)</f>
        <v>5247.500000000001</v>
      </c>
      <c r="H53" s="28">
        <f>G53*F53</f>
        <v>23.089000000000006</v>
      </c>
      <c r="I53" s="29"/>
      <c r="J53" s="30">
        <f>'GS&lt;50 (1,000kWh)'!J53</f>
        <v>0.0048</v>
      </c>
      <c r="K53" s="60">
        <f>F18*(1+J79)</f>
        <v>5247.500000000001</v>
      </c>
      <c r="L53" s="28">
        <f>K53*J53</f>
        <v>25.188000000000002</v>
      </c>
      <c r="M53" s="29"/>
      <c r="N53" s="32">
        <f t="shared" si="2"/>
        <v>2.0989999999999966</v>
      </c>
      <c r="O53" s="33">
        <f t="shared" si="11"/>
        <v>0.09090909090909075</v>
      </c>
    </row>
    <row r="54" spans="2:15" ht="15">
      <c r="B54" s="61" t="s">
        <v>31</v>
      </c>
      <c r="C54" s="29"/>
      <c r="D54" s="57" t="s">
        <v>63</v>
      </c>
      <c r="E54" s="58"/>
      <c r="F54" s="30">
        <f>'GS&lt;50 (1,000kWh)'!F54</f>
        <v>0.0017</v>
      </c>
      <c r="G54" s="59">
        <f>G53</f>
        <v>5247.500000000001</v>
      </c>
      <c r="H54" s="28">
        <f>G54*F54</f>
        <v>8.920750000000002</v>
      </c>
      <c r="I54" s="29"/>
      <c r="J54" s="30">
        <f>'GS&lt;50 (1,000kWh)'!J54</f>
        <v>0.0027</v>
      </c>
      <c r="K54" s="60">
        <f>K53</f>
        <v>5247.500000000001</v>
      </c>
      <c r="L54" s="28">
        <f>K54*J54</f>
        <v>14.168250000000004</v>
      </c>
      <c r="M54" s="29"/>
      <c r="N54" s="32">
        <f t="shared" si="2"/>
        <v>5.247500000000002</v>
      </c>
      <c r="O54" s="33">
        <f t="shared" si="11"/>
        <v>0.5882352941176472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146.2694000000001</v>
      </c>
      <c r="I55" s="63"/>
      <c r="J55" s="64"/>
      <c r="K55" s="65"/>
      <c r="L55" s="55">
        <f>SUM(L52:L54)</f>
        <v>210.11590000000007</v>
      </c>
      <c r="M55" s="63"/>
      <c r="N55" s="45">
        <f t="shared" si="2"/>
        <v>63.84649999999996</v>
      </c>
      <c r="O55" s="46">
        <f t="shared" si="11"/>
        <v>0.4364993635032339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5247.500000000001</v>
      </c>
      <c r="H56" s="68">
        <f aca="true" t="shared" si="12" ref="H56:H62">G56*F56</f>
        <v>23.089000000000006</v>
      </c>
      <c r="I56" s="29"/>
      <c r="J56" s="69">
        <v>0.0044</v>
      </c>
      <c r="K56" s="60">
        <f>K54</f>
        <v>5247.500000000001</v>
      </c>
      <c r="L56" s="68">
        <f aca="true" t="shared" si="13" ref="L56:L62">K56*J56</f>
        <v>23.089000000000006</v>
      </c>
      <c r="M56" s="29"/>
      <c r="N56" s="32">
        <f t="shared" si="2"/>
        <v>0</v>
      </c>
      <c r="O56" s="70">
        <f t="shared" si="11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5247.500000000001</v>
      </c>
      <c r="H57" s="68">
        <f t="shared" si="12"/>
        <v>6.821750000000001</v>
      </c>
      <c r="I57" s="29"/>
      <c r="J57" s="69">
        <v>0.0013</v>
      </c>
      <c r="K57" s="60">
        <f>K54</f>
        <v>5247.500000000001</v>
      </c>
      <c r="L57" s="68">
        <f t="shared" si="13"/>
        <v>6.821750000000001</v>
      </c>
      <c r="M57" s="29"/>
      <c r="N57" s="32">
        <f t="shared" si="2"/>
        <v>0</v>
      </c>
      <c r="O57" s="70">
        <f t="shared" si="11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2"/>
        <v>0.25</v>
      </c>
      <c r="I58" s="29"/>
      <c r="J58" s="177">
        <v>0.25</v>
      </c>
      <c r="K58" s="31">
        <v>1</v>
      </c>
      <c r="L58" s="68">
        <f t="shared" si="13"/>
        <v>0.25</v>
      </c>
      <c r="M58" s="29"/>
      <c r="N58" s="32">
        <f t="shared" si="2"/>
        <v>0</v>
      </c>
      <c r="O58" s="70">
        <f t="shared" si="11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5000</v>
      </c>
      <c r="H59" s="68">
        <f t="shared" si="12"/>
        <v>35</v>
      </c>
      <c r="I59" s="29"/>
      <c r="J59" s="69">
        <v>0.007</v>
      </c>
      <c r="K59" s="72">
        <f>F18</f>
        <v>5000</v>
      </c>
      <c r="L59" s="68">
        <f t="shared" si="13"/>
        <v>35</v>
      </c>
      <c r="M59" s="29"/>
      <c r="N59" s="32">
        <f t="shared" si="2"/>
        <v>0</v>
      </c>
      <c r="O59" s="70">
        <f t="shared" si="11"/>
        <v>0</v>
      </c>
    </row>
    <row r="60" spans="2:19" ht="15">
      <c r="B60" s="50" t="s">
        <v>37</v>
      </c>
      <c r="C60" s="23"/>
      <c r="D60" s="24" t="s">
        <v>63</v>
      </c>
      <c r="E60" s="25"/>
      <c r="F60" s="73">
        <f>'GS&lt;50 (1,000kWh)'!F60</f>
        <v>0.08</v>
      </c>
      <c r="G60" s="71">
        <f>0.64*$F$18</f>
        <v>3200</v>
      </c>
      <c r="H60" s="68">
        <f t="shared" si="12"/>
        <v>256</v>
      </c>
      <c r="I60" s="29"/>
      <c r="J60" s="67">
        <f aca="true" t="shared" si="14" ref="J60:K64">F60</f>
        <v>0.08</v>
      </c>
      <c r="K60" s="71">
        <f t="shared" si="14"/>
        <v>3200</v>
      </c>
      <c r="L60" s="68">
        <f t="shared" si="13"/>
        <v>256</v>
      </c>
      <c r="M60" s="29"/>
      <c r="N60" s="32">
        <f t="shared" si="2"/>
        <v>0</v>
      </c>
      <c r="O60" s="70">
        <f t="shared" si="11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'GS&lt;50 (1,000kWh)'!F61</f>
        <v>0.122</v>
      </c>
      <c r="G61" s="71">
        <f>0.18*$F$18</f>
        <v>900</v>
      </c>
      <c r="H61" s="68">
        <f t="shared" si="12"/>
        <v>109.8</v>
      </c>
      <c r="I61" s="29"/>
      <c r="J61" s="67">
        <f t="shared" si="14"/>
        <v>0.122</v>
      </c>
      <c r="K61" s="71">
        <f t="shared" si="14"/>
        <v>900</v>
      </c>
      <c r="L61" s="68">
        <f t="shared" si="13"/>
        <v>109.8</v>
      </c>
      <c r="M61" s="29"/>
      <c r="N61" s="32">
        <f t="shared" si="2"/>
        <v>0</v>
      </c>
      <c r="O61" s="70">
        <f t="shared" si="11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'GS&lt;50 (1,000kWh)'!F62</f>
        <v>0.161</v>
      </c>
      <c r="G62" s="71">
        <f>0.18*$F$18</f>
        <v>900</v>
      </c>
      <c r="H62" s="68">
        <f t="shared" si="12"/>
        <v>144.9</v>
      </c>
      <c r="I62" s="29"/>
      <c r="J62" s="67">
        <f t="shared" si="14"/>
        <v>0.161</v>
      </c>
      <c r="K62" s="71">
        <f t="shared" si="14"/>
        <v>900</v>
      </c>
      <c r="L62" s="68">
        <f t="shared" si="13"/>
        <v>144.9</v>
      </c>
      <c r="M62" s="29"/>
      <c r="N62" s="32">
        <f t="shared" si="2"/>
        <v>0</v>
      </c>
      <c r="O62" s="70">
        <f t="shared" si="11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'GS&lt;50 (1,000kWh)'!F63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 t="shared" si="14"/>
        <v>0.094</v>
      </c>
      <c r="K63" s="80">
        <f t="shared" si="14"/>
        <v>600</v>
      </c>
      <c r="L63" s="68">
        <f>K63*J63</f>
        <v>56.4</v>
      </c>
      <c r="M63" s="81"/>
      <c r="N63" s="82">
        <f t="shared" si="2"/>
        <v>0</v>
      </c>
      <c r="O63" s="70">
        <f t="shared" si="11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'GS&lt;50 (1,000kWh)'!F64</f>
        <v>0.11</v>
      </c>
      <c r="G64" s="80">
        <f>IF(AND($T$1=1,F18&gt;=600),F18-600,IF(AND($T$1=1,AND(F18&lt;600,F18&gt;=0)),0,IF(AND($T$1=2,F18&gt;=1000),F18-1000,IF(AND($T$1=2,AND(F18&lt;1000,F18&gt;=0)),0))))</f>
        <v>4400</v>
      </c>
      <c r="H64" s="68">
        <f>G64*F64</f>
        <v>484</v>
      </c>
      <c r="I64" s="81"/>
      <c r="J64" s="67">
        <f t="shared" si="14"/>
        <v>0.11</v>
      </c>
      <c r="K64" s="80">
        <f t="shared" si="14"/>
        <v>4400</v>
      </c>
      <c r="L64" s="68">
        <f>K64*J64</f>
        <v>484</v>
      </c>
      <c r="M64" s="81"/>
      <c r="N64" s="82">
        <f t="shared" si="2"/>
        <v>0</v>
      </c>
      <c r="O64" s="70">
        <f t="shared" si="11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722.1301500000002</v>
      </c>
      <c r="I66" s="97"/>
      <c r="J66" s="98"/>
      <c r="K66" s="98"/>
      <c r="L66" s="190">
        <f>SUM(L56:L62,L55)</f>
        <v>785.9766500000001</v>
      </c>
      <c r="M66" s="99"/>
      <c r="N66" s="100">
        <f>L66-H66</f>
        <v>63.84649999999988</v>
      </c>
      <c r="O66" s="101">
        <f>IF((H66)=0,"",(N66/H66))</f>
        <v>0.08841411759362196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93.87691950000003</v>
      </c>
      <c r="I67" s="106"/>
      <c r="J67" s="107">
        <v>0.13</v>
      </c>
      <c r="K67" s="106"/>
      <c r="L67" s="108">
        <f>L66*J67</f>
        <v>102.17696450000001</v>
      </c>
      <c r="M67" s="109"/>
      <c r="N67" s="110">
        <f t="shared" si="2"/>
        <v>8.300044999999983</v>
      </c>
      <c r="O67" s="111">
        <f t="shared" si="11"/>
        <v>0.08841411759362194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816.0070695000002</v>
      </c>
      <c r="I68" s="106"/>
      <c r="J68" s="106"/>
      <c r="K68" s="106"/>
      <c r="L68" s="108">
        <f>L66+L67</f>
        <v>888.1536145000001</v>
      </c>
      <c r="M68" s="109"/>
      <c r="N68" s="110">
        <f t="shared" si="2"/>
        <v>72.14654499999995</v>
      </c>
      <c r="O68" s="111">
        <f t="shared" si="11"/>
        <v>0.08841411759362207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-81.6</v>
      </c>
      <c r="I69" s="106"/>
      <c r="J69" s="106"/>
      <c r="K69" s="106"/>
      <c r="L69" s="261">
        <v>0</v>
      </c>
      <c r="M69" s="109"/>
      <c r="N69" s="262">
        <f t="shared" si="2"/>
        <v>81.6</v>
      </c>
      <c r="O69" s="117">
        <f t="shared" si="11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734.4070695000001</v>
      </c>
      <c r="I70" s="122"/>
      <c r="J70" s="122"/>
      <c r="K70" s="122"/>
      <c r="L70" s="123">
        <f>L68+L69</f>
        <v>888.1536145000001</v>
      </c>
      <c r="M70" s="124"/>
      <c r="N70" s="125">
        <f t="shared" si="2"/>
        <v>153.74654499999997</v>
      </c>
      <c r="O70" s="126">
        <f t="shared" si="11"/>
        <v>0.20934785541303935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751.8301500000001</v>
      </c>
      <c r="I72" s="138"/>
      <c r="J72" s="139"/>
      <c r="K72" s="139"/>
      <c r="L72" s="189">
        <f>SUM(L63:L64,L55,L56:L59)</f>
        <v>815.6766500000001</v>
      </c>
      <c r="M72" s="140"/>
      <c r="N72" s="141">
        <f>L72-H72</f>
        <v>63.84649999999999</v>
      </c>
      <c r="O72" s="101">
        <f>IF((H72)=0,"",(N72/H72))</f>
        <v>0.08492144136544667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97.73791950000002</v>
      </c>
      <c r="I73" s="145"/>
      <c r="J73" s="146">
        <v>0.13</v>
      </c>
      <c r="K73" s="147"/>
      <c r="L73" s="148">
        <f>L72*J73</f>
        <v>106.03796450000002</v>
      </c>
      <c r="M73" s="149"/>
      <c r="N73" s="150">
        <f>L73-H73</f>
        <v>8.300044999999997</v>
      </c>
      <c r="O73" s="111">
        <f>IF((H73)=0,"",(N73/H73))</f>
        <v>0.08492144136544666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849.5680695000001</v>
      </c>
      <c r="I74" s="145"/>
      <c r="J74" s="145"/>
      <c r="K74" s="145"/>
      <c r="L74" s="148">
        <f>L72+L73</f>
        <v>921.7146145000002</v>
      </c>
      <c r="M74" s="149"/>
      <c r="N74" s="150">
        <f>L74-H74</f>
        <v>72.14654500000006</v>
      </c>
      <c r="O74" s="111">
        <f>IF((H74)=0,"",(N74/H74))</f>
        <v>0.08492144136544677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-84.96</v>
      </c>
      <c r="I75" s="145"/>
      <c r="J75" s="145"/>
      <c r="K75" s="145"/>
      <c r="L75" s="255">
        <v>0</v>
      </c>
      <c r="M75" s="149"/>
      <c r="N75" s="256">
        <f>L75-H75</f>
        <v>84.96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764.6080695</v>
      </c>
      <c r="I76" s="159"/>
      <c r="J76" s="159"/>
      <c r="K76" s="159"/>
      <c r="L76" s="160">
        <f>SUM(L74:L75)</f>
        <v>921.7146145000002</v>
      </c>
      <c r="M76" s="161"/>
      <c r="N76" s="162">
        <f>L76-H76</f>
        <v>157.1065450000001</v>
      </c>
      <c r="O76" s="163">
        <f>IF((H76)=0,"",(N76/H76))</f>
        <v>0.20547330229294694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56:E62 E65 E23:E40 E42:E51">
      <formula1>'GS&lt;50 (5,000kWh)'!#REF!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'GS&lt;50 (5,000kWh)'!#REF!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6">
      <selection activeCell="L76" sqref="L76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0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0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11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90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'GS&lt;50 (1,000kWh)'!F23</f>
        <v>17.36</v>
      </c>
      <c r="G23" s="27">
        <v>1</v>
      </c>
      <c r="H23" s="28">
        <f>G23*F23</f>
        <v>17.36</v>
      </c>
      <c r="I23" s="29"/>
      <c r="J23" s="173">
        <f>'GS&lt;50 (1,000kWh)'!J23</f>
        <v>17.36</v>
      </c>
      <c r="K23" s="31">
        <v>1</v>
      </c>
      <c r="L23" s="28">
        <f>K23*J23</f>
        <v>17.36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'GS&lt;50 (1,000kWh)'!F24</f>
        <v>0</v>
      </c>
      <c r="G24" s="27">
        <v>1</v>
      </c>
      <c r="H24" s="247">
        <f>G24*F24</f>
        <v>0</v>
      </c>
      <c r="I24" s="29"/>
      <c r="J24" s="173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'GS&lt;50 (1,000kWh)'!J25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'GS&lt;50 (1,000kWh)'!F26</f>
        <v>4.33</v>
      </c>
      <c r="G26" s="27">
        <v>1</v>
      </c>
      <c r="H26" s="28">
        <f aca="true" t="shared" si="0" ref="H26:H40">G26*F26</f>
        <v>4.33</v>
      </c>
      <c r="I26" s="29"/>
      <c r="J26" s="30">
        <f>'GS&lt;50 (1,000kWh)'!J26</f>
        <v>4.33</v>
      </c>
      <c r="K26" s="31">
        <v>1</v>
      </c>
      <c r="L26" s="28">
        <f aca="true" t="shared" si="1" ref="L26:L40">K26*J26</f>
        <v>4.33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'GS&lt;50 (1,000kWh)'!F27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10000</v>
      </c>
      <c r="H28" s="28">
        <f t="shared" si="0"/>
        <v>0</v>
      </c>
      <c r="I28" s="29"/>
      <c r="J28" s="173"/>
      <c r="K28" s="27">
        <f>$F$18</f>
        <v>10000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'GS&lt;50 (1,000kWh)'!F29</f>
        <v>0</v>
      </c>
      <c r="G29" s="27">
        <f t="shared" si="4"/>
        <v>10000</v>
      </c>
      <c r="H29" s="28">
        <f t="shared" si="0"/>
        <v>0</v>
      </c>
      <c r="I29" s="29"/>
      <c r="J29" s="30">
        <f>'GS&lt;50 (1,000kWh)'!J29</f>
        <v>0</v>
      </c>
      <c r="K29" s="27">
        <f>$F$18</f>
        <v>10000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10000</v>
      </c>
      <c r="H30" s="247">
        <f t="shared" si="0"/>
        <v>0</v>
      </c>
      <c r="I30" s="29"/>
      <c r="J30" s="30">
        <v>0</v>
      </c>
      <c r="K30" s="27">
        <f>$F$18</f>
        <v>10000</v>
      </c>
      <c r="L30" s="247">
        <f t="shared" si="1"/>
        <v>0</v>
      </c>
      <c r="M30" s="29"/>
      <c r="N30" s="257">
        <f t="shared" si="2"/>
        <v>0</v>
      </c>
      <c r="O30" s="248">
        <f t="shared" si="3"/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0.018</v>
      </c>
      <c r="G31" s="27">
        <f t="shared" si="4"/>
        <v>10000</v>
      </c>
      <c r="H31" s="28">
        <f t="shared" si="0"/>
        <v>180</v>
      </c>
      <c r="I31" s="29"/>
      <c r="J31" s="30">
        <f>'GS&lt;50 (1,000kWh)'!J31</f>
        <v>0.018</v>
      </c>
      <c r="K31" s="27">
        <f>$F$18</f>
        <v>10000</v>
      </c>
      <c r="L31" s="28">
        <f t="shared" si="1"/>
        <v>180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10000</v>
      </c>
      <c r="H32" s="28">
        <f t="shared" si="0"/>
        <v>0</v>
      </c>
      <c r="I32" s="29"/>
      <c r="J32" s="30"/>
      <c r="K32" s="27">
        <f aca="true" t="shared" si="5" ref="K32:K40">$F$18</f>
        <v>10000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 t="shared" si="4"/>
        <v>10000</v>
      </c>
      <c r="H33" s="247">
        <f t="shared" si="0"/>
        <v>0</v>
      </c>
      <c r="I33" s="29"/>
      <c r="J33" s="30">
        <f>'GS&lt;50 (1,000kWh)'!$J33</f>
        <v>0</v>
      </c>
      <c r="K33" s="27">
        <f t="shared" si="5"/>
        <v>10000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10000</v>
      </c>
      <c r="H34" s="28">
        <f t="shared" si="0"/>
        <v>0</v>
      </c>
      <c r="I34" s="29"/>
      <c r="J34" s="30"/>
      <c r="K34" s="27">
        <f t="shared" si="5"/>
        <v>10000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10000</v>
      </c>
      <c r="H35" s="28">
        <f t="shared" si="0"/>
        <v>0</v>
      </c>
      <c r="I35" s="29"/>
      <c r="J35" s="30"/>
      <c r="K35" s="27">
        <f t="shared" si="5"/>
        <v>10000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10000</v>
      </c>
      <c r="H36" s="28">
        <f t="shared" si="0"/>
        <v>0</v>
      </c>
      <c r="I36" s="29"/>
      <c r="J36" s="30"/>
      <c r="K36" s="27">
        <f t="shared" si="5"/>
        <v>10000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10000</v>
      </c>
      <c r="H37" s="28">
        <f t="shared" si="0"/>
        <v>0</v>
      </c>
      <c r="I37" s="29"/>
      <c r="J37" s="30"/>
      <c r="K37" s="27">
        <f t="shared" si="5"/>
        <v>10000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10000</v>
      </c>
      <c r="H38" s="28">
        <f t="shared" si="0"/>
        <v>0</v>
      </c>
      <c r="I38" s="29"/>
      <c r="J38" s="30"/>
      <c r="K38" s="27">
        <f t="shared" si="5"/>
        <v>10000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10000</v>
      </c>
      <c r="H39" s="28">
        <f t="shared" si="0"/>
        <v>0</v>
      </c>
      <c r="I39" s="29"/>
      <c r="J39" s="30"/>
      <c r="K39" s="27">
        <f t="shared" si="5"/>
        <v>10000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10000</v>
      </c>
      <c r="H40" s="28">
        <f t="shared" si="0"/>
        <v>0</v>
      </c>
      <c r="I40" s="29"/>
      <c r="J40" s="30"/>
      <c r="K40" s="27">
        <f t="shared" si="5"/>
        <v>10000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201.69</v>
      </c>
      <c r="I41" s="42"/>
      <c r="J41" s="43"/>
      <c r="K41" s="44"/>
      <c r="L41" s="41">
        <f>SUM(L23:L40)</f>
        <v>201.69</v>
      </c>
      <c r="M41" s="42"/>
      <c r="N41" s="45">
        <f t="shared" si="2"/>
        <v>0</v>
      </c>
      <c r="O41" s="46">
        <f t="shared" si="3"/>
        <v>0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0">
        <f>'GS&lt;50 (1,000kWh)'!F43</f>
        <v>-0.0071</v>
      </c>
      <c r="G43" s="27">
        <f aca="true" t="shared" si="7" ref="G43:G49">$F$18</f>
        <v>10000</v>
      </c>
      <c r="H43" s="28">
        <f aca="true" t="shared" si="8" ref="H43:H51">G43*F43</f>
        <v>-71</v>
      </c>
      <c r="I43" s="29"/>
      <c r="J43" s="252">
        <f>'GS&lt;50 (1,000kWh)'!J43</f>
        <v>0.0021</v>
      </c>
      <c r="K43" s="27">
        <f aca="true" t="shared" si="9" ref="K43:K49">$F$18</f>
        <v>10000</v>
      </c>
      <c r="L43" s="28">
        <f aca="true" t="shared" si="10" ref="L43:L51">K43*J43</f>
        <v>21</v>
      </c>
      <c r="M43" s="29"/>
      <c r="N43" s="32">
        <f t="shared" si="2"/>
        <v>92</v>
      </c>
      <c r="O43" s="33">
        <f t="shared" si="3"/>
        <v>-1.295774647887324</v>
      </c>
    </row>
    <row r="44" spans="2:15" ht="15" hidden="1">
      <c r="B44" s="47"/>
      <c r="C44" s="23"/>
      <c r="D44" s="24" t="s">
        <v>63</v>
      </c>
      <c r="E44" s="25"/>
      <c r="F44" s="26"/>
      <c r="G44" s="27">
        <f t="shared" si="7"/>
        <v>10000</v>
      </c>
      <c r="H44" s="28">
        <f t="shared" si="8"/>
        <v>0</v>
      </c>
      <c r="I44" s="48"/>
      <c r="J44" s="30"/>
      <c r="K44" s="27">
        <f t="shared" si="9"/>
        <v>10000</v>
      </c>
      <c r="L44" s="28">
        <f t="shared" si="10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 t="shared" si="7"/>
        <v>10000</v>
      </c>
      <c r="H45" s="28">
        <f t="shared" si="8"/>
        <v>0</v>
      </c>
      <c r="I45" s="48"/>
      <c r="J45" s="30"/>
      <c r="K45" s="27">
        <f t="shared" si="9"/>
        <v>10000</v>
      </c>
      <c r="L45" s="28">
        <f t="shared" si="10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 t="shared" si="7"/>
        <v>10000</v>
      </c>
      <c r="H46" s="28">
        <f t="shared" si="8"/>
        <v>0</v>
      </c>
      <c r="I46" s="48"/>
      <c r="J46" s="30"/>
      <c r="K46" s="27">
        <f t="shared" si="9"/>
        <v>10000</v>
      </c>
      <c r="L46" s="28">
        <f t="shared" si="10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63</v>
      </c>
      <c r="E47" s="25"/>
      <c r="F47" s="259">
        <v>0</v>
      </c>
      <c r="G47" s="27">
        <f t="shared" si="7"/>
        <v>10000</v>
      </c>
      <c r="H47" s="247">
        <f t="shared" si="8"/>
        <v>0</v>
      </c>
      <c r="I47" s="29"/>
      <c r="J47" s="269"/>
      <c r="K47" s="27">
        <f t="shared" si="9"/>
        <v>10000</v>
      </c>
      <c r="L47" s="247">
        <f t="shared" si="10"/>
        <v>0</v>
      </c>
      <c r="M47" s="29"/>
      <c r="N47" s="32">
        <f>L47-H47</f>
        <v>0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 t="shared" si="7"/>
        <v>10000</v>
      </c>
      <c r="H48" s="247">
        <f t="shared" si="8"/>
        <v>0</v>
      </c>
      <c r="I48" s="29"/>
      <c r="J48" s="30">
        <f>'GS&lt;50 (1,000kWh)'!$J48</f>
        <v>0.0021</v>
      </c>
      <c r="K48" s="27">
        <f t="shared" si="9"/>
        <v>10000</v>
      </c>
      <c r="L48" s="247">
        <f t="shared" si="10"/>
        <v>21</v>
      </c>
      <c r="M48" s="29"/>
      <c r="N48" s="32">
        <f>L48-H48</f>
        <v>21</v>
      </c>
      <c r="O48" s="248">
        <f t="shared" si="3"/>
      </c>
    </row>
    <row r="49" spans="2:15" ht="15">
      <c r="B49" s="50" t="s">
        <v>26</v>
      </c>
      <c r="C49" s="23"/>
      <c r="D49" s="24" t="s">
        <v>63</v>
      </c>
      <c r="E49" s="25"/>
      <c r="F49" s="26">
        <f>'GS&lt;50 (1,000kWh)'!F49</f>
        <v>0.0024</v>
      </c>
      <c r="G49" s="27">
        <f t="shared" si="7"/>
        <v>10000</v>
      </c>
      <c r="H49" s="28">
        <f t="shared" si="8"/>
        <v>23.999999999999996</v>
      </c>
      <c r="I49" s="29"/>
      <c r="J49" s="30">
        <f>'GS&lt;50 (1,000kWh)'!J49</f>
        <v>0.0024</v>
      </c>
      <c r="K49" s="27">
        <f t="shared" si="9"/>
        <v>10000</v>
      </c>
      <c r="L49" s="28">
        <f t="shared" si="10"/>
        <v>23.999999999999996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495.0000000000018</v>
      </c>
      <c r="H50" s="184">
        <f t="shared" si="8"/>
        <v>50.55930000000019</v>
      </c>
      <c r="I50" s="58"/>
      <c r="J50" s="185">
        <f>0.64*$F$60+0.18*$F$61+0.18*$F$62</f>
        <v>0.10214000000000001</v>
      </c>
      <c r="K50" s="27">
        <f>$F$18*(1+$J$79)-$F$18</f>
        <v>495.0000000000018</v>
      </c>
      <c r="L50" s="184">
        <f t="shared" si="10"/>
        <v>50.55930000000019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8"/>
        <v>0.79</v>
      </c>
      <c r="I51" s="29"/>
      <c r="J51" s="178">
        <v>0.79</v>
      </c>
      <c r="K51" s="27">
        <v>1</v>
      </c>
      <c r="L51" s="28">
        <f t="shared" si="10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206.0393000000002</v>
      </c>
      <c r="I52" s="42"/>
      <c r="J52" s="54"/>
      <c r="K52" s="56"/>
      <c r="L52" s="55">
        <f>SUM(L42:L51)+L41</f>
        <v>319.0393000000002</v>
      </c>
      <c r="M52" s="42"/>
      <c r="N52" s="45">
        <f t="shared" si="2"/>
        <v>113</v>
      </c>
      <c r="O52" s="46">
        <f aca="true" t="shared" si="11" ref="O52:O70">IF((H52)=0,"",(N52/H52))</f>
        <v>0.5484390599269163</v>
      </c>
    </row>
    <row r="53" spans="2:15" ht="15">
      <c r="B53" s="29" t="s">
        <v>30</v>
      </c>
      <c r="C53" s="29"/>
      <c r="D53" s="57" t="s">
        <v>63</v>
      </c>
      <c r="E53" s="58"/>
      <c r="F53" s="30">
        <f>'GS&lt;50 (1,000kWh)'!F53</f>
        <v>0.0044</v>
      </c>
      <c r="G53" s="59">
        <f>F18*(1+F79)</f>
        <v>10495.000000000002</v>
      </c>
      <c r="H53" s="28">
        <f>G53*F53</f>
        <v>46.17800000000001</v>
      </c>
      <c r="I53" s="29"/>
      <c r="J53" s="30">
        <f>'GS&lt;50 (1,000kWh)'!J53</f>
        <v>0.0048</v>
      </c>
      <c r="K53" s="60">
        <f>F18*(1+J79)</f>
        <v>10495.000000000002</v>
      </c>
      <c r="L53" s="28">
        <f>K53*J53</f>
        <v>50.376000000000005</v>
      </c>
      <c r="M53" s="29"/>
      <c r="N53" s="32">
        <f t="shared" si="2"/>
        <v>4.197999999999993</v>
      </c>
      <c r="O53" s="33">
        <f t="shared" si="11"/>
        <v>0.09090909090909075</v>
      </c>
    </row>
    <row r="54" spans="2:15" ht="15">
      <c r="B54" s="61" t="s">
        <v>31</v>
      </c>
      <c r="C54" s="29"/>
      <c r="D54" s="57" t="s">
        <v>63</v>
      </c>
      <c r="E54" s="58"/>
      <c r="F54" s="30">
        <f>'GS&lt;50 (1,000kWh)'!F54</f>
        <v>0.0017</v>
      </c>
      <c r="G54" s="59">
        <f>G53</f>
        <v>10495.000000000002</v>
      </c>
      <c r="H54" s="28">
        <f>G54*F54</f>
        <v>17.841500000000003</v>
      </c>
      <c r="I54" s="29"/>
      <c r="J54" s="30">
        <f>'GS&lt;50 (1,000kWh)'!J54</f>
        <v>0.0027</v>
      </c>
      <c r="K54" s="60">
        <f>K53</f>
        <v>10495.000000000002</v>
      </c>
      <c r="L54" s="28">
        <f>K54*J54</f>
        <v>28.336500000000008</v>
      </c>
      <c r="M54" s="29"/>
      <c r="N54" s="32">
        <f t="shared" si="2"/>
        <v>10.495000000000005</v>
      </c>
      <c r="O54" s="33">
        <f t="shared" si="11"/>
        <v>0.5882352941176472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270.0588000000002</v>
      </c>
      <c r="I55" s="63"/>
      <c r="J55" s="64"/>
      <c r="K55" s="65"/>
      <c r="L55" s="55">
        <f>SUM(L52:L54)</f>
        <v>397.75180000000023</v>
      </c>
      <c r="M55" s="63"/>
      <c r="N55" s="45">
        <f t="shared" si="2"/>
        <v>127.69300000000004</v>
      </c>
      <c r="O55" s="46">
        <f t="shared" si="11"/>
        <v>0.4728340642852592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10495.000000000002</v>
      </c>
      <c r="H56" s="68">
        <f aca="true" t="shared" si="12" ref="H56:H62">G56*F56</f>
        <v>46.17800000000001</v>
      </c>
      <c r="I56" s="29"/>
      <c r="J56" s="69">
        <v>0.0044</v>
      </c>
      <c r="K56" s="60">
        <f>K54</f>
        <v>10495.000000000002</v>
      </c>
      <c r="L56" s="68">
        <f aca="true" t="shared" si="13" ref="L56:L62">K56*J56</f>
        <v>46.17800000000001</v>
      </c>
      <c r="M56" s="29"/>
      <c r="N56" s="32">
        <f t="shared" si="2"/>
        <v>0</v>
      </c>
      <c r="O56" s="70">
        <f t="shared" si="11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10495.000000000002</v>
      </c>
      <c r="H57" s="68">
        <f t="shared" si="12"/>
        <v>13.643500000000001</v>
      </c>
      <c r="I57" s="29"/>
      <c r="J57" s="69">
        <v>0.0013</v>
      </c>
      <c r="K57" s="60">
        <f>K54</f>
        <v>10495.000000000002</v>
      </c>
      <c r="L57" s="68">
        <f t="shared" si="13"/>
        <v>13.643500000000001</v>
      </c>
      <c r="M57" s="29"/>
      <c r="N57" s="32">
        <f t="shared" si="2"/>
        <v>0</v>
      </c>
      <c r="O57" s="70">
        <f t="shared" si="11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2"/>
        <v>0.25</v>
      </c>
      <c r="I58" s="29"/>
      <c r="J58" s="177">
        <v>0.25</v>
      </c>
      <c r="K58" s="31">
        <v>1</v>
      </c>
      <c r="L58" s="68">
        <f t="shared" si="13"/>
        <v>0.25</v>
      </c>
      <c r="M58" s="29"/>
      <c r="N58" s="32">
        <f t="shared" si="2"/>
        <v>0</v>
      </c>
      <c r="O58" s="70">
        <f t="shared" si="11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10000</v>
      </c>
      <c r="H59" s="68">
        <f t="shared" si="12"/>
        <v>70</v>
      </c>
      <c r="I59" s="29"/>
      <c r="J59" s="69">
        <v>0.007</v>
      </c>
      <c r="K59" s="72">
        <f>F18</f>
        <v>10000</v>
      </c>
      <c r="L59" s="68">
        <f t="shared" si="13"/>
        <v>70</v>
      </c>
      <c r="M59" s="29"/>
      <c r="N59" s="32">
        <f t="shared" si="2"/>
        <v>0</v>
      </c>
      <c r="O59" s="70">
        <f t="shared" si="11"/>
        <v>0</v>
      </c>
    </row>
    <row r="60" spans="2:19" ht="15">
      <c r="B60" s="50" t="s">
        <v>37</v>
      </c>
      <c r="C60" s="23"/>
      <c r="D60" s="24" t="s">
        <v>63</v>
      </c>
      <c r="E60" s="25"/>
      <c r="F60" s="73">
        <f>'GS&lt;50 (1,000kWh)'!F60</f>
        <v>0.08</v>
      </c>
      <c r="G60" s="71">
        <f>0.64*$F$18</f>
        <v>6400</v>
      </c>
      <c r="H60" s="68">
        <f t="shared" si="12"/>
        <v>512</v>
      </c>
      <c r="I60" s="29"/>
      <c r="J60" s="67">
        <f aca="true" t="shared" si="14" ref="J60:K64">F60</f>
        <v>0.08</v>
      </c>
      <c r="K60" s="71">
        <f t="shared" si="14"/>
        <v>6400</v>
      </c>
      <c r="L60" s="68">
        <f t="shared" si="13"/>
        <v>512</v>
      </c>
      <c r="M60" s="29"/>
      <c r="N60" s="32">
        <f t="shared" si="2"/>
        <v>0</v>
      </c>
      <c r="O60" s="70">
        <f t="shared" si="11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'GS&lt;50 (1,000kWh)'!F61</f>
        <v>0.122</v>
      </c>
      <c r="G61" s="71">
        <f>0.18*$F$18</f>
        <v>1800</v>
      </c>
      <c r="H61" s="68">
        <f t="shared" si="12"/>
        <v>219.6</v>
      </c>
      <c r="I61" s="29"/>
      <c r="J61" s="67">
        <f t="shared" si="14"/>
        <v>0.122</v>
      </c>
      <c r="K61" s="71">
        <f t="shared" si="14"/>
        <v>1800</v>
      </c>
      <c r="L61" s="68">
        <f t="shared" si="13"/>
        <v>219.6</v>
      </c>
      <c r="M61" s="29"/>
      <c r="N61" s="32">
        <f t="shared" si="2"/>
        <v>0</v>
      </c>
      <c r="O61" s="70">
        <f t="shared" si="11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'GS&lt;50 (1,000kWh)'!F62</f>
        <v>0.161</v>
      </c>
      <c r="G62" s="71">
        <f>0.18*$F$18</f>
        <v>1800</v>
      </c>
      <c r="H62" s="68">
        <f t="shared" si="12"/>
        <v>289.8</v>
      </c>
      <c r="I62" s="29"/>
      <c r="J62" s="67">
        <f t="shared" si="14"/>
        <v>0.161</v>
      </c>
      <c r="K62" s="71">
        <f t="shared" si="14"/>
        <v>1800</v>
      </c>
      <c r="L62" s="68">
        <f t="shared" si="13"/>
        <v>289.8</v>
      </c>
      <c r="M62" s="29"/>
      <c r="N62" s="32">
        <f t="shared" si="2"/>
        <v>0</v>
      </c>
      <c r="O62" s="70">
        <f t="shared" si="11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'GS&lt;50 (1,000kWh)'!F63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 t="shared" si="14"/>
        <v>0.094</v>
      </c>
      <c r="K63" s="80">
        <f t="shared" si="14"/>
        <v>600</v>
      </c>
      <c r="L63" s="68">
        <f>K63*J63</f>
        <v>56.4</v>
      </c>
      <c r="M63" s="81"/>
      <c r="N63" s="82">
        <f t="shared" si="2"/>
        <v>0</v>
      </c>
      <c r="O63" s="70">
        <f t="shared" si="11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'GS&lt;50 (1,000kWh)'!F64</f>
        <v>0.11</v>
      </c>
      <c r="G64" s="80">
        <f>IF(AND($T$1=1,F18&gt;=600),F18-600,IF(AND($T$1=1,AND(F18&lt;600,F18&gt;=0)),0,IF(AND($T$1=2,F18&gt;=1000),F18-1000,IF(AND($T$1=2,AND(F18&lt;1000,F18&gt;=0)),0))))</f>
        <v>9400</v>
      </c>
      <c r="H64" s="68">
        <f>G64*F64</f>
        <v>1034</v>
      </c>
      <c r="I64" s="81"/>
      <c r="J64" s="67">
        <f t="shared" si="14"/>
        <v>0.11</v>
      </c>
      <c r="K64" s="80">
        <f t="shared" si="14"/>
        <v>9400</v>
      </c>
      <c r="L64" s="68">
        <f>K64*J64</f>
        <v>1034</v>
      </c>
      <c r="M64" s="81"/>
      <c r="N64" s="82">
        <f t="shared" si="2"/>
        <v>0</v>
      </c>
      <c r="O64" s="70">
        <f t="shared" si="11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1421.5303000000004</v>
      </c>
      <c r="I66" s="97"/>
      <c r="J66" s="98"/>
      <c r="K66" s="98"/>
      <c r="L66" s="190">
        <f>SUM(L56:L62,L55)</f>
        <v>1549.2233000000003</v>
      </c>
      <c r="M66" s="99"/>
      <c r="N66" s="100">
        <f>L66-H66</f>
        <v>127.69299999999998</v>
      </c>
      <c r="O66" s="101">
        <f>IF((H66)=0,"",(N66/H66))</f>
        <v>0.08982784257219135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184.79893900000005</v>
      </c>
      <c r="I67" s="106"/>
      <c r="J67" s="107">
        <v>0.13</v>
      </c>
      <c r="K67" s="106"/>
      <c r="L67" s="108">
        <f>L66*J67</f>
        <v>201.39902900000004</v>
      </c>
      <c r="M67" s="109"/>
      <c r="N67" s="110">
        <f t="shared" si="2"/>
        <v>16.600089999999994</v>
      </c>
      <c r="O67" s="111">
        <f t="shared" si="11"/>
        <v>0.08982784257219134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1606.3292390000004</v>
      </c>
      <c r="I68" s="106"/>
      <c r="J68" s="106"/>
      <c r="K68" s="106"/>
      <c r="L68" s="108">
        <f>L66+L67</f>
        <v>1750.6223290000003</v>
      </c>
      <c r="M68" s="109"/>
      <c r="N68" s="110">
        <f t="shared" si="2"/>
        <v>144.2930899999999</v>
      </c>
      <c r="O68" s="111">
        <f t="shared" si="11"/>
        <v>0.0898278425721913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-160.63</v>
      </c>
      <c r="I69" s="106"/>
      <c r="J69" s="106"/>
      <c r="K69" s="106"/>
      <c r="L69" s="261">
        <v>0</v>
      </c>
      <c r="M69" s="109"/>
      <c r="N69" s="262">
        <f t="shared" si="2"/>
        <v>160.63</v>
      </c>
      <c r="O69" s="117">
        <f t="shared" si="11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1445.6992390000005</v>
      </c>
      <c r="I70" s="122"/>
      <c r="J70" s="122"/>
      <c r="K70" s="122"/>
      <c r="L70" s="123">
        <f>L68+L69</f>
        <v>1750.6223290000003</v>
      </c>
      <c r="M70" s="124"/>
      <c r="N70" s="125">
        <f t="shared" si="2"/>
        <v>304.9230899999998</v>
      </c>
      <c r="O70" s="126">
        <f t="shared" si="11"/>
        <v>0.21091737601723928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1490.5303000000004</v>
      </c>
      <c r="I72" s="138"/>
      <c r="J72" s="139"/>
      <c r="K72" s="139"/>
      <c r="L72" s="189">
        <f>SUM(L63:L64,L55,L56:L59)</f>
        <v>1618.2233000000003</v>
      </c>
      <c r="M72" s="140"/>
      <c r="N72" s="141">
        <f>L72-H72</f>
        <v>127.69299999999998</v>
      </c>
      <c r="O72" s="101">
        <f>IF((H72)=0,"",(N72/H72))</f>
        <v>0.08566950970402946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193.76893900000005</v>
      </c>
      <c r="I73" s="145"/>
      <c r="J73" s="146">
        <v>0.13</v>
      </c>
      <c r="K73" s="147"/>
      <c r="L73" s="148">
        <f>L72*J73</f>
        <v>210.36902900000004</v>
      </c>
      <c r="M73" s="149"/>
      <c r="N73" s="150">
        <f>L73-H73</f>
        <v>16.600089999999994</v>
      </c>
      <c r="O73" s="111">
        <f>IF((H73)=0,"",(N73/H73))</f>
        <v>0.08566950970402945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1684.2992390000004</v>
      </c>
      <c r="I74" s="145"/>
      <c r="J74" s="145"/>
      <c r="K74" s="145"/>
      <c r="L74" s="148">
        <f>L72+L73</f>
        <v>1828.5923290000003</v>
      </c>
      <c r="M74" s="149"/>
      <c r="N74" s="150">
        <f>L74-H74</f>
        <v>144.2930899999999</v>
      </c>
      <c r="O74" s="111">
        <f>IF((H74)=0,"",(N74/H74))</f>
        <v>0.08566950970402941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-168.43</v>
      </c>
      <c r="I75" s="145"/>
      <c r="J75" s="145"/>
      <c r="K75" s="145"/>
      <c r="L75" s="255">
        <v>0</v>
      </c>
      <c r="M75" s="149"/>
      <c r="N75" s="256">
        <f>L75-H75</f>
        <v>168.43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1515.8692390000003</v>
      </c>
      <c r="I76" s="159"/>
      <c r="J76" s="159"/>
      <c r="K76" s="159"/>
      <c r="L76" s="160">
        <f>SUM(L74:L75)</f>
        <v>1828.5923290000003</v>
      </c>
      <c r="M76" s="161"/>
      <c r="N76" s="162">
        <f>L76-H76</f>
        <v>312.72308999999996</v>
      </c>
      <c r="O76" s="163">
        <f>IF((H76)=0,"",(N76/H76))</f>
        <v>0.20629951578560918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7 E71 E63:E64">
      <formula1>'GS&lt;50 (10,000kWh)'!#REF!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53:E54 E56:E62 E65 E23:E40 E42:E51">
      <formula1>'GS&lt;50 (10,000kWh)'!#REF!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B56">
      <selection activeCell="B70" sqref="B70:D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0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12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91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 s="197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'GS&lt;50 (1,000kWh)'!F23</f>
        <v>17.36</v>
      </c>
      <c r="G23" s="27">
        <v>1</v>
      </c>
      <c r="H23" s="28">
        <f>G23*F23</f>
        <v>17.36</v>
      </c>
      <c r="I23" s="29"/>
      <c r="J23" s="173">
        <f>'GS&lt;50 (1,000kWh)'!J23</f>
        <v>17.36</v>
      </c>
      <c r="K23" s="31">
        <v>1</v>
      </c>
      <c r="L23" s="28">
        <f>K23*J23</f>
        <v>17.36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'GS&lt;50 (1,000kWh)'!F24</f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'GS&lt;50 (1,000kWh)'!J25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70">L26-H26</f>
        <v>0</v>
      </c>
      <c r="O26" s="33">
        <f aca="true" t="shared" si="3" ref="O26:O50">IF((H26)=0,"",(N26/H26))</f>
      </c>
    </row>
    <row r="27" spans="2:15" ht="15">
      <c r="B27" s="175" t="s">
        <v>65</v>
      </c>
      <c r="C27" s="23"/>
      <c r="D27" s="24" t="s">
        <v>62</v>
      </c>
      <c r="E27" s="25"/>
      <c r="F27" s="26">
        <f>'GS&lt;50 (1,000kWh)'!F27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15000</v>
      </c>
      <c r="H28" s="28">
        <f t="shared" si="0"/>
        <v>0</v>
      </c>
      <c r="I28" s="29"/>
      <c r="J28" s="173"/>
      <c r="K28" s="27">
        <f>$F$18</f>
        <v>15000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'GS&lt;50 (1,000kWh)'!F29</f>
        <v>0</v>
      </c>
      <c r="G29" s="27">
        <f t="shared" si="4"/>
        <v>15000</v>
      </c>
      <c r="H29" s="28">
        <f t="shared" si="0"/>
        <v>0</v>
      </c>
      <c r="I29" s="29"/>
      <c r="J29" s="30">
        <f>'GS&lt;50 (1,000kWh)'!J29</f>
        <v>0</v>
      </c>
      <c r="K29" s="27">
        <f>$F$18</f>
        <v>15000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15000</v>
      </c>
      <c r="H30" s="247">
        <f>G30*F30</f>
        <v>0</v>
      </c>
      <c r="I30" s="29"/>
      <c r="J30" s="30">
        <f>'GS&lt;50 (1,000kWh)'!J30</f>
        <v>0</v>
      </c>
      <c r="K30" s="27">
        <f>$F$18</f>
        <v>15000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0.018</v>
      </c>
      <c r="G31" s="27">
        <f t="shared" si="4"/>
        <v>15000</v>
      </c>
      <c r="H31" s="28">
        <f t="shared" si="0"/>
        <v>270</v>
      </c>
      <c r="I31" s="29"/>
      <c r="J31" s="30">
        <f>'GS&lt;50 (1,000kWh)'!J31</f>
        <v>0.018</v>
      </c>
      <c r="K31" s="27">
        <f>$F$18</f>
        <v>15000</v>
      </c>
      <c r="L31" s="28">
        <f t="shared" si="1"/>
        <v>270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15000</v>
      </c>
      <c r="H32" s="28">
        <f t="shared" si="0"/>
        <v>0</v>
      </c>
      <c r="I32" s="29"/>
      <c r="J32" s="30"/>
      <c r="K32" s="27">
        <f aca="true" t="shared" si="5" ref="K32:K40">$F$18</f>
        <v>15000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 t="shared" si="4"/>
        <v>15000</v>
      </c>
      <c r="H33" s="247">
        <f t="shared" si="0"/>
        <v>0</v>
      </c>
      <c r="I33" s="29"/>
      <c r="J33" s="30">
        <f>'GS&lt;50 (1,000kWh)'!$J33</f>
        <v>0</v>
      </c>
      <c r="K33" s="27">
        <f t="shared" si="5"/>
        <v>15000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15000</v>
      </c>
      <c r="H34" s="28">
        <f t="shared" si="0"/>
        <v>0</v>
      </c>
      <c r="I34" s="29"/>
      <c r="J34" s="30"/>
      <c r="K34" s="27">
        <f t="shared" si="5"/>
        <v>15000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15000</v>
      </c>
      <c r="H35" s="28">
        <f t="shared" si="0"/>
        <v>0</v>
      </c>
      <c r="I35" s="29"/>
      <c r="J35" s="30"/>
      <c r="K35" s="27">
        <f t="shared" si="5"/>
        <v>15000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15000</v>
      </c>
      <c r="H36" s="28">
        <f t="shared" si="0"/>
        <v>0</v>
      </c>
      <c r="I36" s="29"/>
      <c r="J36" s="30"/>
      <c r="K36" s="27">
        <f t="shared" si="5"/>
        <v>15000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15000</v>
      </c>
      <c r="H37" s="28">
        <f t="shared" si="0"/>
        <v>0</v>
      </c>
      <c r="I37" s="29"/>
      <c r="J37" s="30"/>
      <c r="K37" s="27">
        <f t="shared" si="5"/>
        <v>15000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15000</v>
      </c>
      <c r="H38" s="28">
        <f t="shared" si="0"/>
        <v>0</v>
      </c>
      <c r="I38" s="29"/>
      <c r="J38" s="30"/>
      <c r="K38" s="27">
        <f t="shared" si="5"/>
        <v>15000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15000</v>
      </c>
      <c r="H39" s="28">
        <f t="shared" si="0"/>
        <v>0</v>
      </c>
      <c r="I39" s="29"/>
      <c r="J39" s="30"/>
      <c r="K39" s="27">
        <f t="shared" si="5"/>
        <v>15000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15000</v>
      </c>
      <c r="H40" s="28">
        <f t="shared" si="0"/>
        <v>0</v>
      </c>
      <c r="I40" s="29"/>
      <c r="J40" s="30"/>
      <c r="K40" s="27">
        <f t="shared" si="5"/>
        <v>15000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287.36</v>
      </c>
      <c r="I41" s="42"/>
      <c r="J41" s="43"/>
      <c r="K41" s="44"/>
      <c r="L41" s="41">
        <f>SUM(L23:L40)</f>
        <v>287.36</v>
      </c>
      <c r="M41" s="42"/>
      <c r="N41" s="45">
        <f t="shared" si="2"/>
        <v>0</v>
      </c>
      <c r="O41" s="46">
        <f t="shared" si="3"/>
        <v>0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1">
        <f>'GS&lt;50 (1,000kWh)'!F43</f>
        <v>-0.0071</v>
      </c>
      <c r="G43" s="27">
        <f aca="true" t="shared" si="7" ref="G43:G49">$F$18</f>
        <v>15000</v>
      </c>
      <c r="H43" s="28">
        <f aca="true" t="shared" si="8" ref="H43:H51">G43*F43</f>
        <v>-106.5</v>
      </c>
      <c r="I43" s="29"/>
      <c r="J43" s="249">
        <f>'GS&lt;50 (1,000kWh)'!J43</f>
        <v>0.0021</v>
      </c>
      <c r="K43" s="27">
        <f aca="true" t="shared" si="9" ref="K43:K49">$F$18</f>
        <v>15000</v>
      </c>
      <c r="L43" s="28">
        <f aca="true" t="shared" si="10" ref="L43:L51">K43*J43</f>
        <v>31.499999999999996</v>
      </c>
      <c r="M43" s="29"/>
      <c r="N43" s="32">
        <f t="shared" si="2"/>
        <v>138</v>
      </c>
      <c r="O43" s="33">
        <f t="shared" si="3"/>
        <v>-1.295774647887324</v>
      </c>
    </row>
    <row r="44" spans="2:15" ht="15" hidden="1">
      <c r="B44" s="47"/>
      <c r="C44" s="23"/>
      <c r="D44" s="24" t="s">
        <v>63</v>
      </c>
      <c r="E44" s="25"/>
      <c r="F44" s="26"/>
      <c r="G44" s="27">
        <f t="shared" si="7"/>
        <v>15000</v>
      </c>
      <c r="H44" s="28">
        <f t="shared" si="8"/>
        <v>0</v>
      </c>
      <c r="I44" s="48"/>
      <c r="J44" s="30"/>
      <c r="K44" s="27">
        <f t="shared" si="9"/>
        <v>15000</v>
      </c>
      <c r="L44" s="28">
        <f t="shared" si="10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 t="shared" si="7"/>
        <v>15000</v>
      </c>
      <c r="H45" s="28">
        <f t="shared" si="8"/>
        <v>0</v>
      </c>
      <c r="I45" s="48"/>
      <c r="J45" s="30"/>
      <c r="K45" s="27">
        <f t="shared" si="9"/>
        <v>15000</v>
      </c>
      <c r="L45" s="28">
        <f t="shared" si="10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 t="shared" si="7"/>
        <v>15000</v>
      </c>
      <c r="H46" s="28">
        <f t="shared" si="8"/>
        <v>0</v>
      </c>
      <c r="I46" s="48"/>
      <c r="J46" s="30"/>
      <c r="K46" s="27">
        <f t="shared" si="9"/>
        <v>15000</v>
      </c>
      <c r="L46" s="28">
        <f t="shared" si="10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63</v>
      </c>
      <c r="E47" s="25"/>
      <c r="F47" s="259">
        <v>0</v>
      </c>
      <c r="G47" s="27">
        <f t="shared" si="7"/>
        <v>15000</v>
      </c>
      <c r="H47" s="247">
        <f t="shared" si="8"/>
        <v>0</v>
      </c>
      <c r="I47" s="29"/>
      <c r="J47" s="269"/>
      <c r="K47" s="27">
        <f t="shared" si="9"/>
        <v>15000</v>
      </c>
      <c r="L47" s="247">
        <f t="shared" si="10"/>
        <v>0</v>
      </c>
      <c r="M47" s="29"/>
      <c r="N47" s="32">
        <f>L47-H47</f>
        <v>0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 t="shared" si="7"/>
        <v>15000</v>
      </c>
      <c r="H48" s="247">
        <f t="shared" si="8"/>
        <v>0</v>
      </c>
      <c r="I48" s="29"/>
      <c r="J48" s="30">
        <f>'GS&lt;50 (1,000kWh)'!$J48</f>
        <v>0.0021</v>
      </c>
      <c r="K48" s="27">
        <f t="shared" si="9"/>
        <v>15000</v>
      </c>
      <c r="L48" s="247">
        <f t="shared" si="10"/>
        <v>31.499999999999996</v>
      </c>
      <c r="M48" s="29"/>
      <c r="N48" s="32">
        <f>L48-H48</f>
        <v>31.499999999999996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'GS&lt;50 (1,000kWh)'!F49</f>
        <v>0.0024</v>
      </c>
      <c r="G49" s="27">
        <f t="shared" si="7"/>
        <v>15000</v>
      </c>
      <c r="H49" s="28">
        <f t="shared" si="8"/>
        <v>36</v>
      </c>
      <c r="I49" s="29"/>
      <c r="J49" s="30">
        <f>'GS&lt;50 (1,000kWh)'!J49</f>
        <v>0.0024</v>
      </c>
      <c r="K49" s="27">
        <f t="shared" si="9"/>
        <v>15000</v>
      </c>
      <c r="L49" s="28">
        <f t="shared" si="10"/>
        <v>36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742.5000000000018</v>
      </c>
      <c r="H50" s="184">
        <f t="shared" si="8"/>
        <v>75.8389500000002</v>
      </c>
      <c r="I50" s="58"/>
      <c r="J50" s="185">
        <f>0.64*$F$60+0.18*$F$61+0.18*$F$62</f>
        <v>0.10214000000000001</v>
      </c>
      <c r="K50" s="27">
        <f>$F$18*(1+$J$79)-$F$18</f>
        <v>742.5000000000018</v>
      </c>
      <c r="L50" s="184">
        <f t="shared" si="10"/>
        <v>75.8389500000002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8"/>
        <v>0.79</v>
      </c>
      <c r="I51" s="29"/>
      <c r="J51" s="178">
        <v>0.79</v>
      </c>
      <c r="K51" s="27">
        <v>1</v>
      </c>
      <c r="L51" s="28">
        <f t="shared" si="10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293.4889500000002</v>
      </c>
      <c r="I52" s="42"/>
      <c r="J52" s="54"/>
      <c r="K52" s="56"/>
      <c r="L52" s="55">
        <f>SUM(L42:L51)+L41</f>
        <v>462.98895000000016</v>
      </c>
      <c r="M52" s="42"/>
      <c r="N52" s="45">
        <f t="shared" si="2"/>
        <v>169.49999999999994</v>
      </c>
      <c r="O52" s="46">
        <f aca="true" t="shared" si="11" ref="O52:O70">IF((H52)=0,"",(N52/H52))</f>
        <v>0.5775345204649096</v>
      </c>
    </row>
    <row r="53" spans="2:15" ht="15">
      <c r="B53" s="29" t="s">
        <v>30</v>
      </c>
      <c r="C53" s="29"/>
      <c r="D53" s="57" t="s">
        <v>63</v>
      </c>
      <c r="E53" s="58"/>
      <c r="F53" s="30">
        <f>'GS&lt;50 (1,000kWh)'!F53</f>
        <v>0.0044</v>
      </c>
      <c r="G53" s="59">
        <f>F18*(1+F79)</f>
        <v>15742.500000000002</v>
      </c>
      <c r="H53" s="28">
        <f>G53*F53</f>
        <v>69.26700000000001</v>
      </c>
      <c r="I53" s="29"/>
      <c r="J53" s="30">
        <f>'GS&lt;50 (1,000kWh)'!J53</f>
        <v>0.0048</v>
      </c>
      <c r="K53" s="60">
        <f>F18*(1+J79)</f>
        <v>15742.500000000002</v>
      </c>
      <c r="L53" s="28">
        <f>K53*J53</f>
        <v>75.56400000000001</v>
      </c>
      <c r="M53" s="29"/>
      <c r="N53" s="32">
        <f t="shared" si="2"/>
        <v>6.296999999999997</v>
      </c>
      <c r="O53" s="33">
        <f t="shared" si="11"/>
        <v>0.09090909090909086</v>
      </c>
    </row>
    <row r="54" spans="2:15" ht="15">
      <c r="B54" s="61" t="s">
        <v>31</v>
      </c>
      <c r="C54" s="29"/>
      <c r="D54" s="57" t="s">
        <v>63</v>
      </c>
      <c r="E54" s="58"/>
      <c r="F54" s="30">
        <f>'GS&lt;50 (1,000kWh)'!F54</f>
        <v>0.0017</v>
      </c>
      <c r="G54" s="59">
        <f>G53</f>
        <v>15742.500000000002</v>
      </c>
      <c r="H54" s="28">
        <f>G54*F54</f>
        <v>26.76225</v>
      </c>
      <c r="I54" s="29"/>
      <c r="J54" s="30">
        <f>'GS&lt;50 (1,000kWh)'!J54</f>
        <v>0.0027</v>
      </c>
      <c r="K54" s="60">
        <f>K53</f>
        <v>15742.500000000002</v>
      </c>
      <c r="L54" s="28">
        <f>K54*J54</f>
        <v>42.50475000000001</v>
      </c>
      <c r="M54" s="29"/>
      <c r="N54" s="32">
        <f t="shared" si="2"/>
        <v>15.742500000000007</v>
      </c>
      <c r="O54" s="33">
        <f t="shared" si="11"/>
        <v>0.5882352941176473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389.5182000000002</v>
      </c>
      <c r="I55" s="63"/>
      <c r="J55" s="64"/>
      <c r="K55" s="65"/>
      <c r="L55" s="55">
        <f>SUM(L52:L54)</f>
        <v>581.0577000000002</v>
      </c>
      <c r="M55" s="63"/>
      <c r="N55" s="45">
        <f t="shared" si="2"/>
        <v>191.53949999999998</v>
      </c>
      <c r="O55" s="46">
        <f t="shared" si="11"/>
        <v>0.49173440419472025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15742.500000000002</v>
      </c>
      <c r="H56" s="68">
        <f aca="true" t="shared" si="12" ref="H56:H62">G56*F56</f>
        <v>69.26700000000001</v>
      </c>
      <c r="I56" s="29"/>
      <c r="J56" s="69">
        <v>0.0044</v>
      </c>
      <c r="K56" s="60">
        <f>K54</f>
        <v>15742.500000000002</v>
      </c>
      <c r="L56" s="68">
        <f aca="true" t="shared" si="13" ref="L56:L62">K56*J56</f>
        <v>69.26700000000001</v>
      </c>
      <c r="M56" s="29"/>
      <c r="N56" s="32">
        <f t="shared" si="2"/>
        <v>0</v>
      </c>
      <c r="O56" s="70">
        <f t="shared" si="11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15742.500000000002</v>
      </c>
      <c r="H57" s="68">
        <f t="shared" si="12"/>
        <v>20.46525</v>
      </c>
      <c r="I57" s="29"/>
      <c r="J57" s="69">
        <v>0.0013</v>
      </c>
      <c r="K57" s="60">
        <f>K54</f>
        <v>15742.500000000002</v>
      </c>
      <c r="L57" s="68">
        <f t="shared" si="13"/>
        <v>20.46525</v>
      </c>
      <c r="M57" s="29"/>
      <c r="N57" s="32">
        <f t="shared" si="2"/>
        <v>0</v>
      </c>
      <c r="O57" s="70">
        <f t="shared" si="11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2"/>
        <v>0.25</v>
      </c>
      <c r="I58" s="29"/>
      <c r="J58" s="177">
        <v>0.25</v>
      </c>
      <c r="K58" s="31">
        <v>1</v>
      </c>
      <c r="L58" s="68">
        <f t="shared" si="13"/>
        <v>0.25</v>
      </c>
      <c r="M58" s="29"/>
      <c r="N58" s="32">
        <f t="shared" si="2"/>
        <v>0</v>
      </c>
      <c r="O58" s="70">
        <f t="shared" si="11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15000</v>
      </c>
      <c r="H59" s="68">
        <f t="shared" si="12"/>
        <v>105</v>
      </c>
      <c r="I59" s="29"/>
      <c r="J59" s="69">
        <v>0.007</v>
      </c>
      <c r="K59" s="72">
        <f>F18</f>
        <v>15000</v>
      </c>
      <c r="L59" s="68">
        <f t="shared" si="13"/>
        <v>105</v>
      </c>
      <c r="M59" s="29"/>
      <c r="N59" s="32">
        <f t="shared" si="2"/>
        <v>0</v>
      </c>
      <c r="O59" s="70">
        <f t="shared" si="11"/>
        <v>0</v>
      </c>
    </row>
    <row r="60" spans="2:19" ht="15">
      <c r="B60" s="50" t="s">
        <v>37</v>
      </c>
      <c r="C60" s="23"/>
      <c r="D60" s="24" t="s">
        <v>63</v>
      </c>
      <c r="E60" s="25"/>
      <c r="F60" s="73">
        <f>'GS&lt;50 (1,000kWh)'!F60</f>
        <v>0.08</v>
      </c>
      <c r="G60" s="71">
        <f>0.64*$F$18</f>
        <v>9600</v>
      </c>
      <c r="H60" s="68">
        <f t="shared" si="12"/>
        <v>768</v>
      </c>
      <c r="I60" s="29"/>
      <c r="J60" s="67">
        <f aca="true" t="shared" si="14" ref="J60:K64">F60</f>
        <v>0.08</v>
      </c>
      <c r="K60" s="71">
        <f t="shared" si="14"/>
        <v>9600</v>
      </c>
      <c r="L60" s="68">
        <f t="shared" si="13"/>
        <v>768</v>
      </c>
      <c r="M60" s="29"/>
      <c r="N60" s="32">
        <f t="shared" si="2"/>
        <v>0</v>
      </c>
      <c r="O60" s="70">
        <f t="shared" si="11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'GS&lt;50 (1,000kWh)'!F61</f>
        <v>0.122</v>
      </c>
      <c r="G61" s="71">
        <f>0.18*$F$18</f>
        <v>2700</v>
      </c>
      <c r="H61" s="68">
        <f t="shared" si="12"/>
        <v>329.4</v>
      </c>
      <c r="I61" s="29"/>
      <c r="J61" s="67">
        <f t="shared" si="14"/>
        <v>0.122</v>
      </c>
      <c r="K61" s="71">
        <f t="shared" si="14"/>
        <v>2700</v>
      </c>
      <c r="L61" s="68">
        <f t="shared" si="13"/>
        <v>329.4</v>
      </c>
      <c r="M61" s="29"/>
      <c r="N61" s="32">
        <f t="shared" si="2"/>
        <v>0</v>
      </c>
      <c r="O61" s="70">
        <f t="shared" si="11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'GS&lt;50 (1,000kWh)'!F62</f>
        <v>0.161</v>
      </c>
      <c r="G62" s="71">
        <f>0.18*$F$18</f>
        <v>2700</v>
      </c>
      <c r="H62" s="68">
        <f t="shared" si="12"/>
        <v>434.7</v>
      </c>
      <c r="I62" s="29"/>
      <c r="J62" s="67">
        <f t="shared" si="14"/>
        <v>0.161</v>
      </c>
      <c r="K62" s="71">
        <f t="shared" si="14"/>
        <v>2700</v>
      </c>
      <c r="L62" s="68">
        <f t="shared" si="13"/>
        <v>434.7</v>
      </c>
      <c r="M62" s="29"/>
      <c r="N62" s="32">
        <f t="shared" si="2"/>
        <v>0</v>
      </c>
      <c r="O62" s="70">
        <f t="shared" si="11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'GS&lt;50 (1,000kWh)'!F63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 t="shared" si="14"/>
        <v>0.094</v>
      </c>
      <c r="K63" s="80">
        <f t="shared" si="14"/>
        <v>600</v>
      </c>
      <c r="L63" s="68">
        <f>K63*J63</f>
        <v>56.4</v>
      </c>
      <c r="M63" s="81"/>
      <c r="N63" s="82">
        <f t="shared" si="2"/>
        <v>0</v>
      </c>
      <c r="O63" s="70">
        <f t="shared" si="11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'GS&lt;50 (1,000kWh)'!F64</f>
        <v>0.11</v>
      </c>
      <c r="G64" s="80">
        <f>IF(AND($T$1=1,F18&gt;=600),F18-600,IF(AND($T$1=1,AND(F18&lt;600,F18&gt;=0)),0,IF(AND($T$1=2,F18&gt;=1000),F18-1000,IF(AND($T$1=2,AND(F18&lt;1000,F18&gt;=0)),0))))</f>
        <v>14400</v>
      </c>
      <c r="H64" s="68">
        <f>G64*F64</f>
        <v>1584</v>
      </c>
      <c r="I64" s="81"/>
      <c r="J64" s="67">
        <f t="shared" si="14"/>
        <v>0.11</v>
      </c>
      <c r="K64" s="80">
        <f t="shared" si="14"/>
        <v>14400</v>
      </c>
      <c r="L64" s="68">
        <f>K64*J64</f>
        <v>1584</v>
      </c>
      <c r="M64" s="81"/>
      <c r="N64" s="82">
        <f t="shared" si="2"/>
        <v>0</v>
      </c>
      <c r="O64" s="70">
        <f t="shared" si="11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2116.6004500000004</v>
      </c>
      <c r="I66" s="97"/>
      <c r="J66" s="98"/>
      <c r="K66" s="98"/>
      <c r="L66" s="190">
        <f>SUM(L56:L62,L55)</f>
        <v>2308.13995</v>
      </c>
      <c r="M66" s="99"/>
      <c r="N66" s="100">
        <f>L66-H66</f>
        <v>191.53949999999986</v>
      </c>
      <c r="O66" s="101">
        <f>IF((H66)=0,"",(N66/H66))</f>
        <v>0.09049393332596137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275.15805850000004</v>
      </c>
      <c r="I67" s="106"/>
      <c r="J67" s="107">
        <v>0.13</v>
      </c>
      <c r="K67" s="106"/>
      <c r="L67" s="108">
        <f>L66*J67</f>
        <v>300.0581935</v>
      </c>
      <c r="M67" s="109"/>
      <c r="N67" s="110">
        <f t="shared" si="2"/>
        <v>24.900134999999977</v>
      </c>
      <c r="O67" s="111">
        <f t="shared" si="11"/>
        <v>0.09049393332596135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2391.7585085000005</v>
      </c>
      <c r="I68" s="106"/>
      <c r="J68" s="106"/>
      <c r="K68" s="106"/>
      <c r="L68" s="108">
        <f>L66+L67</f>
        <v>2608.1981435000002</v>
      </c>
      <c r="M68" s="109"/>
      <c r="N68" s="110">
        <f t="shared" si="2"/>
        <v>216.43963499999973</v>
      </c>
      <c r="O68" s="111">
        <f t="shared" si="11"/>
        <v>0.09049393332596131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-239.18</v>
      </c>
      <c r="I69" s="106"/>
      <c r="J69" s="106"/>
      <c r="K69" s="106"/>
      <c r="L69" s="261">
        <v>0</v>
      </c>
      <c r="M69" s="109"/>
      <c r="N69" s="262">
        <f t="shared" si="2"/>
        <v>239.18</v>
      </c>
      <c r="O69" s="117">
        <f t="shared" si="11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2152.5785085000007</v>
      </c>
      <c r="I70" s="122"/>
      <c r="J70" s="122"/>
      <c r="K70" s="122"/>
      <c r="L70" s="123">
        <f>L68+L69</f>
        <v>2608.1981435000002</v>
      </c>
      <c r="M70" s="124"/>
      <c r="N70" s="125">
        <f t="shared" si="2"/>
        <v>455.61963499999956</v>
      </c>
      <c r="O70" s="126">
        <f t="shared" si="11"/>
        <v>0.21166226142315842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2224.9004500000005</v>
      </c>
      <c r="I72" s="138"/>
      <c r="J72" s="139"/>
      <c r="K72" s="139"/>
      <c r="L72" s="189">
        <f>SUM(L63:L64,L55,L56:L59)</f>
        <v>2416.4399500000004</v>
      </c>
      <c r="M72" s="140"/>
      <c r="N72" s="141">
        <f>L72-H72</f>
        <v>191.53949999999986</v>
      </c>
      <c r="O72" s="101">
        <f>IF((H72)=0,"",(N72/H72))</f>
        <v>0.0860890202975148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289.2370585000001</v>
      </c>
      <c r="I73" s="145"/>
      <c r="J73" s="146">
        <v>0.13</v>
      </c>
      <c r="K73" s="147"/>
      <c r="L73" s="148">
        <f>L72*J73</f>
        <v>314.1371935000001</v>
      </c>
      <c r="M73" s="149"/>
      <c r="N73" s="150">
        <f>L73-H73</f>
        <v>24.900134999999977</v>
      </c>
      <c r="O73" s="111">
        <f>IF((H73)=0,"",(N73/H73))</f>
        <v>0.08608902029751478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2514.137508500001</v>
      </c>
      <c r="I74" s="145"/>
      <c r="J74" s="145"/>
      <c r="K74" s="145"/>
      <c r="L74" s="148">
        <f>L72+L73</f>
        <v>2730.5771435000006</v>
      </c>
      <c r="M74" s="149"/>
      <c r="N74" s="150">
        <f>L74-H74</f>
        <v>216.43963499999973</v>
      </c>
      <c r="O74" s="111">
        <f>IF((H74)=0,"",(N74/H74))</f>
        <v>0.08608902029751475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-251.41</v>
      </c>
      <c r="I75" s="145"/>
      <c r="J75" s="145"/>
      <c r="K75" s="145"/>
      <c r="L75" s="255">
        <v>0</v>
      </c>
      <c r="M75" s="149"/>
      <c r="N75" s="256">
        <f>L75-H75</f>
        <v>251.41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2262.727508500001</v>
      </c>
      <c r="I76" s="159"/>
      <c r="J76" s="159"/>
      <c r="K76" s="159"/>
      <c r="L76" s="160">
        <f>SUM(L74:L75)</f>
        <v>2730.5771435000006</v>
      </c>
      <c r="M76" s="161"/>
      <c r="N76" s="162">
        <f>L76-H76</f>
        <v>467.8496349999996</v>
      </c>
      <c r="O76" s="163">
        <f>IF((H76)=0,"",(N76/H76))</f>
        <v>0.2067635776921918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56:E62 E65 E23:E40 E42:E51">
      <formula1>'GS&lt;50 (15,000kWh)'!#REF!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'GS&lt;50 (15,000kWh)'!#REF!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3"/>
  <sheetViews>
    <sheetView showGridLines="0" zoomScalePageLayoutView="0" workbookViewId="0" topLeftCell="A48">
      <selection activeCell="L74" sqref="L74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0.140625" style="8" customWidth="1"/>
    <col min="17" max="20" width="9.140625" style="8" customWidth="1"/>
    <col min="21" max="16384" width="9.140625" style="8" customWidth="1"/>
  </cols>
  <sheetData>
    <row r="1" spans="1:20" s="2" customFormat="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8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8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13</v>
      </c>
      <c r="O4" s="304"/>
      <c r="P4" s="195"/>
    </row>
    <row r="5" spans="3:16" s="2" customFormat="1" ht="15.75">
      <c r="C5" s="7"/>
      <c r="D5" s="7"/>
      <c r="E5" s="7"/>
      <c r="L5" s="3" t="s">
        <v>78</v>
      </c>
      <c r="N5" s="306" t="s">
        <v>92</v>
      </c>
      <c r="O5" s="306"/>
      <c r="P5" s="194"/>
    </row>
    <row r="6" spans="12:16" s="2" customFormat="1" ht="15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>
      <c r="N8" s="8"/>
      <c r="O8"/>
      <c r="P8"/>
    </row>
    <row r="9" spans="12:16" ht="15">
      <c r="L9"/>
      <c r="M9"/>
      <c r="N9"/>
      <c r="O9"/>
      <c r="P9"/>
    </row>
    <row r="10" spans="2:16" ht="18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15">
      <c r="L12"/>
      <c r="M12"/>
      <c r="N12"/>
      <c r="O12"/>
      <c r="P12"/>
    </row>
    <row r="13" spans="12:16" ht="15">
      <c r="L13"/>
      <c r="M13"/>
      <c r="N13"/>
      <c r="O13"/>
      <c r="P13"/>
    </row>
    <row r="14" spans="2:15" ht="15.75">
      <c r="B14" s="9" t="s">
        <v>5</v>
      </c>
      <c r="D14" s="310" t="s">
        <v>119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15.75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20000</v>
      </c>
      <c r="G18" s="14" t="s">
        <v>9</v>
      </c>
      <c r="H18" s="15">
        <v>60</v>
      </c>
      <c r="I18" s="14" t="s">
        <v>70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15">
      <c r="B23" s="23" t="s">
        <v>20</v>
      </c>
      <c r="C23" s="23"/>
      <c r="D23" s="24" t="s">
        <v>62</v>
      </c>
      <c r="E23" s="25"/>
      <c r="F23" s="174">
        <v>96.98</v>
      </c>
      <c r="G23" s="27">
        <v>1</v>
      </c>
      <c r="H23" s="28">
        <f>G23*F23</f>
        <v>96.98</v>
      </c>
      <c r="I23" s="29"/>
      <c r="J23" s="173">
        <v>96.98</v>
      </c>
      <c r="K23" s="31">
        <v>1</v>
      </c>
      <c r="L23" s="28">
        <f>K23*J23</f>
        <v>96.98</v>
      </c>
      <c r="M23" s="29"/>
      <c r="N23" s="32">
        <f>L23-H23</f>
        <v>0</v>
      </c>
      <c r="O23" s="33">
        <f>IF((H23)=0,"",(N23/H23))</f>
        <v>0</v>
      </c>
    </row>
    <row r="24" spans="2:15" ht="15">
      <c r="B24" s="23" t="s">
        <v>97</v>
      </c>
      <c r="C24" s="23"/>
      <c r="D24" s="24" t="s">
        <v>62</v>
      </c>
      <c r="E24" s="25"/>
      <c r="F24" s="174"/>
      <c r="G24" s="27"/>
      <c r="H24" s="28"/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0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'GS&lt;50 (1,000kWh)'!J25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15" hidden="1">
      <c r="B26" s="175"/>
      <c r="C26" s="23"/>
      <c r="D26" s="57" t="s">
        <v>62</v>
      </c>
      <c r="E26" s="58"/>
      <c r="F26" s="173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5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3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71</v>
      </c>
      <c r="E28" s="25"/>
      <c r="F28" s="26">
        <v>0</v>
      </c>
      <c r="G28" s="179">
        <f>$H$18</f>
        <v>60</v>
      </c>
      <c r="H28" s="28">
        <f t="shared" si="0"/>
        <v>0</v>
      </c>
      <c r="I28" s="29"/>
      <c r="J28" s="30"/>
      <c r="K28" s="179">
        <f>$H$18</f>
        <v>60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71</v>
      </c>
      <c r="E29" s="25"/>
      <c r="F29" s="252">
        <v>0</v>
      </c>
      <c r="G29" s="179">
        <f>$H$18</f>
        <v>60</v>
      </c>
      <c r="H29" s="28">
        <f t="shared" si="0"/>
        <v>0</v>
      </c>
      <c r="I29" s="29"/>
      <c r="J29" s="30">
        <v>0</v>
      </c>
      <c r="K29" s="179">
        <f>$H$18</f>
        <v>60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71</v>
      </c>
      <c r="E30" s="25"/>
      <c r="F30" s="26">
        <v>0</v>
      </c>
      <c r="G30" s="179">
        <f>$H$18</f>
        <v>60</v>
      </c>
      <c r="H30" s="247">
        <f t="shared" si="0"/>
        <v>0</v>
      </c>
      <c r="I30" s="29"/>
      <c r="J30" s="30">
        <v>0</v>
      </c>
      <c r="K30" s="179">
        <f>$H$18</f>
        <v>60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71</v>
      </c>
      <c r="E31" s="25"/>
      <c r="F31" s="26">
        <v>3.9297</v>
      </c>
      <c r="G31" s="179">
        <f>$H$18</f>
        <v>60</v>
      </c>
      <c r="H31" s="28">
        <f t="shared" si="0"/>
        <v>235.782</v>
      </c>
      <c r="I31" s="29"/>
      <c r="J31" s="30">
        <v>3.9297</v>
      </c>
      <c r="K31" s="179">
        <f>$H$18</f>
        <v>60</v>
      </c>
      <c r="L31" s="28">
        <f t="shared" si="1"/>
        <v>235.782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20000</v>
      </c>
      <c r="H32" s="28">
        <f t="shared" si="0"/>
        <v>0</v>
      </c>
      <c r="I32" s="29"/>
      <c r="J32" s="30"/>
      <c r="K32" s="27">
        <f aca="true" t="shared" si="4" ref="K32:K40">$F$18</f>
        <v>20000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71</v>
      </c>
      <c r="E33" s="25"/>
      <c r="F33" s="26">
        <v>0</v>
      </c>
      <c r="G33" s="179">
        <f>$H$18</f>
        <v>60</v>
      </c>
      <c r="H33" s="247">
        <f t="shared" si="0"/>
        <v>0</v>
      </c>
      <c r="I33" s="29"/>
      <c r="J33" s="30">
        <v>0</v>
      </c>
      <c r="K33" s="179">
        <f>$H$18</f>
        <v>60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20000</v>
      </c>
      <c r="H34" s="28">
        <f t="shared" si="0"/>
        <v>0</v>
      </c>
      <c r="I34" s="29"/>
      <c r="J34" s="30"/>
      <c r="K34" s="27">
        <f t="shared" si="4"/>
        <v>20000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20000</v>
      </c>
      <c r="H35" s="28">
        <f t="shared" si="0"/>
        <v>0</v>
      </c>
      <c r="I35" s="29"/>
      <c r="J35" s="30"/>
      <c r="K35" s="27">
        <f t="shared" si="4"/>
        <v>20000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20000</v>
      </c>
      <c r="H36" s="28">
        <f t="shared" si="0"/>
        <v>0</v>
      </c>
      <c r="I36" s="29"/>
      <c r="J36" s="30"/>
      <c r="K36" s="27">
        <f t="shared" si="4"/>
        <v>20000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20000</v>
      </c>
      <c r="H37" s="28">
        <f t="shared" si="0"/>
        <v>0</v>
      </c>
      <c r="I37" s="29"/>
      <c r="J37" s="30"/>
      <c r="K37" s="27">
        <f t="shared" si="4"/>
        <v>20000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20000</v>
      </c>
      <c r="H38" s="28">
        <f t="shared" si="0"/>
        <v>0</v>
      </c>
      <c r="I38" s="29"/>
      <c r="J38" s="30"/>
      <c r="K38" s="27">
        <f t="shared" si="4"/>
        <v>20000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20000</v>
      </c>
      <c r="H39" s="28">
        <f t="shared" si="0"/>
        <v>0</v>
      </c>
      <c r="I39" s="29"/>
      <c r="J39" s="30"/>
      <c r="K39" s="27">
        <f t="shared" si="4"/>
        <v>20000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20000</v>
      </c>
      <c r="H40" s="28">
        <f t="shared" si="0"/>
        <v>0</v>
      </c>
      <c r="I40" s="29"/>
      <c r="J40" s="30"/>
      <c r="K40" s="27">
        <f t="shared" si="4"/>
        <v>20000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332.762</v>
      </c>
      <c r="I41" s="42"/>
      <c r="J41" s="43"/>
      <c r="K41" s="44"/>
      <c r="L41" s="41">
        <f>SUM(L23:L40)</f>
        <v>332.762</v>
      </c>
      <c r="M41" s="42"/>
      <c r="N41" s="45">
        <f t="shared" si="2"/>
        <v>0</v>
      </c>
      <c r="O41" s="46">
        <f t="shared" si="3"/>
        <v>0</v>
      </c>
    </row>
    <row r="42" spans="2:15" ht="25.5">
      <c r="B42" s="47" t="s">
        <v>25</v>
      </c>
      <c r="C42" s="23"/>
      <c r="D42" s="57" t="s">
        <v>71</v>
      </c>
      <c r="E42" s="58"/>
      <c r="F42" s="252">
        <v>-2.8653</v>
      </c>
      <c r="G42" s="179">
        <f>G31</f>
        <v>60</v>
      </c>
      <c r="H42" s="28">
        <f aca="true" t="shared" si="6" ref="H42:H49">G42*F42</f>
        <v>-171.918</v>
      </c>
      <c r="I42" s="29"/>
      <c r="J42" s="252">
        <v>0.9664</v>
      </c>
      <c r="K42" s="179">
        <f>H18</f>
        <v>60</v>
      </c>
      <c r="L42" s="28">
        <f aca="true" t="shared" si="7" ref="L42:L49">K42*J42</f>
        <v>57.984</v>
      </c>
      <c r="M42" s="29"/>
      <c r="N42" s="257">
        <f aca="true" t="shared" si="8" ref="N42:N49">L42-H42</f>
        <v>229.90200000000002</v>
      </c>
      <c r="O42" s="33">
        <f aca="true" t="shared" si="9" ref="O42:O48">IF((H42)=0,"",(N42/H42))</f>
        <v>-1.3372770739538618</v>
      </c>
    </row>
    <row r="43" spans="2:15" ht="15" hidden="1">
      <c r="B43" s="47"/>
      <c r="C43" s="23"/>
      <c r="D43" s="24" t="s">
        <v>71</v>
      </c>
      <c r="E43" s="25"/>
      <c r="F43" s="26"/>
      <c r="G43" s="179">
        <f>H18</f>
        <v>60</v>
      </c>
      <c r="H43" s="28">
        <f t="shared" si="6"/>
        <v>0</v>
      </c>
      <c r="I43" s="48"/>
      <c r="J43" s="30"/>
      <c r="K43" s="179">
        <f>H18</f>
        <v>60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71</v>
      </c>
      <c r="E44" s="25"/>
      <c r="F44" s="26"/>
      <c r="G44" s="179">
        <f>H18</f>
        <v>60</v>
      </c>
      <c r="H44" s="28">
        <f t="shared" si="6"/>
        <v>0</v>
      </c>
      <c r="I44" s="48"/>
      <c r="J44" s="30"/>
      <c r="K44" s="179">
        <f>H18</f>
        <v>60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2.25" customHeight="1">
      <c r="B45" s="47" t="s">
        <v>75</v>
      </c>
      <c r="C45" s="23"/>
      <c r="D45" s="57" t="s">
        <v>71</v>
      </c>
      <c r="E45" s="25"/>
      <c r="F45" s="252">
        <v>2.7911</v>
      </c>
      <c r="G45" s="179">
        <f>H18</f>
        <v>60</v>
      </c>
      <c r="H45" s="28">
        <f t="shared" si="6"/>
        <v>167.466</v>
      </c>
      <c r="I45" s="48"/>
      <c r="J45" s="30">
        <v>0.0684</v>
      </c>
      <c r="K45" s="179">
        <f>H18</f>
        <v>60</v>
      </c>
      <c r="L45" s="28">
        <f t="shared" si="7"/>
        <v>4.104</v>
      </c>
      <c r="M45" s="49"/>
      <c r="N45" s="32">
        <f t="shared" si="8"/>
        <v>-163.362</v>
      </c>
      <c r="O45" s="33">
        <f t="shared" si="9"/>
        <v>-0.9754935330156568</v>
      </c>
    </row>
    <row r="46" spans="2:15" ht="32.25" customHeight="1">
      <c r="B46" s="23" t="s">
        <v>115</v>
      </c>
      <c r="C46" s="23"/>
      <c r="D46" s="24" t="s">
        <v>71</v>
      </c>
      <c r="E46" s="25"/>
      <c r="F46" s="259">
        <v>0</v>
      </c>
      <c r="G46" s="179">
        <f>$H$18</f>
        <v>60</v>
      </c>
      <c r="H46" s="247">
        <f t="shared" si="6"/>
        <v>0</v>
      </c>
      <c r="I46" s="29"/>
      <c r="J46" s="30">
        <v>0.0832</v>
      </c>
      <c r="K46" s="179">
        <f>$H$18</f>
        <v>60</v>
      </c>
      <c r="L46" s="247">
        <f t="shared" si="7"/>
        <v>4.992</v>
      </c>
      <c r="M46" s="29"/>
      <c r="N46" s="32">
        <f t="shared" si="8"/>
        <v>4.992</v>
      </c>
      <c r="O46" s="248">
        <f t="shared" si="9"/>
      </c>
    </row>
    <row r="47" spans="2:15" ht="15">
      <c r="B47" s="50" t="s">
        <v>26</v>
      </c>
      <c r="C47" s="23"/>
      <c r="D47" s="24" t="s">
        <v>71</v>
      </c>
      <c r="E47" s="25"/>
      <c r="F47" s="26">
        <v>1.1222</v>
      </c>
      <c r="G47" s="179">
        <f>H18</f>
        <v>60</v>
      </c>
      <c r="H47" s="28">
        <f t="shared" si="6"/>
        <v>67.33200000000001</v>
      </c>
      <c r="I47" s="29"/>
      <c r="J47" s="30">
        <v>1.1222</v>
      </c>
      <c r="K47" s="179">
        <f>H18</f>
        <v>60</v>
      </c>
      <c r="L47" s="28">
        <f t="shared" si="7"/>
        <v>67.33200000000001</v>
      </c>
      <c r="M47" s="29"/>
      <c r="N47" s="32">
        <f t="shared" si="8"/>
        <v>0</v>
      </c>
      <c r="O47" s="33">
        <f t="shared" si="9"/>
        <v>0</v>
      </c>
    </row>
    <row r="48" spans="2:15" s="35" customFormat="1" ht="15">
      <c r="B48" s="181" t="s">
        <v>27</v>
      </c>
      <c r="C48" s="25"/>
      <c r="D48" s="182" t="s">
        <v>63</v>
      </c>
      <c r="E48" s="25"/>
      <c r="F48" s="183">
        <f>IF(ISBLANK(D16)=TRUE,0,IF(D16="TOU",0.64*$F$58+0.18*$F$59+0.18*$F$60,IF(AND(D16="non-TOU",G62&gt;0),F62,F61)))</f>
        <v>0.075</v>
      </c>
      <c r="G48" s="27">
        <f>$F$18*(1+$F$77)-$F$18</f>
        <v>990.0000000000036</v>
      </c>
      <c r="H48" s="184">
        <f t="shared" si="6"/>
        <v>74.25000000000027</v>
      </c>
      <c r="I48" s="58"/>
      <c r="J48" s="185">
        <f>IF(ISBLANK(D16)=TRUE,0,IF(D16="TOU",0.64*$F$58+0.18*$F$59+0.18*$F$60,IF(AND(D16="non-TOU",K62&gt;0),J62,J61)))</f>
        <v>0.075</v>
      </c>
      <c r="K48" s="27">
        <f>$F$18*(1+$J$77)-$F$18</f>
        <v>990.0000000000036</v>
      </c>
      <c r="L48" s="184">
        <f t="shared" si="7"/>
        <v>74.25000000000027</v>
      </c>
      <c r="M48" s="58"/>
      <c r="N48" s="186">
        <f t="shared" si="8"/>
        <v>0</v>
      </c>
      <c r="O48" s="187">
        <f t="shared" si="9"/>
        <v>0</v>
      </c>
    </row>
    <row r="49" spans="2:15" ht="15">
      <c r="B49" s="50" t="s">
        <v>28</v>
      </c>
      <c r="C49" s="23"/>
      <c r="D49" s="24" t="s">
        <v>62</v>
      </c>
      <c r="E49" s="25"/>
      <c r="F49" s="178">
        <v>0</v>
      </c>
      <c r="G49" s="27">
        <v>0</v>
      </c>
      <c r="H49" s="28">
        <f t="shared" si="6"/>
        <v>0</v>
      </c>
      <c r="I49" s="29"/>
      <c r="J49" s="178">
        <v>0</v>
      </c>
      <c r="K49" s="27">
        <v>0</v>
      </c>
      <c r="L49" s="28">
        <f t="shared" si="7"/>
        <v>0</v>
      </c>
      <c r="M49" s="29"/>
      <c r="N49" s="32">
        <f t="shared" si="8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469.8920000000003</v>
      </c>
      <c r="I50" s="42"/>
      <c r="J50" s="54"/>
      <c r="K50" s="56"/>
      <c r="L50" s="55">
        <f>SUM(L42:L49)+L41</f>
        <v>541.4240000000002</v>
      </c>
      <c r="M50" s="42"/>
      <c r="N50" s="45">
        <f aca="true" t="shared" si="10" ref="N50:N68">L50-H50</f>
        <v>71.53199999999993</v>
      </c>
      <c r="O50" s="46">
        <f aca="true" t="shared" si="11" ref="O50:O68">IF((H50)=0,"",(N50/H50))</f>
        <v>0.15223072535816715</v>
      </c>
    </row>
    <row r="51" spans="2:15" ht="15">
      <c r="B51" s="29" t="s">
        <v>30</v>
      </c>
      <c r="C51" s="29"/>
      <c r="D51" s="57" t="s">
        <v>71</v>
      </c>
      <c r="E51" s="58"/>
      <c r="F51" s="30">
        <v>1.747</v>
      </c>
      <c r="G51" s="59">
        <f>H18*(1+F77)</f>
        <v>62.970000000000006</v>
      </c>
      <c r="H51" s="28">
        <f>G51*F51</f>
        <v>110.00859000000001</v>
      </c>
      <c r="I51" s="29"/>
      <c r="J51" s="30">
        <v>2.3168</v>
      </c>
      <c r="K51" s="60">
        <f>H18*(1+J77)</f>
        <v>62.970000000000006</v>
      </c>
      <c r="L51" s="28">
        <f>K51*J51</f>
        <v>145.88889600000002</v>
      </c>
      <c r="M51" s="29"/>
      <c r="N51" s="32">
        <f t="shared" si="10"/>
        <v>35.880306000000004</v>
      </c>
      <c r="O51" s="33">
        <f t="shared" si="11"/>
        <v>0.32615912993703494</v>
      </c>
    </row>
    <row r="52" spans="2:15" ht="30">
      <c r="B52" s="61" t="s">
        <v>31</v>
      </c>
      <c r="C52" s="29"/>
      <c r="D52" s="57" t="s">
        <v>71</v>
      </c>
      <c r="E52" s="58"/>
      <c r="F52" s="30">
        <v>0.6879</v>
      </c>
      <c r="G52" s="59">
        <f>G51</f>
        <v>62.970000000000006</v>
      </c>
      <c r="H52" s="28">
        <f>G52*F52</f>
        <v>43.317063000000005</v>
      </c>
      <c r="I52" s="29"/>
      <c r="J52" s="30">
        <v>1.0907</v>
      </c>
      <c r="K52" s="60">
        <f>K51</f>
        <v>62.970000000000006</v>
      </c>
      <c r="L52" s="28">
        <f>K52*J52</f>
        <v>68.681379</v>
      </c>
      <c r="M52" s="29"/>
      <c r="N52" s="32">
        <f t="shared" si="10"/>
        <v>25.364316000000002</v>
      </c>
      <c r="O52" s="33">
        <f t="shared" si="11"/>
        <v>0.5855502253234481</v>
      </c>
    </row>
    <row r="53" spans="2:15" ht="25.5">
      <c r="B53" s="51" t="s">
        <v>32</v>
      </c>
      <c r="C53" s="37"/>
      <c r="D53" s="37"/>
      <c r="E53" s="37"/>
      <c r="F53" s="62"/>
      <c r="G53" s="54"/>
      <c r="H53" s="55">
        <f>SUM(H50:H52)</f>
        <v>623.2176530000003</v>
      </c>
      <c r="I53" s="63"/>
      <c r="J53" s="64"/>
      <c r="K53" s="65"/>
      <c r="L53" s="55">
        <f>SUM(L50:L52)</f>
        <v>755.9942750000002</v>
      </c>
      <c r="M53" s="63"/>
      <c r="N53" s="45">
        <f t="shared" si="10"/>
        <v>132.77662199999997</v>
      </c>
      <c r="O53" s="46">
        <f t="shared" si="11"/>
        <v>0.2130501621076512</v>
      </c>
    </row>
    <row r="54" spans="2:15" ht="30">
      <c r="B54" s="66" t="s">
        <v>33</v>
      </c>
      <c r="C54" s="23"/>
      <c r="D54" s="24" t="s">
        <v>63</v>
      </c>
      <c r="E54" s="25"/>
      <c r="F54" s="67">
        <v>0.0044</v>
      </c>
      <c r="G54" s="59">
        <f>F18*(1+F77)</f>
        <v>20990.000000000004</v>
      </c>
      <c r="H54" s="68">
        <f aca="true" t="shared" si="12" ref="H54:H60">G54*F54</f>
        <v>92.35600000000002</v>
      </c>
      <c r="I54" s="29"/>
      <c r="J54" s="69">
        <v>0.0044</v>
      </c>
      <c r="K54" s="60">
        <f>F18*(1+J77)</f>
        <v>20990.000000000004</v>
      </c>
      <c r="L54" s="68">
        <f aca="true" t="shared" si="13" ref="L54:L60">K54*J54</f>
        <v>92.35600000000002</v>
      </c>
      <c r="M54" s="29"/>
      <c r="N54" s="32">
        <f t="shared" si="10"/>
        <v>0</v>
      </c>
      <c r="O54" s="70">
        <f t="shared" si="11"/>
        <v>0</v>
      </c>
    </row>
    <row r="55" spans="2:15" ht="30">
      <c r="B55" s="66" t="s">
        <v>34</v>
      </c>
      <c r="C55" s="23"/>
      <c r="D55" s="24" t="s">
        <v>63</v>
      </c>
      <c r="E55" s="25"/>
      <c r="F55" s="67">
        <v>0.0013</v>
      </c>
      <c r="G55" s="59">
        <f>G54</f>
        <v>20990.000000000004</v>
      </c>
      <c r="H55" s="68">
        <f t="shared" si="12"/>
        <v>27.287000000000003</v>
      </c>
      <c r="I55" s="29"/>
      <c r="J55" s="69">
        <v>0.0013</v>
      </c>
      <c r="K55" s="60">
        <f>K54</f>
        <v>20990.000000000004</v>
      </c>
      <c r="L55" s="68">
        <f t="shared" si="13"/>
        <v>27.287000000000003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35</v>
      </c>
      <c r="C56" s="23"/>
      <c r="D56" s="24" t="s">
        <v>62</v>
      </c>
      <c r="E56" s="25"/>
      <c r="F56" s="176">
        <v>0.25</v>
      </c>
      <c r="G56" s="27">
        <v>1</v>
      </c>
      <c r="H56" s="68">
        <f t="shared" si="12"/>
        <v>0.25</v>
      </c>
      <c r="I56" s="29"/>
      <c r="J56" s="177">
        <v>0.25</v>
      </c>
      <c r="K56" s="31">
        <v>1</v>
      </c>
      <c r="L56" s="68">
        <f t="shared" si="13"/>
        <v>0.25</v>
      </c>
      <c r="M56" s="29"/>
      <c r="N56" s="32">
        <f t="shared" si="10"/>
        <v>0</v>
      </c>
      <c r="O56" s="70">
        <f t="shared" si="11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20000</v>
      </c>
      <c r="H57" s="68">
        <f t="shared" si="12"/>
        <v>140</v>
      </c>
      <c r="I57" s="29"/>
      <c r="J57" s="69">
        <f>0.007</f>
        <v>0.007</v>
      </c>
      <c r="K57" s="72">
        <f>F18</f>
        <v>20000</v>
      </c>
      <c r="L57" s="68">
        <f t="shared" si="13"/>
        <v>140</v>
      </c>
      <c r="M57" s="29"/>
      <c r="N57" s="32">
        <f t="shared" si="10"/>
        <v>0</v>
      </c>
      <c r="O57" s="70">
        <f t="shared" si="11"/>
        <v>0</v>
      </c>
    </row>
    <row r="58" spans="2:19" ht="15.75" thickBot="1">
      <c r="B58" s="50" t="s">
        <v>74</v>
      </c>
      <c r="C58" s="23"/>
      <c r="D58" s="24" t="s">
        <v>63</v>
      </c>
      <c r="E58" s="25"/>
      <c r="F58" s="67">
        <v>0.1</v>
      </c>
      <c r="G58" s="71">
        <f>F18</f>
        <v>20000</v>
      </c>
      <c r="H58" s="68">
        <f t="shared" si="12"/>
        <v>2000</v>
      </c>
      <c r="I58" s="29"/>
      <c r="J58" s="69">
        <f>F58</f>
        <v>0.1</v>
      </c>
      <c r="K58" s="71">
        <f>G58</f>
        <v>20000</v>
      </c>
      <c r="L58" s="68">
        <f t="shared" si="13"/>
        <v>2000</v>
      </c>
      <c r="M58" s="29"/>
      <c r="N58" s="32">
        <f t="shared" si="10"/>
        <v>0</v>
      </c>
      <c r="O58" s="70">
        <f t="shared" si="11"/>
        <v>0</v>
      </c>
      <c r="S58" s="74"/>
    </row>
    <row r="59" spans="2:19" ht="15" hidden="1">
      <c r="B59" s="50" t="s">
        <v>38</v>
      </c>
      <c r="C59" s="23"/>
      <c r="D59" s="24"/>
      <c r="E59" s="25"/>
      <c r="F59" s="73">
        <v>0.104</v>
      </c>
      <c r="G59" s="71">
        <v>0</v>
      </c>
      <c r="H59" s="68">
        <f t="shared" si="12"/>
        <v>0</v>
      </c>
      <c r="I59" s="29"/>
      <c r="J59" s="67">
        <v>0.104</v>
      </c>
      <c r="K59" s="71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9" ht="15" hidden="1">
      <c r="B60" s="13" t="s">
        <v>39</v>
      </c>
      <c r="C60" s="23"/>
      <c r="D60" s="24"/>
      <c r="E60" s="25"/>
      <c r="F60" s="73">
        <v>0.124</v>
      </c>
      <c r="G60" s="71">
        <v>0</v>
      </c>
      <c r="H60" s="68">
        <f t="shared" si="12"/>
        <v>0</v>
      </c>
      <c r="I60" s="29"/>
      <c r="J60" s="67">
        <v>0.124</v>
      </c>
      <c r="K60" s="71">
        <v>0</v>
      </c>
      <c r="L60" s="68">
        <f t="shared" si="13"/>
        <v>0</v>
      </c>
      <c r="M60" s="29"/>
      <c r="N60" s="32">
        <f t="shared" si="10"/>
        <v>0</v>
      </c>
      <c r="O60" s="70">
        <f t="shared" si="11"/>
      </c>
      <c r="S60" s="74"/>
    </row>
    <row r="61" spans="2:15" s="75" customFormat="1" ht="15" hidden="1">
      <c r="B61" s="180" t="s">
        <v>40</v>
      </c>
      <c r="C61" s="77"/>
      <c r="D61" s="78"/>
      <c r="E61" s="79"/>
      <c r="F61" s="73">
        <v>0.075</v>
      </c>
      <c r="G61" s="80">
        <v>0</v>
      </c>
      <c r="H61" s="68">
        <f>G61*F61</f>
        <v>0</v>
      </c>
      <c r="I61" s="81"/>
      <c r="J61" s="67">
        <v>0.075</v>
      </c>
      <c r="K61" s="80">
        <f>G61</f>
        <v>0</v>
      </c>
      <c r="L61" s="68">
        <f>K61*J61</f>
        <v>0</v>
      </c>
      <c r="M61" s="81"/>
      <c r="N61" s="82">
        <f t="shared" si="10"/>
        <v>0</v>
      </c>
      <c r="O61" s="70">
        <f t="shared" si="11"/>
      </c>
    </row>
    <row r="62" spans="2:15" s="75" customFormat="1" ht="15.75" hidden="1" thickBot="1">
      <c r="B62" s="180" t="s">
        <v>41</v>
      </c>
      <c r="C62" s="77"/>
      <c r="D62" s="78"/>
      <c r="E62" s="79"/>
      <c r="F62" s="73">
        <v>0.088</v>
      </c>
      <c r="G62" s="80">
        <v>0</v>
      </c>
      <c r="H62" s="68">
        <f>G62*F62</f>
        <v>0</v>
      </c>
      <c r="I62" s="81"/>
      <c r="J62" s="67">
        <v>0.088</v>
      </c>
      <c r="K62" s="80">
        <f>G62</f>
        <v>0</v>
      </c>
      <c r="L62" s="68">
        <f>K62*J62</f>
        <v>0</v>
      </c>
      <c r="M62" s="81"/>
      <c r="N62" s="82">
        <f t="shared" si="10"/>
        <v>0</v>
      </c>
      <c r="O62" s="70">
        <f t="shared" si="11"/>
      </c>
    </row>
    <row r="63" spans="2:15" ht="15.75" hidden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 hidden="1">
      <c r="B64" s="93" t="s">
        <v>42</v>
      </c>
      <c r="C64" s="23"/>
      <c r="D64" s="23"/>
      <c r="E64" s="23"/>
      <c r="F64" s="94"/>
      <c r="G64" s="95"/>
      <c r="H64" s="96">
        <f>SUM(H54:H60,H53)</f>
        <v>2883.110653</v>
      </c>
      <c r="I64" s="97"/>
      <c r="J64" s="98"/>
      <c r="K64" s="98"/>
      <c r="L64" s="96">
        <f>SUM(L54:L60,L53)</f>
        <v>3015.887275</v>
      </c>
      <c r="M64" s="99"/>
      <c r="N64" s="100">
        <f>L64-H64</f>
        <v>132.77662199999986</v>
      </c>
      <c r="O64" s="101">
        <f>IF((H64)=0,"",(N64/H64))</f>
        <v>0.04605325219198233</v>
      </c>
      <c r="S64" s="74"/>
    </row>
    <row r="65" spans="2:19" ht="15" hidden="1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374.80438489000005</v>
      </c>
      <c r="I65" s="106"/>
      <c r="J65" s="107">
        <v>0.13</v>
      </c>
      <c r="K65" s="106"/>
      <c r="L65" s="108">
        <f>L64*J65</f>
        <v>392.06534575</v>
      </c>
      <c r="M65" s="109"/>
      <c r="N65" s="110">
        <f t="shared" si="10"/>
        <v>17.260960859999955</v>
      </c>
      <c r="O65" s="111">
        <f t="shared" si="11"/>
        <v>0.04605325219198225</v>
      </c>
      <c r="S65" s="74"/>
    </row>
    <row r="66" spans="2:19" ht="15" hidden="1">
      <c r="B66" s="112" t="s">
        <v>44</v>
      </c>
      <c r="C66" s="23"/>
      <c r="D66" s="23"/>
      <c r="E66" s="23"/>
      <c r="F66" s="113"/>
      <c r="G66" s="104"/>
      <c r="H66" s="105">
        <f>H64+H65</f>
        <v>3257.9150378900003</v>
      </c>
      <c r="I66" s="106"/>
      <c r="J66" s="106"/>
      <c r="K66" s="106"/>
      <c r="L66" s="108">
        <f>L64+L65</f>
        <v>3407.9526207500003</v>
      </c>
      <c r="M66" s="109"/>
      <c r="N66" s="110">
        <f t="shared" si="10"/>
        <v>150.03758285999993</v>
      </c>
      <c r="O66" s="111">
        <f t="shared" si="11"/>
        <v>0.046053252191982356</v>
      </c>
      <c r="S66" s="74"/>
    </row>
    <row r="67" spans="2:15" ht="15" hidden="1">
      <c r="B67" s="321" t="s">
        <v>45</v>
      </c>
      <c r="C67" s="321"/>
      <c r="D67" s="321"/>
      <c r="E67" s="23"/>
      <c r="F67" s="113"/>
      <c r="G67" s="104"/>
      <c r="H67" s="114">
        <f>ROUND(-H66*10%,2)</f>
        <v>-325.79</v>
      </c>
      <c r="I67" s="106"/>
      <c r="J67" s="106"/>
      <c r="K67" s="106"/>
      <c r="L67" s="115">
        <f>ROUND(-L66*10%,2)</f>
        <v>-340.8</v>
      </c>
      <c r="M67" s="109"/>
      <c r="N67" s="116">
        <f t="shared" si="10"/>
        <v>-15.009999999999991</v>
      </c>
      <c r="O67" s="117">
        <f t="shared" si="11"/>
        <v>0.04607262346910584</v>
      </c>
    </row>
    <row r="68" spans="2:15" ht="15.75" hidden="1" thickBot="1">
      <c r="B68" s="322" t="s">
        <v>46</v>
      </c>
      <c r="C68" s="322"/>
      <c r="D68" s="322"/>
      <c r="E68" s="118"/>
      <c r="F68" s="119"/>
      <c r="G68" s="120"/>
      <c r="H68" s="121">
        <f>H66+H67</f>
        <v>2932.1250378900004</v>
      </c>
      <c r="I68" s="122"/>
      <c r="J68" s="122"/>
      <c r="K68" s="122"/>
      <c r="L68" s="123">
        <f>L66+L67</f>
        <v>3067.15262075</v>
      </c>
      <c r="M68" s="124"/>
      <c r="N68" s="125">
        <f t="shared" si="10"/>
        <v>135.0275828599997</v>
      </c>
      <c r="O68" s="126">
        <f t="shared" si="11"/>
        <v>0.0460510998388962</v>
      </c>
    </row>
    <row r="69" spans="2:15" s="75" customFormat="1" ht="15.75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SUM(H58,H53,H54:H57)</f>
        <v>2883.110653</v>
      </c>
      <c r="I70" s="138"/>
      <c r="J70" s="139"/>
      <c r="K70" s="139"/>
      <c r="L70" s="189">
        <f>SUM(L58,L53,L54:L57)</f>
        <v>3015.887275</v>
      </c>
      <c r="M70" s="140"/>
      <c r="N70" s="141">
        <f>L70-H70</f>
        <v>132.77662199999986</v>
      </c>
      <c r="O70" s="101">
        <f>IF((H70)=0,"",(N70/H70))</f>
        <v>0.04605325219198233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374.80438489000005</v>
      </c>
      <c r="I71" s="145"/>
      <c r="J71" s="146">
        <v>0.13</v>
      </c>
      <c r="K71" s="147"/>
      <c r="L71" s="148">
        <f>L70*J71</f>
        <v>392.06534575</v>
      </c>
      <c r="M71" s="149"/>
      <c r="N71" s="150">
        <f>L71-H71</f>
        <v>17.260960859999955</v>
      </c>
      <c r="O71" s="111">
        <f>IF((H71)=0,"",(N71/H71))</f>
        <v>0.04605325219198225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3257.9150378900003</v>
      </c>
      <c r="I72" s="145"/>
      <c r="J72" s="145"/>
      <c r="K72" s="145"/>
      <c r="L72" s="148">
        <f>L70+L71</f>
        <v>3407.9526207500003</v>
      </c>
      <c r="M72" s="149"/>
      <c r="N72" s="150">
        <f>L72-H72</f>
        <v>150.03758285999993</v>
      </c>
      <c r="O72" s="111">
        <f>IF((H72)=0,"",(N72/H72))</f>
        <v>0.046053252191982356</v>
      </c>
    </row>
    <row r="73" spans="2:15" s="75" customFormat="1" ht="12.75">
      <c r="B73" s="323" t="s">
        <v>45</v>
      </c>
      <c r="C73" s="323"/>
      <c r="D73" s="323"/>
      <c r="E73" s="77"/>
      <c r="F73" s="152"/>
      <c r="G73" s="153"/>
      <c r="H73" s="254">
        <f>ROUND(-H72*10%,2)</f>
        <v>-325.79</v>
      </c>
      <c r="I73" s="145"/>
      <c r="J73" s="145"/>
      <c r="K73" s="145"/>
      <c r="L73" s="255">
        <v>0</v>
      </c>
      <c r="M73" s="149"/>
      <c r="N73" s="256">
        <f>L73-H73</f>
        <v>325.79</v>
      </c>
      <c r="O73" s="117">
        <f>IF((H73)=0,"",(N73/H73))</f>
        <v>-1</v>
      </c>
    </row>
    <row r="74" spans="2:15" s="75" customFormat="1" ht="13.5" thickBot="1">
      <c r="B74" s="314" t="s">
        <v>48</v>
      </c>
      <c r="C74" s="314"/>
      <c r="D74" s="314"/>
      <c r="E74" s="155"/>
      <c r="F74" s="156"/>
      <c r="G74" s="157"/>
      <c r="H74" s="158">
        <f>SUM(H72:H73)</f>
        <v>2932.1250378900004</v>
      </c>
      <c r="I74" s="159"/>
      <c r="J74" s="159"/>
      <c r="K74" s="159"/>
      <c r="L74" s="160">
        <f>SUM(L72:L73)</f>
        <v>3407.9526207500003</v>
      </c>
      <c r="M74" s="161"/>
      <c r="N74" s="162">
        <f>L74-H74</f>
        <v>475.8275828599999</v>
      </c>
      <c r="O74" s="163">
        <f>IF((H74)=0,"",(N74/H74))</f>
        <v>0.16228079522911898</v>
      </c>
    </row>
    <row r="75" spans="2:15" s="75" customFormat="1" ht="15.75" thickBot="1">
      <c r="B75" s="127"/>
      <c r="C75" s="128"/>
      <c r="D75" s="129"/>
      <c r="E75" s="128"/>
      <c r="F75" s="164"/>
      <c r="G75" s="165"/>
      <c r="H75" s="166"/>
      <c r="I75" s="167"/>
      <c r="J75" s="164"/>
      <c r="K75" s="130"/>
      <c r="L75" s="168"/>
      <c r="M75" s="131"/>
      <c r="N75" s="169"/>
      <c r="O75" s="92"/>
    </row>
    <row r="76" ht="15">
      <c r="L76" s="74"/>
    </row>
    <row r="77" spans="2:10" ht="15">
      <c r="B77" s="14" t="s">
        <v>49</v>
      </c>
      <c r="F77" s="170">
        <v>0.0495</v>
      </c>
      <c r="J77" s="170">
        <v>0.0495</v>
      </c>
    </row>
    <row r="79" ht="15">
      <c r="A79" s="171" t="s">
        <v>50</v>
      </c>
    </row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2"/>
      <c r="B93" s="8" t="s">
        <v>60</v>
      </c>
    </row>
  </sheetData>
  <sheetProtection/>
  <mergeCells count="21">
    <mergeCell ref="N1:O1"/>
    <mergeCell ref="N2:O2"/>
    <mergeCell ref="N3:O3"/>
    <mergeCell ref="N4:O4"/>
    <mergeCell ref="A3:K3"/>
    <mergeCell ref="B74:D74"/>
    <mergeCell ref="D21:D22"/>
    <mergeCell ref="N21:N22"/>
    <mergeCell ref="O21:O22"/>
    <mergeCell ref="B67:D67"/>
    <mergeCell ref="N5:O5"/>
    <mergeCell ref="B73:D73"/>
    <mergeCell ref="J20:L20"/>
    <mergeCell ref="B68:D68"/>
    <mergeCell ref="F20:H20"/>
    <mergeCell ref="N7:O7"/>
    <mergeCell ref="B11:O11"/>
    <mergeCell ref="N20:O20"/>
    <mergeCell ref="D14:O14"/>
    <mergeCell ref="B10:O10"/>
    <mergeCell ref="N6:O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'GS 50-4999 (60kW)'!#REF!</formula1>
    </dataValidation>
    <dataValidation type="list" allowBlank="1" showInputMessage="1" showErrorMessage="1" prompt="Select Charge Unit - monthly, per kWh, per kW" sqref="D51:D52 D23:D40 D69 D54:D63 D75 D42:D49">
      <formula1>"Monthly, per kWh, per kW"</formula1>
    </dataValidation>
    <dataValidation type="list" allowBlank="1" showInputMessage="1" showErrorMessage="1" sqref="E51:E52 E23:E40 E63 E54:E60 E42:E49">
      <formula1>'GS 50-4999 (60kW)'!#REF!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5"/>
  <sheetViews>
    <sheetView showGridLines="0" zoomScalePageLayoutView="0" workbookViewId="0" topLeftCell="A34">
      <selection activeCell="L66" sqref="L66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140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14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93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119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40000</v>
      </c>
      <c r="G18" s="14" t="s">
        <v>9</v>
      </c>
      <c r="H18" s="15">
        <v>100</v>
      </c>
      <c r="I18" s="14" t="s">
        <v>70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'GS 50-4999 (60kW)'!F23</f>
        <v>96.98</v>
      </c>
      <c r="G23" s="27">
        <v>1</v>
      </c>
      <c r="H23" s="28">
        <f>G23*F23</f>
        <v>96.98</v>
      </c>
      <c r="I23" s="29"/>
      <c r="J23" s="173">
        <f>'GS 50-4999 (60kW)'!J23</f>
        <v>96.98</v>
      </c>
      <c r="K23" s="31">
        <v>1</v>
      </c>
      <c r="L23" s="28">
        <f>K23*J23</f>
        <v>96.98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174"/>
      <c r="G24" s="27"/>
      <c r="H24" s="28"/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 50-4999 (60kW)'!J25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15" hidden="1">
      <c r="B26" s="175"/>
      <c r="C26" s="23"/>
      <c r="D26" s="57" t="s">
        <v>62</v>
      </c>
      <c r="E26" s="58"/>
      <c r="F26" s="173"/>
      <c r="G26" s="27">
        <v>1</v>
      </c>
      <c r="H26" s="28">
        <f aca="true" t="shared" si="0" ref="H26:H33">G26*F26</f>
        <v>0</v>
      </c>
      <c r="I26" s="29"/>
      <c r="J26" s="30"/>
      <c r="K26" s="31">
        <v>1</v>
      </c>
      <c r="L26" s="28">
        <f aca="true" t="shared" si="1" ref="L26:L33">K26*J26</f>
        <v>0</v>
      </c>
      <c r="M26" s="29"/>
      <c r="N26" s="32">
        <f aca="true" t="shared" si="2" ref="N26:N60">L26-H26</f>
        <v>0</v>
      </c>
      <c r="O26" s="33">
        <f aca="true" t="shared" si="3" ref="O26:O40">IF((H26)=0,"",(N26/H26))</f>
      </c>
    </row>
    <row r="27" spans="2:15" ht="15" hidden="1">
      <c r="B27" s="175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3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71</v>
      </c>
      <c r="E28" s="25"/>
      <c r="F28" s="26">
        <v>0</v>
      </c>
      <c r="G28" s="179">
        <f>$H$18</f>
        <v>100</v>
      </c>
      <c r="H28" s="28">
        <f t="shared" si="0"/>
        <v>0</v>
      </c>
      <c r="I28" s="29"/>
      <c r="J28" s="30"/>
      <c r="K28" s="179">
        <f>$H$18</f>
        <v>100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71</v>
      </c>
      <c r="E29" s="25"/>
      <c r="F29" s="251">
        <f>'GS 50-4999 (60kW)'!F29</f>
        <v>0</v>
      </c>
      <c r="G29" s="179">
        <f>$H$18</f>
        <v>100</v>
      </c>
      <c r="H29" s="28">
        <f t="shared" si="0"/>
        <v>0</v>
      </c>
      <c r="I29" s="29"/>
      <c r="J29" s="30">
        <v>0</v>
      </c>
      <c r="K29" s="179">
        <f>$H$18</f>
        <v>100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'GS 50-4999 (60kW)'!F30</f>
        <v>0</v>
      </c>
      <c r="G30" s="179">
        <f>$H$18</f>
        <v>100</v>
      </c>
      <c r="H30" s="247">
        <f t="shared" si="0"/>
        <v>0</v>
      </c>
      <c r="I30" s="29"/>
      <c r="J30" s="30">
        <f>'GS 50-4999 (60kW)'!J30</f>
        <v>0</v>
      </c>
      <c r="K30" s="179">
        <f>H18</f>
        <v>100</v>
      </c>
      <c r="L30" s="28">
        <f t="shared" si="1"/>
        <v>0</v>
      </c>
      <c r="M30" s="29"/>
      <c r="N30" s="257">
        <f t="shared" si="2"/>
        <v>0</v>
      </c>
      <c r="O30" s="33"/>
    </row>
    <row r="31" spans="2:15" ht="15">
      <c r="B31" s="23" t="s">
        <v>21</v>
      </c>
      <c r="C31" s="23"/>
      <c r="D31" s="24" t="s">
        <v>71</v>
      </c>
      <c r="E31" s="25"/>
      <c r="F31" s="26">
        <f>'GS 50-4999 (60kW)'!F31</f>
        <v>3.9297</v>
      </c>
      <c r="G31" s="179">
        <f>$H$18</f>
        <v>100</v>
      </c>
      <c r="H31" s="28">
        <f t="shared" si="0"/>
        <v>392.96999999999997</v>
      </c>
      <c r="I31" s="29"/>
      <c r="J31" s="30">
        <f>'GS 50-4999 (60kW)'!J31</f>
        <v>3.9297</v>
      </c>
      <c r="K31" s="179">
        <f>$H$18</f>
        <v>100</v>
      </c>
      <c r="L31" s="28">
        <f t="shared" si="1"/>
        <v>392.96999999999997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40000</v>
      </c>
      <c r="H32" s="28">
        <f t="shared" si="0"/>
        <v>0</v>
      </c>
      <c r="I32" s="29"/>
      <c r="J32" s="30"/>
      <c r="K32" s="27">
        <f>$F$18</f>
        <v>40000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71</v>
      </c>
      <c r="E33" s="25"/>
      <c r="F33" s="26">
        <v>0</v>
      </c>
      <c r="G33" s="179">
        <f>$H$18</f>
        <v>100</v>
      </c>
      <c r="H33" s="247">
        <f t="shared" si="0"/>
        <v>0</v>
      </c>
      <c r="I33" s="29"/>
      <c r="J33" s="30">
        <f>'GS 50-4999 (60kW)'!J33</f>
        <v>0</v>
      </c>
      <c r="K33" s="179">
        <f>$H$18</f>
        <v>100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s="35" customFormat="1" ht="15">
      <c r="B34" s="36" t="s">
        <v>24</v>
      </c>
      <c r="C34" s="37"/>
      <c r="D34" s="38"/>
      <c r="E34" s="37"/>
      <c r="F34" s="39"/>
      <c r="G34" s="40"/>
      <c r="H34" s="41">
        <f>SUM(H23:H33)</f>
        <v>489.95</v>
      </c>
      <c r="I34" s="42"/>
      <c r="J34" s="43"/>
      <c r="K34" s="44"/>
      <c r="L34" s="41">
        <f>SUM(L23:L33)</f>
        <v>489.95</v>
      </c>
      <c r="M34" s="42"/>
      <c r="N34" s="45">
        <f t="shared" si="2"/>
        <v>0</v>
      </c>
      <c r="O34" s="46">
        <f t="shared" si="3"/>
        <v>0</v>
      </c>
    </row>
    <row r="35" spans="2:15" ht="15">
      <c r="B35" s="47" t="s">
        <v>25</v>
      </c>
      <c r="C35" s="23"/>
      <c r="D35" s="57" t="s">
        <v>71</v>
      </c>
      <c r="E35" s="58"/>
      <c r="F35" s="252">
        <f>'GS 50-4999 (60kW)'!F42</f>
        <v>-2.8653</v>
      </c>
      <c r="G35" s="179">
        <f>G31</f>
        <v>100</v>
      </c>
      <c r="H35" s="28">
        <f aca="true" t="shared" si="4" ref="H35:H41">G35*F35</f>
        <v>-286.53</v>
      </c>
      <c r="I35" s="29"/>
      <c r="J35" s="252">
        <f>'GS 50-4999 (60kW)'!J42</f>
        <v>0.9664</v>
      </c>
      <c r="K35" s="179">
        <f>H18</f>
        <v>100</v>
      </c>
      <c r="L35" s="28">
        <f aca="true" t="shared" si="5" ref="L35:L41">K35*J35</f>
        <v>96.64</v>
      </c>
      <c r="M35" s="29"/>
      <c r="N35" s="32">
        <f t="shared" si="2"/>
        <v>383.16999999999996</v>
      </c>
      <c r="O35" s="33">
        <f t="shared" si="3"/>
        <v>-1.3372770739538618</v>
      </c>
    </row>
    <row r="36" spans="2:15" ht="15" hidden="1">
      <c r="B36" s="47"/>
      <c r="C36" s="23"/>
      <c r="D36" s="24" t="s">
        <v>71</v>
      </c>
      <c r="E36" s="25"/>
      <c r="F36" s="26"/>
      <c r="G36" s="179">
        <f>H18</f>
        <v>100</v>
      </c>
      <c r="H36" s="28">
        <f t="shared" si="4"/>
        <v>0</v>
      </c>
      <c r="I36" s="48"/>
      <c r="J36" s="30"/>
      <c r="K36" s="179">
        <f>H18</f>
        <v>100</v>
      </c>
      <c r="L36" s="28">
        <f t="shared" si="5"/>
        <v>0</v>
      </c>
      <c r="M36" s="49"/>
      <c r="N36" s="32">
        <f t="shared" si="2"/>
        <v>0</v>
      </c>
      <c r="O36" s="33">
        <f t="shared" si="3"/>
      </c>
    </row>
    <row r="37" spans="2:15" ht="15" hidden="1">
      <c r="B37" s="47"/>
      <c r="C37" s="23"/>
      <c r="D37" s="24" t="s">
        <v>71</v>
      </c>
      <c r="E37" s="25"/>
      <c r="F37" s="26"/>
      <c r="G37" s="179">
        <f>H18</f>
        <v>100</v>
      </c>
      <c r="H37" s="28">
        <f t="shared" si="4"/>
        <v>0</v>
      </c>
      <c r="I37" s="48"/>
      <c r="J37" s="30"/>
      <c r="K37" s="179">
        <f>H18</f>
        <v>100</v>
      </c>
      <c r="L37" s="28">
        <f t="shared" si="5"/>
        <v>0</v>
      </c>
      <c r="M37" s="49"/>
      <c r="N37" s="32">
        <f t="shared" si="2"/>
        <v>0</v>
      </c>
      <c r="O37" s="33">
        <f t="shared" si="3"/>
      </c>
    </row>
    <row r="38" spans="2:15" ht="30.75" customHeight="1">
      <c r="B38" s="47" t="s">
        <v>75</v>
      </c>
      <c r="C38" s="23"/>
      <c r="D38" s="57" t="s">
        <v>71</v>
      </c>
      <c r="E38" s="25"/>
      <c r="F38" s="252">
        <f>'GS 50-4999 (60kW)'!F45</f>
        <v>2.7911</v>
      </c>
      <c r="G38" s="179">
        <f>H18</f>
        <v>100</v>
      </c>
      <c r="H38" s="28">
        <f t="shared" si="4"/>
        <v>279.11</v>
      </c>
      <c r="I38" s="48"/>
      <c r="J38" s="30">
        <f>'GS 50-4999 (60kW)'!J45</f>
        <v>0.0684</v>
      </c>
      <c r="K38" s="179">
        <f>H18</f>
        <v>100</v>
      </c>
      <c r="L38" s="28">
        <f t="shared" si="5"/>
        <v>6.84</v>
      </c>
      <c r="M38" s="49"/>
      <c r="N38" s="32">
        <f t="shared" si="2"/>
        <v>-272.27000000000004</v>
      </c>
      <c r="O38" s="33">
        <f t="shared" si="3"/>
        <v>-0.975493533015657</v>
      </c>
    </row>
    <row r="39" spans="2:15" ht="15">
      <c r="B39" s="50" t="s">
        <v>26</v>
      </c>
      <c r="C39" s="23"/>
      <c r="D39" s="24" t="s">
        <v>71</v>
      </c>
      <c r="E39" s="25"/>
      <c r="F39" s="26">
        <f>'GS 50-4999 (60kW)'!F47</f>
        <v>1.1222</v>
      </c>
      <c r="G39" s="179">
        <f>H18</f>
        <v>100</v>
      </c>
      <c r="H39" s="28">
        <f t="shared" si="4"/>
        <v>112.22000000000001</v>
      </c>
      <c r="I39" s="29"/>
      <c r="J39" s="30">
        <f>'GS 50-4999 (60kW)'!J47</f>
        <v>1.1222</v>
      </c>
      <c r="K39" s="179">
        <f>H18</f>
        <v>100</v>
      </c>
      <c r="L39" s="28">
        <f t="shared" si="5"/>
        <v>112.22000000000001</v>
      </c>
      <c r="M39" s="29"/>
      <c r="N39" s="32">
        <f t="shared" si="2"/>
        <v>0</v>
      </c>
      <c r="O39" s="33">
        <f t="shared" si="3"/>
        <v>0</v>
      </c>
    </row>
    <row r="40" spans="2:15" s="35" customFormat="1" ht="15">
      <c r="B40" s="181" t="s">
        <v>27</v>
      </c>
      <c r="C40" s="25"/>
      <c r="D40" s="182" t="s">
        <v>63</v>
      </c>
      <c r="E40" s="25"/>
      <c r="F40" s="183">
        <f>IF(ISBLANK(D16)=TRUE,0,IF(D16="TOU",0.64*$F$50+0.18*$F$51+0.18*$F$52,IF(AND(D16="non-TOU",G54&gt;0),F54,F53)))</f>
        <v>0.075</v>
      </c>
      <c r="G40" s="27">
        <f>$F$18*(1+$F$69)-$F$18</f>
        <v>1980.0000000000073</v>
      </c>
      <c r="H40" s="184">
        <f t="shared" si="4"/>
        <v>148.50000000000054</v>
      </c>
      <c r="I40" s="58"/>
      <c r="J40" s="185">
        <f>IF(ISBLANK(D16)=TRUE,0,IF(D16="TOU",0.64*$F$50+0.18*$F$51+0.18*$F$52,IF(AND(D16="non-TOU",K54&gt;0),J54,J53)))</f>
        <v>0.075</v>
      </c>
      <c r="K40" s="27">
        <f>$F$18*(1+$J$69)-$F$18</f>
        <v>1980.0000000000073</v>
      </c>
      <c r="L40" s="184">
        <f t="shared" si="5"/>
        <v>148.50000000000054</v>
      </c>
      <c r="M40" s="58"/>
      <c r="N40" s="186">
        <f t="shared" si="2"/>
        <v>0</v>
      </c>
      <c r="O40" s="187">
        <f t="shared" si="3"/>
        <v>0</v>
      </c>
    </row>
    <row r="41" spans="2:15" ht="15">
      <c r="B41" s="50" t="s">
        <v>28</v>
      </c>
      <c r="C41" s="23"/>
      <c r="D41" s="24" t="s">
        <v>62</v>
      </c>
      <c r="E41" s="25"/>
      <c r="F41" s="178">
        <v>0</v>
      </c>
      <c r="G41" s="27">
        <v>0</v>
      </c>
      <c r="H41" s="28">
        <f t="shared" si="4"/>
        <v>0</v>
      </c>
      <c r="I41" s="29"/>
      <c r="J41" s="178">
        <v>0</v>
      </c>
      <c r="K41" s="27">
        <v>0</v>
      </c>
      <c r="L41" s="28">
        <f t="shared" si="5"/>
        <v>0</v>
      </c>
      <c r="M41" s="29"/>
      <c r="N41" s="32">
        <f t="shared" si="2"/>
        <v>0</v>
      </c>
      <c r="O41" s="33"/>
    </row>
    <row r="42" spans="2:15" ht="25.5">
      <c r="B42" s="51" t="s">
        <v>29</v>
      </c>
      <c r="C42" s="52"/>
      <c r="D42" s="52"/>
      <c r="E42" s="52"/>
      <c r="F42" s="53"/>
      <c r="G42" s="54"/>
      <c r="H42" s="55">
        <f>SUM(H35:H41)+H34</f>
        <v>743.2500000000006</v>
      </c>
      <c r="I42" s="42"/>
      <c r="J42" s="54"/>
      <c r="K42" s="56"/>
      <c r="L42" s="55">
        <f>SUM(L35:L41)+L34</f>
        <v>854.1500000000005</v>
      </c>
      <c r="M42" s="42"/>
      <c r="N42" s="45">
        <f t="shared" si="2"/>
        <v>110.89999999999998</v>
      </c>
      <c r="O42" s="46">
        <f aca="true" t="shared" si="6" ref="O42:O60">IF((H42)=0,"",(N42/H42))</f>
        <v>0.1492095526404304</v>
      </c>
    </row>
    <row r="43" spans="2:15" ht="15">
      <c r="B43" s="29" t="s">
        <v>30</v>
      </c>
      <c r="C43" s="29"/>
      <c r="D43" s="57" t="s">
        <v>71</v>
      </c>
      <c r="E43" s="58"/>
      <c r="F43" s="30">
        <f>'GS 50-4999 (60kW)'!F51</f>
        <v>1.747</v>
      </c>
      <c r="G43" s="59">
        <f>H18*(1+F69)</f>
        <v>104.95000000000002</v>
      </c>
      <c r="H43" s="28">
        <f>G43*F43</f>
        <v>183.34765000000004</v>
      </c>
      <c r="I43" s="29"/>
      <c r="J43" s="30">
        <f>'GS 50-4999 (60kW)'!J51</f>
        <v>2.3168</v>
      </c>
      <c r="K43" s="60">
        <f>H18*(1+J69)</f>
        <v>104.95000000000002</v>
      </c>
      <c r="L43" s="28">
        <f>K43*J43</f>
        <v>243.14816000000005</v>
      </c>
      <c r="M43" s="29"/>
      <c r="N43" s="32">
        <f t="shared" si="2"/>
        <v>59.80051</v>
      </c>
      <c r="O43" s="33">
        <f t="shared" si="6"/>
        <v>0.32615912993703483</v>
      </c>
    </row>
    <row r="44" spans="2:15" ht="15">
      <c r="B44" s="61" t="s">
        <v>31</v>
      </c>
      <c r="C44" s="29"/>
      <c r="D44" s="57" t="s">
        <v>71</v>
      </c>
      <c r="E44" s="58"/>
      <c r="F44" s="30">
        <f>'GS 50-4999 (60kW)'!F52</f>
        <v>0.6879</v>
      </c>
      <c r="G44" s="59">
        <f>G43</f>
        <v>104.95000000000002</v>
      </c>
      <c r="H44" s="28">
        <f>G44*F44</f>
        <v>72.19510500000001</v>
      </c>
      <c r="I44" s="29"/>
      <c r="J44" s="30">
        <f>'GS 50-4999 (60kW)'!J52</f>
        <v>1.0907</v>
      </c>
      <c r="K44" s="60">
        <f>K43</f>
        <v>104.95000000000002</v>
      </c>
      <c r="L44" s="28">
        <f>K44*J44</f>
        <v>114.46896500000003</v>
      </c>
      <c r="M44" s="29"/>
      <c r="N44" s="32">
        <f t="shared" si="2"/>
        <v>42.27386000000001</v>
      </c>
      <c r="O44" s="33">
        <f t="shared" si="6"/>
        <v>0.5855502253234482</v>
      </c>
    </row>
    <row r="45" spans="2:15" ht="15">
      <c r="B45" s="51" t="s">
        <v>32</v>
      </c>
      <c r="C45" s="37"/>
      <c r="D45" s="37"/>
      <c r="E45" s="37"/>
      <c r="F45" s="62"/>
      <c r="G45" s="54"/>
      <c r="H45" s="55">
        <f>SUM(H42:H44)</f>
        <v>998.7927550000006</v>
      </c>
      <c r="I45" s="63"/>
      <c r="J45" s="64"/>
      <c r="K45" s="65"/>
      <c r="L45" s="55">
        <f>SUM(L42:L44)</f>
        <v>1211.7671250000005</v>
      </c>
      <c r="M45" s="63"/>
      <c r="N45" s="45">
        <f t="shared" si="2"/>
        <v>212.9743699999999</v>
      </c>
      <c r="O45" s="46">
        <f t="shared" si="6"/>
        <v>0.21323179301595932</v>
      </c>
    </row>
    <row r="46" spans="2:15" ht="15">
      <c r="B46" s="66" t="s">
        <v>33</v>
      </c>
      <c r="C46" s="23"/>
      <c r="D46" s="24" t="s">
        <v>63</v>
      </c>
      <c r="E46" s="25"/>
      <c r="F46" s="67">
        <v>0.0044</v>
      </c>
      <c r="G46" s="59">
        <f>F18*(1+F69)</f>
        <v>41980.00000000001</v>
      </c>
      <c r="H46" s="68">
        <f aca="true" t="shared" si="7" ref="H46:H52">G46*F46</f>
        <v>184.71200000000005</v>
      </c>
      <c r="I46" s="29"/>
      <c r="J46" s="69">
        <v>0.0044</v>
      </c>
      <c r="K46" s="60">
        <f>F18*(1+J69)</f>
        <v>41980.00000000001</v>
      </c>
      <c r="L46" s="68">
        <f aca="true" t="shared" si="8" ref="L46:L52">K46*J46</f>
        <v>184.71200000000005</v>
      </c>
      <c r="M46" s="29"/>
      <c r="N46" s="32">
        <f t="shared" si="2"/>
        <v>0</v>
      </c>
      <c r="O46" s="70">
        <f t="shared" si="6"/>
        <v>0</v>
      </c>
    </row>
    <row r="47" spans="2:15" ht="15">
      <c r="B47" s="66" t="s">
        <v>34</v>
      </c>
      <c r="C47" s="23"/>
      <c r="D47" s="24" t="s">
        <v>63</v>
      </c>
      <c r="E47" s="25"/>
      <c r="F47" s="67">
        <v>0.0013</v>
      </c>
      <c r="G47" s="59">
        <f>G46</f>
        <v>41980.00000000001</v>
      </c>
      <c r="H47" s="68">
        <f t="shared" si="7"/>
        <v>54.574000000000005</v>
      </c>
      <c r="I47" s="29"/>
      <c r="J47" s="69">
        <v>0.0013</v>
      </c>
      <c r="K47" s="60">
        <f>K46</f>
        <v>41980.00000000001</v>
      </c>
      <c r="L47" s="68">
        <f t="shared" si="8"/>
        <v>54.574000000000005</v>
      </c>
      <c r="M47" s="29"/>
      <c r="N47" s="32">
        <f t="shared" si="2"/>
        <v>0</v>
      </c>
      <c r="O47" s="70">
        <f t="shared" si="6"/>
        <v>0</v>
      </c>
    </row>
    <row r="48" spans="2:15" ht="15">
      <c r="B48" s="23" t="s">
        <v>35</v>
      </c>
      <c r="C48" s="23"/>
      <c r="D48" s="24" t="s">
        <v>62</v>
      </c>
      <c r="E48" s="25"/>
      <c r="F48" s="176">
        <v>0.25</v>
      </c>
      <c r="G48" s="27">
        <v>1</v>
      </c>
      <c r="H48" s="68">
        <f t="shared" si="7"/>
        <v>0.25</v>
      </c>
      <c r="I48" s="29"/>
      <c r="J48" s="177">
        <v>0.25</v>
      </c>
      <c r="K48" s="31">
        <v>1</v>
      </c>
      <c r="L48" s="68">
        <f t="shared" si="8"/>
        <v>0.25</v>
      </c>
      <c r="M48" s="29"/>
      <c r="N48" s="32">
        <f t="shared" si="2"/>
        <v>0</v>
      </c>
      <c r="O48" s="70">
        <f t="shared" si="6"/>
        <v>0</v>
      </c>
    </row>
    <row r="49" spans="2:15" ht="15">
      <c r="B49" s="23" t="s">
        <v>36</v>
      </c>
      <c r="C49" s="23"/>
      <c r="D49" s="24" t="s">
        <v>63</v>
      </c>
      <c r="E49" s="25"/>
      <c r="F49" s="67">
        <v>0.007</v>
      </c>
      <c r="G49" s="71">
        <f>F18</f>
        <v>40000</v>
      </c>
      <c r="H49" s="68">
        <f t="shared" si="7"/>
        <v>280</v>
      </c>
      <c r="I49" s="29"/>
      <c r="J49" s="69">
        <f>0.007</f>
        <v>0.007</v>
      </c>
      <c r="K49" s="72">
        <f>F18</f>
        <v>40000</v>
      </c>
      <c r="L49" s="68">
        <f t="shared" si="8"/>
        <v>280</v>
      </c>
      <c r="M49" s="29"/>
      <c r="N49" s="32">
        <f t="shared" si="2"/>
        <v>0</v>
      </c>
      <c r="O49" s="70">
        <f t="shared" si="6"/>
        <v>0</v>
      </c>
    </row>
    <row r="50" spans="2:19" ht="15.75" thickBot="1">
      <c r="B50" s="50" t="s">
        <v>74</v>
      </c>
      <c r="C50" s="23"/>
      <c r="D50" s="24" t="s">
        <v>63</v>
      </c>
      <c r="E50" s="25"/>
      <c r="F50" s="67">
        <f>'GS 50-4999 (60kW)'!F58</f>
        <v>0.1</v>
      </c>
      <c r="G50" s="71">
        <f>F18</f>
        <v>40000</v>
      </c>
      <c r="H50" s="68">
        <f t="shared" si="7"/>
        <v>4000</v>
      </c>
      <c r="I50" s="29"/>
      <c r="J50" s="69">
        <f>F50</f>
        <v>0.1</v>
      </c>
      <c r="K50" s="71">
        <f>G50</f>
        <v>40000</v>
      </c>
      <c r="L50" s="68">
        <f t="shared" si="8"/>
        <v>4000</v>
      </c>
      <c r="M50" s="29"/>
      <c r="N50" s="32">
        <f t="shared" si="2"/>
        <v>0</v>
      </c>
      <c r="O50" s="70">
        <f t="shared" si="6"/>
        <v>0</v>
      </c>
      <c r="S50" s="74"/>
    </row>
    <row r="51" spans="2:19" ht="15.75" hidden="1" thickBot="1">
      <c r="B51" s="50" t="s">
        <v>38</v>
      </c>
      <c r="C51" s="23"/>
      <c r="D51" s="24"/>
      <c r="E51" s="25"/>
      <c r="F51" s="73">
        <v>0.104</v>
      </c>
      <c r="G51" s="71">
        <v>0</v>
      </c>
      <c r="H51" s="68">
        <f t="shared" si="7"/>
        <v>0</v>
      </c>
      <c r="I51" s="29"/>
      <c r="J51" s="67">
        <v>0.104</v>
      </c>
      <c r="K51" s="71">
        <v>0</v>
      </c>
      <c r="L51" s="68">
        <f t="shared" si="8"/>
        <v>0</v>
      </c>
      <c r="M51" s="29"/>
      <c r="N51" s="32">
        <f t="shared" si="2"/>
        <v>0</v>
      </c>
      <c r="O51" s="70">
        <f t="shared" si="6"/>
      </c>
      <c r="S51" s="74"/>
    </row>
    <row r="52" spans="2:19" ht="15.75" hidden="1" thickBot="1">
      <c r="B52" s="13" t="s">
        <v>39</v>
      </c>
      <c r="C52" s="23"/>
      <c r="D52" s="24"/>
      <c r="E52" s="25"/>
      <c r="F52" s="73">
        <v>0.124</v>
      </c>
      <c r="G52" s="71">
        <v>0</v>
      </c>
      <c r="H52" s="68">
        <f t="shared" si="7"/>
        <v>0</v>
      </c>
      <c r="I52" s="29"/>
      <c r="J52" s="67">
        <v>0.124</v>
      </c>
      <c r="K52" s="71">
        <v>0</v>
      </c>
      <c r="L52" s="68">
        <f t="shared" si="8"/>
        <v>0</v>
      </c>
      <c r="M52" s="29"/>
      <c r="N52" s="32">
        <f t="shared" si="2"/>
        <v>0</v>
      </c>
      <c r="O52" s="70">
        <f t="shared" si="6"/>
      </c>
      <c r="S52" s="74"/>
    </row>
    <row r="53" spans="2:15" s="75" customFormat="1" ht="15.75" hidden="1" thickBot="1">
      <c r="B53" s="180" t="s">
        <v>40</v>
      </c>
      <c r="C53" s="77"/>
      <c r="D53" s="78"/>
      <c r="E53" s="79"/>
      <c r="F53" s="73">
        <v>0.075</v>
      </c>
      <c r="G53" s="80">
        <v>0</v>
      </c>
      <c r="H53" s="68">
        <f>G53*F53</f>
        <v>0</v>
      </c>
      <c r="I53" s="81"/>
      <c r="J53" s="67">
        <v>0.075</v>
      </c>
      <c r="K53" s="80">
        <f>G53</f>
        <v>0</v>
      </c>
      <c r="L53" s="68">
        <f>K53*J53</f>
        <v>0</v>
      </c>
      <c r="M53" s="81"/>
      <c r="N53" s="82">
        <f t="shared" si="2"/>
        <v>0</v>
      </c>
      <c r="O53" s="70">
        <f t="shared" si="6"/>
      </c>
    </row>
    <row r="54" spans="2:15" s="75" customFormat="1" ht="15.75" hidden="1" thickBot="1">
      <c r="B54" s="180" t="s">
        <v>41</v>
      </c>
      <c r="C54" s="77"/>
      <c r="D54" s="78"/>
      <c r="E54" s="79"/>
      <c r="F54" s="73">
        <v>0.088</v>
      </c>
      <c r="G54" s="80">
        <v>0</v>
      </c>
      <c r="H54" s="68">
        <f>G54*F54</f>
        <v>0</v>
      </c>
      <c r="I54" s="81"/>
      <c r="J54" s="67">
        <v>0.088</v>
      </c>
      <c r="K54" s="80">
        <f>G54</f>
        <v>0</v>
      </c>
      <c r="L54" s="68">
        <f>K54*J54</f>
        <v>0</v>
      </c>
      <c r="M54" s="81"/>
      <c r="N54" s="82">
        <f t="shared" si="2"/>
        <v>0</v>
      </c>
      <c r="O54" s="70">
        <f t="shared" si="6"/>
      </c>
    </row>
    <row r="55" spans="2:15" ht="8.25" customHeight="1" thickBot="1">
      <c r="B55" s="83"/>
      <c r="C55" s="84"/>
      <c r="D55" s="85"/>
      <c r="E55" s="84"/>
      <c r="F55" s="86"/>
      <c r="G55" s="87"/>
      <c r="H55" s="88"/>
      <c r="I55" s="89"/>
      <c r="J55" s="86"/>
      <c r="K55" s="90"/>
      <c r="L55" s="88"/>
      <c r="M55" s="89"/>
      <c r="N55" s="91"/>
      <c r="O55" s="92"/>
    </row>
    <row r="56" spans="2:19" ht="15" hidden="1">
      <c r="B56" s="93" t="s">
        <v>42</v>
      </c>
      <c r="C56" s="23"/>
      <c r="D56" s="23"/>
      <c r="E56" s="23"/>
      <c r="F56" s="94"/>
      <c r="G56" s="95"/>
      <c r="H56" s="96">
        <f>SUM(H46:H52,H45)</f>
        <v>5518.3287550000005</v>
      </c>
      <c r="I56" s="97"/>
      <c r="J56" s="98"/>
      <c r="K56" s="98"/>
      <c r="L56" s="96">
        <f>SUM(L46:L52,L45)</f>
        <v>5731.303125</v>
      </c>
      <c r="M56" s="99"/>
      <c r="N56" s="100">
        <f>L56-H56</f>
        <v>212.9743699999999</v>
      </c>
      <c r="O56" s="101">
        <f>IF((H56)=0,"",(N56/H56))</f>
        <v>0.038593998193208384</v>
      </c>
      <c r="S56" s="74"/>
    </row>
    <row r="57" spans="2:19" ht="15" hidden="1">
      <c r="B57" s="102" t="s">
        <v>43</v>
      </c>
      <c r="C57" s="23"/>
      <c r="D57" s="23"/>
      <c r="E57" s="23"/>
      <c r="F57" s="103">
        <v>0.13</v>
      </c>
      <c r="G57" s="104"/>
      <c r="H57" s="105">
        <f>H56*F57</f>
        <v>717.3827381500001</v>
      </c>
      <c r="I57" s="106"/>
      <c r="J57" s="107">
        <v>0.13</v>
      </c>
      <c r="K57" s="106"/>
      <c r="L57" s="108">
        <f>L56*J57</f>
        <v>745.06940625</v>
      </c>
      <c r="M57" s="109"/>
      <c r="N57" s="110">
        <f t="shared" si="2"/>
        <v>27.686668099999906</v>
      </c>
      <c r="O57" s="111">
        <f t="shared" si="6"/>
        <v>0.038593998193208266</v>
      </c>
      <c r="S57" s="74"/>
    </row>
    <row r="58" spans="2:19" ht="15" hidden="1">
      <c r="B58" s="112" t="s">
        <v>44</v>
      </c>
      <c r="C58" s="23"/>
      <c r="D58" s="23"/>
      <c r="E58" s="23"/>
      <c r="F58" s="113"/>
      <c r="G58" s="104"/>
      <c r="H58" s="105">
        <f>H56+H57</f>
        <v>6235.711493150001</v>
      </c>
      <c r="I58" s="106"/>
      <c r="J58" s="106"/>
      <c r="K58" s="106"/>
      <c r="L58" s="108">
        <f>L56+L57</f>
        <v>6476.37253125</v>
      </c>
      <c r="M58" s="109"/>
      <c r="N58" s="110">
        <f t="shared" si="2"/>
        <v>240.66103809999913</v>
      </c>
      <c r="O58" s="111">
        <f t="shared" si="6"/>
        <v>0.03859399819320826</v>
      </c>
      <c r="S58" s="74"/>
    </row>
    <row r="59" spans="2:15" ht="15.75" customHeight="1" hidden="1">
      <c r="B59" s="321" t="s">
        <v>45</v>
      </c>
      <c r="C59" s="321"/>
      <c r="D59" s="321"/>
      <c r="E59" s="23"/>
      <c r="F59" s="113"/>
      <c r="G59" s="104"/>
      <c r="H59" s="114">
        <f>ROUND(-H58*10%,2)</f>
        <v>-623.57</v>
      </c>
      <c r="I59" s="106"/>
      <c r="J59" s="106"/>
      <c r="K59" s="106"/>
      <c r="L59" s="115">
        <f>ROUND(-L58*10%,2)</f>
        <v>-647.64</v>
      </c>
      <c r="M59" s="109"/>
      <c r="N59" s="116">
        <f t="shared" si="2"/>
        <v>-24.069999999999936</v>
      </c>
      <c r="O59" s="117">
        <f t="shared" si="6"/>
        <v>0.038600317526500526</v>
      </c>
    </row>
    <row r="60" spans="2:15" ht="15" hidden="1">
      <c r="B60" s="322" t="s">
        <v>46</v>
      </c>
      <c r="C60" s="322"/>
      <c r="D60" s="322"/>
      <c r="E60" s="118"/>
      <c r="F60" s="119"/>
      <c r="G60" s="120"/>
      <c r="H60" s="121">
        <f>H58+H59</f>
        <v>5612.141493150001</v>
      </c>
      <c r="I60" s="122"/>
      <c r="J60" s="122"/>
      <c r="K60" s="122"/>
      <c r="L60" s="123">
        <f>L58+L59</f>
        <v>5828.73253125</v>
      </c>
      <c r="M60" s="124"/>
      <c r="N60" s="125">
        <f t="shared" si="2"/>
        <v>216.5910380999985</v>
      </c>
      <c r="O60" s="126">
        <f t="shared" si="6"/>
        <v>0.03859329604650249</v>
      </c>
    </row>
    <row r="61" spans="2:15" s="75" customFormat="1" ht="8.25" customHeight="1" hidden="1">
      <c r="B61" s="127"/>
      <c r="C61" s="128"/>
      <c r="D61" s="129"/>
      <c r="E61" s="128"/>
      <c r="F61" s="86"/>
      <c r="G61" s="130"/>
      <c r="H61" s="88"/>
      <c r="I61" s="131"/>
      <c r="J61" s="86"/>
      <c r="K61" s="132"/>
      <c r="L61" s="88"/>
      <c r="M61" s="131"/>
      <c r="N61" s="133"/>
      <c r="O61" s="92"/>
    </row>
    <row r="62" spans="2:15" s="75" customFormat="1" ht="12.75">
      <c r="B62" s="134" t="s">
        <v>47</v>
      </c>
      <c r="C62" s="77"/>
      <c r="D62" s="77"/>
      <c r="E62" s="77"/>
      <c r="F62" s="135"/>
      <c r="G62" s="136"/>
      <c r="H62" s="137">
        <f>SUM(H50,H45,H46:H49)</f>
        <v>5518.3287550000005</v>
      </c>
      <c r="I62" s="138"/>
      <c r="J62" s="139"/>
      <c r="K62" s="139"/>
      <c r="L62" s="189">
        <f>SUM(L50,L45,L46:L49)</f>
        <v>5731.303125</v>
      </c>
      <c r="M62" s="140"/>
      <c r="N62" s="141">
        <f>L62-H62</f>
        <v>212.9743699999999</v>
      </c>
      <c r="O62" s="101">
        <f>IF((H62)=0,"",(N62/H62))</f>
        <v>0.038593998193208384</v>
      </c>
    </row>
    <row r="63" spans="2:15" s="75" customFormat="1" ht="12.75">
      <c r="B63" s="142" t="s">
        <v>43</v>
      </c>
      <c r="C63" s="77"/>
      <c r="D63" s="77"/>
      <c r="E63" s="77"/>
      <c r="F63" s="143">
        <v>0.13</v>
      </c>
      <c r="G63" s="136"/>
      <c r="H63" s="144">
        <f>H62*F63</f>
        <v>717.3827381500001</v>
      </c>
      <c r="I63" s="145"/>
      <c r="J63" s="146">
        <v>0.13</v>
      </c>
      <c r="K63" s="147"/>
      <c r="L63" s="148">
        <f>L62*J63</f>
        <v>745.06940625</v>
      </c>
      <c r="M63" s="149"/>
      <c r="N63" s="150">
        <f>L63-H63</f>
        <v>27.686668099999906</v>
      </c>
      <c r="O63" s="111">
        <f>IF((H63)=0,"",(N63/H63))</f>
        <v>0.038593998193208266</v>
      </c>
    </row>
    <row r="64" spans="2:15" s="75" customFormat="1" ht="12.75">
      <c r="B64" s="151" t="s">
        <v>44</v>
      </c>
      <c r="C64" s="77"/>
      <c r="D64" s="77"/>
      <c r="E64" s="77"/>
      <c r="F64" s="152"/>
      <c r="G64" s="153"/>
      <c r="H64" s="144">
        <f>H62+H63</f>
        <v>6235.711493150001</v>
      </c>
      <c r="I64" s="145"/>
      <c r="J64" s="145"/>
      <c r="K64" s="145"/>
      <c r="L64" s="148">
        <f>L62+L63</f>
        <v>6476.37253125</v>
      </c>
      <c r="M64" s="149"/>
      <c r="N64" s="150">
        <f>L64-H64</f>
        <v>240.66103809999913</v>
      </c>
      <c r="O64" s="111">
        <f>IF((H64)=0,"",(N64/H64))</f>
        <v>0.03859399819320826</v>
      </c>
    </row>
    <row r="65" spans="2:15" s="75" customFormat="1" ht="15.75" customHeight="1">
      <c r="B65" s="323" t="s">
        <v>45</v>
      </c>
      <c r="C65" s="323"/>
      <c r="D65" s="323"/>
      <c r="E65" s="77"/>
      <c r="F65" s="152"/>
      <c r="G65" s="153"/>
      <c r="H65" s="254">
        <f>ROUND(-H64*10%,2)</f>
        <v>-623.57</v>
      </c>
      <c r="I65" s="145"/>
      <c r="J65" s="145"/>
      <c r="K65" s="145"/>
      <c r="L65" s="255">
        <v>0</v>
      </c>
      <c r="M65" s="149"/>
      <c r="N65" s="256">
        <f>L65-H65</f>
        <v>623.57</v>
      </c>
      <c r="O65" s="117">
        <f>IF((H65)=0,"",(N65/H65))</f>
        <v>-1</v>
      </c>
    </row>
    <row r="66" spans="2:15" s="75" customFormat="1" ht="13.5" thickBot="1">
      <c r="B66" s="314" t="s">
        <v>48</v>
      </c>
      <c r="C66" s="314"/>
      <c r="D66" s="314"/>
      <c r="E66" s="155"/>
      <c r="F66" s="156"/>
      <c r="G66" s="157"/>
      <c r="H66" s="158">
        <f>SUM(H64:H65)</f>
        <v>5612.141493150001</v>
      </c>
      <c r="I66" s="159"/>
      <c r="J66" s="159"/>
      <c r="K66" s="159"/>
      <c r="L66" s="160">
        <f>SUM(L64:L65)</f>
        <v>6476.37253125</v>
      </c>
      <c r="M66" s="161"/>
      <c r="N66" s="162">
        <f>L66-H66</f>
        <v>864.2310380999988</v>
      </c>
      <c r="O66" s="163">
        <f>IF((H66)=0,"",(N66/H66))</f>
        <v>0.1539930949985583</v>
      </c>
    </row>
    <row r="67" spans="2:15" s="75" customFormat="1" ht="8.25" customHeight="1" thickBot="1">
      <c r="B67" s="127"/>
      <c r="C67" s="128"/>
      <c r="D67" s="129"/>
      <c r="E67" s="128"/>
      <c r="F67" s="164"/>
      <c r="G67" s="165"/>
      <c r="H67" s="166"/>
      <c r="I67" s="167"/>
      <c r="J67" s="164"/>
      <c r="K67" s="130"/>
      <c r="L67" s="168"/>
      <c r="M67" s="131"/>
      <c r="N67" s="169"/>
      <c r="O67" s="92"/>
    </row>
    <row r="68" ht="10.5" customHeight="1">
      <c r="L68" s="74"/>
    </row>
    <row r="69" spans="2:10" ht="15">
      <c r="B69" s="14" t="s">
        <v>49</v>
      </c>
      <c r="F69" s="170">
        <v>0.0495</v>
      </c>
      <c r="J69" s="170">
        <v>0.0495</v>
      </c>
    </row>
    <row r="70" ht="10.5" customHeight="1"/>
    <row r="71" ht="15">
      <c r="A71" s="171" t="s">
        <v>50</v>
      </c>
    </row>
    <row r="72" ht="10.5" customHeight="1"/>
    <row r="73" ht="15">
      <c r="A73" s="8" t="s">
        <v>51</v>
      </c>
    </row>
    <row r="74" ht="15">
      <c r="A74" s="8" t="s">
        <v>52</v>
      </c>
    </row>
    <row r="76" ht="15">
      <c r="A76" s="13" t="s">
        <v>53</v>
      </c>
    </row>
    <row r="77" ht="15">
      <c r="A77" s="13" t="s">
        <v>54</v>
      </c>
    </row>
    <row r="79" ht="15">
      <c r="A79" s="8" t="s">
        <v>55</v>
      </c>
    </row>
    <row r="80" ht="15">
      <c r="A80" s="8" t="s">
        <v>56</v>
      </c>
    </row>
    <row r="81" ht="15">
      <c r="A81" s="8" t="s">
        <v>57</v>
      </c>
    </row>
    <row r="82" ht="15">
      <c r="A82" s="8" t="s">
        <v>58</v>
      </c>
    </row>
    <row r="83" ht="15">
      <c r="A83" s="8" t="s">
        <v>59</v>
      </c>
    </row>
    <row r="85" spans="1:2" ht="15">
      <c r="A85" s="172"/>
      <c r="B85" s="8" t="s">
        <v>60</v>
      </c>
    </row>
  </sheetData>
  <sheetProtection/>
  <mergeCells count="21">
    <mergeCell ref="N1:O1"/>
    <mergeCell ref="N2:O2"/>
    <mergeCell ref="N3:O3"/>
    <mergeCell ref="N4:O4"/>
    <mergeCell ref="A3:K3"/>
    <mergeCell ref="B66:D66"/>
    <mergeCell ref="D21:D22"/>
    <mergeCell ref="N21:N22"/>
    <mergeCell ref="O21:O22"/>
    <mergeCell ref="B59:D59"/>
    <mergeCell ref="N5:O5"/>
    <mergeCell ref="B65:D65"/>
    <mergeCell ref="J20:L20"/>
    <mergeCell ref="B60:D60"/>
    <mergeCell ref="F20:H20"/>
    <mergeCell ref="N7:O7"/>
    <mergeCell ref="B11:O11"/>
    <mergeCell ref="N20:O20"/>
    <mergeCell ref="D14:O14"/>
    <mergeCell ref="B10:O10"/>
    <mergeCell ref="N6:O6"/>
  </mergeCells>
  <dataValidations count="4">
    <dataValidation type="list" allowBlank="1" showInputMessage="1" showErrorMessage="1" sqref="E43:E44 E35:E41 E55 E46:E52 E23:E33">
      <formula1>'GS 50-4999 (100kW)'!#REF!</formula1>
    </dataValidation>
    <dataValidation type="list" allowBlank="1" showInputMessage="1" showErrorMessage="1" prompt="Select Charge Unit - monthly, per kWh, per kW" sqref="D43:D44 D35:D41 D61 D46:D55 D67 D23:D33">
      <formula1>"Monthly, per kWh, per kW"</formula1>
    </dataValidation>
    <dataValidation type="list" allowBlank="1" showInputMessage="1" showErrorMessage="1" sqref="E67 E61 E53:E54">
      <formula1>'GS 50-4999 (100kW)'!#REF!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2"/>
  <sheetViews>
    <sheetView showGridLines="0" zoomScalePageLayoutView="0" workbookViewId="0" topLeftCell="A45">
      <selection activeCell="K78" sqref="K78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19</v>
      </c>
      <c r="O4" s="304"/>
      <c r="P4"/>
    </row>
    <row r="5" spans="3:16" s="2" customFormat="1" ht="15" customHeight="1">
      <c r="C5" s="7"/>
      <c r="D5" s="7"/>
      <c r="E5" s="7"/>
      <c r="L5" s="3" t="s">
        <v>78</v>
      </c>
      <c r="N5" s="306" t="s">
        <v>96</v>
      </c>
      <c r="O5" s="306"/>
      <c r="P5"/>
    </row>
    <row r="6" spans="12:16" s="2" customFormat="1" ht="9" customHeight="1">
      <c r="L6" s="3"/>
      <c r="N6" s="4"/>
      <c r="O6" s="191"/>
      <c r="P6"/>
    </row>
    <row r="7" spans="12:16" s="2" customFormat="1" ht="15">
      <c r="L7" s="3" t="s">
        <v>80</v>
      </c>
      <c r="N7" s="307">
        <v>41575</v>
      </c>
      <c r="O7" s="307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73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800</v>
      </c>
      <c r="G18" s="14" t="s">
        <v>9</v>
      </c>
      <c r="H18" s="15">
        <v>1</v>
      </c>
      <c r="I18" s="14"/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v>2.04</v>
      </c>
      <c r="G23" s="27">
        <v>1</v>
      </c>
      <c r="H23" s="28">
        <f>G23*F23</f>
        <v>2.04</v>
      </c>
      <c r="I23" s="29"/>
      <c r="J23" s="173">
        <f>F23</f>
        <v>2.04</v>
      </c>
      <c r="K23" s="31">
        <v>1</v>
      </c>
      <c r="L23" s="28">
        <f>K23*J23</f>
        <v>2.04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Sentinel!J25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15" hidden="1">
      <c r="B26" s="175"/>
      <c r="C26" s="23"/>
      <c r="D26" s="57" t="s">
        <v>62</v>
      </c>
      <c r="E26" s="58"/>
      <c r="F26" s="173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5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3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179">
        <f aca="true" t="shared" si="4" ref="G28:G33">$F$18</f>
        <v>800</v>
      </c>
      <c r="H28" s="28">
        <f t="shared" si="0"/>
        <v>0</v>
      </c>
      <c r="I28" s="29"/>
      <c r="J28" s="30"/>
      <c r="K28" s="179">
        <f>$F$18</f>
        <v>800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v>0</v>
      </c>
      <c r="G29" s="179">
        <f t="shared" si="4"/>
        <v>800</v>
      </c>
      <c r="H29" s="28">
        <f t="shared" si="0"/>
        <v>0</v>
      </c>
      <c r="I29" s="29"/>
      <c r="J29" s="30">
        <v>0</v>
      </c>
      <c r="K29" s="179">
        <f>$F$18</f>
        <v>800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51">
        <v>0</v>
      </c>
      <c r="G30" s="179">
        <f t="shared" si="4"/>
        <v>800</v>
      </c>
      <c r="H30" s="247">
        <f t="shared" si="0"/>
        <v>0</v>
      </c>
      <c r="I30" s="29"/>
      <c r="J30" s="30">
        <v>0</v>
      </c>
      <c r="K30" s="179">
        <f>F18</f>
        <v>800</v>
      </c>
      <c r="L30" s="28">
        <f t="shared" si="1"/>
        <v>0</v>
      </c>
      <c r="M30" s="29"/>
      <c r="N30" s="32">
        <f t="shared" si="2"/>
        <v>0</v>
      </c>
      <c r="O30" s="33"/>
    </row>
    <row r="31" spans="2:15" ht="15">
      <c r="B31" s="23" t="s">
        <v>21</v>
      </c>
      <c r="C31" s="23"/>
      <c r="D31" s="24" t="s">
        <v>63</v>
      </c>
      <c r="E31" s="25"/>
      <c r="F31" s="26">
        <v>0.0233</v>
      </c>
      <c r="G31" s="179">
        <f t="shared" si="4"/>
        <v>800</v>
      </c>
      <c r="H31" s="28">
        <f t="shared" si="0"/>
        <v>18.64</v>
      </c>
      <c r="I31" s="29"/>
      <c r="J31" s="30">
        <f>F31</f>
        <v>0.0233</v>
      </c>
      <c r="K31" s="179">
        <f>$F$18</f>
        <v>800</v>
      </c>
      <c r="L31" s="28">
        <f t="shared" si="1"/>
        <v>18.64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800</v>
      </c>
      <c r="H32" s="28">
        <f t="shared" si="0"/>
        <v>0</v>
      </c>
      <c r="I32" s="29"/>
      <c r="J32" s="30"/>
      <c r="K32" s="27">
        <f aca="true" t="shared" si="5" ref="K32:K40">$F$18</f>
        <v>800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/>
      <c r="E33" s="25"/>
      <c r="F33" s="26"/>
      <c r="G33" s="27">
        <f t="shared" si="4"/>
        <v>800</v>
      </c>
      <c r="H33" s="28">
        <f t="shared" si="0"/>
        <v>0</v>
      </c>
      <c r="I33" s="29"/>
      <c r="J33" s="30"/>
      <c r="K33" s="27">
        <f t="shared" si="5"/>
        <v>800</v>
      </c>
      <c r="L33" s="28">
        <f t="shared" si="1"/>
        <v>0</v>
      </c>
      <c r="M33" s="29"/>
      <c r="N33" s="32">
        <f t="shared" si="2"/>
        <v>0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800</v>
      </c>
      <c r="H34" s="28">
        <f t="shared" si="0"/>
        <v>0</v>
      </c>
      <c r="I34" s="29"/>
      <c r="J34" s="30"/>
      <c r="K34" s="27">
        <f t="shared" si="5"/>
        <v>800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800</v>
      </c>
      <c r="H35" s="28">
        <f t="shared" si="0"/>
        <v>0</v>
      </c>
      <c r="I35" s="29"/>
      <c r="J35" s="30"/>
      <c r="K35" s="27">
        <f t="shared" si="5"/>
        <v>800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800</v>
      </c>
      <c r="H36" s="28">
        <f t="shared" si="0"/>
        <v>0</v>
      </c>
      <c r="I36" s="29"/>
      <c r="J36" s="30"/>
      <c r="K36" s="27">
        <f t="shared" si="5"/>
        <v>800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800</v>
      </c>
      <c r="H37" s="28">
        <f t="shared" si="0"/>
        <v>0</v>
      </c>
      <c r="I37" s="29"/>
      <c r="J37" s="30"/>
      <c r="K37" s="27">
        <f t="shared" si="5"/>
        <v>800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800</v>
      </c>
      <c r="H38" s="28">
        <f t="shared" si="0"/>
        <v>0</v>
      </c>
      <c r="I38" s="29"/>
      <c r="J38" s="30"/>
      <c r="K38" s="27">
        <f t="shared" si="5"/>
        <v>800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800</v>
      </c>
      <c r="H39" s="28">
        <f t="shared" si="0"/>
        <v>0</v>
      </c>
      <c r="I39" s="29"/>
      <c r="J39" s="30"/>
      <c r="K39" s="27">
        <f t="shared" si="5"/>
        <v>800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800</v>
      </c>
      <c r="H40" s="28">
        <f t="shared" si="0"/>
        <v>0</v>
      </c>
      <c r="I40" s="29"/>
      <c r="J40" s="30"/>
      <c r="K40" s="27">
        <f t="shared" si="5"/>
        <v>800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20.68</v>
      </c>
      <c r="I41" s="42"/>
      <c r="J41" s="43"/>
      <c r="K41" s="44"/>
      <c r="L41" s="41">
        <f>SUM(L23:L40)</f>
        <v>20.68</v>
      </c>
      <c r="M41" s="42"/>
      <c r="N41" s="45">
        <f t="shared" si="2"/>
        <v>0</v>
      </c>
      <c r="O41" s="46">
        <f t="shared" si="3"/>
        <v>0</v>
      </c>
    </row>
    <row r="42" spans="2:15" ht="25.5">
      <c r="B42" s="47" t="s">
        <v>25</v>
      </c>
      <c r="C42" s="23"/>
      <c r="D42" s="57" t="s">
        <v>63</v>
      </c>
      <c r="E42" s="58"/>
      <c r="F42" s="252">
        <v>-0.0071</v>
      </c>
      <c r="G42" s="179">
        <f>F18</f>
        <v>800</v>
      </c>
      <c r="H42" s="28">
        <f aca="true" t="shared" si="7" ref="H42:H48">G42*F42</f>
        <v>-5.680000000000001</v>
      </c>
      <c r="I42" s="29"/>
      <c r="J42" s="252">
        <v>0.0023</v>
      </c>
      <c r="K42" s="179">
        <f>F18</f>
        <v>800</v>
      </c>
      <c r="L42" s="28">
        <f aca="true" t="shared" si="8" ref="L42:L48">K42*J42</f>
        <v>1.8399999999999999</v>
      </c>
      <c r="M42" s="29"/>
      <c r="N42" s="257">
        <f aca="true" t="shared" si="9" ref="N42:N48">L42-H42</f>
        <v>7.5200000000000005</v>
      </c>
      <c r="O42" s="33">
        <f aca="true" t="shared" si="10" ref="O42:O47">IF((H42)=0,"",(N42/H42))</f>
        <v>-1.323943661971831</v>
      </c>
    </row>
    <row r="43" spans="2:15" ht="15" hidden="1">
      <c r="B43" s="47"/>
      <c r="C43" s="23"/>
      <c r="D43" s="24" t="s">
        <v>63</v>
      </c>
      <c r="E43" s="25"/>
      <c r="F43" s="26"/>
      <c r="G43" s="179">
        <f>F18</f>
        <v>800</v>
      </c>
      <c r="H43" s="28">
        <f t="shared" si="7"/>
        <v>0</v>
      </c>
      <c r="I43" s="48"/>
      <c r="J43" s="30"/>
      <c r="K43" s="179">
        <f>F18</f>
        <v>800</v>
      </c>
      <c r="L43" s="28">
        <f t="shared" si="8"/>
        <v>0</v>
      </c>
      <c r="M43" s="49"/>
      <c r="N43" s="32">
        <f t="shared" si="9"/>
        <v>0</v>
      </c>
      <c r="O43" s="33">
        <f t="shared" si="10"/>
      </c>
    </row>
    <row r="44" spans="2:15" ht="15" hidden="1">
      <c r="B44" s="47"/>
      <c r="C44" s="23"/>
      <c r="D44" s="24" t="s">
        <v>63</v>
      </c>
      <c r="E44" s="25"/>
      <c r="F44" s="26"/>
      <c r="G44" s="179">
        <f>F18</f>
        <v>800</v>
      </c>
      <c r="H44" s="28">
        <f t="shared" si="7"/>
        <v>0</v>
      </c>
      <c r="I44" s="48"/>
      <c r="J44" s="30"/>
      <c r="K44" s="179">
        <f>F18</f>
        <v>800</v>
      </c>
      <c r="L44" s="28">
        <f t="shared" si="8"/>
        <v>0</v>
      </c>
      <c r="M44" s="49"/>
      <c r="N44" s="32">
        <f t="shared" si="9"/>
        <v>0</v>
      </c>
      <c r="O44" s="33">
        <f t="shared" si="10"/>
      </c>
    </row>
    <row r="45" spans="2:15" ht="27.75" customHeight="1">
      <c r="B45" s="47" t="s">
        <v>75</v>
      </c>
      <c r="C45" s="23"/>
      <c r="D45" s="24" t="s">
        <v>63</v>
      </c>
      <c r="E45" s="25"/>
      <c r="F45" s="252">
        <v>0.0061</v>
      </c>
      <c r="G45" s="27">
        <f>$F$18</f>
        <v>800</v>
      </c>
      <c r="H45" s="28">
        <f t="shared" si="7"/>
        <v>4.88</v>
      </c>
      <c r="I45" s="48"/>
      <c r="J45" s="252">
        <v>0.0001</v>
      </c>
      <c r="K45" s="27">
        <f>$F$18</f>
        <v>800</v>
      </c>
      <c r="L45" s="28">
        <f t="shared" si="8"/>
        <v>0.08</v>
      </c>
      <c r="M45" s="49"/>
      <c r="N45" s="32">
        <f t="shared" si="9"/>
        <v>-4.8</v>
      </c>
      <c r="O45" s="33">
        <f t="shared" si="10"/>
        <v>-0.9836065573770492</v>
      </c>
    </row>
    <row r="46" spans="2:15" ht="15">
      <c r="B46" s="50" t="s">
        <v>26</v>
      </c>
      <c r="C46" s="23"/>
      <c r="D46" s="24" t="s">
        <v>63</v>
      </c>
      <c r="E46" s="25"/>
      <c r="F46" s="26">
        <v>0.0024</v>
      </c>
      <c r="G46" s="179">
        <f>F18</f>
        <v>800</v>
      </c>
      <c r="H46" s="28">
        <f t="shared" si="7"/>
        <v>1.92</v>
      </c>
      <c r="I46" s="29"/>
      <c r="J46" s="30">
        <v>0.0024</v>
      </c>
      <c r="K46" s="179">
        <f>F18</f>
        <v>800</v>
      </c>
      <c r="L46" s="28">
        <f t="shared" si="8"/>
        <v>1.92</v>
      </c>
      <c r="M46" s="29"/>
      <c r="N46" s="32">
        <f t="shared" si="9"/>
        <v>0</v>
      </c>
      <c r="O46" s="33">
        <f t="shared" si="10"/>
        <v>0</v>
      </c>
    </row>
    <row r="47" spans="2:15" s="35" customFormat="1" ht="15">
      <c r="B47" s="181" t="s">
        <v>27</v>
      </c>
      <c r="C47" s="25"/>
      <c r="D47" s="182" t="s">
        <v>63</v>
      </c>
      <c r="E47" s="25"/>
      <c r="F47" s="183">
        <f>IF(ISBLANK(D16)=TRUE,0,IF(D16="TOU",0.64*$F$57+0.18*$F$58+0.18*$F$59,IF(AND(D16="non-TOU",G61&gt;0),F61,F60)))</f>
        <v>0.088</v>
      </c>
      <c r="G47" s="27">
        <f>$F$18*(1+$F$76)-$F$18</f>
        <v>39.600000000000136</v>
      </c>
      <c r="H47" s="184">
        <f t="shared" si="7"/>
        <v>3.484800000000012</v>
      </c>
      <c r="I47" s="58"/>
      <c r="J47" s="185">
        <f>IF(ISBLANK(D16)=TRUE,0,IF(D16="TOU",0.64*$F$57+0.18*$F$58+0.18*$F$59,IF(AND(D16="non-TOU",K61&gt;0),J61,J60)))</f>
        <v>0.088</v>
      </c>
      <c r="K47" s="27">
        <f>$F$18*(1+$J$76)-$F$18</f>
        <v>39.600000000000136</v>
      </c>
      <c r="L47" s="184">
        <f t="shared" si="8"/>
        <v>3.484800000000012</v>
      </c>
      <c r="M47" s="58"/>
      <c r="N47" s="186">
        <f t="shared" si="9"/>
        <v>0</v>
      </c>
      <c r="O47" s="187">
        <f t="shared" si="10"/>
        <v>0</v>
      </c>
    </row>
    <row r="48" spans="2:15" ht="15">
      <c r="B48" s="50" t="s">
        <v>28</v>
      </c>
      <c r="C48" s="23"/>
      <c r="D48" s="24" t="s">
        <v>62</v>
      </c>
      <c r="E48" s="25"/>
      <c r="F48" s="178">
        <v>0</v>
      </c>
      <c r="G48" s="27">
        <v>0</v>
      </c>
      <c r="H48" s="28">
        <f t="shared" si="7"/>
        <v>0</v>
      </c>
      <c r="I48" s="29"/>
      <c r="J48" s="178">
        <v>0</v>
      </c>
      <c r="K48" s="27">
        <v>0</v>
      </c>
      <c r="L48" s="28">
        <f t="shared" si="8"/>
        <v>0</v>
      </c>
      <c r="M48" s="29"/>
      <c r="N48" s="32">
        <f t="shared" si="9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25.28480000000001</v>
      </c>
      <c r="I49" s="42"/>
      <c r="J49" s="54"/>
      <c r="K49" s="56"/>
      <c r="L49" s="55">
        <f>SUM(L42:L48)+L41</f>
        <v>28.00480000000001</v>
      </c>
      <c r="M49" s="42"/>
      <c r="N49" s="45">
        <f aca="true" t="shared" si="11" ref="N49:N67">L49-H49</f>
        <v>2.719999999999999</v>
      </c>
      <c r="O49" s="46">
        <f aca="true" t="shared" si="12" ref="O49:O67">IF((H49)=0,"",(N49/H49))</f>
        <v>0.10757451116876533</v>
      </c>
    </row>
    <row r="50" spans="2:15" ht="15">
      <c r="B50" s="29" t="s">
        <v>30</v>
      </c>
      <c r="C50" s="29"/>
      <c r="D50" s="57" t="s">
        <v>63</v>
      </c>
      <c r="E50" s="58"/>
      <c r="F50" s="30">
        <v>0.0044</v>
      </c>
      <c r="G50" s="59">
        <f>F18*(1+F76)</f>
        <v>839.6000000000001</v>
      </c>
      <c r="H50" s="28">
        <f>G50*F50</f>
        <v>3.6942400000000006</v>
      </c>
      <c r="I50" s="29"/>
      <c r="J50" s="30">
        <v>0.0058</v>
      </c>
      <c r="K50" s="60">
        <f>F18*(1+J76)</f>
        <v>839.6000000000001</v>
      </c>
      <c r="L50" s="28">
        <f>K50*J50</f>
        <v>4.869680000000001</v>
      </c>
      <c r="M50" s="29"/>
      <c r="N50" s="32">
        <f t="shared" si="11"/>
        <v>1.17544</v>
      </c>
      <c r="O50" s="33">
        <f t="shared" si="12"/>
        <v>0.3181818181818181</v>
      </c>
    </row>
    <row r="51" spans="2:15" ht="30">
      <c r="B51" s="61" t="s">
        <v>31</v>
      </c>
      <c r="C51" s="29"/>
      <c r="D51" s="57" t="s">
        <v>63</v>
      </c>
      <c r="E51" s="58"/>
      <c r="F51" s="30">
        <v>0.0017</v>
      </c>
      <c r="G51" s="59">
        <f>G50</f>
        <v>839.6000000000001</v>
      </c>
      <c r="H51" s="28">
        <f>G51*F51</f>
        <v>1.4273200000000001</v>
      </c>
      <c r="I51" s="29"/>
      <c r="J51" s="30">
        <v>0.0027</v>
      </c>
      <c r="K51" s="60">
        <f>K50</f>
        <v>839.6000000000001</v>
      </c>
      <c r="L51" s="28">
        <f>K51*J51</f>
        <v>2.2669200000000003</v>
      </c>
      <c r="M51" s="29"/>
      <c r="N51" s="32">
        <f t="shared" si="11"/>
        <v>0.8396000000000001</v>
      </c>
      <c r="O51" s="33">
        <f t="shared" si="12"/>
        <v>0.5882352941176471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30.406360000000014</v>
      </c>
      <c r="I52" s="63"/>
      <c r="J52" s="64"/>
      <c r="K52" s="65"/>
      <c r="L52" s="55">
        <f>SUM(L49:L51)</f>
        <v>35.14140000000001</v>
      </c>
      <c r="M52" s="63"/>
      <c r="N52" s="45">
        <f t="shared" si="11"/>
        <v>4.735039999999998</v>
      </c>
      <c r="O52" s="46">
        <f t="shared" si="12"/>
        <v>0.15572531536165446</v>
      </c>
    </row>
    <row r="53" spans="2:15" ht="15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839.6000000000001</v>
      </c>
      <c r="H53" s="68">
        <f aca="true" t="shared" si="13" ref="H53:H59">G53*F53</f>
        <v>3.6942400000000006</v>
      </c>
      <c r="I53" s="29"/>
      <c r="J53" s="69">
        <v>0.0044</v>
      </c>
      <c r="K53" s="60">
        <f>F18*(1+J76)</f>
        <v>839.6000000000001</v>
      </c>
      <c r="L53" s="68">
        <f aca="true" t="shared" si="14" ref="L53:L59">K53*J53</f>
        <v>3.6942400000000006</v>
      </c>
      <c r="M53" s="29"/>
      <c r="N53" s="32">
        <f t="shared" si="11"/>
        <v>0</v>
      </c>
      <c r="O53" s="70">
        <f t="shared" si="12"/>
        <v>0</v>
      </c>
    </row>
    <row r="54" spans="2:15" ht="15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839.6000000000001</v>
      </c>
      <c r="H54" s="68">
        <f t="shared" si="13"/>
        <v>1.0914800000000002</v>
      </c>
      <c r="I54" s="29"/>
      <c r="J54" s="69">
        <v>0.0013</v>
      </c>
      <c r="K54" s="60">
        <f>K53</f>
        <v>839.6000000000001</v>
      </c>
      <c r="L54" s="68">
        <f t="shared" si="14"/>
        <v>1.0914800000000002</v>
      </c>
      <c r="M54" s="29"/>
      <c r="N54" s="32">
        <f t="shared" si="11"/>
        <v>0</v>
      </c>
      <c r="O54" s="70">
        <f t="shared" si="12"/>
        <v>0</v>
      </c>
    </row>
    <row r="55" spans="2:15" ht="15">
      <c r="B55" s="23" t="s">
        <v>35</v>
      </c>
      <c r="C55" s="23"/>
      <c r="D55" s="24" t="s">
        <v>62</v>
      </c>
      <c r="E55" s="25"/>
      <c r="F55" s="176">
        <v>0.25</v>
      </c>
      <c r="G55" s="27">
        <v>1</v>
      </c>
      <c r="H55" s="68">
        <f t="shared" si="13"/>
        <v>0.25</v>
      </c>
      <c r="I55" s="29"/>
      <c r="J55" s="177">
        <v>0.25</v>
      </c>
      <c r="K55" s="31">
        <v>1</v>
      </c>
      <c r="L55" s="68">
        <f t="shared" si="14"/>
        <v>0.25</v>
      </c>
      <c r="M55" s="29"/>
      <c r="N55" s="32">
        <f t="shared" si="11"/>
        <v>0</v>
      </c>
      <c r="O55" s="70">
        <f t="shared" si="12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800</v>
      </c>
      <c r="H56" s="68">
        <f t="shared" si="13"/>
        <v>5.6000000000000005</v>
      </c>
      <c r="I56" s="29"/>
      <c r="J56" s="69">
        <f>0.007</f>
        <v>0.007</v>
      </c>
      <c r="K56" s="72">
        <f>F18</f>
        <v>800</v>
      </c>
      <c r="L56" s="68">
        <f t="shared" si="14"/>
        <v>5.6000000000000005</v>
      </c>
      <c r="M56" s="29"/>
      <c r="N56" s="32">
        <f t="shared" si="11"/>
        <v>0</v>
      </c>
      <c r="O56" s="70">
        <f t="shared" si="12"/>
        <v>0</v>
      </c>
    </row>
    <row r="57" spans="2:19" ht="15.75" thickBot="1">
      <c r="B57" s="50" t="s">
        <v>74</v>
      </c>
      <c r="C57" s="23"/>
      <c r="D57" s="24" t="s">
        <v>63</v>
      </c>
      <c r="E57" s="25"/>
      <c r="F57" s="67">
        <v>0.1</v>
      </c>
      <c r="G57" s="71">
        <f>F18</f>
        <v>800</v>
      </c>
      <c r="H57" s="68">
        <f t="shared" si="13"/>
        <v>80</v>
      </c>
      <c r="I57" s="29"/>
      <c r="J57" s="67">
        <f>F57</f>
        <v>0.1</v>
      </c>
      <c r="K57" s="71">
        <f>F18</f>
        <v>800</v>
      </c>
      <c r="L57" s="68">
        <f t="shared" si="14"/>
        <v>80</v>
      </c>
      <c r="M57" s="29"/>
      <c r="N57" s="32">
        <f t="shared" si="11"/>
        <v>0</v>
      </c>
      <c r="O57" s="70">
        <f t="shared" si="12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59">
        <v>0</v>
      </c>
      <c r="H58" s="68">
        <f t="shared" si="13"/>
        <v>0</v>
      </c>
      <c r="I58" s="29"/>
      <c r="J58" s="67">
        <v>0.104</v>
      </c>
      <c r="K58" s="59">
        <v>0</v>
      </c>
      <c r="L58" s="68">
        <f t="shared" si="14"/>
        <v>0</v>
      </c>
      <c r="M58" s="29"/>
      <c r="N58" s="32">
        <f t="shared" si="11"/>
        <v>0</v>
      </c>
      <c r="O58" s="70">
        <f t="shared" si="12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59">
        <v>0</v>
      </c>
      <c r="H59" s="68">
        <f t="shared" si="13"/>
        <v>0</v>
      </c>
      <c r="I59" s="29"/>
      <c r="J59" s="67">
        <v>0.124</v>
      </c>
      <c r="K59" s="59">
        <v>0</v>
      </c>
      <c r="L59" s="68">
        <f t="shared" si="14"/>
        <v>0</v>
      </c>
      <c r="M59" s="29"/>
      <c r="N59" s="32">
        <f t="shared" si="11"/>
        <v>0</v>
      </c>
      <c r="O59" s="70">
        <f t="shared" si="12"/>
      </c>
      <c r="S59" s="74"/>
    </row>
    <row r="60" spans="2:15" s="75" customFormat="1" ht="15" hidden="1">
      <c r="B60" s="180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600</v>
      </c>
      <c r="H60" s="68">
        <f>G60*F60</f>
        <v>45</v>
      </c>
      <c r="I60" s="81"/>
      <c r="J60" s="67">
        <v>0.075</v>
      </c>
      <c r="K60" s="80">
        <f>G60</f>
        <v>600</v>
      </c>
      <c r="L60" s="68">
        <f>K60*J60</f>
        <v>45</v>
      </c>
      <c r="M60" s="81"/>
      <c r="N60" s="82">
        <f t="shared" si="11"/>
        <v>0</v>
      </c>
      <c r="O60" s="70">
        <f t="shared" si="12"/>
        <v>0</v>
      </c>
    </row>
    <row r="61" spans="2:15" s="75" customFormat="1" ht="15.75" hidden="1" thickBot="1">
      <c r="B61" s="180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200</v>
      </c>
      <c r="H61" s="68">
        <f>G61*F61</f>
        <v>17.599999999999998</v>
      </c>
      <c r="I61" s="81"/>
      <c r="J61" s="67">
        <v>0.088</v>
      </c>
      <c r="K61" s="80">
        <f>G61</f>
        <v>200</v>
      </c>
      <c r="L61" s="68">
        <f>K61*J61</f>
        <v>17.599999999999998</v>
      </c>
      <c r="M61" s="81"/>
      <c r="N61" s="82">
        <f t="shared" si="11"/>
        <v>0</v>
      </c>
      <c r="O61" s="70">
        <f t="shared" si="12"/>
        <v>0</v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121.04208000000003</v>
      </c>
      <c r="I63" s="97"/>
      <c r="J63" s="98"/>
      <c r="K63" s="98"/>
      <c r="L63" s="96">
        <f>SUM(L53:L59,L52)</f>
        <v>125.77712000000002</v>
      </c>
      <c r="M63" s="99"/>
      <c r="N63" s="100">
        <f>L63-H63</f>
        <v>4.735039999999998</v>
      </c>
      <c r="O63" s="101">
        <f>IF((H63)=0,"",(N63/H63))</f>
        <v>0.03911895763853362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15.735470400000004</v>
      </c>
      <c r="I64" s="106"/>
      <c r="J64" s="107">
        <v>0.13</v>
      </c>
      <c r="K64" s="106"/>
      <c r="L64" s="108">
        <f>L63*J64</f>
        <v>16.351025600000003</v>
      </c>
      <c r="M64" s="109"/>
      <c r="N64" s="110">
        <f t="shared" si="11"/>
        <v>0.6155551999999993</v>
      </c>
      <c r="O64" s="111">
        <f t="shared" si="12"/>
        <v>0.03911895763853358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136.77755040000002</v>
      </c>
      <c r="I65" s="106"/>
      <c r="J65" s="106"/>
      <c r="K65" s="106"/>
      <c r="L65" s="108">
        <f>L63+L64</f>
        <v>142.12814560000004</v>
      </c>
      <c r="M65" s="109"/>
      <c r="N65" s="110">
        <f t="shared" si="11"/>
        <v>5.350595200000015</v>
      </c>
      <c r="O65" s="111">
        <f t="shared" si="12"/>
        <v>0.03911895763853374</v>
      </c>
      <c r="S65" s="74"/>
    </row>
    <row r="66" spans="2:15" ht="15.75" customHeight="1" hidden="1">
      <c r="B66" s="321" t="s">
        <v>45</v>
      </c>
      <c r="C66" s="321"/>
      <c r="D66" s="321"/>
      <c r="E66" s="23"/>
      <c r="F66" s="113"/>
      <c r="G66" s="104"/>
      <c r="H66" s="114">
        <f>ROUND(-H65*10%,2)</f>
        <v>-13.68</v>
      </c>
      <c r="I66" s="106"/>
      <c r="J66" s="106"/>
      <c r="K66" s="106"/>
      <c r="L66" s="115">
        <f>ROUND(-L65*10%,2)</f>
        <v>-14.21</v>
      </c>
      <c r="M66" s="109"/>
      <c r="N66" s="116">
        <f t="shared" si="11"/>
        <v>-0.5300000000000011</v>
      </c>
      <c r="O66" s="117">
        <f t="shared" si="12"/>
        <v>0.03874269005847961</v>
      </c>
    </row>
    <row r="67" spans="2:15" ht="15" hidden="1">
      <c r="B67" s="322" t="s">
        <v>46</v>
      </c>
      <c r="C67" s="322"/>
      <c r="D67" s="322"/>
      <c r="E67" s="118"/>
      <c r="F67" s="119"/>
      <c r="G67" s="120"/>
      <c r="H67" s="121">
        <f>H65+H66</f>
        <v>123.09755040000002</v>
      </c>
      <c r="I67" s="122"/>
      <c r="J67" s="122"/>
      <c r="K67" s="122"/>
      <c r="L67" s="123">
        <f>L65+L66</f>
        <v>127.91814560000003</v>
      </c>
      <c r="M67" s="124"/>
      <c r="N67" s="125">
        <f t="shared" si="11"/>
        <v>4.820595200000014</v>
      </c>
      <c r="O67" s="126">
        <f t="shared" si="12"/>
        <v>0.03916077277196584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121.04208000000001</v>
      </c>
      <c r="I69" s="138"/>
      <c r="J69" s="139"/>
      <c r="K69" s="139"/>
      <c r="L69" s="189">
        <f>SUM(L57,L52,L53:L56)</f>
        <v>125.77712000000001</v>
      </c>
      <c r="M69" s="140"/>
      <c r="N69" s="141">
        <f>L69-H69</f>
        <v>4.735039999999998</v>
      </c>
      <c r="O69" s="101">
        <f>IF((H69)=0,"",(N69/H69))</f>
        <v>0.03911895763853362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15.735470400000002</v>
      </c>
      <c r="I70" s="145"/>
      <c r="J70" s="146">
        <v>0.13</v>
      </c>
      <c r="K70" s="147"/>
      <c r="L70" s="148">
        <f>L69*J70</f>
        <v>16.351025600000003</v>
      </c>
      <c r="M70" s="149"/>
      <c r="N70" s="150">
        <f>L70-H70</f>
        <v>0.6155552000000011</v>
      </c>
      <c r="O70" s="111">
        <f>IF((H70)=0,"",(N70/H70))</f>
        <v>0.0391189576385337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136.77755040000002</v>
      </c>
      <c r="I71" s="145"/>
      <c r="J71" s="145"/>
      <c r="K71" s="145"/>
      <c r="L71" s="148">
        <f>L69+L70</f>
        <v>142.1281456</v>
      </c>
      <c r="M71" s="149"/>
      <c r="N71" s="150">
        <f>L71-H71</f>
        <v>5.350595199999987</v>
      </c>
      <c r="O71" s="111">
        <f>IF((H71)=0,"",(N71/H71))</f>
        <v>0.039118957638533534</v>
      </c>
    </row>
    <row r="72" spans="2:15" s="75" customFormat="1" ht="15.75" customHeight="1">
      <c r="B72" s="323" t="s">
        <v>45</v>
      </c>
      <c r="C72" s="323"/>
      <c r="D72" s="323"/>
      <c r="E72" s="77"/>
      <c r="F72" s="152"/>
      <c r="G72" s="153"/>
      <c r="H72" s="254">
        <f>ROUND(-H71*10%,2)</f>
        <v>-13.68</v>
      </c>
      <c r="I72" s="145"/>
      <c r="J72" s="145"/>
      <c r="K72" s="145"/>
      <c r="L72" s="255">
        <v>0</v>
      </c>
      <c r="M72" s="149"/>
      <c r="N72" s="256">
        <f>L72-H72</f>
        <v>13.68</v>
      </c>
      <c r="O72" s="117">
        <f>IF((H72)=0,"",(N72/H72))</f>
        <v>-1</v>
      </c>
    </row>
    <row r="73" spans="2:15" s="75" customFormat="1" ht="13.5" thickBot="1">
      <c r="B73" s="314" t="s">
        <v>48</v>
      </c>
      <c r="C73" s="314"/>
      <c r="D73" s="314"/>
      <c r="E73" s="155"/>
      <c r="F73" s="156"/>
      <c r="G73" s="157"/>
      <c r="H73" s="158">
        <f>SUM(H71:H72)</f>
        <v>123.09755040000002</v>
      </c>
      <c r="I73" s="159"/>
      <c r="J73" s="159"/>
      <c r="K73" s="159"/>
      <c r="L73" s="160">
        <f>SUM(L71:L72)</f>
        <v>142.1281456</v>
      </c>
      <c r="M73" s="161"/>
      <c r="N73" s="162">
        <f>L73-H73</f>
        <v>19.030595199999993</v>
      </c>
      <c r="O73" s="163">
        <f>IF((H73)=0,"",(N73/H73))</f>
        <v>0.15459767589331325</v>
      </c>
    </row>
    <row r="74" spans="2:15" s="75" customFormat="1" ht="8.25" customHeight="1" thickBot="1">
      <c r="B74" s="127"/>
      <c r="C74" s="128"/>
      <c r="D74" s="129"/>
      <c r="E74" s="128"/>
      <c r="F74" s="164"/>
      <c r="G74" s="165"/>
      <c r="H74" s="166"/>
      <c r="I74" s="167"/>
      <c r="J74" s="164"/>
      <c r="K74" s="130"/>
      <c r="L74" s="168"/>
      <c r="M74" s="131"/>
      <c r="N74" s="169"/>
      <c r="O74" s="92"/>
    </row>
    <row r="75" ht="10.5" customHeight="1">
      <c r="L75" s="74"/>
    </row>
    <row r="76" spans="2:10" ht="15">
      <c r="B76" s="14" t="s">
        <v>49</v>
      </c>
      <c r="F76" s="170">
        <v>0.0495</v>
      </c>
      <c r="J76" s="170">
        <v>0.0495</v>
      </c>
    </row>
    <row r="78" ht="15">
      <c r="A78" s="171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2"/>
      <c r="B92" s="8" t="s">
        <v>60</v>
      </c>
    </row>
  </sheetData>
  <sheetProtection/>
  <mergeCells count="20">
    <mergeCell ref="N1:O1"/>
    <mergeCell ref="N2:O2"/>
    <mergeCell ref="N3:O3"/>
    <mergeCell ref="N4:O4"/>
    <mergeCell ref="N5:O5"/>
    <mergeCell ref="N7:O7"/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E50:E51 E42:E48 E62 E53:E59 E23:E40">
      <formula1>'USL (800kWh)'!#REF!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74 E68 E60:E61">
      <formula1>'USL (800kWh)'!#REF!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3"/>
  <sheetViews>
    <sheetView showGridLines="0" zoomScalePageLayoutView="0" workbookViewId="0" topLeftCell="A13">
      <selection activeCell="H19" sqref="H19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2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2.8515625" style="8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</row>
    <row r="3" spans="1:15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15</v>
      </c>
      <c r="O4" s="304"/>
    </row>
    <row r="5" spans="3:15" s="2" customFormat="1" ht="15" customHeight="1">
      <c r="C5" s="7"/>
      <c r="D5" s="7"/>
      <c r="E5" s="7"/>
      <c r="L5" s="3" t="s">
        <v>78</v>
      </c>
      <c r="N5" s="306" t="s">
        <v>94</v>
      </c>
      <c r="O5" s="306"/>
    </row>
    <row r="6" spans="12:15" s="2" customFormat="1" ht="9" customHeight="1">
      <c r="L6" s="3"/>
      <c r="N6" s="4"/>
      <c r="O6" s="191"/>
    </row>
    <row r="7" spans="12:15" s="2" customFormat="1" ht="15">
      <c r="L7" s="3" t="s">
        <v>80</v>
      </c>
      <c r="N7" s="307">
        <v>41575</v>
      </c>
      <c r="O7" s="30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120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65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v>2.04</v>
      </c>
      <c r="G23" s="27">
        <v>1</v>
      </c>
      <c r="H23" s="28">
        <f>G23*F23</f>
        <v>2.04</v>
      </c>
      <c r="I23" s="29"/>
      <c r="J23" s="173">
        <v>2.04</v>
      </c>
      <c r="K23" s="31">
        <v>1</v>
      </c>
      <c r="L23" s="28">
        <f>K23*J23</f>
        <v>2.04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174"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257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'GS 50-4999 (60kW)'!J25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15" hidden="1">
      <c r="B26" s="175"/>
      <c r="C26" s="23"/>
      <c r="D26" s="57" t="s">
        <v>62</v>
      </c>
      <c r="E26" s="58"/>
      <c r="F26" s="173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5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3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71</v>
      </c>
      <c r="E28" s="25"/>
      <c r="F28" s="26">
        <v>0</v>
      </c>
      <c r="G28" s="179">
        <f>$H$18</f>
        <v>1</v>
      </c>
      <c r="H28" s="28">
        <f t="shared" si="0"/>
        <v>0</v>
      </c>
      <c r="I28" s="29"/>
      <c r="J28" s="30"/>
      <c r="K28" s="179">
        <f>$H$18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71</v>
      </c>
      <c r="E29" s="25"/>
      <c r="F29" s="251">
        <v>0</v>
      </c>
      <c r="G29" s="179">
        <f>$H$18</f>
        <v>1</v>
      </c>
      <c r="H29" s="28">
        <f t="shared" si="0"/>
        <v>0</v>
      </c>
      <c r="I29" s="29"/>
      <c r="J29" s="30">
        <v>0</v>
      </c>
      <c r="K29" s="179">
        <f>$H$18</f>
        <v>1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71</v>
      </c>
      <c r="E30" s="25"/>
      <c r="F30" s="26">
        <v>0</v>
      </c>
      <c r="G30" s="179">
        <f>$H$18</f>
        <v>1</v>
      </c>
      <c r="H30" s="247">
        <f>G30*F30</f>
        <v>0</v>
      </c>
      <c r="I30" s="29"/>
      <c r="J30" s="30">
        <v>0</v>
      </c>
      <c r="K30" s="179">
        <f>H18</f>
        <v>1</v>
      </c>
      <c r="L30" s="28">
        <f t="shared" si="1"/>
        <v>0</v>
      </c>
      <c r="M30" s="29"/>
      <c r="N30" s="257">
        <f t="shared" si="2"/>
        <v>0</v>
      </c>
      <c r="O30" s="33"/>
    </row>
    <row r="31" spans="2:15" ht="15">
      <c r="B31" s="23" t="s">
        <v>21</v>
      </c>
      <c r="C31" s="23"/>
      <c r="D31" s="24" t="s">
        <v>71</v>
      </c>
      <c r="E31" s="25"/>
      <c r="F31" s="26">
        <v>30.5028</v>
      </c>
      <c r="G31" s="179">
        <f>$H$18</f>
        <v>1</v>
      </c>
      <c r="H31" s="28">
        <f t="shared" si="0"/>
        <v>30.5028</v>
      </c>
      <c r="I31" s="29"/>
      <c r="J31" s="30">
        <v>30.5028</v>
      </c>
      <c r="K31" s="179">
        <f>$H$18</f>
        <v>1</v>
      </c>
      <c r="L31" s="28">
        <f t="shared" si="1"/>
        <v>30.5028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65</v>
      </c>
      <c r="H32" s="28">
        <f t="shared" si="0"/>
        <v>0</v>
      </c>
      <c r="I32" s="29"/>
      <c r="J32" s="30"/>
      <c r="K32" s="27">
        <f aca="true" t="shared" si="4" ref="K32:K40">$F$18</f>
        <v>65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71</v>
      </c>
      <c r="E33" s="25"/>
      <c r="F33" s="26">
        <v>0</v>
      </c>
      <c r="G33" s="179">
        <f>$H$18</f>
        <v>1</v>
      </c>
      <c r="H33" s="247">
        <f t="shared" si="0"/>
        <v>0</v>
      </c>
      <c r="I33" s="29"/>
      <c r="J33" s="30">
        <v>0</v>
      </c>
      <c r="K33" s="179">
        <f>$H$18</f>
        <v>1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65</v>
      </c>
      <c r="H34" s="28">
        <f t="shared" si="0"/>
        <v>0</v>
      </c>
      <c r="I34" s="29"/>
      <c r="J34" s="30"/>
      <c r="K34" s="27">
        <f t="shared" si="4"/>
        <v>65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65</v>
      </c>
      <c r="H35" s="28">
        <f t="shared" si="0"/>
        <v>0</v>
      </c>
      <c r="I35" s="29"/>
      <c r="J35" s="30"/>
      <c r="K35" s="27">
        <f t="shared" si="4"/>
        <v>65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65</v>
      </c>
      <c r="H36" s="28">
        <f t="shared" si="0"/>
        <v>0</v>
      </c>
      <c r="I36" s="29"/>
      <c r="J36" s="30"/>
      <c r="K36" s="27">
        <f t="shared" si="4"/>
        <v>65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65</v>
      </c>
      <c r="H37" s="28">
        <f t="shared" si="0"/>
        <v>0</v>
      </c>
      <c r="I37" s="29"/>
      <c r="J37" s="30"/>
      <c r="K37" s="27">
        <f t="shared" si="4"/>
        <v>65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65</v>
      </c>
      <c r="H38" s="28">
        <f t="shared" si="0"/>
        <v>0</v>
      </c>
      <c r="I38" s="29"/>
      <c r="J38" s="30"/>
      <c r="K38" s="27">
        <f t="shared" si="4"/>
        <v>65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65</v>
      </c>
      <c r="H39" s="28">
        <f t="shared" si="0"/>
        <v>0</v>
      </c>
      <c r="I39" s="29"/>
      <c r="J39" s="30"/>
      <c r="K39" s="27">
        <f t="shared" si="4"/>
        <v>65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65</v>
      </c>
      <c r="H40" s="28">
        <f t="shared" si="0"/>
        <v>0</v>
      </c>
      <c r="I40" s="29"/>
      <c r="J40" s="30"/>
      <c r="K40" s="27">
        <f t="shared" si="4"/>
        <v>65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32.5428</v>
      </c>
      <c r="I41" s="42"/>
      <c r="J41" s="43"/>
      <c r="K41" s="44"/>
      <c r="L41" s="41">
        <f>SUM(L23:L40)</f>
        <v>32.5428</v>
      </c>
      <c r="M41" s="42"/>
      <c r="N41" s="45">
        <f t="shared" si="2"/>
        <v>0</v>
      </c>
      <c r="O41" s="46">
        <f t="shared" si="3"/>
        <v>0</v>
      </c>
    </row>
    <row r="42" spans="2:15" ht="25.5">
      <c r="B42" s="47" t="s">
        <v>25</v>
      </c>
      <c r="C42" s="23"/>
      <c r="D42" s="57" t="s">
        <v>71</v>
      </c>
      <c r="E42" s="58"/>
      <c r="F42" s="252">
        <v>-2.4009</v>
      </c>
      <c r="G42" s="179">
        <f>G31</f>
        <v>1</v>
      </c>
      <c r="H42" s="28">
        <f aca="true" t="shared" si="6" ref="H42:H49">G42*F42</f>
        <v>-2.4009</v>
      </c>
      <c r="I42" s="29"/>
      <c r="J42" s="252">
        <v>-0.7302</v>
      </c>
      <c r="K42" s="179">
        <f>H18</f>
        <v>1</v>
      </c>
      <c r="L42" s="28">
        <f aca="true" t="shared" si="7" ref="L42:L49">K42*J42</f>
        <v>-0.7302</v>
      </c>
      <c r="M42" s="29"/>
      <c r="N42" s="32">
        <f aca="true" t="shared" si="8" ref="N42:N49">L42-H42</f>
        <v>1.6707</v>
      </c>
      <c r="O42" s="33">
        <f aca="true" t="shared" si="9" ref="O42:O48">IF((H42)=0,"",(N42/H42))</f>
        <v>-0.6958640509808822</v>
      </c>
    </row>
    <row r="43" spans="2:15" ht="15" hidden="1">
      <c r="B43" s="47"/>
      <c r="C43" s="23"/>
      <c r="D43" s="24" t="s">
        <v>71</v>
      </c>
      <c r="E43" s="25"/>
      <c r="F43" s="26"/>
      <c r="G43" s="179">
        <f>H18</f>
        <v>1</v>
      </c>
      <c r="H43" s="28">
        <f t="shared" si="6"/>
        <v>0</v>
      </c>
      <c r="I43" s="48"/>
      <c r="J43" s="30"/>
      <c r="K43" s="179">
        <f>H18</f>
        <v>1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71</v>
      </c>
      <c r="E44" s="25"/>
      <c r="F44" s="26"/>
      <c r="G44" s="179">
        <f>H18</f>
        <v>1</v>
      </c>
      <c r="H44" s="28">
        <f t="shared" si="6"/>
        <v>0</v>
      </c>
      <c r="I44" s="48"/>
      <c r="J44" s="30"/>
      <c r="K44" s="179">
        <f>H18</f>
        <v>1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0.75" customHeight="1">
      <c r="B45" s="47" t="s">
        <v>75</v>
      </c>
      <c r="C45" s="23"/>
      <c r="D45" s="24" t="s">
        <v>71</v>
      </c>
      <c r="E45" s="25"/>
      <c r="F45" s="252">
        <v>1.9976</v>
      </c>
      <c r="G45" s="179">
        <f>H18</f>
        <v>1</v>
      </c>
      <c r="H45" s="28">
        <f t="shared" si="6"/>
        <v>1.9976</v>
      </c>
      <c r="I45" s="48"/>
      <c r="J45" s="30">
        <v>1.4728</v>
      </c>
      <c r="K45" s="179">
        <f>H18</f>
        <v>1</v>
      </c>
      <c r="L45" s="28">
        <f t="shared" si="7"/>
        <v>1.4728</v>
      </c>
      <c r="M45" s="49"/>
      <c r="N45" s="32">
        <f t="shared" si="8"/>
        <v>-0.5247999999999999</v>
      </c>
      <c r="O45" s="33">
        <f t="shared" si="9"/>
        <v>-0.26271525830997194</v>
      </c>
    </row>
    <row r="46" spans="2:15" ht="30.75" customHeight="1">
      <c r="B46" s="23" t="s">
        <v>115</v>
      </c>
      <c r="C46" s="23"/>
      <c r="D46" s="24" t="s">
        <v>71</v>
      </c>
      <c r="E46" s="25"/>
      <c r="F46" s="259">
        <v>0</v>
      </c>
      <c r="G46" s="179">
        <f>$H$18</f>
        <v>1</v>
      </c>
      <c r="H46" s="247">
        <f t="shared" si="6"/>
        <v>0</v>
      </c>
      <c r="I46" s="29"/>
      <c r="J46" s="30">
        <v>0.0577</v>
      </c>
      <c r="K46" s="179">
        <f>$H$18</f>
        <v>1</v>
      </c>
      <c r="L46" s="247">
        <f t="shared" si="7"/>
        <v>0.0577</v>
      </c>
      <c r="M46" s="29"/>
      <c r="N46" s="32">
        <f t="shared" si="8"/>
        <v>0.0577</v>
      </c>
      <c r="O46" s="248">
        <f t="shared" si="9"/>
      </c>
    </row>
    <row r="47" spans="2:15" ht="15">
      <c r="B47" s="50" t="s">
        <v>26</v>
      </c>
      <c r="C47" s="23"/>
      <c r="D47" s="24" t="s">
        <v>71</v>
      </c>
      <c r="E47" s="25"/>
      <c r="F47" s="26">
        <v>0.7192</v>
      </c>
      <c r="G47" s="179">
        <f>H18</f>
        <v>1</v>
      </c>
      <c r="H47" s="28">
        <f t="shared" si="6"/>
        <v>0.7192</v>
      </c>
      <c r="I47" s="29"/>
      <c r="J47" s="30">
        <v>0.7192</v>
      </c>
      <c r="K47" s="179">
        <f>H18</f>
        <v>1</v>
      </c>
      <c r="L47" s="28">
        <f t="shared" si="7"/>
        <v>0.7192</v>
      </c>
      <c r="M47" s="29"/>
      <c r="N47" s="32">
        <f t="shared" si="8"/>
        <v>0</v>
      </c>
      <c r="O47" s="33">
        <f t="shared" si="9"/>
        <v>0</v>
      </c>
    </row>
    <row r="48" spans="2:15" s="35" customFormat="1" ht="15">
      <c r="B48" s="181" t="s">
        <v>27</v>
      </c>
      <c r="C48" s="25"/>
      <c r="D48" s="182" t="s">
        <v>63</v>
      </c>
      <c r="E48" s="25"/>
      <c r="F48" s="183">
        <f>IF(ISBLANK(D16)=TRUE,0,IF(D16="TOU",0.64*$F$58+0.18*$F$59+0.18*$F$60,IF(AND(D16="non-TOU",G62&gt;0),F62,F61)))</f>
        <v>0.075</v>
      </c>
      <c r="G48" s="27">
        <f>$F$18*(1+$F$77)-$F$18</f>
        <v>3.217500000000001</v>
      </c>
      <c r="H48" s="184">
        <f t="shared" si="6"/>
        <v>0.24131250000000007</v>
      </c>
      <c r="I48" s="58"/>
      <c r="J48" s="185">
        <f>IF(ISBLANK(D16)=TRUE,0,IF(D16="TOU",0.64*$F$58+0.18*$F$59+0.18*$F$60,IF(AND(D16="non-TOU",K62&gt;0),J62,J61)))</f>
        <v>0.075</v>
      </c>
      <c r="K48" s="27">
        <f>$F$18*(1+$J$77)-$F$18</f>
        <v>3.217500000000001</v>
      </c>
      <c r="L48" s="184">
        <f t="shared" si="7"/>
        <v>0.24131250000000007</v>
      </c>
      <c r="M48" s="58"/>
      <c r="N48" s="186">
        <f t="shared" si="8"/>
        <v>0</v>
      </c>
      <c r="O48" s="187">
        <f t="shared" si="9"/>
        <v>0</v>
      </c>
    </row>
    <row r="49" spans="2:15" ht="15">
      <c r="B49" s="50" t="s">
        <v>28</v>
      </c>
      <c r="C49" s="23"/>
      <c r="D49" s="24" t="s">
        <v>62</v>
      </c>
      <c r="E49" s="25"/>
      <c r="F49" s="178">
        <v>0.79</v>
      </c>
      <c r="G49" s="27">
        <v>0</v>
      </c>
      <c r="H49" s="28">
        <f t="shared" si="6"/>
        <v>0</v>
      </c>
      <c r="I49" s="29"/>
      <c r="J49" s="178">
        <v>0.79</v>
      </c>
      <c r="K49" s="27">
        <v>0</v>
      </c>
      <c r="L49" s="28">
        <f t="shared" si="7"/>
        <v>0</v>
      </c>
      <c r="M49" s="29"/>
      <c r="N49" s="32">
        <f t="shared" si="8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33.1000125</v>
      </c>
      <c r="I50" s="42"/>
      <c r="J50" s="54"/>
      <c r="K50" s="56"/>
      <c r="L50" s="55">
        <f>SUM(L42:L49)+L41</f>
        <v>34.3036125</v>
      </c>
      <c r="M50" s="42"/>
      <c r="N50" s="45">
        <f aca="true" t="shared" si="10" ref="N50:N68">L50-H50</f>
        <v>1.2036000000000016</v>
      </c>
      <c r="O50" s="46">
        <f aca="true" t="shared" si="11" ref="O50:O68">IF((H50)=0,"",(N50/H50))</f>
        <v>0.03636252403227949</v>
      </c>
    </row>
    <row r="51" spans="2:15" ht="15">
      <c r="B51" s="29" t="s">
        <v>30</v>
      </c>
      <c r="C51" s="29"/>
      <c r="D51" s="57" t="s">
        <v>71</v>
      </c>
      <c r="E51" s="58"/>
      <c r="F51" s="30">
        <v>1.2878</v>
      </c>
      <c r="G51" s="59">
        <f>H18*(1+F77)</f>
        <v>1.0495</v>
      </c>
      <c r="H51" s="28">
        <f>G51*F51</f>
        <v>1.3515461000000002</v>
      </c>
      <c r="I51" s="29"/>
      <c r="J51" s="30">
        <v>1.7078</v>
      </c>
      <c r="K51" s="60">
        <f>H18*(1+J77)</f>
        <v>1.0495</v>
      </c>
      <c r="L51" s="28">
        <f>K51*J51</f>
        <v>1.7923361000000002</v>
      </c>
      <c r="M51" s="29"/>
      <c r="N51" s="32">
        <f t="shared" si="10"/>
        <v>0.44079</v>
      </c>
      <c r="O51" s="33">
        <f t="shared" si="11"/>
        <v>0.3261375990060568</v>
      </c>
    </row>
    <row r="52" spans="2:15" ht="15">
      <c r="B52" s="61" t="s">
        <v>31</v>
      </c>
      <c r="C52" s="29"/>
      <c r="D52" s="57" t="s">
        <v>71</v>
      </c>
      <c r="E52" s="58"/>
      <c r="F52" s="30">
        <v>0.5558</v>
      </c>
      <c r="G52" s="59">
        <f>G51</f>
        <v>1.0495</v>
      </c>
      <c r="H52" s="28">
        <f>G52*F52</f>
        <v>0.5833121</v>
      </c>
      <c r="I52" s="29"/>
      <c r="J52" s="30">
        <v>0.8813</v>
      </c>
      <c r="K52" s="60">
        <f>K51</f>
        <v>1.0495</v>
      </c>
      <c r="L52" s="28">
        <f>K52*J52</f>
        <v>0.9249243500000001</v>
      </c>
      <c r="M52" s="29"/>
      <c r="N52" s="32">
        <f t="shared" si="10"/>
        <v>0.34161225000000006</v>
      </c>
      <c r="O52" s="33">
        <f t="shared" si="11"/>
        <v>0.5856423173803528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35.0348707</v>
      </c>
      <c r="I53" s="63"/>
      <c r="J53" s="64"/>
      <c r="K53" s="65"/>
      <c r="L53" s="55">
        <f>SUM(L50:L52)</f>
        <v>37.02087295</v>
      </c>
      <c r="M53" s="63"/>
      <c r="N53" s="45">
        <f t="shared" si="10"/>
        <v>1.9860022499999985</v>
      </c>
      <c r="O53" s="46">
        <f t="shared" si="11"/>
        <v>0.05668644440009304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F18*(F77)</f>
        <v>3.2175000000000002</v>
      </c>
      <c r="H54" s="68">
        <f aca="true" t="shared" si="12" ref="H54:H60">G54*F54</f>
        <v>0.014157000000000001</v>
      </c>
      <c r="I54" s="29"/>
      <c r="J54" s="69">
        <v>0.0044</v>
      </c>
      <c r="K54" s="60">
        <f>F18*(J77)</f>
        <v>3.2175000000000002</v>
      </c>
      <c r="L54" s="68">
        <f aca="true" t="shared" si="13" ref="L54:L60">K54*J54</f>
        <v>0.014157000000000001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G54</f>
        <v>3.2175000000000002</v>
      </c>
      <c r="H55" s="68">
        <f t="shared" si="12"/>
        <v>0.00418275</v>
      </c>
      <c r="I55" s="29"/>
      <c r="J55" s="69">
        <v>0.0013</v>
      </c>
      <c r="K55" s="60">
        <f>K54</f>
        <v>3.2175000000000002</v>
      </c>
      <c r="L55" s="68">
        <f t="shared" si="13"/>
        <v>0.00418275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35</v>
      </c>
      <c r="C56" s="23"/>
      <c r="D56" s="24" t="s">
        <v>62</v>
      </c>
      <c r="E56" s="25"/>
      <c r="F56" s="176">
        <v>0.25</v>
      </c>
      <c r="G56" s="27">
        <v>1</v>
      </c>
      <c r="H56" s="68">
        <f t="shared" si="12"/>
        <v>0.25</v>
      </c>
      <c r="I56" s="29"/>
      <c r="J56" s="177">
        <v>0.25</v>
      </c>
      <c r="K56" s="31">
        <v>1</v>
      </c>
      <c r="L56" s="68">
        <f t="shared" si="13"/>
        <v>0.25</v>
      </c>
      <c r="M56" s="29"/>
      <c r="N56" s="32">
        <f t="shared" si="10"/>
        <v>0</v>
      </c>
      <c r="O56" s="70">
        <f t="shared" si="11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65</v>
      </c>
      <c r="H57" s="68">
        <f t="shared" si="12"/>
        <v>0.455</v>
      </c>
      <c r="I57" s="29"/>
      <c r="J57" s="69">
        <v>0.007</v>
      </c>
      <c r="K57" s="72">
        <f>F18</f>
        <v>65</v>
      </c>
      <c r="L57" s="68">
        <f t="shared" si="13"/>
        <v>0.455</v>
      </c>
      <c r="M57" s="29"/>
      <c r="N57" s="32">
        <f t="shared" si="10"/>
        <v>0</v>
      </c>
      <c r="O57" s="70">
        <f t="shared" si="11"/>
        <v>0</v>
      </c>
    </row>
    <row r="58" spans="2:19" ht="15.75" thickBot="1">
      <c r="B58" s="50" t="s">
        <v>74</v>
      </c>
      <c r="C58" s="23"/>
      <c r="D58" s="24" t="s">
        <v>63</v>
      </c>
      <c r="E58" s="25"/>
      <c r="F58" s="67">
        <v>0.1</v>
      </c>
      <c r="G58" s="71">
        <f>F18</f>
        <v>65</v>
      </c>
      <c r="H58" s="188">
        <f t="shared" si="12"/>
        <v>6.5</v>
      </c>
      <c r="I58" s="58"/>
      <c r="J58" s="69">
        <f>F58</f>
        <v>0.1</v>
      </c>
      <c r="K58" s="71">
        <f>G58</f>
        <v>65</v>
      </c>
      <c r="L58" s="68">
        <f t="shared" si="13"/>
        <v>6.5</v>
      </c>
      <c r="M58" s="29"/>
      <c r="N58" s="32">
        <f t="shared" si="10"/>
        <v>0</v>
      </c>
      <c r="O58" s="70">
        <f t="shared" si="11"/>
        <v>0</v>
      </c>
      <c r="S58" s="74"/>
    </row>
    <row r="59" spans="2:19" ht="15" hidden="1">
      <c r="B59" s="50" t="s">
        <v>38</v>
      </c>
      <c r="C59" s="23"/>
      <c r="D59" s="24"/>
      <c r="E59" s="25"/>
      <c r="F59" s="73">
        <v>0.104</v>
      </c>
      <c r="G59" s="59">
        <v>0</v>
      </c>
      <c r="H59" s="68">
        <f t="shared" si="12"/>
        <v>0</v>
      </c>
      <c r="I59" s="29"/>
      <c r="J59" s="67">
        <v>0.104</v>
      </c>
      <c r="K59" s="59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9" ht="15" hidden="1">
      <c r="B60" s="13" t="s">
        <v>39</v>
      </c>
      <c r="C60" s="23"/>
      <c r="D60" s="24"/>
      <c r="E60" s="25"/>
      <c r="F60" s="73">
        <v>0.124</v>
      </c>
      <c r="G60" s="59">
        <v>0</v>
      </c>
      <c r="H60" s="68">
        <f t="shared" si="12"/>
        <v>0</v>
      </c>
      <c r="I60" s="29"/>
      <c r="J60" s="67">
        <v>0.124</v>
      </c>
      <c r="K60" s="59">
        <v>0</v>
      </c>
      <c r="L60" s="68">
        <f t="shared" si="13"/>
        <v>0</v>
      </c>
      <c r="M60" s="29"/>
      <c r="N60" s="32">
        <f t="shared" si="10"/>
        <v>0</v>
      </c>
      <c r="O60" s="70">
        <f t="shared" si="11"/>
      </c>
      <c r="S60" s="74"/>
    </row>
    <row r="61" spans="2:15" s="75" customFormat="1" ht="15" hidden="1">
      <c r="B61" s="180" t="s">
        <v>40</v>
      </c>
      <c r="C61" s="77"/>
      <c r="D61" s="78"/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65</v>
      </c>
      <c r="H61" s="68">
        <f>G61*F61</f>
        <v>4.875</v>
      </c>
      <c r="I61" s="81"/>
      <c r="J61" s="67">
        <v>0.075</v>
      </c>
      <c r="K61" s="80">
        <f>G61</f>
        <v>65</v>
      </c>
      <c r="L61" s="68">
        <f>K61*J61</f>
        <v>4.875</v>
      </c>
      <c r="M61" s="81"/>
      <c r="N61" s="82">
        <f t="shared" si="10"/>
        <v>0</v>
      </c>
      <c r="O61" s="70">
        <f t="shared" si="11"/>
        <v>0</v>
      </c>
    </row>
    <row r="62" spans="2:15" s="75" customFormat="1" ht="15.75" hidden="1" thickBot="1">
      <c r="B62" s="180" t="s">
        <v>41</v>
      </c>
      <c r="C62" s="77"/>
      <c r="D62" s="78"/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0</v>
      </c>
      <c r="H62" s="68">
        <f>G62*F62</f>
        <v>0</v>
      </c>
      <c r="I62" s="81"/>
      <c r="J62" s="67">
        <v>0.088</v>
      </c>
      <c r="K62" s="80">
        <f>G62</f>
        <v>0</v>
      </c>
      <c r="L62" s="68">
        <f>K62*J62</f>
        <v>0</v>
      </c>
      <c r="M62" s="81"/>
      <c r="N62" s="82">
        <f t="shared" si="10"/>
        <v>0</v>
      </c>
      <c r="O62" s="70">
        <f t="shared" si="11"/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 hidden="1">
      <c r="B64" s="93" t="s">
        <v>42</v>
      </c>
      <c r="C64" s="23"/>
      <c r="D64" s="23"/>
      <c r="E64" s="23"/>
      <c r="F64" s="94"/>
      <c r="G64" s="95"/>
      <c r="H64" s="96">
        <f>SUM(H54:H60,H53)</f>
        <v>42.25821045</v>
      </c>
      <c r="I64" s="97"/>
      <c r="J64" s="98"/>
      <c r="K64" s="98"/>
      <c r="L64" s="96">
        <f>SUM(L54:L60,L53)</f>
        <v>44.2442127</v>
      </c>
      <c r="M64" s="99"/>
      <c r="N64" s="100">
        <f>L64-H64</f>
        <v>1.9860022499999985</v>
      </c>
      <c r="O64" s="101">
        <f>IF((H64)=0,"",(N64/H64))</f>
        <v>0.04699683751042511</v>
      </c>
      <c r="S64" s="74"/>
    </row>
    <row r="65" spans="2:19" ht="15" hidden="1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5.4935673585</v>
      </c>
      <c r="I65" s="106"/>
      <c r="J65" s="107">
        <v>0.13</v>
      </c>
      <c r="K65" s="106"/>
      <c r="L65" s="108">
        <f>L64*J65</f>
        <v>5.751747651</v>
      </c>
      <c r="M65" s="109"/>
      <c r="N65" s="110">
        <f t="shared" si="10"/>
        <v>0.25818029249999963</v>
      </c>
      <c r="O65" s="111">
        <f t="shared" si="11"/>
        <v>0.046996837510425084</v>
      </c>
      <c r="S65" s="74"/>
    </row>
    <row r="66" spans="2:19" ht="15" hidden="1">
      <c r="B66" s="112" t="s">
        <v>44</v>
      </c>
      <c r="C66" s="23"/>
      <c r="D66" s="23"/>
      <c r="E66" s="23"/>
      <c r="F66" s="113"/>
      <c r="G66" s="104"/>
      <c r="H66" s="105">
        <f>H64+H65</f>
        <v>47.7517778085</v>
      </c>
      <c r="I66" s="106"/>
      <c r="J66" s="106"/>
      <c r="K66" s="106"/>
      <c r="L66" s="108">
        <f>L64+L65</f>
        <v>49.995960351</v>
      </c>
      <c r="M66" s="109"/>
      <c r="N66" s="110">
        <f t="shared" si="10"/>
        <v>2.244182542499999</v>
      </c>
      <c r="O66" s="111">
        <f t="shared" si="11"/>
        <v>0.046996837510425125</v>
      </c>
      <c r="S66" s="74"/>
    </row>
    <row r="67" spans="2:15" ht="15.75" customHeight="1" hidden="1">
      <c r="B67" s="321" t="s">
        <v>45</v>
      </c>
      <c r="C67" s="321"/>
      <c r="D67" s="321"/>
      <c r="E67" s="23"/>
      <c r="F67" s="113"/>
      <c r="G67" s="104"/>
      <c r="H67" s="114">
        <f>ROUND(-H66*10%,2)</f>
        <v>-4.78</v>
      </c>
      <c r="I67" s="106"/>
      <c r="J67" s="106"/>
      <c r="K67" s="106"/>
      <c r="L67" s="115">
        <f>ROUND(-L66*10%,2)</f>
        <v>-5</v>
      </c>
      <c r="M67" s="109"/>
      <c r="N67" s="116">
        <f t="shared" si="10"/>
        <v>-0.21999999999999975</v>
      </c>
      <c r="O67" s="117">
        <f t="shared" si="11"/>
        <v>0.04602510460251041</v>
      </c>
    </row>
    <row r="68" spans="2:15" ht="15" hidden="1">
      <c r="B68" s="322" t="s">
        <v>46</v>
      </c>
      <c r="C68" s="322"/>
      <c r="D68" s="322"/>
      <c r="E68" s="118"/>
      <c r="F68" s="119"/>
      <c r="G68" s="120"/>
      <c r="H68" s="121">
        <f>H66+H67</f>
        <v>42.9717778085</v>
      </c>
      <c r="I68" s="122"/>
      <c r="J68" s="122"/>
      <c r="K68" s="122"/>
      <c r="L68" s="123">
        <f>L66+L67</f>
        <v>44.995960351</v>
      </c>
      <c r="M68" s="124"/>
      <c r="N68" s="125">
        <f t="shared" si="10"/>
        <v>2.0241825425</v>
      </c>
      <c r="O68" s="126">
        <f t="shared" si="11"/>
        <v>0.04710492899597019</v>
      </c>
    </row>
    <row r="69" spans="2:15" s="75" customFormat="1" ht="8.25" customHeight="1" hidden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SUM(H58,H53,H54:H57)</f>
        <v>42.25821044999999</v>
      </c>
      <c r="I70" s="138"/>
      <c r="J70" s="139"/>
      <c r="K70" s="139"/>
      <c r="L70" s="189">
        <f>SUM(L58,L53,L54:L57)</f>
        <v>44.24421269999999</v>
      </c>
      <c r="M70" s="140"/>
      <c r="N70" s="141">
        <f>L70-H70</f>
        <v>1.9860022499999985</v>
      </c>
      <c r="O70" s="101">
        <f>IF((H70)=0,"",(N70/H70))</f>
        <v>0.04699683751042512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5.493567358499999</v>
      </c>
      <c r="I71" s="145"/>
      <c r="J71" s="146">
        <v>0.13</v>
      </c>
      <c r="K71" s="147"/>
      <c r="L71" s="148">
        <f>L70*J71</f>
        <v>5.751747650999999</v>
      </c>
      <c r="M71" s="149"/>
      <c r="N71" s="150">
        <f>L71-H71</f>
        <v>0.25818029249999963</v>
      </c>
      <c r="O71" s="111">
        <f>IF((H71)=0,"",(N71/H71))</f>
        <v>0.04699683751042509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47.751777808499995</v>
      </c>
      <c r="I72" s="145"/>
      <c r="J72" s="145"/>
      <c r="K72" s="145"/>
      <c r="L72" s="148">
        <f>L70+L71</f>
        <v>49.995960350999994</v>
      </c>
      <c r="M72" s="149"/>
      <c r="N72" s="150">
        <f>L72-H72</f>
        <v>2.244182542499999</v>
      </c>
      <c r="O72" s="111">
        <f>IF((H72)=0,"",(N72/H72))</f>
        <v>0.04699683751042513</v>
      </c>
    </row>
    <row r="73" spans="2:15" s="75" customFormat="1" ht="15.75" customHeight="1">
      <c r="B73" s="323" t="s">
        <v>45</v>
      </c>
      <c r="C73" s="323"/>
      <c r="D73" s="323"/>
      <c r="E73" s="77"/>
      <c r="F73" s="152"/>
      <c r="G73" s="153"/>
      <c r="H73" s="254">
        <f>ROUND(-H72*10%,2)</f>
        <v>-4.78</v>
      </c>
      <c r="I73" s="145"/>
      <c r="J73" s="145"/>
      <c r="K73" s="145"/>
      <c r="L73" s="255">
        <v>0</v>
      </c>
      <c r="M73" s="149"/>
      <c r="N73" s="256">
        <f>L73-H73</f>
        <v>4.78</v>
      </c>
      <c r="O73" s="117">
        <f>IF((H73)=0,"",(N73/H73))</f>
        <v>-1</v>
      </c>
    </row>
    <row r="74" spans="2:15" s="75" customFormat="1" ht="13.5" thickBot="1">
      <c r="B74" s="314" t="s">
        <v>48</v>
      </c>
      <c r="C74" s="314"/>
      <c r="D74" s="314"/>
      <c r="E74" s="155"/>
      <c r="F74" s="156"/>
      <c r="G74" s="157"/>
      <c r="H74" s="158">
        <f>SUM(H72:H73)</f>
        <v>42.97177780849999</v>
      </c>
      <c r="I74" s="159"/>
      <c r="J74" s="159"/>
      <c r="K74" s="159"/>
      <c r="L74" s="160">
        <f>SUM(L72:L73)</f>
        <v>49.995960350999994</v>
      </c>
      <c r="M74" s="161"/>
      <c r="N74" s="162">
        <f>L74-H74</f>
        <v>7.0241825425</v>
      </c>
      <c r="O74" s="163">
        <f>IF((H74)=0,"",(N74/H74))</f>
        <v>0.16346036633165753</v>
      </c>
    </row>
    <row r="75" spans="2:15" s="75" customFormat="1" ht="8.25" customHeight="1" thickBot="1">
      <c r="B75" s="127"/>
      <c r="C75" s="128"/>
      <c r="D75" s="129"/>
      <c r="E75" s="128"/>
      <c r="F75" s="164"/>
      <c r="G75" s="165"/>
      <c r="H75" s="166"/>
      <c r="I75" s="167"/>
      <c r="J75" s="164"/>
      <c r="K75" s="130"/>
      <c r="L75" s="168"/>
      <c r="M75" s="131"/>
      <c r="N75" s="169"/>
      <c r="O75" s="92"/>
    </row>
    <row r="76" ht="10.5" customHeight="1">
      <c r="L76" s="74"/>
    </row>
    <row r="77" spans="2:10" ht="15">
      <c r="B77" s="14" t="s">
        <v>49</v>
      </c>
      <c r="F77" s="170">
        <v>0.0495</v>
      </c>
      <c r="J77" s="170">
        <v>0.0495</v>
      </c>
    </row>
    <row r="78" ht="10.5" customHeight="1"/>
    <row r="79" ht="15">
      <c r="A79" s="171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2"/>
      <c r="B93" s="8" t="s">
        <v>60</v>
      </c>
    </row>
  </sheetData>
  <sheetProtection/>
  <mergeCells count="20">
    <mergeCell ref="N1:O1"/>
    <mergeCell ref="N2:O2"/>
    <mergeCell ref="N3:O3"/>
    <mergeCell ref="N4:O4"/>
    <mergeCell ref="B74:D74"/>
    <mergeCell ref="D21:D22"/>
    <mergeCell ref="N21:N22"/>
    <mergeCell ref="O21:O22"/>
    <mergeCell ref="B67:D67"/>
    <mergeCell ref="B68:D68"/>
    <mergeCell ref="B73:D73"/>
    <mergeCell ref="A3:K3"/>
    <mergeCell ref="B10:O10"/>
    <mergeCell ref="B11:O11"/>
    <mergeCell ref="D14:O14"/>
    <mergeCell ref="F20:H20"/>
    <mergeCell ref="J20:L20"/>
    <mergeCell ref="N20:O20"/>
    <mergeCell ref="N5:O5"/>
    <mergeCell ref="N7:O7"/>
  </mergeCells>
  <dataValidations count="4">
    <dataValidation type="list" allowBlank="1" showInputMessage="1" showErrorMessage="1" sqref="E51:E52 E23:E40 E63 E54:E60 E42:E49">
      <formula1>Sentinel!#REF!</formula1>
    </dataValidation>
    <dataValidation type="list" allowBlank="1" showInputMessage="1" showErrorMessage="1" prompt="Select Charge Unit - monthly, per kWh, per kW" sqref="D51:D52 D23:D40 D69 D54:D63 D75 D42:D49">
      <formula1>"Monthly, per kWh, per kW"</formula1>
    </dataValidation>
    <dataValidation type="list" allowBlank="1" showInputMessage="1" showErrorMessage="1" sqref="E75 E69 E61:E62">
      <formula1>Sentinel!#REF!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7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2"/>
  <sheetViews>
    <sheetView showGridLines="0" zoomScalePageLayoutView="0" workbookViewId="0" topLeftCell="B10">
      <selection activeCell="L73" sqref="L7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18</v>
      </c>
      <c r="O4" s="304"/>
      <c r="P4"/>
    </row>
    <row r="5" spans="3:16" s="2" customFormat="1" ht="15" customHeight="1">
      <c r="C5" s="7"/>
      <c r="D5" s="7"/>
      <c r="E5" s="7"/>
      <c r="L5" s="3" t="s">
        <v>78</v>
      </c>
      <c r="N5" s="306" t="s">
        <v>95</v>
      </c>
      <c r="O5" s="306"/>
      <c r="P5"/>
    </row>
    <row r="6" spans="12:16" s="2" customFormat="1" ht="9" customHeight="1">
      <c r="L6" s="3"/>
      <c r="N6" s="4"/>
      <c r="O6" s="191"/>
      <c r="P6"/>
    </row>
    <row r="7" spans="12:16" s="2" customFormat="1" ht="15">
      <c r="L7" s="3" t="s">
        <v>80</v>
      </c>
      <c r="N7" s="307">
        <v>41575</v>
      </c>
      <c r="O7" s="307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72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150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v>1.53</v>
      </c>
      <c r="G23" s="27">
        <v>1</v>
      </c>
      <c r="H23" s="28">
        <f>G23*F23</f>
        <v>1.53</v>
      </c>
      <c r="I23" s="29"/>
      <c r="J23" s="173">
        <v>1.53</v>
      </c>
      <c r="K23" s="31">
        <v>1</v>
      </c>
      <c r="L23" s="28">
        <f>K23*J23</f>
        <v>1.53</v>
      </c>
      <c r="M23" s="29"/>
      <c r="N23" s="32">
        <f>L23-H23</f>
        <v>0</v>
      </c>
      <c r="O23" s="33">
        <f>IF((H23)=0,"",(N23/H23))</f>
        <v>0</v>
      </c>
    </row>
    <row r="24" spans="2:15" ht="22.5" customHeight="1">
      <c r="B24" s="23" t="s">
        <v>97</v>
      </c>
      <c r="C24" s="23"/>
      <c r="D24" s="24" t="s">
        <v>62</v>
      </c>
      <c r="E24" s="25"/>
      <c r="F24" s="174"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257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Sentinel!J25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15" hidden="1">
      <c r="B26" s="175"/>
      <c r="C26" s="23"/>
      <c r="D26" s="57" t="s">
        <v>62</v>
      </c>
      <c r="E26" s="58"/>
      <c r="F26" s="173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5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3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71</v>
      </c>
      <c r="E28" s="25"/>
      <c r="F28" s="26">
        <v>0</v>
      </c>
      <c r="G28" s="179">
        <f>$H$18</f>
        <v>1</v>
      </c>
      <c r="H28" s="28">
        <f t="shared" si="0"/>
        <v>0</v>
      </c>
      <c r="I28" s="29"/>
      <c r="J28" s="30"/>
      <c r="K28" s="179">
        <f>$H$18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71</v>
      </c>
      <c r="E29" s="25"/>
      <c r="F29" s="251">
        <v>0</v>
      </c>
      <c r="G29" s="179">
        <f>$H$18</f>
        <v>1</v>
      </c>
      <c r="H29" s="28">
        <f t="shared" si="0"/>
        <v>0</v>
      </c>
      <c r="I29" s="29"/>
      <c r="J29" s="30">
        <v>0</v>
      </c>
      <c r="K29" s="179">
        <f>$H$18</f>
        <v>1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v>0</v>
      </c>
      <c r="G30" s="179">
        <f>$H$18</f>
        <v>1</v>
      </c>
      <c r="H30" s="247">
        <f t="shared" si="0"/>
        <v>0</v>
      </c>
      <c r="I30" s="29"/>
      <c r="J30" s="30">
        <v>0</v>
      </c>
      <c r="K30" s="179">
        <f>H18</f>
        <v>1</v>
      </c>
      <c r="L30" s="28">
        <f t="shared" si="1"/>
        <v>0</v>
      </c>
      <c r="M30" s="29"/>
      <c r="N30" s="257">
        <f t="shared" si="2"/>
        <v>0</v>
      </c>
      <c r="O30" s="33"/>
    </row>
    <row r="31" spans="2:15" ht="15">
      <c r="B31" s="23" t="s">
        <v>21</v>
      </c>
      <c r="C31" s="23"/>
      <c r="D31" s="24" t="s">
        <v>71</v>
      </c>
      <c r="E31" s="25"/>
      <c r="F31" s="26">
        <v>44.8917</v>
      </c>
      <c r="G31" s="179">
        <f>$H$18</f>
        <v>1</v>
      </c>
      <c r="H31" s="28">
        <f t="shared" si="0"/>
        <v>44.8917</v>
      </c>
      <c r="I31" s="29"/>
      <c r="J31" s="30">
        <v>44.8917</v>
      </c>
      <c r="K31" s="179">
        <f>$H$18</f>
        <v>1</v>
      </c>
      <c r="L31" s="28">
        <f t="shared" si="1"/>
        <v>44.8917</v>
      </c>
      <c r="M31" s="29"/>
      <c r="N31" s="32">
        <f t="shared" si="2"/>
        <v>0</v>
      </c>
      <c r="O31" s="33">
        <f t="shared" si="3"/>
        <v>0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150</v>
      </c>
      <c r="H32" s="28">
        <f t="shared" si="0"/>
        <v>0</v>
      </c>
      <c r="I32" s="29"/>
      <c r="J32" s="30"/>
      <c r="K32" s="27">
        <f aca="true" t="shared" si="4" ref="K32:K40">$F$18</f>
        <v>150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/>
      <c r="E33" s="25"/>
      <c r="F33" s="26"/>
      <c r="G33" s="27">
        <f>$F$18</f>
        <v>150</v>
      </c>
      <c r="H33" s="28">
        <f t="shared" si="0"/>
        <v>0</v>
      </c>
      <c r="I33" s="29"/>
      <c r="J33" s="30"/>
      <c r="K33" s="27">
        <f t="shared" si="4"/>
        <v>150</v>
      </c>
      <c r="L33" s="28">
        <f t="shared" si="1"/>
        <v>0</v>
      </c>
      <c r="M33" s="29"/>
      <c r="N33" s="32">
        <f t="shared" si="2"/>
        <v>0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150</v>
      </c>
      <c r="H34" s="28">
        <f t="shared" si="0"/>
        <v>0</v>
      </c>
      <c r="I34" s="29"/>
      <c r="J34" s="30"/>
      <c r="K34" s="27">
        <f t="shared" si="4"/>
        <v>150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150</v>
      </c>
      <c r="H35" s="28">
        <f t="shared" si="0"/>
        <v>0</v>
      </c>
      <c r="I35" s="29"/>
      <c r="J35" s="30"/>
      <c r="K35" s="27">
        <f t="shared" si="4"/>
        <v>150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150</v>
      </c>
      <c r="H36" s="28">
        <f t="shared" si="0"/>
        <v>0</v>
      </c>
      <c r="I36" s="29"/>
      <c r="J36" s="30"/>
      <c r="K36" s="27">
        <f t="shared" si="4"/>
        <v>150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150</v>
      </c>
      <c r="H37" s="28">
        <f t="shared" si="0"/>
        <v>0</v>
      </c>
      <c r="I37" s="29"/>
      <c r="J37" s="30"/>
      <c r="K37" s="27">
        <f t="shared" si="4"/>
        <v>150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150</v>
      </c>
      <c r="H38" s="28">
        <f t="shared" si="0"/>
        <v>0</v>
      </c>
      <c r="I38" s="29"/>
      <c r="J38" s="30"/>
      <c r="K38" s="27">
        <f t="shared" si="4"/>
        <v>150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150</v>
      </c>
      <c r="H39" s="28">
        <f t="shared" si="0"/>
        <v>0</v>
      </c>
      <c r="I39" s="29"/>
      <c r="J39" s="30"/>
      <c r="K39" s="27">
        <f t="shared" si="4"/>
        <v>150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150</v>
      </c>
      <c r="H40" s="28">
        <f t="shared" si="0"/>
        <v>0</v>
      </c>
      <c r="I40" s="29"/>
      <c r="J40" s="30"/>
      <c r="K40" s="27">
        <f t="shared" si="4"/>
        <v>150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46.4217</v>
      </c>
      <c r="I41" s="42"/>
      <c r="J41" s="43"/>
      <c r="K41" s="44"/>
      <c r="L41" s="41">
        <f>SUM(L23:L40)</f>
        <v>46.4217</v>
      </c>
      <c r="M41" s="42"/>
      <c r="N41" s="258">
        <f t="shared" si="2"/>
        <v>0</v>
      </c>
      <c r="O41" s="46">
        <f t="shared" si="3"/>
        <v>0</v>
      </c>
    </row>
    <row r="42" spans="2:15" ht="25.5">
      <c r="B42" s="47" t="s">
        <v>25</v>
      </c>
      <c r="C42" s="23"/>
      <c r="D42" s="57" t="s">
        <v>71</v>
      </c>
      <c r="E42" s="58"/>
      <c r="F42" s="252">
        <v>-2.1744</v>
      </c>
      <c r="G42" s="179">
        <f>G31</f>
        <v>1</v>
      </c>
      <c r="H42" s="28">
        <f aca="true" t="shared" si="6" ref="H42:H48">G42*F42</f>
        <v>-2.1744</v>
      </c>
      <c r="I42" s="29"/>
      <c r="J42" s="252">
        <v>-0.6472</v>
      </c>
      <c r="K42" s="179">
        <f>H18</f>
        <v>1</v>
      </c>
      <c r="L42" s="28">
        <f aca="true" t="shared" si="7" ref="L42:L48">K42*J42</f>
        <v>-0.6472</v>
      </c>
      <c r="M42" s="29"/>
      <c r="N42" s="32">
        <f aca="true" t="shared" si="8" ref="N42:N48">L42-H42</f>
        <v>1.5272</v>
      </c>
      <c r="O42" s="33">
        <f aca="true" t="shared" si="9" ref="O42:O47">IF((H42)=0,"",(N42/H42))</f>
        <v>-0.702354672553348</v>
      </c>
    </row>
    <row r="43" spans="2:15" ht="15" hidden="1">
      <c r="B43" s="47"/>
      <c r="C43" s="23"/>
      <c r="D43" s="24" t="s">
        <v>71</v>
      </c>
      <c r="E43" s="25"/>
      <c r="F43" s="26"/>
      <c r="G43" s="179">
        <f>H18</f>
        <v>1</v>
      </c>
      <c r="H43" s="28">
        <f t="shared" si="6"/>
        <v>0</v>
      </c>
      <c r="I43" s="48"/>
      <c r="J43" s="30"/>
      <c r="K43" s="179">
        <f>H18</f>
        <v>1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71</v>
      </c>
      <c r="E44" s="25"/>
      <c r="F44" s="26"/>
      <c r="G44" s="179">
        <f>H18</f>
        <v>1</v>
      </c>
      <c r="H44" s="28">
        <f t="shared" si="6"/>
        <v>0</v>
      </c>
      <c r="I44" s="48"/>
      <c r="J44" s="30"/>
      <c r="K44" s="179">
        <f>H18</f>
        <v>1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0" customHeight="1">
      <c r="B45" s="47" t="s">
        <v>75</v>
      </c>
      <c r="C45" s="23"/>
      <c r="D45" s="24" t="s">
        <v>71</v>
      </c>
      <c r="E45" s="25"/>
      <c r="F45" s="252">
        <v>2.1719</v>
      </c>
      <c r="G45" s="179">
        <f>H18</f>
        <v>1</v>
      </c>
      <c r="H45" s="28">
        <f t="shared" si="6"/>
        <v>2.1719</v>
      </c>
      <c r="I45" s="48"/>
      <c r="J45" s="252">
        <v>1.3053</v>
      </c>
      <c r="K45" s="179">
        <f>H18</f>
        <v>1</v>
      </c>
      <c r="L45" s="28">
        <f t="shared" si="7"/>
        <v>1.3053</v>
      </c>
      <c r="M45" s="49"/>
      <c r="N45" s="32">
        <f t="shared" si="8"/>
        <v>-0.8666</v>
      </c>
      <c r="O45" s="33">
        <f t="shared" si="9"/>
        <v>-0.3990054790736222</v>
      </c>
    </row>
    <row r="46" spans="2:15" ht="15">
      <c r="B46" s="50" t="s">
        <v>26</v>
      </c>
      <c r="C46" s="23"/>
      <c r="D46" s="24" t="s">
        <v>71</v>
      </c>
      <c r="E46" s="25"/>
      <c r="F46" s="26"/>
      <c r="G46" s="179">
        <f>H18</f>
        <v>1</v>
      </c>
      <c r="H46" s="28">
        <f t="shared" si="6"/>
        <v>0</v>
      </c>
      <c r="I46" s="29"/>
      <c r="J46" s="30">
        <v>0.027</v>
      </c>
      <c r="K46" s="179">
        <f>H18</f>
        <v>1</v>
      </c>
      <c r="L46" s="28">
        <f t="shared" si="7"/>
        <v>0.027</v>
      </c>
      <c r="M46" s="29"/>
      <c r="N46" s="32">
        <f t="shared" si="8"/>
        <v>0.027</v>
      </c>
      <c r="O46" s="33">
        <f t="shared" si="9"/>
      </c>
    </row>
    <row r="47" spans="2:15" s="35" customFormat="1" ht="15">
      <c r="B47" s="181" t="s">
        <v>27</v>
      </c>
      <c r="C47" s="25"/>
      <c r="D47" s="182" t="s">
        <v>63</v>
      </c>
      <c r="E47" s="25"/>
      <c r="F47" s="183">
        <f>IF(ISBLANK(D16)=TRUE,0,IF(D16="TOU",0.64*$F$57+0.18*$F$58+0.18*$F$59,IF(AND(D16="non-TOU",G61&gt;0),F61,F60)))</f>
        <v>0.075</v>
      </c>
      <c r="G47" s="27">
        <f>$F$18*(1+$F$76)-$F$18</f>
        <v>7.425000000000011</v>
      </c>
      <c r="H47" s="184">
        <f t="shared" si="6"/>
        <v>0.5568750000000008</v>
      </c>
      <c r="I47" s="58"/>
      <c r="J47" s="185">
        <f>IF(ISBLANK(D16)=TRUE,0,IF(D16="TOU",0.64*$F$57+0.18*$F$58+0.18*$F$59,IF(AND(D16="non-TOU",K61&gt;0),J61,J60)))</f>
        <v>0.075</v>
      </c>
      <c r="K47" s="27">
        <f>$F$18*(1+$J$76)-$F$18</f>
        <v>7.425000000000011</v>
      </c>
      <c r="L47" s="184">
        <f t="shared" si="7"/>
        <v>0.5568750000000008</v>
      </c>
      <c r="M47" s="58"/>
      <c r="N47" s="186">
        <f t="shared" si="8"/>
        <v>0</v>
      </c>
      <c r="O47" s="187">
        <f t="shared" si="9"/>
        <v>0</v>
      </c>
    </row>
    <row r="48" spans="2:15" ht="15">
      <c r="B48" s="50" t="s">
        <v>28</v>
      </c>
      <c r="C48" s="23"/>
      <c r="D48" s="24" t="s">
        <v>62</v>
      </c>
      <c r="E48" s="25"/>
      <c r="F48" s="178">
        <v>0</v>
      </c>
      <c r="G48" s="27">
        <v>0</v>
      </c>
      <c r="H48" s="28">
        <f t="shared" si="6"/>
        <v>0</v>
      </c>
      <c r="I48" s="29"/>
      <c r="J48" s="178">
        <v>0</v>
      </c>
      <c r="K48" s="27">
        <v>0</v>
      </c>
      <c r="L48" s="28">
        <f t="shared" si="7"/>
        <v>0</v>
      </c>
      <c r="M48" s="29"/>
      <c r="N48" s="32">
        <f t="shared" si="8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46.976075</v>
      </c>
      <c r="I49" s="42"/>
      <c r="J49" s="54"/>
      <c r="K49" s="56"/>
      <c r="L49" s="55">
        <f>SUM(L42:L48)+L41</f>
        <v>47.663675000000005</v>
      </c>
      <c r="M49" s="42"/>
      <c r="N49" s="45">
        <f aca="true" t="shared" si="10" ref="N49:N67">L49-H49</f>
        <v>0.6876000000000033</v>
      </c>
      <c r="O49" s="46">
        <f aca="true" t="shared" si="11" ref="O49:O67">IF((H49)=0,"",(N49/H49))</f>
        <v>0.0146372382111533</v>
      </c>
    </row>
    <row r="50" spans="2:15" ht="15">
      <c r="B50" s="29" t="s">
        <v>30</v>
      </c>
      <c r="C50" s="29"/>
      <c r="D50" s="57" t="s">
        <v>71</v>
      </c>
      <c r="E50" s="58"/>
      <c r="F50" s="30">
        <v>1.3177</v>
      </c>
      <c r="G50" s="59">
        <f>H18*(1+F76)</f>
        <v>1.0495</v>
      </c>
      <c r="H50" s="28">
        <f>G50*F50</f>
        <v>1.3829261500000003</v>
      </c>
      <c r="I50" s="29"/>
      <c r="J50" s="30">
        <v>1.9593</v>
      </c>
      <c r="K50" s="60">
        <f>H18*(1+J76)</f>
        <v>1.0495</v>
      </c>
      <c r="L50" s="28">
        <f>K50*J50</f>
        <v>2.0562853500000005</v>
      </c>
      <c r="M50" s="29"/>
      <c r="N50" s="257">
        <f t="shared" si="10"/>
        <v>0.6733592000000002</v>
      </c>
      <c r="O50" s="33">
        <f t="shared" si="11"/>
        <v>0.4869090081202095</v>
      </c>
    </row>
    <row r="51" spans="2:15" ht="30">
      <c r="B51" s="61" t="s">
        <v>31</v>
      </c>
      <c r="C51" s="29"/>
      <c r="D51" s="57" t="s">
        <v>71</v>
      </c>
      <c r="E51" s="58"/>
      <c r="F51" s="30">
        <v>0.5317</v>
      </c>
      <c r="G51" s="59">
        <f>G50</f>
        <v>1.0495</v>
      </c>
      <c r="H51" s="28">
        <f>G51*F51</f>
        <v>0.55801915</v>
      </c>
      <c r="I51" s="29"/>
      <c r="J51" s="30">
        <v>1.222</v>
      </c>
      <c r="K51" s="60">
        <f>K50</f>
        <v>1.0495</v>
      </c>
      <c r="L51" s="28">
        <f>K51*J51</f>
        <v>1.282489</v>
      </c>
      <c r="M51" s="29"/>
      <c r="N51" s="257">
        <f t="shared" si="10"/>
        <v>0.72446985</v>
      </c>
      <c r="O51" s="33">
        <f t="shared" si="11"/>
        <v>1.2982885085574571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48.917020300000004</v>
      </c>
      <c r="I52" s="63"/>
      <c r="J52" s="64"/>
      <c r="K52" s="65"/>
      <c r="L52" s="55">
        <f>SUM(L49:L51)</f>
        <v>51.002449350000006</v>
      </c>
      <c r="M52" s="63"/>
      <c r="N52" s="45">
        <f t="shared" si="10"/>
        <v>2.085429050000002</v>
      </c>
      <c r="O52" s="46">
        <f t="shared" si="11"/>
        <v>0.04263197220947658</v>
      </c>
    </row>
    <row r="53" spans="2:15" ht="30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157.425</v>
      </c>
      <c r="H53" s="68">
        <f aca="true" t="shared" si="12" ref="H53:H59">G53*F53</f>
        <v>0.6926700000000001</v>
      </c>
      <c r="I53" s="29"/>
      <c r="J53" s="69">
        <v>0.0044</v>
      </c>
      <c r="K53" s="60">
        <f>F18*(1+J76)</f>
        <v>157.425</v>
      </c>
      <c r="L53" s="68">
        <f aca="true" t="shared" si="13" ref="L53:L59">K53*J53</f>
        <v>0.6926700000000001</v>
      </c>
      <c r="M53" s="29"/>
      <c r="N53" s="32">
        <f t="shared" si="10"/>
        <v>0</v>
      </c>
      <c r="O53" s="70">
        <f t="shared" si="11"/>
        <v>0</v>
      </c>
    </row>
    <row r="54" spans="2:15" ht="30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157.425</v>
      </c>
      <c r="H54" s="68">
        <f t="shared" si="12"/>
        <v>0.20465250000000001</v>
      </c>
      <c r="I54" s="29"/>
      <c r="J54" s="69">
        <v>0.0013</v>
      </c>
      <c r="K54" s="60">
        <f>K53</f>
        <v>157.425</v>
      </c>
      <c r="L54" s="68">
        <f t="shared" si="13"/>
        <v>0.20465250000000001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23" t="s">
        <v>35</v>
      </c>
      <c r="C55" s="23"/>
      <c r="D55" s="24" t="s">
        <v>62</v>
      </c>
      <c r="E55" s="25"/>
      <c r="F55" s="176">
        <v>0.25</v>
      </c>
      <c r="G55" s="27">
        <v>1</v>
      </c>
      <c r="H55" s="68">
        <f t="shared" si="12"/>
        <v>0.25</v>
      </c>
      <c r="I55" s="29"/>
      <c r="J55" s="177">
        <v>0.25</v>
      </c>
      <c r="K55" s="31">
        <v>1</v>
      </c>
      <c r="L55" s="68">
        <f t="shared" si="13"/>
        <v>0.25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150</v>
      </c>
      <c r="H56" s="68">
        <f t="shared" si="12"/>
        <v>1.05</v>
      </c>
      <c r="I56" s="29"/>
      <c r="J56" s="69">
        <f>0.007</f>
        <v>0.007</v>
      </c>
      <c r="K56" s="72">
        <f>F18</f>
        <v>150</v>
      </c>
      <c r="L56" s="68">
        <f t="shared" si="13"/>
        <v>1.05</v>
      </c>
      <c r="M56" s="29"/>
      <c r="N56" s="32">
        <f t="shared" si="10"/>
        <v>0</v>
      </c>
      <c r="O56" s="70">
        <f t="shared" si="11"/>
        <v>0</v>
      </c>
    </row>
    <row r="57" spans="2:19" ht="15.75" thickBot="1">
      <c r="B57" s="50" t="s">
        <v>74</v>
      </c>
      <c r="C57" s="23"/>
      <c r="D57" s="24" t="s">
        <v>63</v>
      </c>
      <c r="E57" s="25"/>
      <c r="F57" s="67">
        <v>0.1</v>
      </c>
      <c r="G57" s="71">
        <f>F18</f>
        <v>150</v>
      </c>
      <c r="H57" s="68">
        <f t="shared" si="12"/>
        <v>15</v>
      </c>
      <c r="I57" s="29"/>
      <c r="J57" s="67">
        <f>F57</f>
        <v>0.1</v>
      </c>
      <c r="K57" s="71">
        <f>F18</f>
        <v>150</v>
      </c>
      <c r="L57" s="68">
        <f t="shared" si="13"/>
        <v>15</v>
      </c>
      <c r="M57" s="29"/>
      <c r="N57" s="32">
        <f t="shared" si="10"/>
        <v>0</v>
      </c>
      <c r="O57" s="70">
        <f t="shared" si="11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71">
        <v>0</v>
      </c>
      <c r="H58" s="68">
        <f t="shared" si="12"/>
        <v>0</v>
      </c>
      <c r="I58" s="29"/>
      <c r="J58" s="67">
        <v>0.104</v>
      </c>
      <c r="K58" s="71">
        <v>0</v>
      </c>
      <c r="L58" s="68">
        <f t="shared" si="13"/>
        <v>0</v>
      </c>
      <c r="M58" s="29"/>
      <c r="N58" s="32">
        <f t="shared" si="10"/>
        <v>0</v>
      </c>
      <c r="O58" s="70">
        <f t="shared" si="11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71">
        <v>0</v>
      </c>
      <c r="H59" s="68">
        <f t="shared" si="12"/>
        <v>0</v>
      </c>
      <c r="I59" s="29"/>
      <c r="J59" s="67">
        <v>0.124</v>
      </c>
      <c r="K59" s="71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5" s="75" customFormat="1" ht="15" hidden="1">
      <c r="B60" s="180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150</v>
      </c>
      <c r="H60" s="68">
        <f>G60*F60</f>
        <v>11.25</v>
      </c>
      <c r="I60" s="81"/>
      <c r="J60" s="67">
        <v>0.075</v>
      </c>
      <c r="K60" s="80">
        <f>G60</f>
        <v>150</v>
      </c>
      <c r="L60" s="68">
        <f>K60*J60</f>
        <v>11.25</v>
      </c>
      <c r="M60" s="81"/>
      <c r="N60" s="82">
        <f t="shared" si="10"/>
        <v>0</v>
      </c>
      <c r="O60" s="70">
        <f t="shared" si="11"/>
        <v>0</v>
      </c>
    </row>
    <row r="61" spans="2:15" s="75" customFormat="1" ht="15.75" hidden="1" thickBot="1">
      <c r="B61" s="180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0</v>
      </c>
      <c r="H61" s="68">
        <f>G61*F61</f>
        <v>0</v>
      </c>
      <c r="I61" s="81"/>
      <c r="J61" s="67">
        <v>0.088</v>
      </c>
      <c r="K61" s="80">
        <f>G61</f>
        <v>0</v>
      </c>
      <c r="L61" s="68">
        <f>K61*J61</f>
        <v>0</v>
      </c>
      <c r="M61" s="81"/>
      <c r="N61" s="82">
        <f t="shared" si="10"/>
        <v>0</v>
      </c>
      <c r="O61" s="70">
        <f t="shared" si="11"/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66.1143428</v>
      </c>
      <c r="I63" s="97"/>
      <c r="J63" s="98"/>
      <c r="K63" s="98"/>
      <c r="L63" s="96">
        <f>SUM(L53:L59,L52)</f>
        <v>68.19977185</v>
      </c>
      <c r="M63" s="99"/>
      <c r="N63" s="100">
        <f>L63-H63</f>
        <v>2.085429050000002</v>
      </c>
      <c r="O63" s="101">
        <f>IF((H63)=0,"",(N63/H63))</f>
        <v>0.03154276306290383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8.594864564</v>
      </c>
      <c r="I64" s="106"/>
      <c r="J64" s="107">
        <v>0.13</v>
      </c>
      <c r="K64" s="106"/>
      <c r="L64" s="108">
        <f>L63*J64</f>
        <v>8.8659703405</v>
      </c>
      <c r="M64" s="109"/>
      <c r="N64" s="110">
        <f t="shared" si="10"/>
        <v>0.2711057765000007</v>
      </c>
      <c r="O64" s="111">
        <f t="shared" si="11"/>
        <v>0.031542763062903885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74.70920736400001</v>
      </c>
      <c r="I65" s="106"/>
      <c r="J65" s="106"/>
      <c r="K65" s="106"/>
      <c r="L65" s="108">
        <f>L63+L64</f>
        <v>77.0657421905</v>
      </c>
      <c r="M65" s="109"/>
      <c r="N65" s="110">
        <f t="shared" si="10"/>
        <v>2.3565348264999955</v>
      </c>
      <c r="O65" s="111">
        <f t="shared" si="11"/>
        <v>0.03154276306290374</v>
      </c>
      <c r="S65" s="74"/>
    </row>
    <row r="66" spans="2:15" ht="15.75" customHeight="1" hidden="1">
      <c r="B66" s="321" t="s">
        <v>45</v>
      </c>
      <c r="C66" s="321"/>
      <c r="D66" s="321"/>
      <c r="E66" s="23"/>
      <c r="F66" s="113"/>
      <c r="G66" s="104"/>
      <c r="H66" s="114">
        <f>ROUND(-H65*10%,2)</f>
        <v>-7.47</v>
      </c>
      <c r="I66" s="106"/>
      <c r="J66" s="106"/>
      <c r="K66" s="106"/>
      <c r="L66" s="115">
        <f>ROUND(-L65*10%,2)</f>
        <v>-7.71</v>
      </c>
      <c r="M66" s="109"/>
      <c r="N66" s="116">
        <f t="shared" si="10"/>
        <v>-0.2400000000000002</v>
      </c>
      <c r="O66" s="117">
        <f t="shared" si="11"/>
        <v>0.03212851405622493</v>
      </c>
    </row>
    <row r="67" spans="2:15" ht="15" hidden="1">
      <c r="B67" s="322" t="s">
        <v>46</v>
      </c>
      <c r="C67" s="322"/>
      <c r="D67" s="322"/>
      <c r="E67" s="118"/>
      <c r="F67" s="119"/>
      <c r="G67" s="120"/>
      <c r="H67" s="121">
        <f>H65+H66</f>
        <v>67.23920736400001</v>
      </c>
      <c r="I67" s="122"/>
      <c r="J67" s="122"/>
      <c r="K67" s="122"/>
      <c r="L67" s="123">
        <f>L65+L66</f>
        <v>69.35574219050001</v>
      </c>
      <c r="M67" s="124"/>
      <c r="N67" s="125">
        <f t="shared" si="10"/>
        <v>2.1165348265000006</v>
      </c>
      <c r="O67" s="126">
        <f t="shared" si="11"/>
        <v>0.03147768853136715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66.1143428</v>
      </c>
      <c r="I69" s="138"/>
      <c r="J69" s="139"/>
      <c r="K69" s="139"/>
      <c r="L69" s="189">
        <f>SUM(L57,L52,L53:L56)</f>
        <v>68.19977185</v>
      </c>
      <c r="M69" s="140"/>
      <c r="N69" s="141">
        <f>L69-H69</f>
        <v>2.085429050000002</v>
      </c>
      <c r="O69" s="101">
        <f>IF((H69)=0,"",(N69/H69))</f>
        <v>0.03154276306290383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8.594864564</v>
      </c>
      <c r="I70" s="145"/>
      <c r="J70" s="146">
        <v>0.13</v>
      </c>
      <c r="K70" s="147"/>
      <c r="L70" s="148">
        <f>L69*J70</f>
        <v>8.8659703405</v>
      </c>
      <c r="M70" s="149"/>
      <c r="N70" s="150">
        <f>L70-H70</f>
        <v>0.2711057765000007</v>
      </c>
      <c r="O70" s="111">
        <f>IF((H70)=0,"",(N70/H70))</f>
        <v>0.031542763062903885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74.70920736400001</v>
      </c>
      <c r="I71" s="145"/>
      <c r="J71" s="145"/>
      <c r="K71" s="145"/>
      <c r="L71" s="148">
        <f>L69+L70</f>
        <v>77.0657421905</v>
      </c>
      <c r="M71" s="149"/>
      <c r="N71" s="150">
        <f>L71-H71</f>
        <v>2.3565348264999955</v>
      </c>
      <c r="O71" s="111">
        <f>IF((H71)=0,"",(N71/H71))</f>
        <v>0.03154276306290374</v>
      </c>
    </row>
    <row r="72" spans="2:15" s="75" customFormat="1" ht="15.75" customHeight="1">
      <c r="B72" s="323" t="s">
        <v>45</v>
      </c>
      <c r="C72" s="323"/>
      <c r="D72" s="323"/>
      <c r="E72" s="77"/>
      <c r="F72" s="152"/>
      <c r="G72" s="153"/>
      <c r="H72" s="254">
        <f>ROUND(-H71*10%,2)</f>
        <v>-7.47</v>
      </c>
      <c r="I72" s="145"/>
      <c r="J72" s="145"/>
      <c r="K72" s="145"/>
      <c r="L72" s="255">
        <v>0</v>
      </c>
      <c r="M72" s="149"/>
      <c r="N72" s="256">
        <f>L72-H72</f>
        <v>7.47</v>
      </c>
      <c r="O72" s="117">
        <f>IF((H72)=0,"",(N72/H72))</f>
        <v>-1</v>
      </c>
    </row>
    <row r="73" spans="2:15" s="75" customFormat="1" ht="13.5" thickBot="1">
      <c r="B73" s="314" t="s">
        <v>48</v>
      </c>
      <c r="C73" s="314"/>
      <c r="D73" s="314"/>
      <c r="E73" s="155"/>
      <c r="F73" s="156"/>
      <c r="G73" s="157"/>
      <c r="H73" s="158">
        <f>SUM(H71:H72)</f>
        <v>67.23920736400001</v>
      </c>
      <c r="I73" s="159"/>
      <c r="J73" s="159"/>
      <c r="K73" s="159"/>
      <c r="L73" s="160">
        <f>SUM(L71:L72)</f>
        <v>77.0657421905</v>
      </c>
      <c r="M73" s="161"/>
      <c r="N73" s="162">
        <f>L73-H73</f>
        <v>9.826534826499994</v>
      </c>
      <c r="O73" s="163">
        <f>IF((H73)=0,"",(N73/H73))</f>
        <v>0.14614293076514073</v>
      </c>
    </row>
    <row r="74" spans="2:15" s="75" customFormat="1" ht="8.25" customHeight="1" thickBot="1">
      <c r="B74" s="127"/>
      <c r="C74" s="128"/>
      <c r="D74" s="129"/>
      <c r="E74" s="128"/>
      <c r="F74" s="164"/>
      <c r="G74" s="165"/>
      <c r="H74" s="166"/>
      <c r="I74" s="167"/>
      <c r="J74" s="164"/>
      <c r="K74" s="130"/>
      <c r="L74" s="168"/>
      <c r="M74" s="131"/>
      <c r="N74" s="169"/>
      <c r="O74" s="92"/>
    </row>
    <row r="75" ht="10.5" customHeight="1">
      <c r="L75" s="74"/>
    </row>
    <row r="76" spans="2:10" ht="15">
      <c r="B76" s="14" t="s">
        <v>49</v>
      </c>
      <c r="F76" s="170">
        <v>0.0495</v>
      </c>
      <c r="J76" s="170">
        <v>0.0495</v>
      </c>
    </row>
    <row r="77" ht="10.5" customHeight="1"/>
    <row r="78" ht="15">
      <c r="A78" s="171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2"/>
      <c r="B92" s="8" t="s">
        <v>60</v>
      </c>
    </row>
  </sheetData>
  <sheetProtection/>
  <mergeCells count="20">
    <mergeCell ref="N1:O1"/>
    <mergeCell ref="N2:O2"/>
    <mergeCell ref="N3:O3"/>
    <mergeCell ref="N4:O4"/>
    <mergeCell ref="N5:O5"/>
    <mergeCell ref="N7:O7"/>
    <mergeCell ref="B73:D73"/>
    <mergeCell ref="D21:D22"/>
    <mergeCell ref="N21:N22"/>
    <mergeCell ref="O21:O22"/>
    <mergeCell ref="B66:D66"/>
    <mergeCell ref="B67:D67"/>
    <mergeCell ref="B72:D72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4 E68 E60:E61">
      <formula1>'ST (1kW)'!#REF!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50:E51 E42:E48 E62 E53:E59 E23:E40">
      <formula1>'ST (1kW)'!#REF!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.421875" style="0" customWidth="1"/>
    <col min="2" max="2" width="14.00390625" style="0" customWidth="1"/>
    <col min="4" max="4" width="12.8515625" style="0" bestFit="1" customWidth="1"/>
    <col min="5" max="5" width="12.28125" style="0" bestFit="1" customWidth="1"/>
    <col min="6" max="6" width="9.00390625" style="0" customWidth="1"/>
    <col min="7" max="7" width="13.421875" style="0" bestFit="1" customWidth="1"/>
    <col min="8" max="8" width="9.00390625" style="0" customWidth="1"/>
    <col min="9" max="9" width="11.421875" style="0" customWidth="1"/>
    <col min="10" max="10" width="14.7109375" style="0" customWidth="1"/>
  </cols>
  <sheetData>
    <row r="1" ht="6.75" customHeight="1" thickBot="1"/>
    <row r="2" spans="2:10" ht="41.25" customHeight="1">
      <c r="B2" s="294" t="s">
        <v>99</v>
      </c>
      <c r="C2" s="295"/>
      <c r="D2" s="299" t="s">
        <v>8</v>
      </c>
      <c r="E2" s="296" t="s">
        <v>118</v>
      </c>
      <c r="F2" s="295"/>
      <c r="G2" s="294" t="s">
        <v>125</v>
      </c>
      <c r="H2" s="295"/>
      <c r="I2" s="294" t="s">
        <v>126</v>
      </c>
      <c r="J2" s="295"/>
    </row>
    <row r="3" spans="2:10" ht="15.75" thickBot="1">
      <c r="B3" s="297"/>
      <c r="C3" s="298"/>
      <c r="D3" s="300"/>
      <c r="E3" s="199" t="s">
        <v>100</v>
      </c>
      <c r="F3" s="200" t="s">
        <v>101</v>
      </c>
      <c r="G3" s="201" t="s">
        <v>100</v>
      </c>
      <c r="H3" s="202" t="s">
        <v>101</v>
      </c>
      <c r="I3" s="201" t="s">
        <v>100</v>
      </c>
      <c r="J3" s="202" t="s">
        <v>101</v>
      </c>
    </row>
    <row r="4" spans="2:10" ht="15.75" thickBot="1">
      <c r="B4" s="301" t="s">
        <v>61</v>
      </c>
      <c r="C4" s="302"/>
      <c r="D4" s="203" t="s">
        <v>124</v>
      </c>
      <c r="E4" s="204">
        <f>'Res (350kWh)'!N41</f>
        <v>2.5150000000000006</v>
      </c>
      <c r="F4" s="205">
        <f>'Res (350kWh)'!O41</f>
        <v>0.12355686563497914</v>
      </c>
      <c r="G4" s="204">
        <f>'Res (350kWh)'!N70</f>
        <v>12.29485857500002</v>
      </c>
      <c r="H4" s="206">
        <f>'Res (350kWh)'!O70</f>
        <v>0.18799909647130145</v>
      </c>
      <c r="I4" s="204">
        <v>5.02</v>
      </c>
      <c r="J4" s="206">
        <v>0.0768</v>
      </c>
    </row>
    <row r="5" spans="2:10" ht="15">
      <c r="B5" s="301" t="s">
        <v>61</v>
      </c>
      <c r="C5" s="302"/>
      <c r="D5" s="203" t="s">
        <v>102</v>
      </c>
      <c r="E5" s="204">
        <f>'Res (800kWh)'!N41</f>
        <v>0.129999999999999</v>
      </c>
      <c r="F5" s="205">
        <f>'Res (800kWh)'!O41</f>
        <v>0.00435510887772191</v>
      </c>
      <c r="G5" s="204">
        <f>'Res (800kWh)'!N70</f>
        <v>19.7645196</v>
      </c>
      <c r="H5" s="206">
        <f>'Res (800kWh)'!O70</f>
        <v>0.15067303435905785</v>
      </c>
      <c r="I5" s="204">
        <v>5.19</v>
      </c>
      <c r="J5" s="206">
        <v>0.0396</v>
      </c>
    </row>
    <row r="6" spans="2:10" ht="15.75" thickBot="1">
      <c r="B6" s="326" t="s">
        <v>68</v>
      </c>
      <c r="C6" s="327"/>
      <c r="D6" s="328" t="s">
        <v>103</v>
      </c>
      <c r="E6" s="329">
        <f>'GS&lt;50 (2,000kWh)'!N41</f>
        <v>0</v>
      </c>
      <c r="F6" s="330">
        <f>'GS&lt;50 (2,000kWh)'!O41</f>
        <v>0</v>
      </c>
      <c r="G6" s="331">
        <f>'GS&lt;50 (2,000kWh)'!N70</f>
        <v>63.03861800000004</v>
      </c>
      <c r="H6" s="332">
        <f>'GS&lt;50 (2,000kWh)'!O70</f>
        <v>0.20491449443541884</v>
      </c>
      <c r="I6" s="331">
        <v>28.86</v>
      </c>
      <c r="J6" s="332">
        <v>0.0938</v>
      </c>
    </row>
    <row r="7" spans="2:10" ht="15">
      <c r="B7" s="278"/>
      <c r="C7" s="279"/>
      <c r="D7" s="203"/>
      <c r="E7" s="208"/>
      <c r="F7" s="209"/>
      <c r="G7" s="208"/>
      <c r="H7" s="325"/>
      <c r="I7" s="208"/>
      <c r="J7" s="325"/>
    </row>
    <row r="8" spans="2:10" ht="15">
      <c r="B8" s="290" t="s">
        <v>127</v>
      </c>
      <c r="C8" s="291"/>
      <c r="D8" s="207" t="s">
        <v>104</v>
      </c>
      <c r="E8" s="208">
        <f>'GS 50-4999 (60kW)'!N41</f>
        <v>0</v>
      </c>
      <c r="F8" s="209">
        <f>'GS 50-4999 (60kW)'!O41</f>
        <v>0</v>
      </c>
      <c r="G8" s="210">
        <f>'GS 50-4999 (60kW)'!N74</f>
        <v>475.8275828599999</v>
      </c>
      <c r="H8" s="211">
        <f>'GS 50-4999 (60kW)'!O74</f>
        <v>0.16228079522911898</v>
      </c>
      <c r="I8" s="210">
        <f>'GS 50-4999 (60kW)'!P74</f>
        <v>0</v>
      </c>
      <c r="J8" s="211">
        <f>'GS 50-4999 (60kW)'!Q74</f>
        <v>0</v>
      </c>
    </row>
    <row r="9" spans="2:10" ht="15">
      <c r="B9" s="290" t="s">
        <v>120</v>
      </c>
      <c r="C9" s="291"/>
      <c r="D9" s="207" t="s">
        <v>128</v>
      </c>
      <c r="E9" s="208">
        <f>Sentinel!N41</f>
        <v>0</v>
      </c>
      <c r="F9" s="209">
        <f>Sentinel!O41</f>
        <v>0</v>
      </c>
      <c r="G9" s="210">
        <f>Sentinel!N74</f>
        <v>7.0241825425</v>
      </c>
      <c r="H9" s="211">
        <f>Sentinel!O74</f>
        <v>0.16346036633165753</v>
      </c>
      <c r="I9" s="210">
        <f>Sentinel!P74</f>
        <v>0</v>
      </c>
      <c r="J9" s="211">
        <f>Sentinel!Q74</f>
        <v>0</v>
      </c>
    </row>
    <row r="10" spans="2:10" ht="15">
      <c r="B10" s="290" t="s">
        <v>105</v>
      </c>
      <c r="C10" s="291"/>
      <c r="D10" s="207" t="s">
        <v>106</v>
      </c>
      <c r="E10" s="208">
        <f>'USL (800kWh)'!N41</f>
        <v>0</v>
      </c>
      <c r="F10" s="209">
        <f>'USL (800kWh)'!O41</f>
        <v>0</v>
      </c>
      <c r="G10" s="210">
        <f>'USL (800kWh)'!N73</f>
        <v>19.030595199999993</v>
      </c>
      <c r="H10" s="211">
        <f>'USL (800kWh)'!O73</f>
        <v>0.15459767589331325</v>
      </c>
      <c r="I10" s="210">
        <f>'USL (800kWh)'!P73</f>
        <v>0</v>
      </c>
      <c r="J10" s="211">
        <f>'USL (800kWh)'!Q73</f>
        <v>0</v>
      </c>
    </row>
    <row r="11" spans="2:10" ht="15.75" thickBot="1">
      <c r="B11" s="292" t="s">
        <v>117</v>
      </c>
      <c r="C11" s="293"/>
      <c r="D11" s="212" t="s">
        <v>107</v>
      </c>
      <c r="E11" s="213">
        <f>'ST (1kW)'!N41</f>
        <v>0</v>
      </c>
      <c r="F11" s="214">
        <f>'ST (1kW)'!O41</f>
        <v>0</v>
      </c>
      <c r="G11" s="215">
        <f>'ST (1kW)'!N73</f>
        <v>9.826534826499994</v>
      </c>
      <c r="H11" s="216">
        <f>'ST (1kW)'!O73</f>
        <v>0.14614293076514073</v>
      </c>
      <c r="I11" s="215">
        <f>'ST (1kW)'!P73</f>
        <v>0</v>
      </c>
      <c r="J11" s="216">
        <f>'ST (1kW)'!Q73</f>
        <v>0</v>
      </c>
    </row>
  </sheetData>
  <sheetProtection/>
  <mergeCells count="12">
    <mergeCell ref="B6:C6"/>
    <mergeCell ref="B4:C4"/>
    <mergeCell ref="I2:J2"/>
    <mergeCell ref="B8:C8"/>
    <mergeCell ref="B9:C9"/>
    <mergeCell ref="B10:C10"/>
    <mergeCell ref="B11:C11"/>
    <mergeCell ref="G2:H2"/>
    <mergeCell ref="E2:F2"/>
    <mergeCell ref="B2:C3"/>
    <mergeCell ref="D2:D3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3">
      <selection activeCell="K48" sqref="K48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1.57421875" style="8" customWidth="1"/>
    <col min="15" max="15" width="10.8515625" style="8" bestFit="1" customWidth="1"/>
    <col min="16" max="16" width="6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</row>
    <row r="3" spans="1:15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1</v>
      </c>
      <c r="O4" s="304"/>
    </row>
    <row r="5" spans="3:15" s="2" customFormat="1" ht="15" customHeight="1">
      <c r="C5" s="7"/>
      <c r="D5" s="7"/>
      <c r="E5" s="7"/>
      <c r="L5" s="3" t="s">
        <v>78</v>
      </c>
      <c r="N5" s="306" t="s">
        <v>83</v>
      </c>
      <c r="O5" s="306"/>
    </row>
    <row r="6" spans="12:15" s="2" customFormat="1" ht="9" customHeight="1">
      <c r="L6" s="3"/>
      <c r="N6" s="4"/>
      <c r="O6"/>
    </row>
    <row r="7" spans="12:15" s="2" customFormat="1" ht="15">
      <c r="L7" s="3" t="s">
        <v>80</v>
      </c>
      <c r="N7" s="307">
        <v>41575</v>
      </c>
      <c r="O7" s="30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v>11.22</v>
      </c>
      <c r="G23" s="27">
        <v>1</v>
      </c>
      <c r="H23" s="28">
        <f>G23*F23</f>
        <v>11.22</v>
      </c>
      <c r="I23" s="29"/>
      <c r="J23" s="174"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v>0</v>
      </c>
      <c r="G24" s="27">
        <v>1</v>
      </c>
      <c r="H24" s="247">
        <f>G24*F24</f>
        <v>0</v>
      </c>
      <c r="I24" s="29"/>
      <c r="J24" s="173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8">
        <f aca="true" t="shared" si="0" ref="H25:H40">G25*F25</f>
        <v>0</v>
      </c>
      <c r="I25" s="29"/>
      <c r="J25" s="30">
        <v>0</v>
      </c>
      <c r="K25" s="31">
        <v>1</v>
      </c>
      <c r="L25" s="28">
        <f>K25*J25</f>
        <v>0</v>
      </c>
      <c r="M25" s="29"/>
      <c r="N25" s="32">
        <f>L25-H25</f>
        <v>0</v>
      </c>
      <c r="O25" s="33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v>1.75</v>
      </c>
      <c r="G26" s="27">
        <v>1</v>
      </c>
      <c r="H26" s="28">
        <f t="shared" si="0"/>
        <v>1.75</v>
      </c>
      <c r="I26" s="29"/>
      <c r="J26" s="30"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40">L26-H26</f>
        <v>0</v>
      </c>
      <c r="O26" s="33">
        <f aca="true" t="shared" si="3" ref="O26:O41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f>G27</f>
        <v>1</v>
      </c>
      <c r="H28" s="28">
        <f t="shared" si="0"/>
        <v>0</v>
      </c>
      <c r="I28" s="29"/>
      <c r="J28" s="173">
        <v>0</v>
      </c>
      <c r="K28" s="27">
        <f>K27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v>0</v>
      </c>
      <c r="G29" s="27">
        <f>$F$18</f>
        <v>100</v>
      </c>
      <c r="H29" s="28">
        <f t="shared" si="0"/>
        <v>0</v>
      </c>
      <c r="I29" s="29"/>
      <c r="J29" s="30">
        <v>0</v>
      </c>
      <c r="K29" s="27">
        <f>$F$18</f>
        <v>100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v>0</v>
      </c>
      <c r="G30" s="27">
        <f>$F$18</f>
        <v>100</v>
      </c>
      <c r="H30" s="247">
        <f t="shared" si="0"/>
        <v>0</v>
      </c>
      <c r="I30" s="29"/>
      <c r="J30" s="30">
        <v>0</v>
      </c>
      <c r="K30" s="27">
        <f>$F$18</f>
        <v>100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v>0.0211</v>
      </c>
      <c r="G31" s="27">
        <f>$F$18</f>
        <v>100</v>
      </c>
      <c r="H31" s="28">
        <f t="shared" si="0"/>
        <v>2.11</v>
      </c>
      <c r="I31" s="29"/>
      <c r="J31" s="26">
        <v>0.0158</v>
      </c>
      <c r="K31" s="27">
        <f>$F$18</f>
        <v>100</v>
      </c>
      <c r="L31" s="28">
        <f t="shared" si="1"/>
        <v>1.58</v>
      </c>
      <c r="M31" s="29"/>
      <c r="N31" s="32">
        <f t="shared" si="2"/>
        <v>-0.5299999999999998</v>
      </c>
      <c r="O31" s="33">
        <f t="shared" si="3"/>
        <v>-0.2511848341232227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100</v>
      </c>
      <c r="H32" s="28">
        <f t="shared" si="0"/>
        <v>0</v>
      </c>
      <c r="I32" s="29"/>
      <c r="J32" s="30"/>
      <c r="K32" s="27">
        <f aca="true" t="shared" si="4" ref="K32:K40">$F$18</f>
        <v>100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100</v>
      </c>
      <c r="H33" s="28">
        <f t="shared" si="0"/>
        <v>0</v>
      </c>
      <c r="I33" s="29"/>
      <c r="J33" s="30">
        <v>0</v>
      </c>
      <c r="K33" s="27">
        <f t="shared" si="4"/>
        <v>100</v>
      </c>
      <c r="L33" s="28">
        <f t="shared" si="1"/>
        <v>0</v>
      </c>
      <c r="M33" s="29"/>
      <c r="N33" s="32">
        <f t="shared" si="2"/>
        <v>0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100</v>
      </c>
      <c r="H34" s="28">
        <f t="shared" si="0"/>
        <v>0</v>
      </c>
      <c r="I34" s="29"/>
      <c r="J34" s="30"/>
      <c r="K34" s="27">
        <f t="shared" si="4"/>
        <v>100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100</v>
      </c>
      <c r="H35" s="28">
        <f t="shared" si="0"/>
        <v>0</v>
      </c>
      <c r="I35" s="29"/>
      <c r="J35" s="30"/>
      <c r="K35" s="27">
        <f t="shared" si="4"/>
        <v>100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100</v>
      </c>
      <c r="H36" s="28">
        <f t="shared" si="0"/>
        <v>0</v>
      </c>
      <c r="I36" s="29"/>
      <c r="J36" s="30"/>
      <c r="K36" s="27">
        <f t="shared" si="4"/>
        <v>100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100</v>
      </c>
      <c r="H37" s="28">
        <f t="shared" si="0"/>
        <v>0</v>
      </c>
      <c r="I37" s="29"/>
      <c r="J37" s="30"/>
      <c r="K37" s="27">
        <f t="shared" si="4"/>
        <v>100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100</v>
      </c>
      <c r="H38" s="28">
        <f t="shared" si="0"/>
        <v>0</v>
      </c>
      <c r="I38" s="29"/>
      <c r="J38" s="30"/>
      <c r="K38" s="27">
        <f t="shared" si="4"/>
        <v>100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100</v>
      </c>
      <c r="H39" s="28">
        <f t="shared" si="0"/>
        <v>0</v>
      </c>
      <c r="I39" s="29"/>
      <c r="J39" s="30"/>
      <c r="K39" s="27">
        <f t="shared" si="4"/>
        <v>100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100</v>
      </c>
      <c r="H40" s="28">
        <f t="shared" si="0"/>
        <v>0</v>
      </c>
      <c r="I40" s="29"/>
      <c r="J40" s="30"/>
      <c r="K40" s="27">
        <f t="shared" si="4"/>
        <v>100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15.08</v>
      </c>
      <c r="I41" s="42"/>
      <c r="J41" s="43"/>
      <c r="K41" s="44"/>
      <c r="L41" s="41">
        <f>SUM(L23:L40)</f>
        <v>18.92</v>
      </c>
      <c r="M41" s="42"/>
      <c r="N41" s="258">
        <f>L41-H41</f>
        <v>3.8400000000000016</v>
      </c>
      <c r="O41" s="46">
        <f t="shared" si="3"/>
        <v>0.2546419098143237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v>-0.007</v>
      </c>
      <c r="G43" s="27">
        <f>$F$18</f>
        <v>100</v>
      </c>
      <c r="H43" s="28">
        <f aca="true" t="shared" si="6" ref="H43:H51">G43*F43</f>
        <v>-0.7000000000000001</v>
      </c>
      <c r="I43" s="29"/>
      <c r="J43" s="252">
        <v>0.0021</v>
      </c>
      <c r="K43" s="27">
        <f>$F$18</f>
        <v>100</v>
      </c>
      <c r="L43" s="28">
        <f aca="true" t="shared" si="7" ref="L43:L51">K43*J43</f>
        <v>0.21</v>
      </c>
      <c r="M43" s="29"/>
      <c r="N43" s="32">
        <f aca="true" t="shared" si="8" ref="N43:N51">L43-H43</f>
        <v>0.91</v>
      </c>
      <c r="O43" s="33">
        <f aca="true" t="shared" si="9" ref="O43:O50">IF((H43)=0,"",(N43/H43))</f>
        <v>-1.2999999999999998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</v>
      </c>
      <c r="H44" s="28">
        <f t="shared" si="6"/>
        <v>0</v>
      </c>
      <c r="I44" s="48"/>
      <c r="J44" s="30"/>
      <c r="K44" s="27">
        <f>$F$18</f>
        <v>100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</v>
      </c>
      <c r="H45" s="28">
        <f t="shared" si="6"/>
        <v>0</v>
      </c>
      <c r="I45" s="48"/>
      <c r="J45" s="30"/>
      <c r="K45" s="27">
        <f>$F$18</f>
        <v>100</v>
      </c>
      <c r="L45" s="28">
        <f t="shared" si="7"/>
        <v>0</v>
      </c>
      <c r="M45" s="49"/>
      <c r="N45" s="32">
        <f t="shared" si="8"/>
        <v>0</v>
      </c>
      <c r="O45" s="33">
        <f t="shared" si="9"/>
      </c>
    </row>
    <row r="46" spans="2:15" ht="15" hidden="1">
      <c r="B46" s="47"/>
      <c r="C46" s="23"/>
      <c r="D46" s="24"/>
      <c r="E46" s="25"/>
      <c r="F46" s="26"/>
      <c r="G46" s="27">
        <f>$F$18</f>
        <v>100</v>
      </c>
      <c r="H46" s="28">
        <f t="shared" si="6"/>
        <v>0</v>
      </c>
      <c r="I46" s="48"/>
      <c r="J46" s="30"/>
      <c r="K46" s="27">
        <f>$F$18</f>
        <v>100</v>
      </c>
      <c r="L46" s="28">
        <f t="shared" si="7"/>
        <v>0</v>
      </c>
      <c r="M46" s="49"/>
      <c r="N46" s="32">
        <f t="shared" si="8"/>
        <v>0</v>
      </c>
      <c r="O46" s="33">
        <f t="shared" si="9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v>-0.04</v>
      </c>
      <c r="K47" s="27">
        <v>1</v>
      </c>
      <c r="L47" s="247">
        <f t="shared" si="7"/>
        <v>-0.04</v>
      </c>
      <c r="M47" s="29"/>
      <c r="N47" s="32">
        <f t="shared" si="8"/>
        <v>-0.04</v>
      </c>
      <c r="O47" s="248">
        <f t="shared" si="9"/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100</v>
      </c>
      <c r="H48" s="247">
        <f t="shared" si="6"/>
        <v>0</v>
      </c>
      <c r="I48" s="29"/>
      <c r="J48" s="30">
        <v>0.0007</v>
      </c>
      <c r="K48" s="27">
        <f>$F$18</f>
        <v>100</v>
      </c>
      <c r="L48" s="247">
        <f t="shared" si="7"/>
        <v>0.06999999999999999</v>
      </c>
      <c r="M48" s="29"/>
      <c r="N48" s="32">
        <f t="shared" si="8"/>
        <v>0.06999999999999999</v>
      </c>
      <c r="O48" s="248">
        <f t="shared" si="9"/>
      </c>
    </row>
    <row r="49" spans="2:15" ht="15">
      <c r="B49" s="50" t="s">
        <v>26</v>
      </c>
      <c r="C49" s="23"/>
      <c r="D49" s="24" t="s">
        <v>63</v>
      </c>
      <c r="E49" s="25"/>
      <c r="F49" s="26">
        <v>0.0024</v>
      </c>
      <c r="G49" s="27">
        <f>$F$18</f>
        <v>100</v>
      </c>
      <c r="H49" s="28">
        <f t="shared" si="6"/>
        <v>0.24</v>
      </c>
      <c r="I49" s="29"/>
      <c r="J49" s="185">
        <v>0.0024</v>
      </c>
      <c r="K49" s="27">
        <f>$F$18</f>
        <v>100</v>
      </c>
      <c r="L49" s="28">
        <f t="shared" si="7"/>
        <v>0.24</v>
      </c>
      <c r="M49" s="29"/>
      <c r="N49" s="32">
        <f t="shared" si="8"/>
        <v>0</v>
      </c>
      <c r="O49" s="33">
        <f t="shared" si="9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4.950000000000017</v>
      </c>
      <c r="H50" s="184">
        <f t="shared" si="6"/>
        <v>0.5055930000000017</v>
      </c>
      <c r="I50" s="58"/>
      <c r="J50" s="185">
        <f>0.64*$F$60+0.18*$F$61+0.18*$F$62</f>
        <v>0.10214000000000001</v>
      </c>
      <c r="K50" s="27">
        <f>$F$18*(1+$J$79)-$F$18</f>
        <v>4.950000000000017</v>
      </c>
      <c r="L50" s="184">
        <f t="shared" si="7"/>
        <v>0.5055930000000017</v>
      </c>
      <c r="M50" s="58"/>
      <c r="N50" s="186">
        <f t="shared" si="8"/>
        <v>0</v>
      </c>
      <c r="O50" s="187">
        <f t="shared" si="9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8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15.915593000000001</v>
      </c>
      <c r="I52" s="42"/>
      <c r="J52" s="54"/>
      <c r="K52" s="56"/>
      <c r="L52" s="55">
        <f>SUM(L42:L51)+L41</f>
        <v>20.695593000000002</v>
      </c>
      <c r="M52" s="42"/>
      <c r="N52" s="258">
        <f aca="true" t="shared" si="10" ref="N52:N70">L52-H52</f>
        <v>4.780000000000001</v>
      </c>
      <c r="O52" s="46">
        <f aca="true" t="shared" si="11" ref="O52:O70">IF((H52)=0,"",(N52/H52))</f>
        <v>0.30033439533167255</v>
      </c>
    </row>
    <row r="53" spans="2:15" ht="15">
      <c r="B53" s="29" t="s">
        <v>30</v>
      </c>
      <c r="C53" s="29"/>
      <c r="D53" s="57" t="s">
        <v>63</v>
      </c>
      <c r="E53" s="58"/>
      <c r="F53" s="30">
        <v>0.0048</v>
      </c>
      <c r="G53" s="59">
        <f>F18*(1+F79)</f>
        <v>104.95000000000002</v>
      </c>
      <c r="H53" s="28">
        <f>G53*F53</f>
        <v>0.50376</v>
      </c>
      <c r="I53" s="29"/>
      <c r="J53" s="185">
        <v>0.0064</v>
      </c>
      <c r="K53" s="60">
        <f>F18*(1+J79)</f>
        <v>104.95000000000002</v>
      </c>
      <c r="L53" s="28">
        <f>K53*J53</f>
        <v>0.6716800000000002</v>
      </c>
      <c r="M53" s="29"/>
      <c r="N53" s="32">
        <f t="shared" si="10"/>
        <v>0.16792000000000018</v>
      </c>
      <c r="O53" s="33">
        <f t="shared" si="11"/>
        <v>0.3333333333333337</v>
      </c>
    </row>
    <row r="54" spans="2:15" ht="30">
      <c r="B54" s="61" t="s">
        <v>31</v>
      </c>
      <c r="C54" s="29"/>
      <c r="D54" s="57" t="s">
        <v>63</v>
      </c>
      <c r="E54" s="58"/>
      <c r="F54" s="30">
        <v>0.0019</v>
      </c>
      <c r="G54" s="59">
        <f>G53</f>
        <v>104.95000000000002</v>
      </c>
      <c r="H54" s="28">
        <f>G54*F54</f>
        <v>0.19940500000000003</v>
      </c>
      <c r="I54" s="29"/>
      <c r="J54" s="185">
        <v>0.003</v>
      </c>
      <c r="K54" s="60">
        <f>K53</f>
        <v>104.95000000000002</v>
      </c>
      <c r="L54" s="28">
        <f>K54*J54</f>
        <v>0.3148500000000001</v>
      </c>
      <c r="M54" s="29"/>
      <c r="N54" s="32">
        <f t="shared" si="10"/>
        <v>0.11544500000000005</v>
      </c>
      <c r="O54" s="33">
        <f t="shared" si="11"/>
        <v>0.5789473684210528</v>
      </c>
    </row>
    <row r="55" spans="2:15" ht="25.5">
      <c r="B55" s="51" t="s">
        <v>32</v>
      </c>
      <c r="C55" s="37"/>
      <c r="D55" s="37"/>
      <c r="E55" s="37"/>
      <c r="F55" s="62"/>
      <c r="G55" s="54"/>
      <c r="H55" s="55">
        <f>SUM(H52:H54)</f>
        <v>16.618758</v>
      </c>
      <c r="I55" s="63"/>
      <c r="J55" s="64"/>
      <c r="K55" s="65"/>
      <c r="L55" s="55">
        <f>SUM(L52:L54)</f>
        <v>21.682123</v>
      </c>
      <c r="M55" s="63"/>
      <c r="N55" s="258">
        <f t="shared" si="10"/>
        <v>5.063365000000001</v>
      </c>
      <c r="O55" s="46">
        <f t="shared" si="11"/>
        <v>0.30467770214837964</v>
      </c>
    </row>
    <row r="56" spans="2:15" ht="30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104.95000000000002</v>
      </c>
      <c r="H56" s="68">
        <f aca="true" t="shared" si="12" ref="H56:H62">G56*F56</f>
        <v>0.4617800000000001</v>
      </c>
      <c r="I56" s="29"/>
      <c r="J56" s="69">
        <v>0.0044</v>
      </c>
      <c r="K56" s="60">
        <f>K54</f>
        <v>104.95000000000002</v>
      </c>
      <c r="L56" s="68">
        <f aca="true" t="shared" si="13" ref="L56:L62">K56*J56</f>
        <v>0.4617800000000001</v>
      </c>
      <c r="M56" s="29"/>
      <c r="N56" s="32">
        <f t="shared" si="10"/>
        <v>0</v>
      </c>
      <c r="O56" s="70">
        <f t="shared" si="11"/>
        <v>0</v>
      </c>
    </row>
    <row r="57" spans="2:15" ht="30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104.95000000000002</v>
      </c>
      <c r="H57" s="68">
        <f t="shared" si="12"/>
        <v>0.13643500000000003</v>
      </c>
      <c r="I57" s="29"/>
      <c r="J57" s="69">
        <v>0.0013</v>
      </c>
      <c r="K57" s="60">
        <f>K54</f>
        <v>104.95000000000002</v>
      </c>
      <c r="L57" s="68">
        <f t="shared" si="13"/>
        <v>0.13643500000000003</v>
      </c>
      <c r="M57" s="29"/>
      <c r="N57" s="32">
        <f t="shared" si="10"/>
        <v>0</v>
      </c>
      <c r="O57" s="70">
        <f t="shared" si="11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2"/>
        <v>0.25</v>
      </c>
      <c r="I58" s="29"/>
      <c r="J58" s="177">
        <v>0.25</v>
      </c>
      <c r="K58" s="31">
        <v>1</v>
      </c>
      <c r="L58" s="68">
        <f t="shared" si="13"/>
        <v>0.25</v>
      </c>
      <c r="M58" s="29"/>
      <c r="N58" s="32">
        <f t="shared" si="10"/>
        <v>0</v>
      </c>
      <c r="O58" s="70">
        <f t="shared" si="11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100</v>
      </c>
      <c r="H59" s="68">
        <f t="shared" si="12"/>
        <v>0.7000000000000001</v>
      </c>
      <c r="I59" s="29"/>
      <c r="J59" s="69">
        <v>0</v>
      </c>
      <c r="K59" s="72">
        <f>F18</f>
        <v>100</v>
      </c>
      <c r="L59" s="68">
        <f t="shared" si="13"/>
        <v>0</v>
      </c>
      <c r="M59" s="29"/>
      <c r="N59" s="32">
        <f t="shared" si="10"/>
        <v>-0.7000000000000001</v>
      </c>
      <c r="O59" s="70">
        <f t="shared" si="11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v>0.08</v>
      </c>
      <c r="G60" s="71">
        <f>0.64*$F$18</f>
        <v>64</v>
      </c>
      <c r="H60" s="68">
        <f t="shared" si="12"/>
        <v>5.12</v>
      </c>
      <c r="I60" s="29"/>
      <c r="J60" s="67">
        <f aca="true" t="shared" si="14" ref="J60:K62">F60</f>
        <v>0.08</v>
      </c>
      <c r="K60" s="71">
        <f t="shared" si="14"/>
        <v>64</v>
      </c>
      <c r="L60" s="68">
        <f t="shared" si="13"/>
        <v>5.12</v>
      </c>
      <c r="M60" s="29"/>
      <c r="N60" s="32">
        <f t="shared" si="10"/>
        <v>0</v>
      </c>
      <c r="O60" s="70">
        <f t="shared" si="11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v>0.122</v>
      </c>
      <c r="G61" s="71">
        <f>0.18*$F$18</f>
        <v>18</v>
      </c>
      <c r="H61" s="68">
        <f t="shared" si="12"/>
        <v>2.1959999999999997</v>
      </c>
      <c r="I61" s="29"/>
      <c r="J61" s="67">
        <f t="shared" si="14"/>
        <v>0.122</v>
      </c>
      <c r="K61" s="71">
        <f t="shared" si="14"/>
        <v>18</v>
      </c>
      <c r="L61" s="68">
        <f t="shared" si="13"/>
        <v>2.1959999999999997</v>
      </c>
      <c r="M61" s="29"/>
      <c r="N61" s="32">
        <f t="shared" si="10"/>
        <v>0</v>
      </c>
      <c r="O61" s="70">
        <f t="shared" si="11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v>0.161</v>
      </c>
      <c r="G62" s="71">
        <f>0.18*$F$18</f>
        <v>18</v>
      </c>
      <c r="H62" s="68">
        <f t="shared" si="12"/>
        <v>2.898</v>
      </c>
      <c r="I62" s="29"/>
      <c r="J62" s="67">
        <f t="shared" si="14"/>
        <v>0.161</v>
      </c>
      <c r="K62" s="71">
        <f t="shared" si="14"/>
        <v>18</v>
      </c>
      <c r="L62" s="68">
        <f t="shared" si="13"/>
        <v>2.898</v>
      </c>
      <c r="M62" s="29"/>
      <c r="N62" s="32">
        <f t="shared" si="10"/>
        <v>0</v>
      </c>
      <c r="O62" s="70">
        <f t="shared" si="11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v>0.094</v>
      </c>
      <c r="G63" s="80">
        <f>IF(AND($T$1=1,F18&gt;=600),600,IF(AND($T$1=1,AND(F18&lt;600,F18&gt;=0)),F18,IF(AND($T$1=2,F18&gt;=1000),1000,IF(AND($T$1=2,AND(F18&lt;1000,F18&gt;=0)),F18))))</f>
        <v>100</v>
      </c>
      <c r="H63" s="68">
        <f>G63*F63</f>
        <v>9.4</v>
      </c>
      <c r="I63" s="81"/>
      <c r="J63" s="67">
        <f>F63</f>
        <v>0.094</v>
      </c>
      <c r="K63" s="80">
        <f>G63</f>
        <v>100</v>
      </c>
      <c r="L63" s="68">
        <f>K63*J63</f>
        <v>9.4</v>
      </c>
      <c r="M63" s="81"/>
      <c r="N63" s="82">
        <f t="shared" si="10"/>
        <v>0</v>
      </c>
      <c r="O63" s="70">
        <f t="shared" si="11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v>0.11</v>
      </c>
      <c r="G64" s="80">
        <f>IF(AND($T$1=1,F18&gt;=600),F18-600,IF(AND($T$1=1,AND(F18&lt;600,F18&gt;=0)),0,IF(AND($T$1=2,F18&gt;=1000),F18-1000,IF(AND($T$1=2,AND(F18&lt;1000,F18&gt;=0)),0))))</f>
        <v>0</v>
      </c>
      <c r="H64" s="68">
        <f>G64*F64</f>
        <v>0</v>
      </c>
      <c r="I64" s="81"/>
      <c r="J64" s="67">
        <f>F64</f>
        <v>0.11</v>
      </c>
      <c r="K64" s="80">
        <f>G64</f>
        <v>0</v>
      </c>
      <c r="L64" s="68">
        <f>K64*J64</f>
        <v>0</v>
      </c>
      <c r="M64" s="81"/>
      <c r="N64" s="82">
        <f t="shared" si="10"/>
        <v>0</v>
      </c>
      <c r="O64" s="70">
        <f t="shared" si="11"/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28.380972999999997</v>
      </c>
      <c r="I66" s="97"/>
      <c r="J66" s="98"/>
      <c r="K66" s="98"/>
      <c r="L66" s="190">
        <f>SUM(L56:L62,L55)</f>
        <v>32.744338</v>
      </c>
      <c r="M66" s="99"/>
      <c r="N66" s="263">
        <f>L66-H66</f>
        <v>4.363365000000002</v>
      </c>
      <c r="O66" s="101">
        <f>IF((H66)=0,"",(N66/H66))</f>
        <v>0.1537426148145098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3.68952649</v>
      </c>
      <c r="I67" s="106"/>
      <c r="J67" s="107">
        <v>0.13</v>
      </c>
      <c r="K67" s="106"/>
      <c r="L67" s="108">
        <f>L66*J67</f>
        <v>4.25676394</v>
      </c>
      <c r="M67" s="109"/>
      <c r="N67" s="264">
        <f t="shared" si="10"/>
        <v>0.5672374499999999</v>
      </c>
      <c r="O67" s="111">
        <f t="shared" si="11"/>
        <v>0.15374261481450968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32.070499489999996</v>
      </c>
      <c r="I68" s="106"/>
      <c r="J68" s="106"/>
      <c r="K68" s="106"/>
      <c r="L68" s="108">
        <f>L66+L67</f>
        <v>37.00110194</v>
      </c>
      <c r="M68" s="109"/>
      <c r="N68" s="264">
        <f t="shared" si="10"/>
        <v>4.930602450000002</v>
      </c>
      <c r="O68" s="111">
        <f t="shared" si="11"/>
        <v>0.1537426148145098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-3.21</v>
      </c>
      <c r="I69" s="106"/>
      <c r="J69" s="106"/>
      <c r="K69" s="106"/>
      <c r="L69" s="261">
        <v>0</v>
      </c>
      <c r="M69" s="109"/>
      <c r="N69" s="262">
        <f t="shared" si="10"/>
        <v>3.21</v>
      </c>
      <c r="O69" s="117">
        <f t="shared" si="11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28.860499489999995</v>
      </c>
      <c r="I70" s="122"/>
      <c r="J70" s="122"/>
      <c r="K70" s="122"/>
      <c r="L70" s="123">
        <f>L68+L69</f>
        <v>37.00110194</v>
      </c>
      <c r="M70" s="124"/>
      <c r="N70" s="265">
        <f t="shared" si="10"/>
        <v>8.140602450000003</v>
      </c>
      <c r="O70" s="126">
        <f t="shared" si="11"/>
        <v>0.28206727512878554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27.566972999999997</v>
      </c>
      <c r="I72" s="138"/>
      <c r="J72" s="139"/>
      <c r="K72" s="139"/>
      <c r="L72" s="189">
        <f>SUM(L63:L64,L55,L56:L59)</f>
        <v>31.930338000000003</v>
      </c>
      <c r="M72" s="140"/>
      <c r="N72" s="266">
        <f>L72-H72</f>
        <v>4.363365000000005</v>
      </c>
      <c r="O72" s="101">
        <f>IF((H72)=0,"",(N72/H72))</f>
        <v>0.15828234024823856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3.58370649</v>
      </c>
      <c r="I73" s="145"/>
      <c r="J73" s="146">
        <v>0.13</v>
      </c>
      <c r="K73" s="147"/>
      <c r="L73" s="148">
        <f>L72*J73</f>
        <v>4.15094394</v>
      </c>
      <c r="M73" s="149"/>
      <c r="N73" s="267">
        <f>L73-H73</f>
        <v>0.5672374500000004</v>
      </c>
      <c r="O73" s="111">
        <f>IF((H73)=0,"",(N73/H73))</f>
        <v>0.15828234024823845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31.150679489999998</v>
      </c>
      <c r="I74" s="145"/>
      <c r="J74" s="145"/>
      <c r="K74" s="145"/>
      <c r="L74" s="148">
        <f>L72+L73</f>
        <v>36.081281940000004</v>
      </c>
      <c r="M74" s="149"/>
      <c r="N74" s="267">
        <f>L74-H74</f>
        <v>4.930602450000006</v>
      </c>
      <c r="O74" s="111">
        <f>IF((H74)=0,"",(N74/H74))</f>
        <v>0.15828234024823853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-3.12</v>
      </c>
      <c r="I75" s="145"/>
      <c r="J75" s="145"/>
      <c r="K75" s="145"/>
      <c r="L75" s="255">
        <v>0</v>
      </c>
      <c r="M75" s="149"/>
      <c r="N75" s="154">
        <f>L75-H75</f>
        <v>3.12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28.030679489999997</v>
      </c>
      <c r="I76" s="159"/>
      <c r="J76" s="159"/>
      <c r="K76" s="159"/>
      <c r="L76" s="160">
        <f>SUM(L74:L75)</f>
        <v>36.081281940000004</v>
      </c>
      <c r="M76" s="161"/>
      <c r="N76" s="268">
        <f>L76-H76</f>
        <v>8.050602450000007</v>
      </c>
      <c r="O76" s="163">
        <f>IF((H76)=0,"",(N76/H76))</f>
        <v>0.28720682468193737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0">
    <mergeCell ref="B76:D76"/>
    <mergeCell ref="D21:D22"/>
    <mergeCell ref="N21:N22"/>
    <mergeCell ref="O21:O22"/>
    <mergeCell ref="B69:D69"/>
    <mergeCell ref="B70:D70"/>
    <mergeCell ref="B75:D75"/>
    <mergeCell ref="A3:K3"/>
    <mergeCell ref="B10:O10"/>
    <mergeCell ref="B11:O11"/>
    <mergeCell ref="D14:O14"/>
    <mergeCell ref="F20:H20"/>
    <mergeCell ref="J20:L20"/>
    <mergeCell ref="N20:O20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7 E71 E63:E64">
      <formula1>'Res (100kWh)'!#REF!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53:E54 E56:E62 E65 E23:E40 E42:E51">
      <formula1>'Res (100kWh)'!#REF!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6">
      <selection activeCell="H70" sqref="H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</row>
    <row r="3" spans="1:15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2</v>
      </c>
      <c r="O4" s="304"/>
    </row>
    <row r="5" spans="3:15" s="2" customFormat="1" ht="15" customHeight="1">
      <c r="C5" s="7"/>
      <c r="D5" s="7"/>
      <c r="E5" s="7"/>
      <c r="L5" s="3" t="s">
        <v>78</v>
      </c>
      <c r="N5" s="306" t="s">
        <v>82</v>
      </c>
      <c r="O5" s="306"/>
    </row>
    <row r="6" spans="12:15" s="2" customFormat="1" ht="9" customHeight="1">
      <c r="L6" s="3"/>
      <c r="N6" s="4"/>
      <c r="O6" s="191"/>
    </row>
    <row r="7" spans="12:15" s="2" customFormat="1" ht="15">
      <c r="L7" s="3" t="s">
        <v>80</v>
      </c>
      <c r="N7" s="307">
        <v>41575</v>
      </c>
      <c r="O7" s="30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250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173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24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f>G27</f>
        <v>1</v>
      </c>
      <c r="H28" s="28">
        <f t="shared" si="0"/>
        <v>0</v>
      </c>
      <c r="I28" s="29"/>
      <c r="J28" s="173">
        <f>'Res (100kWh)'!J28</f>
        <v>0</v>
      </c>
      <c r="K28" s="27">
        <f>K27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>$F$18</f>
        <v>250</v>
      </c>
      <c r="H29" s="28">
        <f t="shared" si="0"/>
        <v>0</v>
      </c>
      <c r="I29" s="29"/>
      <c r="J29" s="30">
        <f>'Res (100kWh)'!J29</f>
        <v>0</v>
      </c>
      <c r="K29" s="27">
        <f>$F$18</f>
        <v>250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'Res (100kWh)'!F30</f>
        <v>0</v>
      </c>
      <c r="G30" s="27">
        <f>$F$18</f>
        <v>250</v>
      </c>
      <c r="H30" s="247">
        <f t="shared" si="0"/>
        <v>0</v>
      </c>
      <c r="I30" s="29"/>
      <c r="J30" s="30">
        <f>'Res (100kWh)'!J30</f>
        <v>0</v>
      </c>
      <c r="K30" s="27">
        <f>$F$18</f>
        <v>250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>$F$18</f>
        <v>250</v>
      </c>
      <c r="H31" s="28">
        <f t="shared" si="0"/>
        <v>5.275</v>
      </c>
      <c r="I31" s="29"/>
      <c r="J31" s="30">
        <f>'Res (100kWh)'!J31</f>
        <v>0.0158</v>
      </c>
      <c r="K31" s="27">
        <f>$F$18</f>
        <v>250</v>
      </c>
      <c r="L31" s="28">
        <f t="shared" si="1"/>
        <v>3.95</v>
      </c>
      <c r="M31" s="29"/>
      <c r="N31" s="32">
        <f t="shared" si="2"/>
        <v>-1.3250000000000002</v>
      </c>
      <c r="O31" s="33">
        <f t="shared" si="3"/>
        <v>-0.2511848341232228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250</v>
      </c>
      <c r="H32" s="28">
        <f t="shared" si="0"/>
        <v>0</v>
      </c>
      <c r="I32" s="29"/>
      <c r="J32" s="30"/>
      <c r="K32" s="27">
        <f aca="true" t="shared" si="4" ref="K32:K40">$F$18</f>
        <v>250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250</v>
      </c>
      <c r="H33" s="247">
        <f t="shared" si="0"/>
        <v>0</v>
      </c>
      <c r="I33" s="29"/>
      <c r="J33" s="30">
        <f>'Res (100kWh)'!$J33</f>
        <v>0</v>
      </c>
      <c r="K33" s="27">
        <f t="shared" si="4"/>
        <v>250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250</v>
      </c>
      <c r="H34" s="28">
        <f t="shared" si="0"/>
        <v>0</v>
      </c>
      <c r="I34" s="29"/>
      <c r="J34" s="30"/>
      <c r="K34" s="27">
        <f t="shared" si="4"/>
        <v>250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250</v>
      </c>
      <c r="H35" s="28">
        <f t="shared" si="0"/>
        <v>0</v>
      </c>
      <c r="I35" s="29"/>
      <c r="J35" s="30"/>
      <c r="K35" s="27">
        <f t="shared" si="4"/>
        <v>250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250</v>
      </c>
      <c r="H36" s="28">
        <f t="shared" si="0"/>
        <v>0</v>
      </c>
      <c r="I36" s="29"/>
      <c r="J36" s="30"/>
      <c r="K36" s="27">
        <f t="shared" si="4"/>
        <v>250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250</v>
      </c>
      <c r="H37" s="28">
        <f t="shared" si="0"/>
        <v>0</v>
      </c>
      <c r="I37" s="29"/>
      <c r="J37" s="30"/>
      <c r="K37" s="27">
        <f t="shared" si="4"/>
        <v>250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250</v>
      </c>
      <c r="H38" s="28">
        <f t="shared" si="0"/>
        <v>0</v>
      </c>
      <c r="I38" s="29"/>
      <c r="J38" s="30"/>
      <c r="K38" s="27">
        <f t="shared" si="4"/>
        <v>250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250</v>
      </c>
      <c r="H39" s="28">
        <f t="shared" si="0"/>
        <v>0</v>
      </c>
      <c r="I39" s="29"/>
      <c r="J39" s="30"/>
      <c r="K39" s="27">
        <f t="shared" si="4"/>
        <v>250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250</v>
      </c>
      <c r="H40" s="28">
        <f t="shared" si="0"/>
        <v>0</v>
      </c>
      <c r="I40" s="29"/>
      <c r="J40" s="30"/>
      <c r="K40" s="27">
        <f t="shared" si="4"/>
        <v>250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18.245</v>
      </c>
      <c r="I41" s="42"/>
      <c r="J41" s="43"/>
      <c r="K41" s="44"/>
      <c r="L41" s="41">
        <f>SUM(L23:L40)</f>
        <v>21.29</v>
      </c>
      <c r="M41" s="42"/>
      <c r="N41" s="258">
        <f>L41-H41</f>
        <v>3.044999999999998</v>
      </c>
      <c r="O41" s="46">
        <f t="shared" si="3"/>
        <v>0.1668950397369141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250</v>
      </c>
      <c r="H43" s="28">
        <f aca="true" t="shared" si="6" ref="H43:H51">G43*F43</f>
        <v>-1.75</v>
      </c>
      <c r="I43" s="29"/>
      <c r="J43" s="252">
        <f>'Res (100kWh)'!J43</f>
        <v>0.0021</v>
      </c>
      <c r="K43" s="27">
        <f>$F$18</f>
        <v>250</v>
      </c>
      <c r="L43" s="28">
        <f aca="true" t="shared" si="7" ref="L43:L51">K43*J43</f>
        <v>0.525</v>
      </c>
      <c r="M43" s="29"/>
      <c r="N43" s="32">
        <f t="shared" si="2"/>
        <v>2.275</v>
      </c>
      <c r="O43" s="33">
        <f t="shared" si="3"/>
        <v>-1.3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250</v>
      </c>
      <c r="H44" s="28">
        <f t="shared" si="6"/>
        <v>0</v>
      </c>
      <c r="I44" s="48"/>
      <c r="J44" s="30"/>
      <c r="K44" s="27">
        <f>$F$18</f>
        <v>250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250</v>
      </c>
      <c r="H45" s="28">
        <f t="shared" si="6"/>
        <v>0</v>
      </c>
      <c r="I45" s="48"/>
      <c r="J45" s="30"/>
      <c r="K45" s="27">
        <f>$F$18</f>
        <v>250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250</v>
      </c>
      <c r="H46" s="28">
        <f t="shared" si="6"/>
        <v>0</v>
      </c>
      <c r="I46" s="48"/>
      <c r="J46" s="30"/>
      <c r="K46" s="27">
        <f>$F$18</f>
        <v>250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f>'Res (100kWh)'!J47</f>
        <v>-0.04</v>
      </c>
      <c r="K47" s="27">
        <v>1</v>
      </c>
      <c r="L47" s="247">
        <f t="shared" si="7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250</v>
      </c>
      <c r="H48" s="247">
        <f>G48*F48</f>
        <v>0</v>
      </c>
      <c r="I48" s="29"/>
      <c r="J48" s="30">
        <f>'Res (100kWh)'!$J48</f>
        <v>0.0007</v>
      </c>
      <c r="K48" s="27">
        <f>$F$18</f>
        <v>250</v>
      </c>
      <c r="L48" s="247">
        <f>K48*J48</f>
        <v>0.175</v>
      </c>
      <c r="M48" s="29"/>
      <c r="N48" s="32">
        <f>L48-H48</f>
        <v>0.175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250</v>
      </c>
      <c r="H49" s="28">
        <f t="shared" si="6"/>
        <v>0.6</v>
      </c>
      <c r="I49" s="29"/>
      <c r="J49" s="30">
        <f>'Res (100kWh)'!J49</f>
        <v>0.0024</v>
      </c>
      <c r="K49" s="27">
        <f>$F$18</f>
        <v>250</v>
      </c>
      <c r="L49" s="28">
        <f t="shared" si="7"/>
        <v>0.6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12.375</v>
      </c>
      <c r="H50" s="184">
        <f t="shared" si="6"/>
        <v>1.2639825</v>
      </c>
      <c r="I50" s="58"/>
      <c r="J50" s="185">
        <f>0.64*$F$60+0.18*$F$61+0.18*$F$62</f>
        <v>0.10214000000000001</v>
      </c>
      <c r="K50" s="27">
        <f>$F$18*(1+$J$79)-$F$18</f>
        <v>12.375</v>
      </c>
      <c r="L50" s="184">
        <f t="shared" si="7"/>
        <v>1.2639825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19.148982500000002</v>
      </c>
      <c r="I52" s="42"/>
      <c r="J52" s="54"/>
      <c r="K52" s="56"/>
      <c r="L52" s="55">
        <f>SUM(L42:L51)+L41</f>
        <v>24.6039825</v>
      </c>
      <c r="M52" s="42"/>
      <c r="N52" s="258">
        <f t="shared" si="2"/>
        <v>5.454999999999998</v>
      </c>
      <c r="O52" s="46">
        <f aca="true" t="shared" si="8" ref="O52:O70">IF((H52)=0,"",(N52/H52))</f>
        <v>0.28487153299137424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262.375</v>
      </c>
      <c r="H53" s="28">
        <f>G53*F53</f>
        <v>1.2593999999999999</v>
      </c>
      <c r="I53" s="29"/>
      <c r="J53" s="30">
        <f>'Res (100kWh)'!J53</f>
        <v>0.0064</v>
      </c>
      <c r="K53" s="60">
        <f>F18*(1+J79)</f>
        <v>262.375</v>
      </c>
      <c r="L53" s="28">
        <f>K53*J53</f>
        <v>1.6792</v>
      </c>
      <c r="M53" s="29"/>
      <c r="N53" s="32">
        <f t="shared" si="2"/>
        <v>0.4198000000000002</v>
      </c>
      <c r="O53" s="33">
        <f t="shared" si="8"/>
        <v>0.33333333333333354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262.375</v>
      </c>
      <c r="H54" s="28">
        <f>G54*F54</f>
        <v>0.4985125</v>
      </c>
      <c r="I54" s="29"/>
      <c r="J54" s="30">
        <f>'Res (100kWh)'!J54</f>
        <v>0.003</v>
      </c>
      <c r="K54" s="60">
        <f>K53</f>
        <v>262.375</v>
      </c>
      <c r="L54" s="28">
        <f>K54*J54</f>
        <v>0.787125</v>
      </c>
      <c r="M54" s="29"/>
      <c r="N54" s="32">
        <f t="shared" si="2"/>
        <v>0.28861249999999994</v>
      </c>
      <c r="O54" s="33">
        <f t="shared" si="8"/>
        <v>0.5789473684210524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20.906895000000002</v>
      </c>
      <c r="I55" s="63"/>
      <c r="J55" s="64"/>
      <c r="K55" s="65"/>
      <c r="L55" s="55">
        <f>SUM(L52:L54)</f>
        <v>27.070307500000002</v>
      </c>
      <c r="M55" s="63"/>
      <c r="N55" s="258">
        <f t="shared" si="2"/>
        <v>6.1634125</v>
      </c>
      <c r="O55" s="46">
        <f t="shared" si="8"/>
        <v>0.2948028628832736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262.375</v>
      </c>
      <c r="H56" s="68">
        <f aca="true" t="shared" si="9" ref="H56:H62">G56*F56</f>
        <v>1.15445</v>
      </c>
      <c r="I56" s="29"/>
      <c r="J56" s="69">
        <v>0.0044</v>
      </c>
      <c r="K56" s="60">
        <f>K54</f>
        <v>262.375</v>
      </c>
      <c r="L56" s="68">
        <f aca="true" t="shared" si="10" ref="L56:L62">K56*J56</f>
        <v>1.15445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262.375</v>
      </c>
      <c r="H57" s="68">
        <f t="shared" si="9"/>
        <v>0.3410875</v>
      </c>
      <c r="I57" s="29"/>
      <c r="J57" s="69">
        <v>0.0013</v>
      </c>
      <c r="K57" s="60">
        <f>K54</f>
        <v>262.375</v>
      </c>
      <c r="L57" s="68">
        <f t="shared" si="10"/>
        <v>0.3410875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250</v>
      </c>
      <c r="H59" s="68">
        <f t="shared" si="9"/>
        <v>1.75</v>
      </c>
      <c r="I59" s="29"/>
      <c r="J59" s="69">
        <f>'Res (100kWh)'!J59</f>
        <v>0</v>
      </c>
      <c r="K59" s="72">
        <f>F18</f>
        <v>250</v>
      </c>
      <c r="L59" s="68">
        <f t="shared" si="10"/>
        <v>0</v>
      </c>
      <c r="M59" s="29"/>
      <c r="N59" s="32">
        <f t="shared" si="2"/>
        <v>-1.75</v>
      </c>
      <c r="O59" s="70">
        <f t="shared" si="8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f>'Res (100kWh)'!F60</f>
        <v>0.08</v>
      </c>
      <c r="G60" s="71">
        <f>0.64*$F$18</f>
        <v>160</v>
      </c>
      <c r="H60" s="68">
        <f t="shared" si="9"/>
        <v>12.8</v>
      </c>
      <c r="I60" s="29"/>
      <c r="J60" s="67">
        <f aca="true" t="shared" si="11" ref="J60:K62">F60</f>
        <v>0.08</v>
      </c>
      <c r="K60" s="71">
        <f t="shared" si="11"/>
        <v>160</v>
      </c>
      <c r="L60" s="68">
        <f t="shared" si="10"/>
        <v>12.8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'Res (100kWh)'!F61</f>
        <v>0.122</v>
      </c>
      <c r="G61" s="71">
        <f>0.18*$F$18</f>
        <v>45</v>
      </c>
      <c r="H61" s="68">
        <f t="shared" si="9"/>
        <v>5.49</v>
      </c>
      <c r="I61" s="29"/>
      <c r="J61" s="67">
        <f t="shared" si="11"/>
        <v>0.122</v>
      </c>
      <c r="K61" s="71">
        <f t="shared" si="11"/>
        <v>45</v>
      </c>
      <c r="L61" s="68">
        <f t="shared" si="10"/>
        <v>5.49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'Res (100kWh)'!F62</f>
        <v>0.161</v>
      </c>
      <c r="G62" s="71">
        <f>0.18*$F$18</f>
        <v>45</v>
      </c>
      <c r="H62" s="68">
        <f t="shared" si="9"/>
        <v>7.245</v>
      </c>
      <c r="I62" s="29"/>
      <c r="J62" s="67">
        <f t="shared" si="11"/>
        <v>0.161</v>
      </c>
      <c r="K62" s="71">
        <f t="shared" si="11"/>
        <v>45</v>
      </c>
      <c r="L62" s="68">
        <f t="shared" si="10"/>
        <v>7.245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250</v>
      </c>
      <c r="H63" s="68">
        <f>G63*F63</f>
        <v>23.5</v>
      </c>
      <c r="I63" s="81"/>
      <c r="J63" s="67">
        <f>F63</f>
        <v>0.094</v>
      </c>
      <c r="K63" s="80">
        <f>G63</f>
        <v>250</v>
      </c>
      <c r="L63" s="68">
        <f>K63*J63</f>
        <v>23.5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0</v>
      </c>
      <c r="H64" s="68">
        <f>G64*F64</f>
        <v>0</v>
      </c>
      <c r="I64" s="81"/>
      <c r="J64" s="67">
        <f>F64</f>
        <v>0.11</v>
      </c>
      <c r="K64" s="80">
        <f>G64</f>
        <v>0</v>
      </c>
      <c r="L64" s="68">
        <f>K64*J64</f>
        <v>0</v>
      </c>
      <c r="M64" s="81"/>
      <c r="N64" s="82">
        <f t="shared" si="2"/>
        <v>0</v>
      </c>
      <c r="O64" s="70">
        <f t="shared" si="8"/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49.93743250000001</v>
      </c>
      <c r="I66" s="97"/>
      <c r="J66" s="98"/>
      <c r="K66" s="98"/>
      <c r="L66" s="190">
        <f>SUM(L56:L62,L55)</f>
        <v>54.35084500000001</v>
      </c>
      <c r="M66" s="99"/>
      <c r="N66" s="263">
        <f>L66-H66</f>
        <v>4.4134125</v>
      </c>
      <c r="O66" s="101">
        <f>IF((H66)=0,"",(N66/H66))</f>
        <v>0.08837884286501912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6.491866225000001</v>
      </c>
      <c r="I67" s="106"/>
      <c r="J67" s="107">
        <v>0.13</v>
      </c>
      <c r="K67" s="106"/>
      <c r="L67" s="108">
        <f>L66*J67</f>
        <v>7.065609850000001</v>
      </c>
      <c r="M67" s="109"/>
      <c r="N67" s="264">
        <f t="shared" si="2"/>
        <v>0.5737436250000005</v>
      </c>
      <c r="O67" s="111">
        <f t="shared" si="8"/>
        <v>0.08837884286501921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56.42929872500001</v>
      </c>
      <c r="I68" s="106"/>
      <c r="J68" s="106"/>
      <c r="K68" s="106"/>
      <c r="L68" s="108">
        <f>L66+L67</f>
        <v>61.41645485000001</v>
      </c>
      <c r="M68" s="109"/>
      <c r="N68" s="264">
        <f t="shared" si="2"/>
        <v>4.9871561249999985</v>
      </c>
      <c r="O68" s="111">
        <f t="shared" si="8"/>
        <v>0.0883788428650191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-5.64</v>
      </c>
      <c r="I69" s="106"/>
      <c r="J69" s="106"/>
      <c r="K69" s="106"/>
      <c r="L69" s="261">
        <v>0</v>
      </c>
      <c r="M69" s="109"/>
      <c r="N69" s="262">
        <f t="shared" si="2"/>
        <v>5.64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50.78929872500001</v>
      </c>
      <c r="I70" s="122"/>
      <c r="J70" s="122"/>
      <c r="K70" s="122"/>
      <c r="L70" s="123">
        <f>L68+L69</f>
        <v>61.41645485000001</v>
      </c>
      <c r="M70" s="124"/>
      <c r="N70" s="265">
        <f t="shared" si="2"/>
        <v>10.627156124999999</v>
      </c>
      <c r="O70" s="126">
        <f t="shared" si="8"/>
        <v>0.20924006418243762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47.9024325</v>
      </c>
      <c r="I72" s="138"/>
      <c r="J72" s="139"/>
      <c r="K72" s="139"/>
      <c r="L72" s="189">
        <f>SUM(L63:L64,L55,L56:L59)</f>
        <v>52.315844999999996</v>
      </c>
      <c r="M72" s="140"/>
      <c r="N72" s="266">
        <f>L72-H72</f>
        <v>4.413412499999993</v>
      </c>
      <c r="O72" s="101">
        <f>IF((H72)=0,"",(N72/H72))</f>
        <v>0.09213336921877595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6.227316225000001</v>
      </c>
      <c r="I73" s="145"/>
      <c r="J73" s="146">
        <v>0.13</v>
      </c>
      <c r="K73" s="147"/>
      <c r="L73" s="148">
        <f>L72*J73</f>
        <v>6.80105985</v>
      </c>
      <c r="M73" s="149"/>
      <c r="N73" s="267">
        <f>L73-H73</f>
        <v>0.5737436249999988</v>
      </c>
      <c r="O73" s="111">
        <f>IF((H73)=0,"",(N73/H73))</f>
        <v>0.09213336921877589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54.129748725000006</v>
      </c>
      <c r="I74" s="145"/>
      <c r="J74" s="145"/>
      <c r="K74" s="145"/>
      <c r="L74" s="148">
        <f>L72+L73</f>
        <v>59.11690485</v>
      </c>
      <c r="M74" s="149"/>
      <c r="N74" s="267">
        <f>L74-H74</f>
        <v>4.987156124999991</v>
      </c>
      <c r="O74" s="111">
        <f>IF((H74)=0,"",(N74/H74))</f>
        <v>0.09213336921877593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-5.41</v>
      </c>
      <c r="I75" s="145"/>
      <c r="J75" s="145"/>
      <c r="K75" s="145"/>
      <c r="L75" s="255">
        <v>0</v>
      </c>
      <c r="M75" s="149"/>
      <c r="N75" s="256">
        <f>L75-H75</f>
        <v>5.41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48.719748725</v>
      </c>
      <c r="I76" s="159"/>
      <c r="J76" s="159"/>
      <c r="K76" s="159"/>
      <c r="L76" s="160">
        <f>SUM(L74:L75)</f>
        <v>59.11690485</v>
      </c>
      <c r="M76" s="161"/>
      <c r="N76" s="268">
        <f>L76-H76</f>
        <v>10.397156124999995</v>
      </c>
      <c r="O76" s="163">
        <f>IF((H76)=0,"",(N76/H76))</f>
        <v>0.213407425060565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0">
    <mergeCell ref="B76:D76"/>
    <mergeCell ref="D21:D22"/>
    <mergeCell ref="N21:N22"/>
    <mergeCell ref="O21:O22"/>
    <mergeCell ref="B69:D69"/>
    <mergeCell ref="B70:D70"/>
    <mergeCell ref="B75:D75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56:E62 E65 E23:E40 E42:E51">
      <formula1>'Res (250kWh)'!#REF!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'Res (250kWh)'!#REF!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3">
      <selection activeCell="L70" sqref="L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3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81</v>
      </c>
      <c r="O5" s="306"/>
      <c r="P5" s="194"/>
    </row>
    <row r="6" spans="12:16" s="2" customFormat="1" ht="9" customHeight="1">
      <c r="L6" s="3"/>
      <c r="N6" s="193"/>
      <c r="O6" s="4"/>
      <c r="P6" s="197"/>
    </row>
    <row r="7" spans="12:16" s="2" customFormat="1" ht="15">
      <c r="L7" s="3" t="s">
        <v>80</v>
      </c>
      <c r="N7" s="307">
        <v>41575</v>
      </c>
      <c r="O7" s="307"/>
      <c r="P7" s="19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350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173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f>G27</f>
        <v>1</v>
      </c>
      <c r="H28" s="28">
        <f t="shared" si="0"/>
        <v>0</v>
      </c>
      <c r="I28" s="29"/>
      <c r="J28" s="173">
        <f>'Res (100kWh)'!J28</f>
        <v>0</v>
      </c>
      <c r="K28" s="27">
        <f>K27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>$F$18</f>
        <v>350</v>
      </c>
      <c r="H29" s="28">
        <f t="shared" si="0"/>
        <v>0</v>
      </c>
      <c r="I29" s="29"/>
      <c r="J29" s="30">
        <f>'Res (100kWh)'!J29</f>
        <v>0</v>
      </c>
      <c r="K29" s="27">
        <f>$F$18</f>
        <v>350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'Res (100kWh)'!F30</f>
        <v>0</v>
      </c>
      <c r="G30" s="27">
        <f>$F$18</f>
        <v>350</v>
      </c>
      <c r="H30" s="247">
        <f t="shared" si="0"/>
        <v>0</v>
      </c>
      <c r="I30" s="29"/>
      <c r="J30" s="30">
        <f>'Res (100kWh)'!J30</f>
        <v>0</v>
      </c>
      <c r="K30" s="27">
        <f>$F$18</f>
        <v>350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>$F$18</f>
        <v>350</v>
      </c>
      <c r="H31" s="28">
        <f t="shared" si="0"/>
        <v>7.385000000000001</v>
      </c>
      <c r="I31" s="29"/>
      <c r="J31" s="30">
        <f>'Res (100kWh)'!J31</f>
        <v>0.0158</v>
      </c>
      <c r="K31" s="27">
        <f>$F$18</f>
        <v>350</v>
      </c>
      <c r="L31" s="28">
        <f t="shared" si="1"/>
        <v>5.53</v>
      </c>
      <c r="M31" s="29"/>
      <c r="N31" s="32">
        <f t="shared" si="2"/>
        <v>-1.8550000000000004</v>
      </c>
      <c r="O31" s="33">
        <f>IF((H31)=0,"",(N31/H31))</f>
        <v>-0.2511848341232228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350</v>
      </c>
      <c r="H32" s="28">
        <f t="shared" si="0"/>
        <v>0</v>
      </c>
      <c r="I32" s="29"/>
      <c r="J32" s="30"/>
      <c r="K32" s="27">
        <f aca="true" t="shared" si="4" ref="K32:K40">$F$18</f>
        <v>350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350</v>
      </c>
      <c r="H33" s="247">
        <f t="shared" si="0"/>
        <v>0</v>
      </c>
      <c r="I33" s="29"/>
      <c r="J33" s="30">
        <f>'Res (100kWh)'!$J33</f>
        <v>0</v>
      </c>
      <c r="K33" s="27">
        <f t="shared" si="4"/>
        <v>350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350</v>
      </c>
      <c r="H34" s="28">
        <f t="shared" si="0"/>
        <v>0</v>
      </c>
      <c r="I34" s="29"/>
      <c r="J34" s="30"/>
      <c r="K34" s="27">
        <f t="shared" si="4"/>
        <v>350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350</v>
      </c>
      <c r="H35" s="28">
        <f t="shared" si="0"/>
        <v>0</v>
      </c>
      <c r="I35" s="29"/>
      <c r="J35" s="30"/>
      <c r="K35" s="27">
        <f t="shared" si="4"/>
        <v>350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350</v>
      </c>
      <c r="H36" s="28">
        <f t="shared" si="0"/>
        <v>0</v>
      </c>
      <c r="I36" s="29"/>
      <c r="J36" s="30"/>
      <c r="K36" s="27">
        <f t="shared" si="4"/>
        <v>350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350</v>
      </c>
      <c r="H37" s="28">
        <f t="shared" si="0"/>
        <v>0</v>
      </c>
      <c r="I37" s="29"/>
      <c r="J37" s="30"/>
      <c r="K37" s="27">
        <f t="shared" si="4"/>
        <v>350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350</v>
      </c>
      <c r="H38" s="28">
        <f t="shared" si="0"/>
        <v>0</v>
      </c>
      <c r="I38" s="29"/>
      <c r="J38" s="30"/>
      <c r="K38" s="27">
        <f t="shared" si="4"/>
        <v>350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350</v>
      </c>
      <c r="H39" s="28">
        <f t="shared" si="0"/>
        <v>0</v>
      </c>
      <c r="I39" s="29"/>
      <c r="J39" s="30"/>
      <c r="K39" s="27">
        <f t="shared" si="4"/>
        <v>350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350</v>
      </c>
      <c r="H40" s="28">
        <f t="shared" si="0"/>
        <v>0</v>
      </c>
      <c r="I40" s="29"/>
      <c r="J40" s="30"/>
      <c r="K40" s="27">
        <f t="shared" si="4"/>
        <v>350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20.355</v>
      </c>
      <c r="I41" s="42"/>
      <c r="J41" s="43"/>
      <c r="K41" s="44"/>
      <c r="L41" s="41">
        <f>SUM(L23:L40)</f>
        <v>22.87</v>
      </c>
      <c r="M41" s="42"/>
      <c r="N41" s="258">
        <f t="shared" si="2"/>
        <v>2.5150000000000006</v>
      </c>
      <c r="O41" s="46">
        <f t="shared" si="3"/>
        <v>0.12355686563497914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350</v>
      </c>
      <c r="H43" s="28">
        <f aca="true" t="shared" si="6" ref="H43:H51">G43*F43</f>
        <v>-2.45</v>
      </c>
      <c r="I43" s="29"/>
      <c r="J43" s="252">
        <f>'Res (100kWh)'!J43</f>
        <v>0.0021</v>
      </c>
      <c r="K43" s="27">
        <f>$F$18</f>
        <v>350</v>
      </c>
      <c r="L43" s="28">
        <f aca="true" t="shared" si="7" ref="L43:L51">K43*J43</f>
        <v>0.735</v>
      </c>
      <c r="M43" s="29"/>
      <c r="N43" s="32">
        <f t="shared" si="2"/>
        <v>3.185</v>
      </c>
      <c r="O43" s="33">
        <f t="shared" si="3"/>
        <v>-1.2999999999999998</v>
      </c>
    </row>
    <row r="44" spans="2:15" ht="15" customHeight="1" hidden="1">
      <c r="B44" s="47"/>
      <c r="C44" s="23"/>
      <c r="D44" s="24" t="s">
        <v>63</v>
      </c>
      <c r="E44" s="25"/>
      <c r="F44" s="26"/>
      <c r="G44" s="27">
        <f>$F$18</f>
        <v>350</v>
      </c>
      <c r="H44" s="28">
        <f t="shared" si="6"/>
        <v>0</v>
      </c>
      <c r="I44" s="48"/>
      <c r="J44" s="30"/>
      <c r="K44" s="27">
        <f>$F$18</f>
        <v>350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customHeight="1" hidden="1">
      <c r="B45" s="47"/>
      <c r="C45" s="23"/>
      <c r="D45" s="24" t="s">
        <v>63</v>
      </c>
      <c r="E45" s="25"/>
      <c r="F45" s="26"/>
      <c r="G45" s="27">
        <f>$F$18</f>
        <v>350</v>
      </c>
      <c r="H45" s="28">
        <f t="shared" si="6"/>
        <v>0</v>
      </c>
      <c r="I45" s="48"/>
      <c r="J45" s="30"/>
      <c r="K45" s="27">
        <f>$F$18</f>
        <v>350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350</v>
      </c>
      <c r="H46" s="28">
        <f t="shared" si="6"/>
        <v>0</v>
      </c>
      <c r="I46" s="48"/>
      <c r="J46" s="30"/>
      <c r="K46" s="27">
        <f>$F$18</f>
        <v>350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f>'Res (100kWh)'!J47</f>
        <v>-0.04</v>
      </c>
      <c r="K47" s="27">
        <v>1</v>
      </c>
      <c r="L47" s="247">
        <f t="shared" si="7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350</v>
      </c>
      <c r="H48" s="247">
        <f t="shared" si="6"/>
        <v>0</v>
      </c>
      <c r="I48" s="29"/>
      <c r="J48" s="30">
        <f>'Res (100kWh)'!$J48</f>
        <v>0.0007</v>
      </c>
      <c r="K48" s="27">
        <f>$F$18</f>
        <v>350</v>
      </c>
      <c r="L48" s="247">
        <f t="shared" si="7"/>
        <v>0.245</v>
      </c>
      <c r="M48" s="29"/>
      <c r="N48" s="32">
        <f>L48-H48</f>
        <v>0.245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350</v>
      </c>
      <c r="H49" s="28">
        <f t="shared" si="6"/>
        <v>0.84</v>
      </c>
      <c r="I49" s="29"/>
      <c r="J49" s="30">
        <f>'Res (100kWh)'!J49</f>
        <v>0.0024</v>
      </c>
      <c r="K49" s="27">
        <f>$F$18</f>
        <v>350</v>
      </c>
      <c r="L49" s="28">
        <f t="shared" si="7"/>
        <v>0.84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17.325000000000045</v>
      </c>
      <c r="H50" s="184">
        <f t="shared" si="6"/>
        <v>1.7695755000000049</v>
      </c>
      <c r="I50" s="58"/>
      <c r="J50" s="185">
        <f>0.64*$F$60+0.18*$F$61+0.18*$F$62</f>
        <v>0.10214000000000001</v>
      </c>
      <c r="K50" s="27">
        <f>$F$18*(1+$J$79)-$F$18</f>
        <v>17.325000000000045</v>
      </c>
      <c r="L50" s="184">
        <f t="shared" si="7"/>
        <v>1.7695755000000049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21.304575500000006</v>
      </c>
      <c r="I52" s="42"/>
      <c r="J52" s="54"/>
      <c r="K52" s="56"/>
      <c r="L52" s="55">
        <f>SUM(L42:L51)+L41</f>
        <v>27.209575500000007</v>
      </c>
      <c r="M52" s="42"/>
      <c r="N52" s="258">
        <f t="shared" si="2"/>
        <v>5.905000000000001</v>
      </c>
      <c r="O52" s="46">
        <f aca="true" t="shared" si="8" ref="O52:O70">IF((H52)=0,"",(N52/H52))</f>
        <v>0.2771705073400782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367.32500000000005</v>
      </c>
      <c r="H53" s="28">
        <f>G53*F53</f>
        <v>1.76316</v>
      </c>
      <c r="I53" s="29"/>
      <c r="J53" s="30">
        <f>'Res (100kWh)'!J53</f>
        <v>0.0064</v>
      </c>
      <c r="K53" s="60">
        <f>F18*(1+J79)</f>
        <v>367.32500000000005</v>
      </c>
      <c r="L53" s="28">
        <f>K53*J53</f>
        <v>2.3508800000000005</v>
      </c>
      <c r="M53" s="29"/>
      <c r="N53" s="32">
        <f t="shared" si="2"/>
        <v>0.5877200000000005</v>
      </c>
      <c r="O53" s="33">
        <f t="shared" si="8"/>
        <v>0.3333333333333336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367.32500000000005</v>
      </c>
      <c r="H54" s="28">
        <f>G54*F54</f>
        <v>0.6979175000000001</v>
      </c>
      <c r="I54" s="29"/>
      <c r="J54" s="30">
        <f>'Res (100kWh)'!J54</f>
        <v>0.003</v>
      </c>
      <c r="K54" s="60">
        <f>K53</f>
        <v>367.32500000000005</v>
      </c>
      <c r="L54" s="28">
        <f>K54*J54</f>
        <v>1.1019750000000001</v>
      </c>
      <c r="M54" s="29"/>
      <c r="N54" s="32">
        <f t="shared" si="2"/>
        <v>0.40405750000000007</v>
      </c>
      <c r="O54" s="33">
        <f t="shared" si="8"/>
        <v>0.5789473684210527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23.765653000000004</v>
      </c>
      <c r="I55" s="63"/>
      <c r="J55" s="64"/>
      <c r="K55" s="65"/>
      <c r="L55" s="55">
        <f>SUM(L52:L54)</f>
        <v>30.662430500000006</v>
      </c>
      <c r="M55" s="63"/>
      <c r="N55" s="258">
        <f t="shared" si="2"/>
        <v>6.8967775000000024</v>
      </c>
      <c r="O55" s="46">
        <f t="shared" si="8"/>
        <v>0.2901993688117891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367.32500000000005</v>
      </c>
      <c r="H56" s="68">
        <f aca="true" t="shared" si="9" ref="H56:H62">G56*F56</f>
        <v>1.6162300000000003</v>
      </c>
      <c r="I56" s="29"/>
      <c r="J56" s="69">
        <v>0.0044</v>
      </c>
      <c r="K56" s="60">
        <f>K54</f>
        <v>367.32500000000005</v>
      </c>
      <c r="L56" s="68">
        <f aca="true" t="shared" si="10" ref="L56:L62">K56*J56</f>
        <v>1.6162300000000003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367.32500000000005</v>
      </c>
      <c r="H57" s="68">
        <f t="shared" si="9"/>
        <v>0.4775225</v>
      </c>
      <c r="I57" s="29"/>
      <c r="J57" s="69">
        <v>0.0013</v>
      </c>
      <c r="K57" s="60">
        <f>K54</f>
        <v>367.32500000000005</v>
      </c>
      <c r="L57" s="68">
        <f t="shared" si="10"/>
        <v>0.4775225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350</v>
      </c>
      <c r="H59" s="68">
        <f t="shared" si="9"/>
        <v>2.45</v>
      </c>
      <c r="I59" s="29"/>
      <c r="J59" s="69">
        <f>'Res (100kWh)'!J59</f>
        <v>0</v>
      </c>
      <c r="K59" s="72">
        <f>F18</f>
        <v>350</v>
      </c>
      <c r="L59" s="68">
        <f t="shared" si="10"/>
        <v>0</v>
      </c>
      <c r="M59" s="29"/>
      <c r="N59" s="32">
        <f t="shared" si="2"/>
        <v>-2.45</v>
      </c>
      <c r="O59" s="70">
        <f t="shared" si="8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f>'Res (100kWh)'!F60</f>
        <v>0.08</v>
      </c>
      <c r="G60" s="71">
        <f>0.64*$F$18</f>
        <v>224</v>
      </c>
      <c r="H60" s="68">
        <f t="shared" si="9"/>
        <v>17.92</v>
      </c>
      <c r="I60" s="29"/>
      <c r="J60" s="67">
        <f aca="true" t="shared" si="11" ref="J60:K62">F60</f>
        <v>0.08</v>
      </c>
      <c r="K60" s="71">
        <f t="shared" si="11"/>
        <v>224</v>
      </c>
      <c r="L60" s="68">
        <f t="shared" si="10"/>
        <v>17.92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'Res (100kWh)'!F61</f>
        <v>0.122</v>
      </c>
      <c r="G61" s="71">
        <f>0.18*$F$18</f>
        <v>63</v>
      </c>
      <c r="H61" s="68">
        <f t="shared" si="9"/>
        <v>7.686</v>
      </c>
      <c r="I61" s="29"/>
      <c r="J61" s="67">
        <f t="shared" si="11"/>
        <v>0.122</v>
      </c>
      <c r="K61" s="71">
        <f t="shared" si="11"/>
        <v>63</v>
      </c>
      <c r="L61" s="68">
        <f t="shared" si="10"/>
        <v>7.686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'Res (100kWh)'!F62</f>
        <v>0.161</v>
      </c>
      <c r="G62" s="71">
        <f>0.18*$F$18</f>
        <v>63</v>
      </c>
      <c r="H62" s="68">
        <f t="shared" si="9"/>
        <v>10.143</v>
      </c>
      <c r="I62" s="29"/>
      <c r="J62" s="67">
        <f t="shared" si="11"/>
        <v>0.161</v>
      </c>
      <c r="K62" s="71">
        <f t="shared" si="11"/>
        <v>63</v>
      </c>
      <c r="L62" s="68">
        <f t="shared" si="10"/>
        <v>10.143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350</v>
      </c>
      <c r="H63" s="68">
        <f>G63*F63</f>
        <v>32.9</v>
      </c>
      <c r="I63" s="81"/>
      <c r="J63" s="67">
        <f>F63</f>
        <v>0.094</v>
      </c>
      <c r="K63" s="80">
        <f>G63</f>
        <v>350</v>
      </c>
      <c r="L63" s="68">
        <f>K63*J63</f>
        <v>32.9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0</v>
      </c>
      <c r="H64" s="68">
        <f>G64*F64</f>
        <v>0</v>
      </c>
      <c r="I64" s="81"/>
      <c r="J64" s="67">
        <f>F64</f>
        <v>0.11</v>
      </c>
      <c r="K64" s="80">
        <f>G64</f>
        <v>0</v>
      </c>
      <c r="L64" s="68">
        <f>K64*J64</f>
        <v>0</v>
      </c>
      <c r="M64" s="81"/>
      <c r="N64" s="82">
        <f t="shared" si="2"/>
        <v>0</v>
      </c>
      <c r="O64" s="70">
        <f t="shared" si="8"/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64.3084055</v>
      </c>
      <c r="I66" s="97"/>
      <c r="J66" s="98"/>
      <c r="K66" s="98"/>
      <c r="L66" s="190">
        <f>SUM(L56:L62,L55)</f>
        <v>68.75518300000002</v>
      </c>
      <c r="M66" s="99"/>
      <c r="N66" s="263">
        <f>L66-H66</f>
        <v>4.44677750000001</v>
      </c>
      <c r="O66" s="101">
        <f>IF((H66)=0,"",(N66/H66))</f>
        <v>0.06914768707801362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8.360092715</v>
      </c>
      <c r="I67" s="106"/>
      <c r="J67" s="107">
        <v>0.13</v>
      </c>
      <c r="K67" s="106"/>
      <c r="L67" s="108">
        <f>L66*J67</f>
        <v>8.938173790000002</v>
      </c>
      <c r="M67" s="109"/>
      <c r="N67" s="264">
        <f t="shared" si="2"/>
        <v>0.5780810750000018</v>
      </c>
      <c r="O67" s="111">
        <f t="shared" si="8"/>
        <v>0.06914768707801368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72.668498215</v>
      </c>
      <c r="I68" s="106"/>
      <c r="J68" s="106"/>
      <c r="K68" s="106"/>
      <c r="L68" s="108">
        <f>L66+L67</f>
        <v>77.69335679000002</v>
      </c>
      <c r="M68" s="109"/>
      <c r="N68" s="264">
        <f t="shared" si="2"/>
        <v>5.0248585750000245</v>
      </c>
      <c r="O68" s="111">
        <f t="shared" si="8"/>
        <v>0.0691476870780138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-7.27</v>
      </c>
      <c r="I69" s="106"/>
      <c r="J69" s="106"/>
      <c r="K69" s="106"/>
      <c r="L69" s="261">
        <v>0</v>
      </c>
      <c r="M69" s="109"/>
      <c r="N69" s="262">
        <f t="shared" si="2"/>
        <v>7.27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65.398498215</v>
      </c>
      <c r="I70" s="122"/>
      <c r="J70" s="122"/>
      <c r="K70" s="122"/>
      <c r="L70" s="123">
        <f>L68+L69</f>
        <v>77.69335679000002</v>
      </c>
      <c r="M70" s="124"/>
      <c r="N70" s="265">
        <f t="shared" si="2"/>
        <v>12.29485857500002</v>
      </c>
      <c r="O70" s="126">
        <f t="shared" si="8"/>
        <v>0.18799909647130145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61.45940550000001</v>
      </c>
      <c r="I72" s="138"/>
      <c r="J72" s="139"/>
      <c r="K72" s="139"/>
      <c r="L72" s="189">
        <f>SUM(L63:L64,L55,L56:L59)</f>
        <v>65.90618300000001</v>
      </c>
      <c r="M72" s="140"/>
      <c r="N72" s="266">
        <f>L72-H72</f>
        <v>4.446777500000003</v>
      </c>
      <c r="O72" s="101">
        <f>IF((H72)=0,"",(N72/H72))</f>
        <v>0.07235308353251159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7.989722715000002</v>
      </c>
      <c r="I73" s="145"/>
      <c r="J73" s="146">
        <v>0.13</v>
      </c>
      <c r="K73" s="147"/>
      <c r="L73" s="148">
        <f>L72*J73</f>
        <v>8.567803790000003</v>
      </c>
      <c r="M73" s="149"/>
      <c r="N73" s="267">
        <f>L73-H73</f>
        <v>0.5780810750000009</v>
      </c>
      <c r="O73" s="111">
        <f>IF((H73)=0,"",(N73/H73))</f>
        <v>0.07235308353251166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69.44912821500002</v>
      </c>
      <c r="I74" s="145"/>
      <c r="J74" s="145"/>
      <c r="K74" s="145"/>
      <c r="L74" s="148">
        <f>L72+L73</f>
        <v>74.47398679000001</v>
      </c>
      <c r="M74" s="149"/>
      <c r="N74" s="267">
        <f>L74-H74</f>
        <v>5.024858574999996</v>
      </c>
      <c r="O74" s="111">
        <f>IF((H74)=0,"",(N74/H74))</f>
        <v>0.07235308353251148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-6.94</v>
      </c>
      <c r="I75" s="145"/>
      <c r="J75" s="145"/>
      <c r="K75" s="145"/>
      <c r="L75" s="255">
        <v>0</v>
      </c>
      <c r="M75" s="149"/>
      <c r="N75" s="256">
        <f>L75-H75</f>
        <v>6.94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62.50912821500002</v>
      </c>
      <c r="I76" s="159"/>
      <c r="J76" s="159"/>
      <c r="K76" s="159"/>
      <c r="L76" s="160">
        <f>SUM(L74:L75)</f>
        <v>74.47398679000001</v>
      </c>
      <c r="M76" s="161"/>
      <c r="N76" s="268">
        <f>L76-H76</f>
        <v>11.964858574999994</v>
      </c>
      <c r="O76" s="163">
        <f>IF((H76)=0,"",(N76/H76))</f>
        <v>0.19140978152577792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0">
    <mergeCell ref="B76:D76"/>
    <mergeCell ref="D21:D22"/>
    <mergeCell ref="N21:N22"/>
    <mergeCell ref="O21:O22"/>
    <mergeCell ref="B69:D69"/>
    <mergeCell ref="B70:D70"/>
    <mergeCell ref="B75:D75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56:E62 E65 E23:E40 E42:E51">
      <formula1>'Res (350kWh)'!#REF!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'Res (350kWh)'!#REF!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5"/>
  <sheetViews>
    <sheetView showGridLines="0" zoomScalePageLayoutView="0" workbookViewId="0" topLeftCell="A53">
      <selection activeCell="L70" sqref="L7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4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79</v>
      </c>
      <c r="O5" s="306"/>
      <c r="P5" s="194"/>
    </row>
    <row r="6" spans="12:16" s="2" customFormat="1" ht="9" customHeight="1">
      <c r="L6" s="3"/>
      <c r="N6" s="193"/>
      <c r="O6" s="4"/>
      <c r="P6"/>
    </row>
    <row r="7" spans="12:16" s="2" customFormat="1" ht="15">
      <c r="L7" s="3" t="s">
        <v>80</v>
      </c>
      <c r="N7" s="307">
        <v>41575</v>
      </c>
      <c r="O7" s="307"/>
      <c r="P7" s="192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800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280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47">
        <f>K24*J24</f>
        <v>0</v>
      </c>
      <c r="M24" s="29"/>
      <c r="N24" s="32">
        <f>L24-H24</f>
        <v>0</v>
      </c>
      <c r="O24" s="248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277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f aca="true" t="shared" si="4" ref="G28:G33">$F$18</f>
        <v>800</v>
      </c>
      <c r="H28" s="28">
        <f t="shared" si="0"/>
        <v>0</v>
      </c>
      <c r="I28" s="29"/>
      <c r="J28" s="173">
        <f>'Res (100kWh)'!J28</f>
        <v>0</v>
      </c>
      <c r="K28" s="27">
        <f>K27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 customHeight="1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 t="shared" si="4"/>
        <v>800</v>
      </c>
      <c r="H29" s="28">
        <f t="shared" si="0"/>
        <v>0</v>
      </c>
      <c r="I29" s="29"/>
      <c r="J29" s="30">
        <f>'Res (100kWh)'!J29</f>
        <v>0</v>
      </c>
      <c r="K29" s="27">
        <f>$F$18</f>
        <v>800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 customHeight="1">
      <c r="B30" s="47" t="s">
        <v>97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800</v>
      </c>
      <c r="H30" s="247">
        <f t="shared" si="0"/>
        <v>0</v>
      </c>
      <c r="I30" s="29"/>
      <c r="J30" s="30">
        <f>'Res (100kWh)'!J30</f>
        <v>0</v>
      </c>
      <c r="K30" s="27">
        <f>$F$18</f>
        <v>800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 t="shared" si="4"/>
        <v>800</v>
      </c>
      <c r="H31" s="28">
        <f t="shared" si="0"/>
        <v>16.88</v>
      </c>
      <c r="I31" s="29"/>
      <c r="J31" s="281">
        <f>'Res (100kWh)'!J31</f>
        <v>0.0158</v>
      </c>
      <c r="K31" s="27">
        <f>$F$18</f>
        <v>800</v>
      </c>
      <c r="L31" s="28">
        <f t="shared" si="1"/>
        <v>12.64</v>
      </c>
      <c r="M31" s="29"/>
      <c r="N31" s="32">
        <f t="shared" si="2"/>
        <v>-4.239999999999998</v>
      </c>
      <c r="O31" s="33">
        <f t="shared" si="3"/>
        <v>-0.2511848341232227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800</v>
      </c>
      <c r="H32" s="28">
        <f t="shared" si="0"/>
        <v>0</v>
      </c>
      <c r="I32" s="29"/>
      <c r="J32" s="30"/>
      <c r="K32" s="27">
        <f aca="true" t="shared" si="5" ref="K32:K40">$F$18</f>
        <v>800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 t="shared" si="4"/>
        <v>800</v>
      </c>
      <c r="H33" s="247">
        <f t="shared" si="0"/>
        <v>0</v>
      </c>
      <c r="I33" s="29"/>
      <c r="J33" s="277">
        <f>'Res (100kWh)'!$J33</f>
        <v>0</v>
      </c>
      <c r="K33" s="27">
        <f t="shared" si="5"/>
        <v>800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800</v>
      </c>
      <c r="H34" s="28">
        <f t="shared" si="0"/>
        <v>0</v>
      </c>
      <c r="I34" s="29"/>
      <c r="J34" s="30"/>
      <c r="K34" s="27">
        <f t="shared" si="5"/>
        <v>800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800</v>
      </c>
      <c r="H35" s="28">
        <f t="shared" si="0"/>
        <v>0</v>
      </c>
      <c r="I35" s="29"/>
      <c r="J35" s="30"/>
      <c r="K35" s="27">
        <f t="shared" si="5"/>
        <v>800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800</v>
      </c>
      <c r="H36" s="28">
        <f t="shared" si="0"/>
        <v>0</v>
      </c>
      <c r="I36" s="29"/>
      <c r="J36" s="30"/>
      <c r="K36" s="27">
        <f t="shared" si="5"/>
        <v>800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800</v>
      </c>
      <c r="H37" s="28">
        <f t="shared" si="0"/>
        <v>0</v>
      </c>
      <c r="I37" s="29"/>
      <c r="J37" s="30"/>
      <c r="K37" s="27">
        <f t="shared" si="5"/>
        <v>800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800</v>
      </c>
      <c r="H38" s="28">
        <f t="shared" si="0"/>
        <v>0</v>
      </c>
      <c r="I38" s="29"/>
      <c r="J38" s="30"/>
      <c r="K38" s="27">
        <f t="shared" si="5"/>
        <v>800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800</v>
      </c>
      <c r="H39" s="28">
        <f t="shared" si="0"/>
        <v>0</v>
      </c>
      <c r="I39" s="29"/>
      <c r="J39" s="30"/>
      <c r="K39" s="27">
        <f t="shared" si="5"/>
        <v>800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800</v>
      </c>
      <c r="H40" s="28">
        <f t="shared" si="0"/>
        <v>0</v>
      </c>
      <c r="I40" s="29"/>
      <c r="J40" s="30"/>
      <c r="K40" s="27">
        <f t="shared" si="5"/>
        <v>800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29.85</v>
      </c>
      <c r="I41" s="42"/>
      <c r="J41" s="43"/>
      <c r="K41" s="44"/>
      <c r="L41" s="41">
        <f>SUM(L23:L40)</f>
        <v>29.98</v>
      </c>
      <c r="M41" s="42"/>
      <c r="N41" s="258">
        <f t="shared" si="2"/>
        <v>0.129999999999999</v>
      </c>
      <c r="O41" s="46">
        <f t="shared" si="3"/>
        <v>0.00435510887772191</v>
      </c>
    </row>
    <row r="42" spans="2:15" ht="15" customHeight="1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800</v>
      </c>
      <c r="H43" s="28">
        <f aca="true" t="shared" si="7" ref="H43:H51">G43*F43</f>
        <v>-5.6000000000000005</v>
      </c>
      <c r="I43" s="29"/>
      <c r="J43" s="282">
        <f>'Res (100kWh)'!J43</f>
        <v>0.0021</v>
      </c>
      <c r="K43" s="27">
        <f>$F$18</f>
        <v>800</v>
      </c>
      <c r="L43" s="28">
        <f aca="true" t="shared" si="8" ref="L43:L51">K43*J43</f>
        <v>1.68</v>
      </c>
      <c r="M43" s="29"/>
      <c r="N43" s="32">
        <f t="shared" si="2"/>
        <v>7.28</v>
      </c>
      <c r="O43" s="33">
        <f t="shared" si="3"/>
        <v>-1.2999999999999998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800</v>
      </c>
      <c r="H44" s="28">
        <f t="shared" si="7"/>
        <v>0</v>
      </c>
      <c r="I44" s="48"/>
      <c r="J44" s="30"/>
      <c r="K44" s="27">
        <f>$F$18</f>
        <v>800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800</v>
      </c>
      <c r="H45" s="28">
        <f t="shared" si="7"/>
        <v>0</v>
      </c>
      <c r="I45" s="48"/>
      <c r="J45" s="30"/>
      <c r="K45" s="27">
        <f>$F$18</f>
        <v>800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800</v>
      </c>
      <c r="H46" s="28">
        <f t="shared" si="7"/>
        <v>0</v>
      </c>
      <c r="I46" s="48"/>
      <c r="J46" s="30"/>
      <c r="K46" s="27">
        <f>$F$18</f>
        <v>800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7"/>
        <v>0</v>
      </c>
      <c r="I47" s="29"/>
      <c r="J47" s="269">
        <f>'Res (100kWh)'!J47</f>
        <v>-0.04</v>
      </c>
      <c r="K47" s="27">
        <v>1</v>
      </c>
      <c r="L47" s="247">
        <f t="shared" si="8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800</v>
      </c>
      <c r="H48" s="247">
        <f t="shared" si="7"/>
        <v>0</v>
      </c>
      <c r="I48" s="29"/>
      <c r="J48" s="281">
        <f>'Res (100kWh)'!$J48</f>
        <v>0.0007</v>
      </c>
      <c r="K48" s="27">
        <f>$F$18</f>
        <v>800</v>
      </c>
      <c r="L48" s="247">
        <f t="shared" si="8"/>
        <v>0.5599999999999999</v>
      </c>
      <c r="M48" s="29"/>
      <c r="N48" s="32">
        <f>L48-H48</f>
        <v>0.5599999999999999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800</v>
      </c>
      <c r="H49" s="28">
        <f t="shared" si="7"/>
        <v>1.92</v>
      </c>
      <c r="I49" s="29"/>
      <c r="J49" s="281">
        <f>'Res (100kWh)'!J49</f>
        <v>0.0024</v>
      </c>
      <c r="K49" s="27">
        <f>$F$18</f>
        <v>800</v>
      </c>
      <c r="L49" s="28">
        <f t="shared" si="8"/>
        <v>1.92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39.600000000000136</v>
      </c>
      <c r="H50" s="184">
        <f t="shared" si="7"/>
        <v>4.044744000000014</v>
      </c>
      <c r="I50" s="58"/>
      <c r="J50" s="185">
        <f>0.64*$F$60+0.18*$F$61+0.18*$F$62</f>
        <v>0.10214000000000001</v>
      </c>
      <c r="K50" s="27">
        <f>$F$18*(1+$J$79)-$F$18</f>
        <v>39.600000000000136</v>
      </c>
      <c r="L50" s="184">
        <f t="shared" si="8"/>
        <v>4.044744000000014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7"/>
        <v>0.79</v>
      </c>
      <c r="I51" s="29"/>
      <c r="J51" s="283">
        <v>0.79</v>
      </c>
      <c r="K51" s="27">
        <v>1</v>
      </c>
      <c r="L51" s="28">
        <f t="shared" si="8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31.004744000000017</v>
      </c>
      <c r="I52" s="42"/>
      <c r="J52" s="54"/>
      <c r="K52" s="56"/>
      <c r="L52" s="55">
        <f>SUM(L42:L51)+L41</f>
        <v>38.93474400000001</v>
      </c>
      <c r="M52" s="42"/>
      <c r="N52" s="45">
        <f t="shared" si="2"/>
        <v>7.929999999999993</v>
      </c>
      <c r="O52" s="46">
        <f aca="true" t="shared" si="9" ref="O52:O70">IF((H52)=0,"",(N52/H52))</f>
        <v>0.255767310963767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839.6000000000001</v>
      </c>
      <c r="H53" s="28">
        <f>G53*F53</f>
        <v>4.03008</v>
      </c>
      <c r="I53" s="29"/>
      <c r="J53" s="281">
        <f>'Res (100kWh)'!J53</f>
        <v>0.0064</v>
      </c>
      <c r="K53" s="60">
        <f>F18*(1+J79)</f>
        <v>839.6000000000001</v>
      </c>
      <c r="L53" s="28">
        <f>K53*J53</f>
        <v>5.373440000000001</v>
      </c>
      <c r="M53" s="29"/>
      <c r="N53" s="32">
        <f t="shared" si="2"/>
        <v>1.3433600000000014</v>
      </c>
      <c r="O53" s="33">
        <f t="shared" si="9"/>
        <v>0.3333333333333337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839.6000000000001</v>
      </c>
      <c r="H54" s="28">
        <f>G54*F54</f>
        <v>1.5952400000000002</v>
      </c>
      <c r="I54" s="29"/>
      <c r="J54" s="281">
        <f>'Res (100kWh)'!J54</f>
        <v>0.003</v>
      </c>
      <c r="K54" s="60">
        <f>K53</f>
        <v>839.6000000000001</v>
      </c>
      <c r="L54" s="28">
        <f>K54*J54</f>
        <v>2.5188000000000006</v>
      </c>
      <c r="M54" s="29"/>
      <c r="N54" s="32">
        <f t="shared" si="2"/>
        <v>0.9235600000000004</v>
      </c>
      <c r="O54" s="33">
        <f t="shared" si="9"/>
        <v>0.5789473684210528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36.63006400000001</v>
      </c>
      <c r="I55" s="63"/>
      <c r="J55" s="64"/>
      <c r="K55" s="65"/>
      <c r="L55" s="55">
        <f>SUM(L52:L54)</f>
        <v>46.82698400000001</v>
      </c>
      <c r="M55" s="63"/>
      <c r="N55" s="45">
        <f t="shared" si="2"/>
        <v>10.196919999999999</v>
      </c>
      <c r="O55" s="46">
        <f t="shared" si="9"/>
        <v>0.27837570799767086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839.6000000000001</v>
      </c>
      <c r="H56" s="68">
        <f aca="true" t="shared" si="10" ref="H56:H62">G56*F56</f>
        <v>3.6942400000000006</v>
      </c>
      <c r="I56" s="29"/>
      <c r="J56" s="281">
        <v>0.0044</v>
      </c>
      <c r="K56" s="60">
        <f>K54</f>
        <v>839.6000000000001</v>
      </c>
      <c r="L56" s="68">
        <f aca="true" t="shared" si="11" ref="L56:L62">K56*J56</f>
        <v>3.6942400000000006</v>
      </c>
      <c r="M56" s="29"/>
      <c r="N56" s="32">
        <f t="shared" si="2"/>
        <v>0</v>
      </c>
      <c r="O56" s="70">
        <f t="shared" si="9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839.6000000000001</v>
      </c>
      <c r="H57" s="68">
        <f t="shared" si="10"/>
        <v>1.0914800000000002</v>
      </c>
      <c r="I57" s="29"/>
      <c r="J57" s="281">
        <v>0.0013</v>
      </c>
      <c r="K57" s="60">
        <f>K54</f>
        <v>839.6000000000001</v>
      </c>
      <c r="L57" s="68">
        <f t="shared" si="11"/>
        <v>1.0914800000000002</v>
      </c>
      <c r="M57" s="29"/>
      <c r="N57" s="32">
        <f t="shared" si="2"/>
        <v>0</v>
      </c>
      <c r="O57" s="70">
        <f t="shared" si="9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10"/>
        <v>0.25</v>
      </c>
      <c r="I58" s="29"/>
      <c r="J58" s="280">
        <v>0.25</v>
      </c>
      <c r="K58" s="31">
        <v>1</v>
      </c>
      <c r="L58" s="68">
        <f t="shared" si="11"/>
        <v>0.25</v>
      </c>
      <c r="M58" s="29"/>
      <c r="N58" s="32">
        <f t="shared" si="2"/>
        <v>0</v>
      </c>
      <c r="O58" s="70">
        <f t="shared" si="9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800</v>
      </c>
      <c r="H59" s="68">
        <f t="shared" si="10"/>
        <v>5.6000000000000005</v>
      </c>
      <c r="I59" s="29"/>
      <c r="J59" s="69">
        <f>'Res (100kWh)'!J59</f>
        <v>0</v>
      </c>
      <c r="K59" s="72">
        <f>F18</f>
        <v>800</v>
      </c>
      <c r="L59" s="68">
        <f t="shared" si="11"/>
        <v>0</v>
      </c>
      <c r="M59" s="29"/>
      <c r="N59" s="32">
        <f t="shared" si="2"/>
        <v>-5.6000000000000005</v>
      </c>
      <c r="O59" s="70">
        <f t="shared" si="9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f>'Res (100kWh)'!F60</f>
        <v>0.08</v>
      </c>
      <c r="G60" s="71">
        <f>0.64*$F$18</f>
        <v>512</v>
      </c>
      <c r="H60" s="68">
        <f t="shared" si="10"/>
        <v>40.96</v>
      </c>
      <c r="I60" s="29"/>
      <c r="J60" s="67">
        <f aca="true" t="shared" si="12" ref="J60:K62">F60</f>
        <v>0.08</v>
      </c>
      <c r="K60" s="71">
        <f t="shared" si="12"/>
        <v>512</v>
      </c>
      <c r="L60" s="68">
        <f t="shared" si="11"/>
        <v>40.96</v>
      </c>
      <c r="M60" s="29"/>
      <c r="N60" s="32">
        <f t="shared" si="2"/>
        <v>0</v>
      </c>
      <c r="O60" s="70">
        <f t="shared" si="9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'Res (100kWh)'!F61</f>
        <v>0.122</v>
      </c>
      <c r="G61" s="71">
        <f>0.18*$F$18</f>
        <v>144</v>
      </c>
      <c r="H61" s="68">
        <f t="shared" si="10"/>
        <v>17.567999999999998</v>
      </c>
      <c r="I61" s="29"/>
      <c r="J61" s="67">
        <f t="shared" si="12"/>
        <v>0.122</v>
      </c>
      <c r="K61" s="71">
        <f t="shared" si="12"/>
        <v>144</v>
      </c>
      <c r="L61" s="68">
        <f t="shared" si="11"/>
        <v>17.567999999999998</v>
      </c>
      <c r="M61" s="29"/>
      <c r="N61" s="32">
        <f t="shared" si="2"/>
        <v>0</v>
      </c>
      <c r="O61" s="70">
        <f t="shared" si="9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'Res (100kWh)'!F62</f>
        <v>0.161</v>
      </c>
      <c r="G62" s="71">
        <f>0.18*$F$18</f>
        <v>144</v>
      </c>
      <c r="H62" s="68">
        <f t="shared" si="10"/>
        <v>23.184</v>
      </c>
      <c r="I62" s="29"/>
      <c r="J62" s="67">
        <f t="shared" si="12"/>
        <v>0.161</v>
      </c>
      <c r="K62" s="71">
        <f t="shared" si="12"/>
        <v>144</v>
      </c>
      <c r="L62" s="68">
        <f t="shared" si="11"/>
        <v>23.184</v>
      </c>
      <c r="M62" s="29"/>
      <c r="N62" s="32">
        <f t="shared" si="2"/>
        <v>0</v>
      </c>
      <c r="O62" s="70">
        <f t="shared" si="9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>F63</f>
        <v>0.094</v>
      </c>
      <c r="K63" s="80">
        <f>G63</f>
        <v>600</v>
      </c>
      <c r="L63" s="68">
        <f>K63*J63</f>
        <v>56.4</v>
      </c>
      <c r="M63" s="81"/>
      <c r="N63" s="82">
        <f t="shared" si="2"/>
        <v>0</v>
      </c>
      <c r="O63" s="70">
        <f t="shared" si="9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200</v>
      </c>
      <c r="H64" s="68">
        <f>G64*F64</f>
        <v>22</v>
      </c>
      <c r="I64" s="81"/>
      <c r="J64" s="67">
        <f>F64</f>
        <v>0.11</v>
      </c>
      <c r="K64" s="80">
        <f>G64</f>
        <v>200</v>
      </c>
      <c r="L64" s="68">
        <f>K64*J64</f>
        <v>22</v>
      </c>
      <c r="M64" s="81"/>
      <c r="N64" s="82">
        <f t="shared" si="2"/>
        <v>0</v>
      </c>
      <c r="O64" s="70">
        <f t="shared" si="9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128.977784</v>
      </c>
      <c r="I66" s="97"/>
      <c r="J66" s="98"/>
      <c r="K66" s="98"/>
      <c r="L66" s="190">
        <f>SUM(L56:L62,L55)</f>
        <v>133.574704</v>
      </c>
      <c r="M66" s="99"/>
      <c r="N66" s="100">
        <f>L66-H66</f>
        <v>4.596919999999983</v>
      </c>
      <c r="O66" s="101">
        <f>IF((H66)=0,"",(N66/H66))</f>
        <v>0.03564117677816501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16.76711192</v>
      </c>
      <c r="I67" s="106"/>
      <c r="J67" s="107">
        <v>0.13</v>
      </c>
      <c r="K67" s="106"/>
      <c r="L67" s="108">
        <f>L66*J67</f>
        <v>17.36471152</v>
      </c>
      <c r="M67" s="109"/>
      <c r="N67" s="110">
        <f t="shared" si="2"/>
        <v>0.5975995999999988</v>
      </c>
      <c r="O67" s="111">
        <f t="shared" si="9"/>
        <v>0.03564117677816507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145.74489592</v>
      </c>
      <c r="I68" s="106"/>
      <c r="J68" s="106"/>
      <c r="K68" s="106"/>
      <c r="L68" s="108">
        <f>L66+L67</f>
        <v>150.93941552</v>
      </c>
      <c r="M68" s="109"/>
      <c r="N68" s="110">
        <f t="shared" si="2"/>
        <v>5.194519600000007</v>
      </c>
      <c r="O68" s="111">
        <f t="shared" si="9"/>
        <v>0.03564117677816519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-14.57</v>
      </c>
      <c r="I69" s="106"/>
      <c r="J69" s="106"/>
      <c r="K69" s="106"/>
      <c r="L69" s="261">
        <v>0</v>
      </c>
      <c r="M69" s="109"/>
      <c r="N69" s="262">
        <f t="shared" si="2"/>
        <v>14.57</v>
      </c>
      <c r="O69" s="117">
        <f t="shared" si="9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131.17489592</v>
      </c>
      <c r="I70" s="122"/>
      <c r="J70" s="122"/>
      <c r="K70" s="122"/>
      <c r="L70" s="123">
        <f>L68+L69</f>
        <v>150.93941552</v>
      </c>
      <c r="M70" s="124"/>
      <c r="N70" s="125">
        <f t="shared" si="2"/>
        <v>19.7645196</v>
      </c>
      <c r="O70" s="126">
        <f t="shared" si="9"/>
        <v>0.15067303435905785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125.66578400000002</v>
      </c>
      <c r="I72" s="138"/>
      <c r="J72" s="139"/>
      <c r="K72" s="139"/>
      <c r="L72" s="189">
        <f>SUM(L63:L64,L55,L56:L59)</f>
        <v>130.262704</v>
      </c>
      <c r="M72" s="140"/>
      <c r="N72" s="141">
        <f>L72-H72</f>
        <v>4.596919999999997</v>
      </c>
      <c r="O72" s="101">
        <f>IF((H72)=0,"",(N72/H72))</f>
        <v>0.03658052218891975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16.33655192</v>
      </c>
      <c r="I73" s="145"/>
      <c r="J73" s="146">
        <v>0.13</v>
      </c>
      <c r="K73" s="147"/>
      <c r="L73" s="148">
        <f>L72*J73</f>
        <v>16.934151520000004</v>
      </c>
      <c r="M73" s="149"/>
      <c r="N73" s="150">
        <f>L73-H73</f>
        <v>0.5975996000000023</v>
      </c>
      <c r="O73" s="111">
        <f>IF((H73)=0,"",(N73/H73))</f>
        <v>0.03658052218891992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142.00233592</v>
      </c>
      <c r="I74" s="145"/>
      <c r="J74" s="145"/>
      <c r="K74" s="145"/>
      <c r="L74" s="148">
        <f>L72+L73</f>
        <v>147.19685552</v>
      </c>
      <c r="M74" s="149"/>
      <c r="N74" s="150">
        <f>L74-H74</f>
        <v>5.194519600000007</v>
      </c>
      <c r="O74" s="111">
        <f>IF((H74)=0,"",(N74/H74))</f>
        <v>0.03658052218891982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-14.2</v>
      </c>
      <c r="I75" s="145"/>
      <c r="J75" s="145"/>
      <c r="K75" s="145"/>
      <c r="L75" s="255">
        <v>0</v>
      </c>
      <c r="M75" s="149"/>
      <c r="N75" s="256">
        <f>L75-H75</f>
        <v>14.2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127.80233592</v>
      </c>
      <c r="I76" s="159"/>
      <c r="J76" s="159"/>
      <c r="K76" s="159"/>
      <c r="L76" s="160">
        <f>SUM(L74:L75)</f>
        <v>147.19685552</v>
      </c>
      <c r="M76" s="161"/>
      <c r="N76" s="162">
        <f>L76-H76</f>
        <v>19.39451960000001</v>
      </c>
      <c r="O76" s="163">
        <f>IF((H76)=0,"",(N76/H76))</f>
        <v>0.15175403063164927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0">
    <mergeCell ref="B76:D76"/>
    <mergeCell ref="D21:D22"/>
    <mergeCell ref="N21:N22"/>
    <mergeCell ref="O21:O22"/>
    <mergeCell ref="B69:D69"/>
    <mergeCell ref="B70:D70"/>
    <mergeCell ref="B75:D75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7 E71 E63:E64">
      <formula1>'Res (800kWh)'!#REF!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53:E54 E56:E62 E65 E23:E40 E42:E51">
      <formula1>'Res (800kWh)'!#REF!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3">
      <selection activeCell="J29" sqref="J29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2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5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84</v>
      </c>
      <c r="O5" s="306"/>
      <c r="P5" s="194"/>
    </row>
    <row r="6" spans="12:16" s="2" customFormat="1" ht="9" customHeight="1">
      <c r="L6" s="3"/>
      <c r="N6" s="193"/>
      <c r="O6" s="4"/>
      <c r="P6" s="197"/>
    </row>
    <row r="7" spans="12:16" s="2" customFormat="1" ht="15">
      <c r="L7" s="3" t="s">
        <v>80</v>
      </c>
      <c r="N7" s="307">
        <v>41575</v>
      </c>
      <c r="O7" s="307"/>
      <c r="P7" s="19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173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v>1</v>
      </c>
      <c r="H28" s="28">
        <f t="shared" si="0"/>
        <v>0</v>
      </c>
      <c r="I28" s="29"/>
      <c r="J28" s="173">
        <v>0</v>
      </c>
      <c r="K28" s="27"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>$F$18</f>
        <v>1000</v>
      </c>
      <c r="H29" s="28">
        <f t="shared" si="0"/>
        <v>0</v>
      </c>
      <c r="I29" s="29"/>
      <c r="J29" s="30">
        <f>'Res (100kWh)'!J29</f>
        <v>0</v>
      </c>
      <c r="K29" s="27">
        <f>$F$18</f>
        <v>1000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'Res (100kWh)'!F30</f>
        <v>0</v>
      </c>
      <c r="G30" s="27">
        <f>$F$18</f>
        <v>1000</v>
      </c>
      <c r="H30" s="247">
        <f t="shared" si="0"/>
        <v>0</v>
      </c>
      <c r="I30" s="29"/>
      <c r="J30" s="30">
        <f>'Res (100kWh)'!J30</f>
        <v>0</v>
      </c>
      <c r="K30" s="27">
        <f>$F$18</f>
        <v>1000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>$F$18</f>
        <v>1000</v>
      </c>
      <c r="H31" s="28">
        <f t="shared" si="0"/>
        <v>21.1</v>
      </c>
      <c r="I31" s="29"/>
      <c r="J31" s="30">
        <f>'Res (100kWh)'!J31</f>
        <v>0.0158</v>
      </c>
      <c r="K31" s="27">
        <f>$F$18</f>
        <v>1000</v>
      </c>
      <c r="L31" s="28">
        <f t="shared" si="1"/>
        <v>15.8</v>
      </c>
      <c r="M31" s="29"/>
      <c r="N31" s="32">
        <f t="shared" si="2"/>
        <v>-5.300000000000001</v>
      </c>
      <c r="O31" s="33">
        <f t="shared" si="3"/>
        <v>-0.2511848341232228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1000</v>
      </c>
      <c r="H32" s="28">
        <f t="shared" si="0"/>
        <v>0</v>
      </c>
      <c r="I32" s="29"/>
      <c r="J32" s="30"/>
      <c r="K32" s="27">
        <f aca="true" t="shared" si="4" ref="K32:K40">$F$18</f>
        <v>1000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1000</v>
      </c>
      <c r="H33" s="247">
        <f t="shared" si="0"/>
        <v>0</v>
      </c>
      <c r="I33" s="29"/>
      <c r="J33" s="30">
        <f>'Res (100kWh)'!$J33</f>
        <v>0</v>
      </c>
      <c r="K33" s="27">
        <f t="shared" si="4"/>
        <v>1000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1000</v>
      </c>
      <c r="H34" s="28">
        <f t="shared" si="0"/>
        <v>0</v>
      </c>
      <c r="I34" s="29"/>
      <c r="J34" s="30"/>
      <c r="K34" s="27">
        <f t="shared" si="4"/>
        <v>1000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1000</v>
      </c>
      <c r="H35" s="28">
        <f t="shared" si="0"/>
        <v>0</v>
      </c>
      <c r="I35" s="29"/>
      <c r="J35" s="30"/>
      <c r="K35" s="27">
        <f t="shared" si="4"/>
        <v>1000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1000</v>
      </c>
      <c r="H36" s="28">
        <f t="shared" si="0"/>
        <v>0</v>
      </c>
      <c r="I36" s="29"/>
      <c r="J36" s="30"/>
      <c r="K36" s="27">
        <f t="shared" si="4"/>
        <v>1000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1000</v>
      </c>
      <c r="H37" s="28">
        <f t="shared" si="0"/>
        <v>0</v>
      </c>
      <c r="I37" s="29"/>
      <c r="J37" s="30"/>
      <c r="K37" s="27">
        <f t="shared" si="4"/>
        <v>1000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1000</v>
      </c>
      <c r="H38" s="28">
        <f t="shared" si="0"/>
        <v>0</v>
      </c>
      <c r="I38" s="29"/>
      <c r="J38" s="30"/>
      <c r="K38" s="27">
        <f t="shared" si="4"/>
        <v>1000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1000</v>
      </c>
      <c r="H39" s="28">
        <f t="shared" si="0"/>
        <v>0</v>
      </c>
      <c r="I39" s="29"/>
      <c r="J39" s="30"/>
      <c r="K39" s="27">
        <f t="shared" si="4"/>
        <v>1000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1000</v>
      </c>
      <c r="H40" s="28">
        <f t="shared" si="0"/>
        <v>0</v>
      </c>
      <c r="I40" s="29"/>
      <c r="J40" s="30"/>
      <c r="K40" s="27">
        <f t="shared" si="4"/>
        <v>1000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34.07</v>
      </c>
      <c r="I41" s="42"/>
      <c r="J41" s="43"/>
      <c r="K41" s="44"/>
      <c r="L41" s="41">
        <f>SUM(L23:L40)</f>
        <v>33.14</v>
      </c>
      <c r="M41" s="42"/>
      <c r="N41" s="45">
        <f t="shared" si="2"/>
        <v>-0.9299999999999997</v>
      </c>
      <c r="O41" s="46">
        <f t="shared" si="3"/>
        <v>-0.027296742001761073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1000</v>
      </c>
      <c r="H43" s="28">
        <f aca="true" t="shared" si="6" ref="H43:H51">G43*F43</f>
        <v>-7</v>
      </c>
      <c r="I43" s="29"/>
      <c r="J43" s="252">
        <f>'Res (100kWh)'!J43</f>
        <v>0.0021</v>
      </c>
      <c r="K43" s="27">
        <f>$F$18</f>
        <v>1000</v>
      </c>
      <c r="L43" s="28">
        <f aca="true" t="shared" si="7" ref="L43:L51">K43*J43</f>
        <v>2.1</v>
      </c>
      <c r="M43" s="29"/>
      <c r="N43" s="32">
        <f t="shared" si="2"/>
        <v>9.1</v>
      </c>
      <c r="O43" s="33">
        <f t="shared" si="3"/>
        <v>-1.3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1000</v>
      </c>
      <c r="H44" s="28">
        <f t="shared" si="6"/>
        <v>0</v>
      </c>
      <c r="I44" s="48"/>
      <c r="J44" s="30"/>
      <c r="K44" s="27">
        <f>$F$18</f>
        <v>1000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1000</v>
      </c>
      <c r="H45" s="28">
        <f t="shared" si="6"/>
        <v>0</v>
      </c>
      <c r="I45" s="48"/>
      <c r="J45" s="30"/>
      <c r="K45" s="27">
        <f>$F$18</f>
        <v>1000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1000</v>
      </c>
      <c r="H46" s="28">
        <f t="shared" si="6"/>
        <v>0</v>
      </c>
      <c r="I46" s="48"/>
      <c r="J46" s="30"/>
      <c r="K46" s="27">
        <f>$F$18</f>
        <v>1000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v>-0.04</v>
      </c>
      <c r="K47" s="27">
        <v>1</v>
      </c>
      <c r="L47" s="247">
        <f t="shared" si="7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1000</v>
      </c>
      <c r="H48" s="247">
        <f t="shared" si="6"/>
        <v>0</v>
      </c>
      <c r="I48" s="29"/>
      <c r="J48" s="30">
        <f>'Res (100kWh)'!$J48</f>
        <v>0.0007</v>
      </c>
      <c r="K48" s="27">
        <f>$F$18</f>
        <v>1000</v>
      </c>
      <c r="L48" s="247">
        <f t="shared" si="7"/>
        <v>0.7</v>
      </c>
      <c r="M48" s="29"/>
      <c r="N48" s="32">
        <f>L48-H48</f>
        <v>0.7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1000</v>
      </c>
      <c r="H49" s="28">
        <f t="shared" si="6"/>
        <v>2.4</v>
      </c>
      <c r="I49" s="29"/>
      <c r="J49" s="30">
        <f>'Res (100kWh)'!J49</f>
        <v>0.0024</v>
      </c>
      <c r="K49" s="27">
        <f>$F$18</f>
        <v>1000</v>
      </c>
      <c r="L49" s="28">
        <f t="shared" si="7"/>
        <v>2.4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49.5</v>
      </c>
      <c r="H50" s="184">
        <f t="shared" si="6"/>
        <v>5.05593</v>
      </c>
      <c r="I50" s="58"/>
      <c r="J50" s="185">
        <f>0.64*$F$60+0.18*$F$61+0.18*$F$62</f>
        <v>0.10214000000000001</v>
      </c>
      <c r="K50" s="27">
        <f>$F$18*(1+$J$79)-$F$18</f>
        <v>49.5</v>
      </c>
      <c r="L50" s="184">
        <f t="shared" si="7"/>
        <v>5.05593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35.31593</v>
      </c>
      <c r="I52" s="42"/>
      <c r="J52" s="54"/>
      <c r="K52" s="56"/>
      <c r="L52" s="55">
        <f>SUM(L42:L51)+L41</f>
        <v>44.14593</v>
      </c>
      <c r="M52" s="42"/>
      <c r="N52" s="45">
        <f>L52-H52</f>
        <v>8.829999999999998</v>
      </c>
      <c r="O52" s="46">
        <f>IF((H52)=0,"",(N52/H52))</f>
        <v>0.2500288113607655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1049.5</v>
      </c>
      <c r="H53" s="28">
        <f>G53*F53</f>
        <v>5.037599999999999</v>
      </c>
      <c r="I53" s="29"/>
      <c r="J53" s="30">
        <f>'Res (100kWh)'!J53</f>
        <v>0.0064</v>
      </c>
      <c r="K53" s="60">
        <f>F18*(1+J79)</f>
        <v>1049.5</v>
      </c>
      <c r="L53" s="28">
        <f>K53*J53</f>
        <v>6.7168</v>
      </c>
      <c r="M53" s="29"/>
      <c r="N53" s="32">
        <f t="shared" si="2"/>
        <v>1.6792000000000007</v>
      </c>
      <c r="O53" s="33">
        <f aca="true" t="shared" si="8" ref="O53:O70">IF((H53)=0,"",(N53/H53))</f>
        <v>0.33333333333333354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1049.5</v>
      </c>
      <c r="H54" s="28">
        <f>G54*F54</f>
        <v>1.99405</v>
      </c>
      <c r="I54" s="29"/>
      <c r="J54" s="30">
        <f>'Res (100kWh)'!J54</f>
        <v>0.003</v>
      </c>
      <c r="K54" s="60">
        <f>K53</f>
        <v>1049.5</v>
      </c>
      <c r="L54" s="28">
        <f>K54*J54</f>
        <v>3.1485</v>
      </c>
      <c r="M54" s="29"/>
      <c r="N54" s="32">
        <f t="shared" si="2"/>
        <v>1.1544499999999998</v>
      </c>
      <c r="O54" s="33">
        <f t="shared" si="8"/>
        <v>0.5789473684210524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42.34758</v>
      </c>
      <c r="I55" s="63"/>
      <c r="J55" s="64"/>
      <c r="K55" s="65"/>
      <c r="L55" s="55">
        <f>SUM(L52:L54)</f>
        <v>54.01123</v>
      </c>
      <c r="M55" s="63"/>
      <c r="N55" s="45">
        <f t="shared" si="2"/>
        <v>11.663649999999997</v>
      </c>
      <c r="O55" s="46">
        <f t="shared" si="8"/>
        <v>0.2754266005282946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1049.5</v>
      </c>
      <c r="H56" s="68">
        <f aca="true" t="shared" si="9" ref="H56:H62">G56*F56</f>
        <v>4.6178</v>
      </c>
      <c r="I56" s="29"/>
      <c r="J56" s="69">
        <v>0.0044</v>
      </c>
      <c r="K56" s="60">
        <f>K54</f>
        <v>1049.5</v>
      </c>
      <c r="L56" s="68">
        <f aca="true" t="shared" si="10" ref="L56:L62">K56*J56</f>
        <v>4.6178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1049.5</v>
      </c>
      <c r="H57" s="68">
        <f t="shared" si="9"/>
        <v>1.36435</v>
      </c>
      <c r="I57" s="29"/>
      <c r="J57" s="69">
        <v>0.0013</v>
      </c>
      <c r="K57" s="60">
        <f>K54</f>
        <v>1049.5</v>
      </c>
      <c r="L57" s="68">
        <f t="shared" si="10"/>
        <v>1.36435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1000</v>
      </c>
      <c r="H59" s="68">
        <f t="shared" si="9"/>
        <v>7</v>
      </c>
      <c r="I59" s="29"/>
      <c r="J59" s="69">
        <f>'Res (100kWh)'!J59</f>
        <v>0</v>
      </c>
      <c r="K59" s="72">
        <f>F18</f>
        <v>1000</v>
      </c>
      <c r="L59" s="68">
        <f t="shared" si="10"/>
        <v>0</v>
      </c>
      <c r="M59" s="29"/>
      <c r="N59" s="32">
        <f t="shared" si="2"/>
        <v>-7</v>
      </c>
      <c r="O59" s="70">
        <f t="shared" si="8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f>'Res (100kWh)'!F60</f>
        <v>0.08</v>
      </c>
      <c r="G60" s="71">
        <f>0.64*$F$18</f>
        <v>640</v>
      </c>
      <c r="H60" s="68">
        <f t="shared" si="9"/>
        <v>51.2</v>
      </c>
      <c r="I60" s="29"/>
      <c r="J60" s="67">
        <f aca="true" t="shared" si="11" ref="J60:K62">F60</f>
        <v>0.08</v>
      </c>
      <c r="K60" s="71">
        <f t="shared" si="11"/>
        <v>640</v>
      </c>
      <c r="L60" s="68">
        <f t="shared" si="10"/>
        <v>51.2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'Res (100kWh)'!F61</f>
        <v>0.122</v>
      </c>
      <c r="G61" s="71">
        <f>0.18*$F$18</f>
        <v>180</v>
      </c>
      <c r="H61" s="68">
        <f t="shared" si="9"/>
        <v>21.96</v>
      </c>
      <c r="I61" s="29"/>
      <c r="J61" s="67">
        <f t="shared" si="11"/>
        <v>0.122</v>
      </c>
      <c r="K61" s="71">
        <f t="shared" si="11"/>
        <v>180</v>
      </c>
      <c r="L61" s="68">
        <f t="shared" si="10"/>
        <v>21.96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'Res (100kWh)'!F62</f>
        <v>0.161</v>
      </c>
      <c r="G62" s="71">
        <f>0.18*$F$18</f>
        <v>180</v>
      </c>
      <c r="H62" s="68">
        <f t="shared" si="9"/>
        <v>28.98</v>
      </c>
      <c r="I62" s="29"/>
      <c r="J62" s="67">
        <f t="shared" si="11"/>
        <v>0.161</v>
      </c>
      <c r="K62" s="71">
        <f t="shared" si="11"/>
        <v>180</v>
      </c>
      <c r="L62" s="68">
        <f t="shared" si="10"/>
        <v>28.98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>F63</f>
        <v>0.094</v>
      </c>
      <c r="K63" s="80">
        <f>G63</f>
        <v>600</v>
      </c>
      <c r="L63" s="68">
        <f>K63*J63</f>
        <v>56.4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400</v>
      </c>
      <c r="H64" s="68">
        <f>G64*F64</f>
        <v>44</v>
      </c>
      <c r="I64" s="81"/>
      <c r="J64" s="67">
        <f>F64</f>
        <v>0.11</v>
      </c>
      <c r="K64" s="80">
        <f>G64</f>
        <v>400</v>
      </c>
      <c r="L64" s="68">
        <f>K64*J64</f>
        <v>44</v>
      </c>
      <c r="M64" s="81"/>
      <c r="N64" s="82">
        <f t="shared" si="2"/>
        <v>0</v>
      </c>
      <c r="O64" s="70">
        <f t="shared" si="8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157.71973000000003</v>
      </c>
      <c r="I66" s="97"/>
      <c r="J66" s="98"/>
      <c r="K66" s="98"/>
      <c r="L66" s="190">
        <f>SUM(L56:L62,L55)</f>
        <v>162.38338</v>
      </c>
      <c r="M66" s="99"/>
      <c r="N66" s="100">
        <f>L66-H66</f>
        <v>4.663649999999961</v>
      </c>
      <c r="O66" s="101">
        <f>IF((H66)=0,"",(N66/H66))</f>
        <v>0.02956922383775296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20.503564900000004</v>
      </c>
      <c r="I67" s="106"/>
      <c r="J67" s="107">
        <v>0.13</v>
      </c>
      <c r="K67" s="106"/>
      <c r="L67" s="108">
        <f>L66*J67</f>
        <v>21.1098394</v>
      </c>
      <c r="M67" s="109"/>
      <c r="N67" s="110">
        <f t="shared" si="2"/>
        <v>0.6062744999999943</v>
      </c>
      <c r="O67" s="111">
        <f t="shared" si="8"/>
        <v>0.029569223837752925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178.22329490000004</v>
      </c>
      <c r="I68" s="106"/>
      <c r="J68" s="106"/>
      <c r="K68" s="106"/>
      <c r="L68" s="108">
        <f>L66+L67</f>
        <v>183.4932194</v>
      </c>
      <c r="M68" s="109"/>
      <c r="N68" s="110">
        <f t="shared" si="2"/>
        <v>5.269924499999945</v>
      </c>
      <c r="O68" s="111">
        <f t="shared" si="8"/>
        <v>0.029569223837752893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-17.82</v>
      </c>
      <c r="I69" s="106"/>
      <c r="J69" s="106"/>
      <c r="K69" s="106"/>
      <c r="L69" s="261">
        <v>0</v>
      </c>
      <c r="M69" s="109"/>
      <c r="N69" s="262">
        <f t="shared" si="2"/>
        <v>17.82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160.40329490000005</v>
      </c>
      <c r="I70" s="122"/>
      <c r="J70" s="122"/>
      <c r="K70" s="122"/>
      <c r="L70" s="123">
        <f>L68+L69</f>
        <v>183.4932194</v>
      </c>
      <c r="M70" s="124"/>
      <c r="N70" s="125">
        <f t="shared" si="2"/>
        <v>23.08992449999994</v>
      </c>
      <c r="O70" s="126">
        <f t="shared" si="8"/>
        <v>0.1439491907843592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155.97973</v>
      </c>
      <c r="I72" s="138"/>
      <c r="J72" s="139"/>
      <c r="K72" s="139"/>
      <c r="L72" s="189">
        <f>SUM(L63:L64,L55,L56:L59)</f>
        <v>160.64337999999998</v>
      </c>
      <c r="M72" s="140"/>
      <c r="N72" s="141">
        <f>L72-H72</f>
        <v>4.66364999999999</v>
      </c>
      <c r="O72" s="101">
        <f>IF((H72)=0,"",(N72/H72))</f>
        <v>0.029899077271129976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20.2773649</v>
      </c>
      <c r="I73" s="145"/>
      <c r="J73" s="146">
        <v>0.13</v>
      </c>
      <c r="K73" s="147"/>
      <c r="L73" s="148">
        <f>L72*J73</f>
        <v>20.883639399999996</v>
      </c>
      <c r="M73" s="149"/>
      <c r="N73" s="150">
        <f>L73-H73</f>
        <v>0.6062744999999978</v>
      </c>
      <c r="O73" s="111">
        <f>IF((H73)=0,"",(N73/H73))</f>
        <v>0.029899077271129934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176.2570949</v>
      </c>
      <c r="I74" s="145"/>
      <c r="J74" s="145"/>
      <c r="K74" s="145"/>
      <c r="L74" s="148">
        <f>L72+L73</f>
        <v>181.52701939999997</v>
      </c>
      <c r="M74" s="149"/>
      <c r="N74" s="150">
        <f>L74-H74</f>
        <v>5.2699244999999735</v>
      </c>
      <c r="O74" s="111">
        <f>IF((H74)=0,"",(N74/H74))</f>
        <v>0.029899077271129886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-17.63</v>
      </c>
      <c r="I75" s="145"/>
      <c r="J75" s="145"/>
      <c r="K75" s="145"/>
      <c r="L75" s="255">
        <v>0</v>
      </c>
      <c r="M75" s="149"/>
      <c r="N75" s="256">
        <f>L75-H75</f>
        <v>17.63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158.6270949</v>
      </c>
      <c r="I76" s="159"/>
      <c r="J76" s="159"/>
      <c r="K76" s="159"/>
      <c r="L76" s="160">
        <f>SUM(L74:L75)</f>
        <v>181.52701939999997</v>
      </c>
      <c r="M76" s="161"/>
      <c r="N76" s="162">
        <f>L76-H76</f>
        <v>22.89992449999997</v>
      </c>
      <c r="O76" s="163">
        <f>IF((H76)=0,"",(N76/H76))</f>
        <v>0.14436325972203107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0">
    <mergeCell ref="B76:D76"/>
    <mergeCell ref="D21:D22"/>
    <mergeCell ref="N21:N22"/>
    <mergeCell ref="O21:O22"/>
    <mergeCell ref="B69:D69"/>
    <mergeCell ref="B70:D70"/>
    <mergeCell ref="B75:D75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56:E62 E65 E23:E40 E42:E51">
      <formula1>'Res (1,000kWh)'!#REF!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'Res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50">
      <selection activeCell="G50" sqref="G5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6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85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173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v>1</v>
      </c>
      <c r="H28" s="28">
        <f t="shared" si="0"/>
        <v>0</v>
      </c>
      <c r="I28" s="29"/>
      <c r="J28" s="173">
        <v>0</v>
      </c>
      <c r="K28" s="27"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>$F$18</f>
        <v>1500</v>
      </c>
      <c r="H29" s="28">
        <f t="shared" si="0"/>
        <v>0</v>
      </c>
      <c r="I29" s="29"/>
      <c r="J29" s="30">
        <f>'Res (100kWh)'!J29</f>
        <v>0</v>
      </c>
      <c r="K29" s="27">
        <f>$F$18</f>
        <v>1500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'Res (100kWh)'!F30</f>
        <v>0</v>
      </c>
      <c r="G30" s="27">
        <f>$F$18</f>
        <v>1500</v>
      </c>
      <c r="H30" s="247">
        <f>G30*F30</f>
        <v>0</v>
      </c>
      <c r="I30" s="29"/>
      <c r="J30" s="30">
        <f>'Res (100kWh)'!J30</f>
        <v>0</v>
      </c>
      <c r="K30" s="27">
        <f>$F$18</f>
        <v>1500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>$F$18</f>
        <v>1500</v>
      </c>
      <c r="H31" s="28">
        <f t="shared" si="0"/>
        <v>31.650000000000002</v>
      </c>
      <c r="I31" s="29"/>
      <c r="J31" s="30">
        <f>'Res (100kWh)'!J31</f>
        <v>0.0158</v>
      </c>
      <c r="K31" s="27">
        <f>$F$18</f>
        <v>1500</v>
      </c>
      <c r="L31" s="28">
        <f t="shared" si="1"/>
        <v>23.700000000000003</v>
      </c>
      <c r="M31" s="29"/>
      <c r="N31" s="32">
        <f t="shared" si="2"/>
        <v>-7.949999999999999</v>
      </c>
      <c r="O31" s="33">
        <f t="shared" si="3"/>
        <v>-0.25118483412322273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1500</v>
      </c>
      <c r="H32" s="28">
        <f t="shared" si="0"/>
        <v>0</v>
      </c>
      <c r="I32" s="29"/>
      <c r="J32" s="30"/>
      <c r="K32" s="27">
        <f aca="true" t="shared" si="4" ref="K32:K40">$F$18</f>
        <v>1500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1500</v>
      </c>
      <c r="H33" s="247">
        <f t="shared" si="0"/>
        <v>0</v>
      </c>
      <c r="I33" s="29"/>
      <c r="J33" s="30">
        <f>'Res (100kWh)'!$J33</f>
        <v>0</v>
      </c>
      <c r="K33" s="27">
        <f t="shared" si="4"/>
        <v>1500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1500</v>
      </c>
      <c r="H34" s="28">
        <f t="shared" si="0"/>
        <v>0</v>
      </c>
      <c r="I34" s="29"/>
      <c r="J34" s="30"/>
      <c r="K34" s="27">
        <f t="shared" si="4"/>
        <v>1500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1500</v>
      </c>
      <c r="H35" s="28">
        <f t="shared" si="0"/>
        <v>0</v>
      </c>
      <c r="I35" s="29"/>
      <c r="J35" s="30"/>
      <c r="K35" s="27">
        <f t="shared" si="4"/>
        <v>1500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1500</v>
      </c>
      <c r="H36" s="28">
        <f t="shared" si="0"/>
        <v>0</v>
      </c>
      <c r="I36" s="29"/>
      <c r="J36" s="30"/>
      <c r="K36" s="27">
        <f t="shared" si="4"/>
        <v>1500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1500</v>
      </c>
      <c r="H37" s="28">
        <f t="shared" si="0"/>
        <v>0</v>
      </c>
      <c r="I37" s="29"/>
      <c r="J37" s="30"/>
      <c r="K37" s="27">
        <f t="shared" si="4"/>
        <v>1500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1500</v>
      </c>
      <c r="H38" s="28">
        <f t="shared" si="0"/>
        <v>0</v>
      </c>
      <c r="I38" s="29"/>
      <c r="J38" s="30"/>
      <c r="K38" s="27">
        <f t="shared" si="4"/>
        <v>1500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1500</v>
      </c>
      <c r="H39" s="28">
        <f t="shared" si="0"/>
        <v>0</v>
      </c>
      <c r="I39" s="29"/>
      <c r="J39" s="30"/>
      <c r="K39" s="27">
        <f t="shared" si="4"/>
        <v>1500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1500</v>
      </c>
      <c r="H40" s="28">
        <f t="shared" si="0"/>
        <v>0</v>
      </c>
      <c r="I40" s="29"/>
      <c r="J40" s="30"/>
      <c r="K40" s="27">
        <f t="shared" si="4"/>
        <v>1500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44.620000000000005</v>
      </c>
      <c r="I41" s="42"/>
      <c r="J41" s="43"/>
      <c r="K41" s="44"/>
      <c r="L41" s="41">
        <f>SUM(L23:L40)</f>
        <v>41.040000000000006</v>
      </c>
      <c r="M41" s="42"/>
      <c r="N41" s="45">
        <f t="shared" si="2"/>
        <v>-3.5799999999999983</v>
      </c>
      <c r="O41" s="46">
        <f t="shared" si="3"/>
        <v>-0.0802330793366203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1500</v>
      </c>
      <c r="H43" s="28">
        <f aca="true" t="shared" si="6" ref="H43:H51">G43*F43</f>
        <v>-10.5</v>
      </c>
      <c r="I43" s="29"/>
      <c r="J43" s="252">
        <f>'Res (100kWh)'!J43</f>
        <v>0.0021</v>
      </c>
      <c r="K43" s="27">
        <f>$F$18</f>
        <v>1500</v>
      </c>
      <c r="L43" s="28">
        <f aca="true" t="shared" si="7" ref="L43:L51">K43*J43</f>
        <v>3.15</v>
      </c>
      <c r="M43" s="29"/>
      <c r="N43" s="32">
        <f t="shared" si="2"/>
        <v>13.65</v>
      </c>
      <c r="O43" s="33">
        <f t="shared" si="3"/>
        <v>-1.3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1500</v>
      </c>
      <c r="H44" s="28">
        <f t="shared" si="6"/>
        <v>0</v>
      </c>
      <c r="I44" s="48"/>
      <c r="J44" s="30"/>
      <c r="K44" s="27">
        <f>$F$18</f>
        <v>1500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1500</v>
      </c>
      <c r="H45" s="28">
        <f t="shared" si="6"/>
        <v>0</v>
      </c>
      <c r="I45" s="48"/>
      <c r="J45" s="30"/>
      <c r="K45" s="27">
        <f>$F$18</f>
        <v>1500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1500</v>
      </c>
      <c r="H46" s="28">
        <f t="shared" si="6"/>
        <v>0</v>
      </c>
      <c r="I46" s="48"/>
      <c r="J46" s="30"/>
      <c r="K46" s="27">
        <f>$F$18</f>
        <v>1500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v>-0.04</v>
      </c>
      <c r="K47" s="27">
        <v>1</v>
      </c>
      <c r="L47" s="247">
        <f t="shared" si="7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1500</v>
      </c>
      <c r="H48" s="247">
        <f t="shared" si="6"/>
        <v>0</v>
      </c>
      <c r="I48" s="29"/>
      <c r="J48" s="30">
        <f>'Res (100kWh)'!$J48</f>
        <v>0.0007</v>
      </c>
      <c r="K48" s="27">
        <f>$F$18</f>
        <v>1500</v>
      </c>
      <c r="L48" s="247">
        <f t="shared" si="7"/>
        <v>1.05</v>
      </c>
      <c r="M48" s="29"/>
      <c r="N48" s="32">
        <f>L48-H48</f>
        <v>1.05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1500</v>
      </c>
      <c r="H49" s="28">
        <f t="shared" si="6"/>
        <v>3.5999999999999996</v>
      </c>
      <c r="I49" s="29"/>
      <c r="J49" s="30">
        <f>'Res (100kWh)'!J49</f>
        <v>0.0024</v>
      </c>
      <c r="K49" s="27">
        <f>$F$18</f>
        <v>1500</v>
      </c>
      <c r="L49" s="28">
        <f t="shared" si="7"/>
        <v>3.5999999999999996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0.10214000000000001</v>
      </c>
      <c r="G50" s="27">
        <f>$F$18*(1+$F$79)-$F$18</f>
        <v>74.25000000000023</v>
      </c>
      <c r="H50" s="184">
        <f t="shared" si="6"/>
        <v>7.583895000000024</v>
      </c>
      <c r="I50" s="58"/>
      <c r="J50" s="185">
        <f>0.64*$F$60+0.18*$F$61+0.18*$F$62</f>
        <v>0.10214000000000001</v>
      </c>
      <c r="K50" s="27">
        <f>$F$18*(1+$J$79)-$F$18</f>
        <v>74.25000000000023</v>
      </c>
      <c r="L50" s="184">
        <f t="shared" si="7"/>
        <v>7.583895000000024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46.09389500000003</v>
      </c>
      <c r="I52" s="42"/>
      <c r="J52" s="54"/>
      <c r="K52" s="56"/>
      <c r="L52" s="55">
        <f>SUM(L42:L51)+L41</f>
        <v>57.17389500000003</v>
      </c>
      <c r="M52" s="42"/>
      <c r="N52" s="45">
        <f t="shared" si="2"/>
        <v>11.079999999999998</v>
      </c>
      <c r="O52" s="46">
        <f aca="true" t="shared" si="8" ref="O52:O70">IF((H52)=0,"",(N52/H52))</f>
        <v>0.24037890484195337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1574.2500000000002</v>
      </c>
      <c r="H53" s="28">
        <f>G53*F53</f>
        <v>7.5564</v>
      </c>
      <c r="I53" s="29"/>
      <c r="J53" s="30">
        <f>'Res (100kWh)'!J53</f>
        <v>0.0064</v>
      </c>
      <c r="K53" s="60">
        <f>F18*(1+J79)</f>
        <v>1574.2500000000002</v>
      </c>
      <c r="L53" s="28">
        <f>K53*J53</f>
        <v>10.075200000000002</v>
      </c>
      <c r="M53" s="29"/>
      <c r="N53" s="32">
        <f t="shared" si="2"/>
        <v>2.5188000000000024</v>
      </c>
      <c r="O53" s="33">
        <f t="shared" si="8"/>
        <v>0.33333333333333365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1574.2500000000002</v>
      </c>
      <c r="H54" s="28">
        <f>G54*F54</f>
        <v>2.9910750000000004</v>
      </c>
      <c r="I54" s="29"/>
      <c r="J54" s="30">
        <f>'Res (100kWh)'!J54</f>
        <v>0.003</v>
      </c>
      <c r="K54" s="60">
        <f>K53</f>
        <v>1574.2500000000002</v>
      </c>
      <c r="L54" s="28">
        <f>K54*J54</f>
        <v>4.7227500000000004</v>
      </c>
      <c r="M54" s="29"/>
      <c r="N54" s="32">
        <f t="shared" si="2"/>
        <v>1.731675</v>
      </c>
      <c r="O54" s="33">
        <f t="shared" si="8"/>
        <v>0.5789473684210525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56.64137000000003</v>
      </c>
      <c r="I55" s="63"/>
      <c r="J55" s="64"/>
      <c r="K55" s="65"/>
      <c r="L55" s="55">
        <f>SUM(L52:L54)</f>
        <v>71.97184500000004</v>
      </c>
      <c r="M55" s="63"/>
      <c r="N55" s="45">
        <f t="shared" si="2"/>
        <v>15.330475000000014</v>
      </c>
      <c r="O55" s="46">
        <f t="shared" si="8"/>
        <v>0.270658619309526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1574.2500000000002</v>
      </c>
      <c r="H56" s="68">
        <f aca="true" t="shared" si="9" ref="H56:H62">G56*F56</f>
        <v>6.926700000000001</v>
      </c>
      <c r="I56" s="29"/>
      <c r="J56" s="69">
        <v>0.0044</v>
      </c>
      <c r="K56" s="60">
        <f>K54</f>
        <v>1574.2500000000002</v>
      </c>
      <c r="L56" s="68">
        <f aca="true" t="shared" si="10" ref="L56:L62">K56*J56</f>
        <v>6.926700000000001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1574.2500000000002</v>
      </c>
      <c r="H57" s="68">
        <f t="shared" si="9"/>
        <v>2.0465250000000004</v>
      </c>
      <c r="I57" s="29"/>
      <c r="J57" s="69">
        <v>0.0013</v>
      </c>
      <c r="K57" s="60">
        <f>K54</f>
        <v>1574.2500000000002</v>
      </c>
      <c r="L57" s="68">
        <f t="shared" si="10"/>
        <v>2.0465250000000004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1500</v>
      </c>
      <c r="H59" s="68">
        <f t="shared" si="9"/>
        <v>10.5</v>
      </c>
      <c r="I59" s="29"/>
      <c r="J59" s="69">
        <v>0</v>
      </c>
      <c r="K59" s="72">
        <f>F18</f>
        <v>1500</v>
      </c>
      <c r="L59" s="68">
        <f t="shared" si="10"/>
        <v>0</v>
      </c>
      <c r="M59" s="29"/>
      <c r="N59" s="32">
        <f t="shared" si="2"/>
        <v>-10.5</v>
      </c>
      <c r="O59" s="70">
        <f t="shared" si="8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f>'Res (100kWh)'!F60</f>
        <v>0.08</v>
      </c>
      <c r="G60" s="71">
        <f>0.64*$F$18</f>
        <v>960</v>
      </c>
      <c r="H60" s="68">
        <f t="shared" si="9"/>
        <v>76.8</v>
      </c>
      <c r="I60" s="29"/>
      <c r="J60" s="67">
        <f aca="true" t="shared" si="11" ref="J60:K62">F60</f>
        <v>0.08</v>
      </c>
      <c r="K60" s="71">
        <f t="shared" si="11"/>
        <v>960</v>
      </c>
      <c r="L60" s="68">
        <f t="shared" si="10"/>
        <v>76.8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f>'Res (100kWh)'!F61</f>
        <v>0.122</v>
      </c>
      <c r="G61" s="71">
        <f>0.18*$F$18</f>
        <v>270</v>
      </c>
      <c r="H61" s="68">
        <f t="shared" si="9"/>
        <v>32.94</v>
      </c>
      <c r="I61" s="29"/>
      <c r="J61" s="67">
        <f t="shared" si="11"/>
        <v>0.122</v>
      </c>
      <c r="K61" s="71">
        <f t="shared" si="11"/>
        <v>270</v>
      </c>
      <c r="L61" s="68">
        <f t="shared" si="10"/>
        <v>32.94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f>'Res (100kWh)'!F62</f>
        <v>0.161</v>
      </c>
      <c r="G62" s="71">
        <f>0.18*$F$18</f>
        <v>270</v>
      </c>
      <c r="H62" s="68">
        <f t="shared" si="9"/>
        <v>43.47</v>
      </c>
      <c r="I62" s="29"/>
      <c r="J62" s="67">
        <f t="shared" si="11"/>
        <v>0.161</v>
      </c>
      <c r="K62" s="71">
        <f t="shared" si="11"/>
        <v>270</v>
      </c>
      <c r="L62" s="68">
        <f t="shared" si="10"/>
        <v>43.47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>F63</f>
        <v>0.094</v>
      </c>
      <c r="K63" s="80">
        <f>G63</f>
        <v>600</v>
      </c>
      <c r="L63" s="68">
        <f>K63*J63</f>
        <v>56.4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900</v>
      </c>
      <c r="H64" s="68">
        <f>G64*F64</f>
        <v>99</v>
      </c>
      <c r="I64" s="81"/>
      <c r="J64" s="67">
        <f>F64</f>
        <v>0.11</v>
      </c>
      <c r="K64" s="80">
        <f>G64</f>
        <v>900</v>
      </c>
      <c r="L64" s="68">
        <f>K64*J64</f>
        <v>99</v>
      </c>
      <c r="M64" s="81"/>
      <c r="N64" s="82">
        <f t="shared" si="2"/>
        <v>0</v>
      </c>
      <c r="O64" s="70">
        <f t="shared" si="8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229.57459500000002</v>
      </c>
      <c r="I66" s="97"/>
      <c r="J66" s="98"/>
      <c r="K66" s="98"/>
      <c r="L66" s="190">
        <f>SUM(L56:L62,L55)</f>
        <v>234.40507000000002</v>
      </c>
      <c r="M66" s="99"/>
      <c r="N66" s="100">
        <f>L66-H66</f>
        <v>4.830475000000007</v>
      </c>
      <c r="O66" s="101">
        <f>IF((H66)=0,"",(N66/H66))</f>
        <v>0.02104098234388699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29.844697350000004</v>
      </c>
      <c r="I67" s="106"/>
      <c r="J67" s="107">
        <v>0.13</v>
      </c>
      <c r="K67" s="106"/>
      <c r="L67" s="108">
        <f>L66*J67</f>
        <v>30.472659100000005</v>
      </c>
      <c r="M67" s="109"/>
      <c r="N67" s="110">
        <f t="shared" si="2"/>
        <v>0.6279617500000008</v>
      </c>
      <c r="O67" s="111">
        <f t="shared" si="8"/>
        <v>0.021040982343886985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259.41929235000003</v>
      </c>
      <c r="I68" s="106"/>
      <c r="J68" s="106"/>
      <c r="K68" s="106"/>
      <c r="L68" s="108">
        <f>L66+L67</f>
        <v>264.8777291</v>
      </c>
      <c r="M68" s="109"/>
      <c r="N68" s="110">
        <f t="shared" si="2"/>
        <v>5.458436749999976</v>
      </c>
      <c r="O68" s="111">
        <f t="shared" si="8"/>
        <v>0.021040982343886867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-25.94</v>
      </c>
      <c r="I69" s="106"/>
      <c r="J69" s="106"/>
      <c r="K69" s="106"/>
      <c r="L69" s="261">
        <v>0</v>
      </c>
      <c r="M69" s="109"/>
      <c r="N69" s="262">
        <f t="shared" si="2"/>
        <v>25.94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233.47929235000004</v>
      </c>
      <c r="I70" s="122"/>
      <c r="J70" s="122"/>
      <c r="K70" s="122"/>
      <c r="L70" s="123">
        <f>L68+L69</f>
        <v>264.8777291</v>
      </c>
      <c r="M70" s="124"/>
      <c r="N70" s="125">
        <f t="shared" si="2"/>
        <v>31.398436749999973</v>
      </c>
      <c r="O70" s="126">
        <f t="shared" si="8"/>
        <v>0.13448060611273294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231.76459500000004</v>
      </c>
      <c r="I72" s="138"/>
      <c r="J72" s="139"/>
      <c r="K72" s="139"/>
      <c r="L72" s="189">
        <f>SUM(L63:L64,L55,L56:L59)</f>
        <v>236.59507000000008</v>
      </c>
      <c r="M72" s="140"/>
      <c r="N72" s="141">
        <f>L72-H72</f>
        <v>4.830475000000035</v>
      </c>
      <c r="O72" s="101">
        <f>IF((H72)=0,"",(N72/H72))</f>
        <v>0.02084216098666854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30.129397350000005</v>
      </c>
      <c r="I73" s="145"/>
      <c r="J73" s="146">
        <v>0.13</v>
      </c>
      <c r="K73" s="147"/>
      <c r="L73" s="148">
        <f>L72*J73</f>
        <v>30.757359100000013</v>
      </c>
      <c r="M73" s="149"/>
      <c r="N73" s="150">
        <f>L73-H73</f>
        <v>0.6279617500000079</v>
      </c>
      <c r="O73" s="111">
        <f>IF((H73)=0,"",(N73/H73))</f>
        <v>0.020842160986668648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261.8939923500001</v>
      </c>
      <c r="I74" s="145"/>
      <c r="J74" s="145"/>
      <c r="K74" s="145"/>
      <c r="L74" s="148">
        <f>L72+L73</f>
        <v>267.3524291000001</v>
      </c>
      <c r="M74" s="149"/>
      <c r="N74" s="150">
        <f>L74-H74</f>
        <v>5.458436750000033</v>
      </c>
      <c r="O74" s="111">
        <f>IF((H74)=0,"",(N74/H74))</f>
        <v>0.02084216098666851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-26.19</v>
      </c>
      <c r="I75" s="145"/>
      <c r="J75" s="145"/>
      <c r="K75" s="145"/>
      <c r="L75" s="255">
        <v>0</v>
      </c>
      <c r="M75" s="149"/>
      <c r="N75" s="256">
        <f>L75-H75</f>
        <v>26.19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235.70399235000008</v>
      </c>
      <c r="I76" s="159"/>
      <c r="J76" s="159"/>
      <c r="K76" s="159"/>
      <c r="L76" s="160">
        <f>SUM(L74:L75)</f>
        <v>267.3524291000001</v>
      </c>
      <c r="M76" s="161"/>
      <c r="N76" s="162">
        <f>L76-H76</f>
        <v>31.64843675000003</v>
      </c>
      <c r="O76" s="163">
        <f>IF((H76)=0,"",(N76/H76))</f>
        <v>0.13427195880078618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7 E71 E63:E64">
      <formula1>'Res (1,500kWh)'!#REF!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53:E54 E56:E62 E65 E23:E40 E42:E51">
      <formula1>'Res (1,500kWh)'!#REF!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15">
      <selection activeCell="J50" sqref="J50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03" t="str">
        <f>EBNUMBER</f>
        <v>EB-2013-0116</v>
      </c>
      <c r="O1" s="303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04">
        <v>8</v>
      </c>
      <c r="O2" s="304"/>
      <c r="P2" s="195"/>
    </row>
    <row r="3" spans="1:16" s="2" customFormat="1" ht="1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" t="s">
        <v>76</v>
      </c>
      <c r="N3" s="305" t="s">
        <v>77</v>
      </c>
      <c r="O3" s="305"/>
      <c r="P3" s="196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04">
        <v>7</v>
      </c>
      <c r="O4" s="304"/>
      <c r="P4" s="195"/>
    </row>
    <row r="5" spans="3:16" s="2" customFormat="1" ht="15" customHeight="1">
      <c r="C5" s="7"/>
      <c r="D5" s="7"/>
      <c r="E5" s="7"/>
      <c r="L5" s="3" t="s">
        <v>78</v>
      </c>
      <c r="N5" s="306" t="s">
        <v>86</v>
      </c>
      <c r="O5" s="306"/>
      <c r="P5" s="194"/>
    </row>
    <row r="6" spans="12:16" s="2" customFormat="1" ht="9" customHeight="1">
      <c r="L6" s="3"/>
      <c r="N6" s="324"/>
      <c r="O6" s="324"/>
      <c r="P6" s="197"/>
    </row>
    <row r="7" spans="12:16" s="2" customFormat="1" ht="15">
      <c r="L7" s="3" t="s">
        <v>80</v>
      </c>
      <c r="N7" s="307">
        <v>41575</v>
      </c>
      <c r="O7" s="307"/>
      <c r="P7" s="19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09" t="s">
        <v>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/>
    </row>
    <row r="11" spans="2:16" ht="18.75" customHeight="1">
      <c r="B11" s="309" t="s">
        <v>4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10" t="s">
        <v>61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11" t="s">
        <v>10</v>
      </c>
      <c r="G20" s="312"/>
      <c r="H20" s="313"/>
      <c r="J20" s="311" t="s">
        <v>11</v>
      </c>
      <c r="K20" s="312"/>
      <c r="L20" s="313"/>
      <c r="N20" s="311" t="s">
        <v>12</v>
      </c>
      <c r="O20" s="313"/>
    </row>
    <row r="21" spans="2:15" ht="15">
      <c r="B21" s="13"/>
      <c r="D21" s="315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17" t="s">
        <v>17</v>
      </c>
      <c r="O21" s="319" t="s">
        <v>18</v>
      </c>
    </row>
    <row r="22" spans="2:15" ht="15">
      <c r="B22" s="13"/>
      <c r="D22" s="316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18"/>
      <c r="O22" s="320"/>
    </row>
    <row r="23" spans="2:15" ht="22.5" customHeight="1">
      <c r="B23" s="23" t="s">
        <v>20</v>
      </c>
      <c r="C23" s="23"/>
      <c r="D23" s="24" t="s">
        <v>62</v>
      </c>
      <c r="E23" s="25"/>
      <c r="F23" s="174">
        <f>'Res (100kWh)'!F23</f>
        <v>11.22</v>
      </c>
      <c r="G23" s="27">
        <v>1</v>
      </c>
      <c r="H23" s="28">
        <f>G23*F23</f>
        <v>11.22</v>
      </c>
      <c r="I23" s="29"/>
      <c r="J23" s="173">
        <f>'Res (100kWh)'!J23</f>
        <v>15.59</v>
      </c>
      <c r="K23" s="31">
        <v>1</v>
      </c>
      <c r="L23" s="28">
        <f>K23*J23</f>
        <v>15.59</v>
      </c>
      <c r="M23" s="29"/>
      <c r="N23" s="32">
        <f>L23-H23</f>
        <v>4.369999999999999</v>
      </c>
      <c r="O23" s="33">
        <f>IF((H23)=0,"",(N23/H23))</f>
        <v>0.3894830659536541</v>
      </c>
    </row>
    <row r="24" spans="2:15" ht="22.5" customHeight="1">
      <c r="B24" s="23" t="s">
        <v>97</v>
      </c>
      <c r="C24" s="23"/>
      <c r="D24" s="24" t="s">
        <v>62</v>
      </c>
      <c r="E24" s="25"/>
      <c r="F24" s="253">
        <f>'Res (100kWh)'!F24</f>
        <v>0</v>
      </c>
      <c r="G24" s="27">
        <v>1</v>
      </c>
      <c r="H24" s="247">
        <f>G24*F24</f>
        <v>0</v>
      </c>
      <c r="I24" s="29"/>
      <c r="J24" s="173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116</v>
      </c>
      <c r="C25" s="23"/>
      <c r="D25" s="57" t="s">
        <v>62</v>
      </c>
      <c r="E25" s="25"/>
      <c r="F25" s="269">
        <v>0</v>
      </c>
      <c r="G25" s="27">
        <v>1</v>
      </c>
      <c r="H25" s="247">
        <f>G25*F25</f>
        <v>0</v>
      </c>
      <c r="I25" s="29"/>
      <c r="J25" s="30">
        <f>'Res (100kWh)'!J25</f>
        <v>0</v>
      </c>
      <c r="K25" s="31">
        <v>1</v>
      </c>
      <c r="L25" s="247">
        <f>K25*J25</f>
        <v>0</v>
      </c>
      <c r="M25" s="29"/>
      <c r="N25" s="32">
        <f>L25-H25</f>
        <v>0</v>
      </c>
      <c r="O25" s="248">
        <f>IF((H25)=0,"",(N25/H25))</f>
      </c>
    </row>
    <row r="26" spans="2:15" ht="36.75" customHeight="1">
      <c r="B26" s="175" t="s">
        <v>64</v>
      </c>
      <c r="C26" s="23"/>
      <c r="D26" s="57" t="s">
        <v>62</v>
      </c>
      <c r="E26" s="58"/>
      <c r="F26" s="173">
        <f>'Res (100kWh)'!F26</f>
        <v>1.75</v>
      </c>
      <c r="G26" s="27">
        <v>1</v>
      </c>
      <c r="H26" s="28">
        <f aca="true" t="shared" si="0" ref="H26:H40">G26*F26</f>
        <v>1.75</v>
      </c>
      <c r="I26" s="29"/>
      <c r="J26" s="30">
        <f>'Res (100kWh)'!J26</f>
        <v>1.75</v>
      </c>
      <c r="K26" s="31">
        <v>1</v>
      </c>
      <c r="L26" s="28">
        <f aca="true" t="shared" si="1" ref="L26:L40">K26*J26</f>
        <v>1.75</v>
      </c>
      <c r="M26" s="29"/>
      <c r="N26" s="32">
        <f aca="true" t="shared" si="2" ref="N26:N70">L26-H26</f>
        <v>0</v>
      </c>
      <c r="O26" s="33">
        <f aca="true" t="shared" si="3" ref="O26:O50">IF((H26)=0,"",(N26/H26))</f>
        <v>0</v>
      </c>
    </row>
    <row r="27" spans="2:15" ht="15">
      <c r="B27" s="175" t="s">
        <v>65</v>
      </c>
      <c r="C27" s="23"/>
      <c r="D27" s="24" t="s">
        <v>62</v>
      </c>
      <c r="E27" s="25"/>
      <c r="F27" s="26">
        <f>'Res (100kWh)'!F27</f>
        <v>0</v>
      </c>
      <c r="G27" s="27">
        <v>1</v>
      </c>
      <c r="H27" s="28">
        <f t="shared" si="0"/>
        <v>0</v>
      </c>
      <c r="I27" s="29"/>
      <c r="J27" s="173">
        <v>0</v>
      </c>
      <c r="K27" s="31">
        <v>1</v>
      </c>
      <c r="L27" s="28">
        <f t="shared" si="1"/>
        <v>0</v>
      </c>
      <c r="M27" s="29"/>
      <c r="N27" s="257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62</v>
      </c>
      <c r="E28" s="25"/>
      <c r="F28" s="26">
        <v>0</v>
      </c>
      <c r="G28" s="27">
        <v>1</v>
      </c>
      <c r="H28" s="28">
        <f t="shared" si="0"/>
        <v>0</v>
      </c>
      <c r="I28" s="29"/>
      <c r="J28" s="173">
        <f>'Res (100kWh)'!J28</f>
        <v>0</v>
      </c>
      <c r="K28" s="27"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1">
        <f>'Res (100kWh)'!F29</f>
        <v>0</v>
      </c>
      <c r="G29" s="27">
        <f>$F$18</f>
        <v>2000</v>
      </c>
      <c r="H29" s="28">
        <f t="shared" si="0"/>
        <v>0</v>
      </c>
      <c r="I29" s="29"/>
      <c r="J29" s="30">
        <f>'Res (100kWh)'!J29</f>
        <v>0</v>
      </c>
      <c r="K29" s="27">
        <f>$F$18</f>
        <v>2000</v>
      </c>
      <c r="L29" s="28">
        <f t="shared" si="1"/>
        <v>0</v>
      </c>
      <c r="M29" s="29"/>
      <c r="N29" s="32">
        <f t="shared" si="2"/>
        <v>0</v>
      </c>
      <c r="O29" s="33">
        <f t="shared" si="3"/>
      </c>
    </row>
    <row r="30" spans="2:15" ht="15">
      <c r="B30" s="47" t="s">
        <v>98</v>
      </c>
      <c r="C30" s="23"/>
      <c r="D30" s="24" t="s">
        <v>63</v>
      </c>
      <c r="E30" s="25"/>
      <c r="F30" s="26">
        <f>'Res (100kWh)'!F30</f>
        <v>0</v>
      </c>
      <c r="G30" s="27">
        <f>$F$18</f>
        <v>2000</v>
      </c>
      <c r="H30" s="247">
        <f t="shared" si="0"/>
        <v>0</v>
      </c>
      <c r="I30" s="29"/>
      <c r="J30" s="30">
        <f>'Res (100kWh)'!J30</f>
        <v>0</v>
      </c>
      <c r="K30" s="27">
        <f>$F$18</f>
        <v>2000</v>
      </c>
      <c r="L30" s="247">
        <f>K30*J30</f>
        <v>0</v>
      </c>
      <c r="M30" s="29"/>
      <c r="N30" s="257">
        <f>L30-H30</f>
        <v>0</v>
      </c>
      <c r="O30" s="248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0.0211</v>
      </c>
      <c r="G31" s="27">
        <f>$F$18</f>
        <v>2000</v>
      </c>
      <c r="H31" s="28">
        <f t="shared" si="0"/>
        <v>42.2</v>
      </c>
      <c r="I31" s="29"/>
      <c r="J31" s="30">
        <f>'Res (100kWh)'!J31</f>
        <v>0.0158</v>
      </c>
      <c r="K31" s="27">
        <f>$F$18</f>
        <v>2000</v>
      </c>
      <c r="L31" s="28">
        <f t="shared" si="1"/>
        <v>31.6</v>
      </c>
      <c r="M31" s="29"/>
      <c r="N31" s="32">
        <f t="shared" si="2"/>
        <v>-10.600000000000001</v>
      </c>
      <c r="O31" s="33">
        <f t="shared" si="3"/>
        <v>-0.2511848341232228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2000</v>
      </c>
      <c r="H32" s="28">
        <f t="shared" si="0"/>
        <v>0</v>
      </c>
      <c r="I32" s="29"/>
      <c r="J32" s="30"/>
      <c r="K32" s="27">
        <f aca="true" t="shared" si="4" ref="K32:K40">$F$18</f>
        <v>2000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115</v>
      </c>
      <c r="C33" s="23"/>
      <c r="D33" s="24" t="s">
        <v>63</v>
      </c>
      <c r="E33" s="25"/>
      <c r="F33" s="26">
        <v>0</v>
      </c>
      <c r="G33" s="27">
        <f>$F$18</f>
        <v>2000</v>
      </c>
      <c r="H33" s="247">
        <f t="shared" si="0"/>
        <v>0</v>
      </c>
      <c r="I33" s="29"/>
      <c r="J33" s="30">
        <f>'Res (100kWh)'!$J33</f>
        <v>0</v>
      </c>
      <c r="K33" s="27">
        <f t="shared" si="4"/>
        <v>2000</v>
      </c>
      <c r="L33" s="247">
        <f t="shared" si="1"/>
        <v>0</v>
      </c>
      <c r="M33" s="29"/>
      <c r="N33" s="32">
        <f t="shared" si="2"/>
        <v>0</v>
      </c>
      <c r="O33" s="248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2000</v>
      </c>
      <c r="H34" s="28">
        <f t="shared" si="0"/>
        <v>0</v>
      </c>
      <c r="I34" s="29"/>
      <c r="J34" s="30"/>
      <c r="K34" s="27">
        <f t="shared" si="4"/>
        <v>2000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2000</v>
      </c>
      <c r="H35" s="28">
        <f t="shared" si="0"/>
        <v>0</v>
      </c>
      <c r="I35" s="29"/>
      <c r="J35" s="30"/>
      <c r="K35" s="27">
        <f t="shared" si="4"/>
        <v>2000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2000</v>
      </c>
      <c r="H36" s="28">
        <f t="shared" si="0"/>
        <v>0</v>
      </c>
      <c r="I36" s="29"/>
      <c r="J36" s="30"/>
      <c r="K36" s="27">
        <f t="shared" si="4"/>
        <v>2000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2000</v>
      </c>
      <c r="H37" s="28">
        <f t="shared" si="0"/>
        <v>0</v>
      </c>
      <c r="I37" s="29"/>
      <c r="J37" s="30"/>
      <c r="K37" s="27">
        <f t="shared" si="4"/>
        <v>2000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2000</v>
      </c>
      <c r="H38" s="28">
        <f t="shared" si="0"/>
        <v>0</v>
      </c>
      <c r="I38" s="29"/>
      <c r="J38" s="30"/>
      <c r="K38" s="27">
        <f t="shared" si="4"/>
        <v>2000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2000</v>
      </c>
      <c r="H39" s="28">
        <f t="shared" si="0"/>
        <v>0</v>
      </c>
      <c r="I39" s="29"/>
      <c r="J39" s="30"/>
      <c r="K39" s="27">
        <f t="shared" si="4"/>
        <v>2000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2000</v>
      </c>
      <c r="H40" s="28">
        <f t="shared" si="0"/>
        <v>0</v>
      </c>
      <c r="I40" s="29"/>
      <c r="J40" s="30"/>
      <c r="K40" s="27">
        <f t="shared" si="4"/>
        <v>2000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55.17</v>
      </c>
      <c r="I41" s="42"/>
      <c r="J41" s="43"/>
      <c r="K41" s="44"/>
      <c r="L41" s="41">
        <f>SUM(L23:L40)</f>
        <v>48.94</v>
      </c>
      <c r="M41" s="42"/>
      <c r="N41" s="45">
        <f t="shared" si="2"/>
        <v>-6.230000000000004</v>
      </c>
      <c r="O41" s="46">
        <f t="shared" si="3"/>
        <v>-0.11292369041145557</v>
      </c>
    </row>
    <row r="42" spans="2:15" ht="15" hidden="1">
      <c r="B42" s="175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3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'Res (100kWh)'!F43</f>
        <v>-0.007</v>
      </c>
      <c r="G43" s="27">
        <f>$F$18</f>
        <v>2000</v>
      </c>
      <c r="H43" s="28">
        <f aca="true" t="shared" si="6" ref="H43:H51">G43*F43</f>
        <v>-14</v>
      </c>
      <c r="I43" s="29"/>
      <c r="J43" s="252">
        <f>'Res (100kWh)'!J43</f>
        <v>0.0021</v>
      </c>
      <c r="K43" s="27">
        <f>$F$18</f>
        <v>2000</v>
      </c>
      <c r="L43" s="28">
        <f aca="true" t="shared" si="7" ref="L43:L51">K43*J43</f>
        <v>4.2</v>
      </c>
      <c r="M43" s="29"/>
      <c r="N43" s="32">
        <f t="shared" si="2"/>
        <v>18.2</v>
      </c>
      <c r="O43" s="33">
        <f t="shared" si="3"/>
        <v>-1.3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2000</v>
      </c>
      <c r="H44" s="28">
        <f t="shared" si="6"/>
        <v>0</v>
      </c>
      <c r="I44" s="48"/>
      <c r="J44" s="30"/>
      <c r="K44" s="27">
        <f>$F$18</f>
        <v>2000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2000</v>
      </c>
      <c r="H45" s="28">
        <f t="shared" si="6"/>
        <v>0</v>
      </c>
      <c r="I45" s="48"/>
      <c r="J45" s="30"/>
      <c r="K45" s="27">
        <f>$F$18</f>
        <v>2000</v>
      </c>
      <c r="L45" s="28">
        <f t="shared" si="7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2000</v>
      </c>
      <c r="H46" s="28">
        <f t="shared" si="6"/>
        <v>0</v>
      </c>
      <c r="I46" s="48"/>
      <c r="J46" s="30"/>
      <c r="K46" s="27">
        <f>$F$18</f>
        <v>2000</v>
      </c>
      <c r="L46" s="28">
        <f t="shared" si="7"/>
        <v>0</v>
      </c>
      <c r="M46" s="49"/>
      <c r="N46" s="32">
        <f t="shared" si="2"/>
        <v>0</v>
      </c>
      <c r="O46" s="33">
        <f t="shared" si="3"/>
      </c>
    </row>
    <row r="47" spans="2:15" ht="15">
      <c r="B47" s="47" t="s">
        <v>66</v>
      </c>
      <c r="C47" s="23"/>
      <c r="D47" s="24" t="s">
        <v>62</v>
      </c>
      <c r="E47" s="25"/>
      <c r="F47" s="259">
        <v>0</v>
      </c>
      <c r="G47" s="27">
        <v>1</v>
      </c>
      <c r="H47" s="247">
        <f t="shared" si="6"/>
        <v>0</v>
      </c>
      <c r="I47" s="29"/>
      <c r="J47" s="269">
        <f>'Res (100kWh)'!J47</f>
        <v>-0.04</v>
      </c>
      <c r="K47" s="27">
        <v>1</v>
      </c>
      <c r="L47" s="247">
        <f t="shared" si="7"/>
        <v>-0.04</v>
      </c>
      <c r="M47" s="29"/>
      <c r="N47" s="32">
        <f>L47-H47</f>
        <v>-0.04</v>
      </c>
      <c r="O47" s="248">
        <f>IF((H47)=0,"",(N47/H47))</f>
      </c>
    </row>
    <row r="48" spans="2:15" ht="15">
      <c r="B48" s="23" t="s">
        <v>115</v>
      </c>
      <c r="C48" s="23"/>
      <c r="D48" s="24" t="s">
        <v>63</v>
      </c>
      <c r="E48" s="25"/>
      <c r="F48" s="259">
        <v>0</v>
      </c>
      <c r="G48" s="27">
        <f>$F$18</f>
        <v>2000</v>
      </c>
      <c r="H48" s="247">
        <f t="shared" si="6"/>
        <v>0</v>
      </c>
      <c r="I48" s="29"/>
      <c r="J48" s="30">
        <f>'Res (100kWh)'!$J48</f>
        <v>0.0007</v>
      </c>
      <c r="K48" s="27">
        <f>$F$18</f>
        <v>2000</v>
      </c>
      <c r="L48" s="247">
        <f t="shared" si="7"/>
        <v>1.4</v>
      </c>
      <c r="M48" s="29"/>
      <c r="N48" s="32">
        <f>L48-H48</f>
        <v>1.4</v>
      </c>
      <c r="O48" s="248">
        <f>IF((H48)=0,"",(N48/H48))</f>
      </c>
    </row>
    <row r="49" spans="2:15" ht="15">
      <c r="B49" s="50" t="s">
        <v>26</v>
      </c>
      <c r="C49" s="23"/>
      <c r="D49" s="24" t="s">
        <v>63</v>
      </c>
      <c r="E49" s="25"/>
      <c r="F49" s="26">
        <f>'Res (100kWh)'!F49</f>
        <v>0.0024</v>
      </c>
      <c r="G49" s="27">
        <f>$F$18</f>
        <v>2000</v>
      </c>
      <c r="H49" s="28">
        <f t="shared" si="6"/>
        <v>4.8</v>
      </c>
      <c r="I49" s="29"/>
      <c r="J49" s="30">
        <f>'Res (100kWh)'!J49</f>
        <v>0.0024</v>
      </c>
      <c r="K49" s="27">
        <f>$F$18</f>
        <v>2000</v>
      </c>
      <c r="L49" s="28">
        <f t="shared" si="7"/>
        <v>4.8</v>
      </c>
      <c r="M49" s="29"/>
      <c r="N49" s="32">
        <f t="shared" si="2"/>
        <v>0</v>
      </c>
      <c r="O49" s="33">
        <f t="shared" si="3"/>
        <v>0</v>
      </c>
    </row>
    <row r="50" spans="2:15" s="35" customFormat="1" ht="15">
      <c r="B50" s="181" t="s">
        <v>27</v>
      </c>
      <c r="C50" s="25"/>
      <c r="D50" s="182" t="s">
        <v>63</v>
      </c>
      <c r="E50" s="25"/>
      <c r="F50" s="183">
        <f>IF(ISBLANK(D16)=TRUE,0,IF(D16="TOU",0.64*$F$60+0.18*$F$61+0.18*$F$62,IF(AND(D16="non-TOU",G64&gt;0),F64,F63)))</f>
        <v>0.08392</v>
      </c>
      <c r="G50" s="27">
        <f>$F$18*(1+$F$79)-$F$18</f>
        <v>99</v>
      </c>
      <c r="H50" s="184">
        <f t="shared" si="6"/>
        <v>8.30808</v>
      </c>
      <c r="I50" s="58"/>
      <c r="J50" s="185">
        <f>0.64*$F$60+0.18*$F$61+0.18*$F$62</f>
        <v>0.08392</v>
      </c>
      <c r="K50" s="27">
        <f>$F$18*(1+$J$79)-$F$18</f>
        <v>99</v>
      </c>
      <c r="L50" s="184">
        <f t="shared" si="7"/>
        <v>8.30808</v>
      </c>
      <c r="M50" s="58"/>
      <c r="N50" s="186">
        <f t="shared" si="2"/>
        <v>0</v>
      </c>
      <c r="O50" s="187">
        <f t="shared" si="3"/>
        <v>0</v>
      </c>
    </row>
    <row r="51" spans="2:15" ht="15">
      <c r="B51" s="50" t="s">
        <v>28</v>
      </c>
      <c r="C51" s="23"/>
      <c r="D51" s="24" t="s">
        <v>62</v>
      </c>
      <c r="E51" s="25"/>
      <c r="F51" s="178">
        <v>0.79</v>
      </c>
      <c r="G51" s="27">
        <v>1</v>
      </c>
      <c r="H51" s="28">
        <f t="shared" si="6"/>
        <v>0.79</v>
      </c>
      <c r="I51" s="29"/>
      <c r="J51" s="178">
        <v>0.79</v>
      </c>
      <c r="K51" s="27">
        <v>1</v>
      </c>
      <c r="L51" s="28">
        <f t="shared" si="7"/>
        <v>0.79</v>
      </c>
      <c r="M51" s="29"/>
      <c r="N51" s="32">
        <f t="shared" si="2"/>
        <v>0</v>
      </c>
      <c r="O51" s="33"/>
    </row>
    <row r="52" spans="2:15" ht="25.5">
      <c r="B52" s="51" t="s">
        <v>29</v>
      </c>
      <c r="C52" s="52"/>
      <c r="D52" s="52"/>
      <c r="E52" s="52"/>
      <c r="F52" s="53"/>
      <c r="G52" s="54"/>
      <c r="H52" s="55">
        <f>SUM(H42:H51)+H41</f>
        <v>55.06808</v>
      </c>
      <c r="I52" s="42"/>
      <c r="J52" s="54"/>
      <c r="K52" s="56"/>
      <c r="L52" s="55">
        <f>SUM(L42:L51)+L41</f>
        <v>68.39808</v>
      </c>
      <c r="M52" s="42"/>
      <c r="N52" s="45">
        <f t="shared" si="2"/>
        <v>13.329999999999991</v>
      </c>
      <c r="O52" s="46">
        <f aca="true" t="shared" si="8" ref="O52:O70">IF((H52)=0,"",(N52/H52))</f>
        <v>0.242064005136914</v>
      </c>
    </row>
    <row r="53" spans="2:15" ht="15">
      <c r="B53" s="29" t="s">
        <v>30</v>
      </c>
      <c r="C53" s="29"/>
      <c r="D53" s="57" t="s">
        <v>63</v>
      </c>
      <c r="E53" s="58"/>
      <c r="F53" s="30">
        <f>'Res (100kWh)'!F53</f>
        <v>0.0048</v>
      </c>
      <c r="G53" s="59">
        <f>F18*(1+F79)</f>
        <v>2099</v>
      </c>
      <c r="H53" s="28">
        <f>G53*F53</f>
        <v>10.075199999999999</v>
      </c>
      <c r="I53" s="29"/>
      <c r="J53" s="30">
        <f>'Res (100kWh)'!J53</f>
        <v>0.0064</v>
      </c>
      <c r="K53" s="60">
        <f>F18*(1+J79)</f>
        <v>2099</v>
      </c>
      <c r="L53" s="28">
        <f>K53*J53</f>
        <v>13.4336</v>
      </c>
      <c r="M53" s="29"/>
      <c r="N53" s="32">
        <f t="shared" si="2"/>
        <v>3.3584000000000014</v>
      </c>
      <c r="O53" s="33">
        <f t="shared" si="8"/>
        <v>0.33333333333333354</v>
      </c>
    </row>
    <row r="54" spans="2:15" ht="15">
      <c r="B54" s="61" t="s">
        <v>31</v>
      </c>
      <c r="C54" s="29"/>
      <c r="D54" s="57" t="s">
        <v>63</v>
      </c>
      <c r="E54" s="58"/>
      <c r="F54" s="30">
        <f>'Res (100kWh)'!F54</f>
        <v>0.0019</v>
      </c>
      <c r="G54" s="59">
        <f>G53</f>
        <v>2099</v>
      </c>
      <c r="H54" s="28">
        <f>G54*F54</f>
        <v>3.9881</v>
      </c>
      <c r="I54" s="29"/>
      <c r="J54" s="30">
        <f>'Res (100kWh)'!J54</f>
        <v>0.003</v>
      </c>
      <c r="K54" s="60">
        <f>K53</f>
        <v>2099</v>
      </c>
      <c r="L54" s="28">
        <f>K54*J54</f>
        <v>6.297</v>
      </c>
      <c r="M54" s="29"/>
      <c r="N54" s="32">
        <f t="shared" si="2"/>
        <v>2.3088999999999995</v>
      </c>
      <c r="O54" s="33">
        <f t="shared" si="8"/>
        <v>0.5789473684210524</v>
      </c>
    </row>
    <row r="55" spans="2:15" ht="15">
      <c r="B55" s="51" t="s">
        <v>32</v>
      </c>
      <c r="C55" s="37"/>
      <c r="D55" s="37"/>
      <c r="E55" s="37"/>
      <c r="F55" s="62"/>
      <c r="G55" s="54"/>
      <c r="H55" s="55">
        <f>SUM(H52:H54)</f>
        <v>69.13138000000001</v>
      </c>
      <c r="I55" s="63"/>
      <c r="J55" s="64"/>
      <c r="K55" s="65"/>
      <c r="L55" s="55">
        <f>SUM(L52:L54)</f>
        <v>88.12867999999999</v>
      </c>
      <c r="M55" s="63"/>
      <c r="N55" s="45">
        <f t="shared" si="2"/>
        <v>18.99729999999998</v>
      </c>
      <c r="O55" s="46">
        <f t="shared" si="8"/>
        <v>0.27479995336415936</v>
      </c>
    </row>
    <row r="56" spans="2:15" ht="15">
      <c r="B56" s="66" t="s">
        <v>33</v>
      </c>
      <c r="C56" s="23"/>
      <c r="D56" s="24" t="s">
        <v>63</v>
      </c>
      <c r="E56" s="25"/>
      <c r="F56" s="67">
        <v>0.0044</v>
      </c>
      <c r="G56" s="59">
        <f>G54</f>
        <v>2099</v>
      </c>
      <c r="H56" s="68">
        <f aca="true" t="shared" si="9" ref="H56:H62">G56*F56</f>
        <v>9.2356</v>
      </c>
      <c r="I56" s="29"/>
      <c r="J56" s="69">
        <v>0.0044</v>
      </c>
      <c r="K56" s="60">
        <f>K54</f>
        <v>2099</v>
      </c>
      <c r="L56" s="68">
        <f aca="true" t="shared" si="10" ref="L56:L62">K56*J56</f>
        <v>9.2356</v>
      </c>
      <c r="M56" s="29"/>
      <c r="N56" s="32">
        <f t="shared" si="2"/>
        <v>0</v>
      </c>
      <c r="O56" s="70">
        <f t="shared" si="8"/>
        <v>0</v>
      </c>
    </row>
    <row r="57" spans="2:15" ht="15">
      <c r="B57" s="66" t="s">
        <v>34</v>
      </c>
      <c r="C57" s="23"/>
      <c r="D57" s="24" t="s">
        <v>63</v>
      </c>
      <c r="E57" s="25"/>
      <c r="F57" s="67">
        <v>0.0013</v>
      </c>
      <c r="G57" s="59">
        <f>G54</f>
        <v>2099</v>
      </c>
      <c r="H57" s="68">
        <f t="shared" si="9"/>
        <v>2.7287</v>
      </c>
      <c r="I57" s="29"/>
      <c r="J57" s="69">
        <v>0.0013</v>
      </c>
      <c r="K57" s="60">
        <f>K54</f>
        <v>2099</v>
      </c>
      <c r="L57" s="68">
        <f t="shared" si="10"/>
        <v>2.7287</v>
      </c>
      <c r="M57" s="29"/>
      <c r="N57" s="32">
        <f t="shared" si="2"/>
        <v>0</v>
      </c>
      <c r="O57" s="70">
        <f t="shared" si="8"/>
        <v>0</v>
      </c>
    </row>
    <row r="58" spans="2:15" ht="15">
      <c r="B58" s="23" t="s">
        <v>35</v>
      </c>
      <c r="C58" s="23"/>
      <c r="D58" s="24" t="s">
        <v>62</v>
      </c>
      <c r="E58" s="25"/>
      <c r="F58" s="176">
        <v>0.25</v>
      </c>
      <c r="G58" s="27">
        <v>1</v>
      </c>
      <c r="H58" s="68">
        <f t="shared" si="9"/>
        <v>0.25</v>
      </c>
      <c r="I58" s="29"/>
      <c r="J58" s="177">
        <v>0.25</v>
      </c>
      <c r="K58" s="31">
        <v>1</v>
      </c>
      <c r="L58" s="68">
        <f t="shared" si="10"/>
        <v>0.25</v>
      </c>
      <c r="M58" s="29"/>
      <c r="N58" s="32">
        <f t="shared" si="2"/>
        <v>0</v>
      </c>
      <c r="O58" s="70">
        <f t="shared" si="8"/>
        <v>0</v>
      </c>
    </row>
    <row r="59" spans="2:15" ht="15">
      <c r="B59" s="23" t="s">
        <v>36</v>
      </c>
      <c r="C59" s="23"/>
      <c r="D59" s="24" t="s">
        <v>63</v>
      </c>
      <c r="E59" s="25"/>
      <c r="F59" s="67">
        <v>0.007</v>
      </c>
      <c r="G59" s="71">
        <f>F18</f>
        <v>2000</v>
      </c>
      <c r="H59" s="68">
        <f t="shared" si="9"/>
        <v>14</v>
      </c>
      <c r="I59" s="29"/>
      <c r="J59" s="69">
        <v>0</v>
      </c>
      <c r="K59" s="72">
        <f>F18</f>
        <v>2000</v>
      </c>
      <c r="L59" s="68">
        <f t="shared" si="10"/>
        <v>0</v>
      </c>
      <c r="M59" s="29"/>
      <c r="N59" s="32">
        <f t="shared" si="2"/>
        <v>-14</v>
      </c>
      <c r="O59" s="70">
        <f t="shared" si="8"/>
        <v>-1</v>
      </c>
    </row>
    <row r="60" spans="2:19" ht="15">
      <c r="B60" s="50" t="s">
        <v>37</v>
      </c>
      <c r="C60" s="23"/>
      <c r="D60" s="24" t="s">
        <v>63</v>
      </c>
      <c r="E60" s="25"/>
      <c r="F60" s="73">
        <v>0.067</v>
      </c>
      <c r="G60" s="71">
        <f>0.64*$F$18</f>
        <v>1280</v>
      </c>
      <c r="H60" s="68">
        <f t="shared" si="9"/>
        <v>85.76</v>
      </c>
      <c r="I60" s="29"/>
      <c r="J60" s="67">
        <v>0.067</v>
      </c>
      <c r="K60" s="71">
        <f>G60</f>
        <v>1280</v>
      </c>
      <c r="L60" s="68">
        <f t="shared" si="10"/>
        <v>85.76</v>
      </c>
      <c r="M60" s="29"/>
      <c r="N60" s="32">
        <f t="shared" si="2"/>
        <v>0</v>
      </c>
      <c r="O60" s="70">
        <f t="shared" si="8"/>
        <v>0</v>
      </c>
      <c r="S60" s="74"/>
    </row>
    <row r="61" spans="2:19" ht="15">
      <c r="B61" s="50" t="s">
        <v>38</v>
      </c>
      <c r="C61" s="23"/>
      <c r="D61" s="24" t="s">
        <v>63</v>
      </c>
      <c r="E61" s="25"/>
      <c r="F61" s="73">
        <v>0.104</v>
      </c>
      <c r="G61" s="71">
        <f>0.18*$F$18</f>
        <v>360</v>
      </c>
      <c r="H61" s="68">
        <f t="shared" si="9"/>
        <v>37.44</v>
      </c>
      <c r="I61" s="29"/>
      <c r="J61" s="67">
        <v>0.104</v>
      </c>
      <c r="K61" s="71">
        <f>G61</f>
        <v>360</v>
      </c>
      <c r="L61" s="68">
        <f t="shared" si="10"/>
        <v>37.44</v>
      </c>
      <c r="M61" s="29"/>
      <c r="N61" s="32">
        <f t="shared" si="2"/>
        <v>0</v>
      </c>
      <c r="O61" s="70">
        <f t="shared" si="8"/>
        <v>0</v>
      </c>
      <c r="S61" s="74"/>
    </row>
    <row r="62" spans="2:19" ht="15">
      <c r="B62" s="13" t="s">
        <v>39</v>
      </c>
      <c r="C62" s="23"/>
      <c r="D62" s="24" t="s">
        <v>63</v>
      </c>
      <c r="E62" s="25"/>
      <c r="F62" s="73">
        <v>0.124</v>
      </c>
      <c r="G62" s="71">
        <f>0.18*$F$18</f>
        <v>360</v>
      </c>
      <c r="H62" s="68">
        <f t="shared" si="9"/>
        <v>44.64</v>
      </c>
      <c r="I62" s="29"/>
      <c r="J62" s="67">
        <v>0.124</v>
      </c>
      <c r="K62" s="71">
        <f>G62</f>
        <v>360</v>
      </c>
      <c r="L62" s="68">
        <f t="shared" si="10"/>
        <v>44.64</v>
      </c>
      <c r="M62" s="29"/>
      <c r="N62" s="32">
        <f t="shared" si="2"/>
        <v>0</v>
      </c>
      <c r="O62" s="70">
        <f t="shared" si="8"/>
        <v>0</v>
      </c>
      <c r="S62" s="74"/>
    </row>
    <row r="63" spans="2:15" s="75" customFormat="1" ht="15">
      <c r="B63" s="76" t="s">
        <v>40</v>
      </c>
      <c r="C63" s="77"/>
      <c r="D63" s="78" t="s">
        <v>63</v>
      </c>
      <c r="E63" s="79"/>
      <c r="F63" s="73">
        <f>'Res (100kWh)'!F63</f>
        <v>0.094</v>
      </c>
      <c r="G63" s="80">
        <f>IF(AND($T$1=1,F18&gt;=600),600,IF(AND($T$1=1,AND(F18&lt;600,F18&gt;=0)),F18,IF(AND($T$1=2,F18&gt;=1000),1000,IF(AND($T$1=2,AND(F18&lt;1000,F18&gt;=0)),F18))))</f>
        <v>600</v>
      </c>
      <c r="H63" s="68">
        <f>G63*F63</f>
        <v>56.4</v>
      </c>
      <c r="I63" s="81"/>
      <c r="J63" s="67">
        <f>F63</f>
        <v>0.094</v>
      </c>
      <c r="K63" s="80">
        <f>G63</f>
        <v>600</v>
      </c>
      <c r="L63" s="68">
        <f>K63*J63</f>
        <v>56.4</v>
      </c>
      <c r="M63" s="81"/>
      <c r="N63" s="82">
        <f t="shared" si="2"/>
        <v>0</v>
      </c>
      <c r="O63" s="70">
        <f t="shared" si="8"/>
        <v>0</v>
      </c>
    </row>
    <row r="64" spans="2:15" s="75" customFormat="1" ht="15.75" thickBot="1">
      <c r="B64" s="76" t="s">
        <v>41</v>
      </c>
      <c r="C64" s="77"/>
      <c r="D64" s="78" t="s">
        <v>63</v>
      </c>
      <c r="E64" s="79"/>
      <c r="F64" s="73">
        <f>'Res (100kWh)'!F64</f>
        <v>0.11</v>
      </c>
      <c r="G64" s="80">
        <f>IF(AND($T$1=1,F18&gt;=600),F18-600,IF(AND($T$1=1,AND(F18&lt;600,F18&gt;=0)),0,IF(AND($T$1=2,F18&gt;=1000),F18-1000,IF(AND($T$1=2,AND(F18&lt;1000,F18&gt;=0)),0))))</f>
        <v>1400</v>
      </c>
      <c r="H64" s="68">
        <f>G64*F64</f>
        <v>154</v>
      </c>
      <c r="I64" s="81"/>
      <c r="J64" s="67">
        <f>F64</f>
        <v>0.11</v>
      </c>
      <c r="K64" s="80">
        <f>G64</f>
        <v>1400</v>
      </c>
      <c r="L64" s="68">
        <f>K64*J64</f>
        <v>154</v>
      </c>
      <c r="M64" s="81"/>
      <c r="N64" s="82">
        <f t="shared" si="2"/>
        <v>0</v>
      </c>
      <c r="O64" s="70">
        <f t="shared" si="8"/>
        <v>0</v>
      </c>
    </row>
    <row r="65" spans="2:15" ht="8.25" customHeight="1" thickBot="1">
      <c r="B65" s="83"/>
      <c r="C65" s="84"/>
      <c r="D65" s="85"/>
      <c r="E65" s="84"/>
      <c r="F65" s="86"/>
      <c r="G65" s="87"/>
      <c r="H65" s="88"/>
      <c r="I65" s="89"/>
      <c r="J65" s="86"/>
      <c r="K65" s="90"/>
      <c r="L65" s="88"/>
      <c r="M65" s="89"/>
      <c r="N65" s="91"/>
      <c r="O65" s="92"/>
    </row>
    <row r="66" spans="2:19" ht="15">
      <c r="B66" s="93" t="s">
        <v>42</v>
      </c>
      <c r="C66" s="23"/>
      <c r="D66" s="23"/>
      <c r="E66" s="23"/>
      <c r="F66" s="94"/>
      <c r="G66" s="95"/>
      <c r="H66" s="96">
        <f>SUM(H56:H62,H55)</f>
        <v>263.18568000000005</v>
      </c>
      <c r="I66" s="97"/>
      <c r="J66" s="98"/>
      <c r="K66" s="98"/>
      <c r="L66" s="190">
        <f>SUM(L56:L62,L55)</f>
        <v>268.18298</v>
      </c>
      <c r="M66" s="99"/>
      <c r="N66" s="100">
        <f>L66-H66</f>
        <v>4.997299999999939</v>
      </c>
      <c r="O66" s="101">
        <f>IF((H66)=0,"",(N66/H66))</f>
        <v>0.018987735198966516</v>
      </c>
      <c r="S66" s="74"/>
    </row>
    <row r="67" spans="2:19" ht="15">
      <c r="B67" s="102" t="s">
        <v>43</v>
      </c>
      <c r="C67" s="23"/>
      <c r="D67" s="23"/>
      <c r="E67" s="23"/>
      <c r="F67" s="103">
        <v>0.13</v>
      </c>
      <c r="G67" s="104"/>
      <c r="H67" s="105">
        <f>H66*F67</f>
        <v>34.21413840000001</v>
      </c>
      <c r="I67" s="106"/>
      <c r="J67" s="107">
        <v>0.13</v>
      </c>
      <c r="K67" s="106"/>
      <c r="L67" s="108">
        <f>L66*J67</f>
        <v>34.8637874</v>
      </c>
      <c r="M67" s="109"/>
      <c r="N67" s="110">
        <f t="shared" si="2"/>
        <v>0.6496489999999895</v>
      </c>
      <c r="O67" s="111">
        <f t="shared" si="8"/>
        <v>0.01898773519896644</v>
      </c>
      <c r="S67" s="74"/>
    </row>
    <row r="68" spans="2:19" ht="15">
      <c r="B68" s="112" t="s">
        <v>44</v>
      </c>
      <c r="C68" s="23"/>
      <c r="D68" s="23"/>
      <c r="E68" s="23"/>
      <c r="F68" s="113"/>
      <c r="G68" s="104"/>
      <c r="H68" s="105">
        <f>H66+H67</f>
        <v>297.3998184000001</v>
      </c>
      <c r="I68" s="106"/>
      <c r="J68" s="106"/>
      <c r="K68" s="106"/>
      <c r="L68" s="108">
        <f>L66+L67</f>
        <v>303.04676739999996</v>
      </c>
      <c r="M68" s="109"/>
      <c r="N68" s="110">
        <f t="shared" si="2"/>
        <v>5.646948999999893</v>
      </c>
      <c r="O68" s="111">
        <f t="shared" si="8"/>
        <v>0.018987735198966387</v>
      </c>
      <c r="S68" s="74"/>
    </row>
    <row r="69" spans="2:15" ht="15.75" customHeight="1">
      <c r="B69" s="321" t="s">
        <v>45</v>
      </c>
      <c r="C69" s="321"/>
      <c r="D69" s="321"/>
      <c r="E69" s="23"/>
      <c r="F69" s="113"/>
      <c r="G69" s="104"/>
      <c r="H69" s="260">
        <f>ROUND(-H68*10%,2)</f>
        <v>-29.74</v>
      </c>
      <c r="I69" s="106"/>
      <c r="J69" s="106"/>
      <c r="K69" s="106"/>
      <c r="L69" s="261">
        <v>0</v>
      </c>
      <c r="M69" s="109"/>
      <c r="N69" s="262">
        <f t="shared" si="2"/>
        <v>29.74</v>
      </c>
      <c r="O69" s="117">
        <f t="shared" si="8"/>
        <v>-1</v>
      </c>
    </row>
    <row r="70" spans="2:15" ht="15.75" thickBot="1">
      <c r="B70" s="322" t="s">
        <v>46</v>
      </c>
      <c r="C70" s="322"/>
      <c r="D70" s="322"/>
      <c r="E70" s="118"/>
      <c r="F70" s="119"/>
      <c r="G70" s="120"/>
      <c r="H70" s="121">
        <f>H68+H69</f>
        <v>267.65981840000006</v>
      </c>
      <c r="I70" s="122"/>
      <c r="J70" s="122"/>
      <c r="K70" s="122"/>
      <c r="L70" s="123">
        <f>L68+L69</f>
        <v>303.04676739999996</v>
      </c>
      <c r="M70" s="124"/>
      <c r="N70" s="125">
        <f t="shared" si="2"/>
        <v>35.3869489999999</v>
      </c>
      <c r="O70" s="126">
        <f t="shared" si="8"/>
        <v>0.13220867148283133</v>
      </c>
    </row>
    <row r="71" spans="2:15" s="75" customFormat="1" ht="8.25" customHeight="1" thickBot="1">
      <c r="B71" s="127"/>
      <c r="C71" s="128"/>
      <c r="D71" s="129"/>
      <c r="E71" s="128"/>
      <c r="F71" s="86"/>
      <c r="G71" s="130"/>
      <c r="H71" s="88"/>
      <c r="I71" s="131"/>
      <c r="J71" s="86"/>
      <c r="K71" s="132"/>
      <c r="L71" s="88"/>
      <c r="M71" s="131"/>
      <c r="N71" s="133"/>
      <c r="O71" s="92"/>
    </row>
    <row r="72" spans="2:15" s="75" customFormat="1" ht="12.75">
      <c r="B72" s="134" t="s">
        <v>47</v>
      </c>
      <c r="C72" s="77"/>
      <c r="D72" s="77"/>
      <c r="E72" s="77"/>
      <c r="F72" s="135"/>
      <c r="G72" s="136"/>
      <c r="H72" s="137">
        <f>SUM(H63:H64,H55,H56:H59)</f>
        <v>305.74568</v>
      </c>
      <c r="I72" s="138"/>
      <c r="J72" s="139"/>
      <c r="K72" s="139"/>
      <c r="L72" s="189">
        <f>SUM(L63:L64,L55,L56:L59)</f>
        <v>310.74298</v>
      </c>
      <c r="M72" s="140"/>
      <c r="N72" s="141">
        <f>L72-H72</f>
        <v>4.997299999999996</v>
      </c>
      <c r="O72" s="101">
        <f>IF((H72)=0,"",(N72/H72))</f>
        <v>0.016344629955196737</v>
      </c>
    </row>
    <row r="73" spans="2:15" s="75" customFormat="1" ht="12.75">
      <c r="B73" s="142" t="s">
        <v>43</v>
      </c>
      <c r="C73" s="77"/>
      <c r="D73" s="77"/>
      <c r="E73" s="77"/>
      <c r="F73" s="143">
        <v>0.13</v>
      </c>
      <c r="G73" s="136"/>
      <c r="H73" s="144">
        <f>H72*F73</f>
        <v>39.7469384</v>
      </c>
      <c r="I73" s="145"/>
      <c r="J73" s="146">
        <v>0.13</v>
      </c>
      <c r="K73" s="147"/>
      <c r="L73" s="148">
        <f>L72*J73</f>
        <v>40.3965874</v>
      </c>
      <c r="M73" s="149"/>
      <c r="N73" s="150">
        <f>L73-H73</f>
        <v>0.6496490000000037</v>
      </c>
      <c r="O73" s="111">
        <f>IF((H73)=0,"",(N73/H73))</f>
        <v>0.016344629955196845</v>
      </c>
    </row>
    <row r="74" spans="2:15" s="75" customFormat="1" ht="12.75">
      <c r="B74" s="151" t="s">
        <v>44</v>
      </c>
      <c r="C74" s="77"/>
      <c r="D74" s="77"/>
      <c r="E74" s="77"/>
      <c r="F74" s="152"/>
      <c r="G74" s="153"/>
      <c r="H74" s="144">
        <f>H72+H73</f>
        <v>345.49261839999997</v>
      </c>
      <c r="I74" s="145"/>
      <c r="J74" s="145"/>
      <c r="K74" s="145"/>
      <c r="L74" s="148">
        <f>L72+L73</f>
        <v>351.1395674</v>
      </c>
      <c r="M74" s="149"/>
      <c r="N74" s="150">
        <f>L74-H74</f>
        <v>5.646949000000006</v>
      </c>
      <c r="O74" s="111">
        <f>IF((H74)=0,"",(N74/H74))</f>
        <v>0.016344629955196772</v>
      </c>
    </row>
    <row r="75" spans="2:15" s="75" customFormat="1" ht="15.75" customHeight="1">
      <c r="B75" s="323" t="s">
        <v>45</v>
      </c>
      <c r="C75" s="323"/>
      <c r="D75" s="323"/>
      <c r="E75" s="77"/>
      <c r="F75" s="152"/>
      <c r="G75" s="153"/>
      <c r="H75" s="254">
        <f>ROUND(-H74*10%,2)</f>
        <v>-34.55</v>
      </c>
      <c r="I75" s="145"/>
      <c r="J75" s="145"/>
      <c r="K75" s="145"/>
      <c r="L75" s="255">
        <v>0</v>
      </c>
      <c r="M75" s="149"/>
      <c r="N75" s="256">
        <f>L75-H75</f>
        <v>34.55</v>
      </c>
      <c r="O75" s="117">
        <f>IF((H75)=0,"",(N75/H75))</f>
        <v>-1</v>
      </c>
    </row>
    <row r="76" spans="2:15" s="75" customFormat="1" ht="13.5" thickBot="1">
      <c r="B76" s="314" t="s">
        <v>48</v>
      </c>
      <c r="C76" s="314"/>
      <c r="D76" s="314"/>
      <c r="E76" s="155"/>
      <c r="F76" s="156"/>
      <c r="G76" s="157"/>
      <c r="H76" s="158">
        <f>SUM(H74:H75)</f>
        <v>310.94261839999996</v>
      </c>
      <c r="I76" s="159"/>
      <c r="J76" s="159"/>
      <c r="K76" s="159"/>
      <c r="L76" s="160">
        <f>SUM(L74:L75)</f>
        <v>351.1395674</v>
      </c>
      <c r="M76" s="161"/>
      <c r="N76" s="162">
        <f>L76-H76</f>
        <v>40.19694900000002</v>
      </c>
      <c r="O76" s="163">
        <f>IF((H76)=0,"",(N76/H76))</f>
        <v>0.12927449188805062</v>
      </c>
    </row>
    <row r="77" spans="2:15" s="75" customFormat="1" ht="8.25" customHeight="1" thickBot="1">
      <c r="B77" s="127"/>
      <c r="C77" s="128"/>
      <c r="D77" s="129"/>
      <c r="E77" s="128"/>
      <c r="F77" s="164"/>
      <c r="G77" s="165"/>
      <c r="H77" s="166"/>
      <c r="I77" s="167"/>
      <c r="J77" s="164"/>
      <c r="K77" s="130"/>
      <c r="L77" s="168"/>
      <c r="M77" s="131"/>
      <c r="N77" s="169"/>
      <c r="O77" s="92"/>
    </row>
    <row r="78" ht="10.5" customHeight="1">
      <c r="L78" s="74"/>
    </row>
    <row r="79" spans="2:10" ht="15">
      <c r="B79" s="14" t="s">
        <v>49</v>
      </c>
      <c r="F79" s="170">
        <v>0.0495</v>
      </c>
      <c r="J79" s="170">
        <v>0.0495</v>
      </c>
    </row>
    <row r="80" ht="10.5" customHeight="1"/>
    <row r="81" ht="15">
      <c r="A81" s="171" t="s">
        <v>50</v>
      </c>
    </row>
    <row r="82" ht="10.5" customHeight="1"/>
    <row r="83" ht="15">
      <c r="A83" s="8" t="s">
        <v>51</v>
      </c>
    </row>
    <row r="84" ht="15">
      <c r="A84" s="8" t="s">
        <v>52</v>
      </c>
    </row>
    <row r="86" ht="15">
      <c r="A86" s="13" t="s">
        <v>53</v>
      </c>
    </row>
    <row r="87" ht="15">
      <c r="A87" s="13" t="s">
        <v>54</v>
      </c>
    </row>
    <row r="89" ht="15">
      <c r="A89" s="8" t="s">
        <v>55</v>
      </c>
    </row>
    <row r="90" ht="15">
      <c r="A90" s="8" t="s">
        <v>56</v>
      </c>
    </row>
    <row r="91" ht="15">
      <c r="A91" s="8" t="s">
        <v>57</v>
      </c>
    </row>
    <row r="92" ht="15">
      <c r="A92" s="8" t="s">
        <v>58</v>
      </c>
    </row>
    <row r="93" ht="15">
      <c r="A93" s="8" t="s">
        <v>59</v>
      </c>
    </row>
    <row r="95" spans="1:2" ht="15">
      <c r="A95" s="172"/>
      <c r="B95" s="8" t="s">
        <v>60</v>
      </c>
    </row>
  </sheetData>
  <sheetProtection/>
  <mergeCells count="21">
    <mergeCell ref="B76:D76"/>
    <mergeCell ref="D21:D22"/>
    <mergeCell ref="N21:N22"/>
    <mergeCell ref="O21:O22"/>
    <mergeCell ref="B69:D69"/>
    <mergeCell ref="B70:D70"/>
    <mergeCell ref="B75:D75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56:E62 E65 E23:E40 E42:E51">
      <formula1>'Res (2,000kWh)'!#REF!</formula1>
    </dataValidation>
    <dataValidation type="list" allowBlank="1" showInputMessage="1" showErrorMessage="1" prompt="Select Charge Unit - monthly, per kWh, per kW" sqref="D53:D54 D71 D77 D56:D65 D23:D40 D42:D51">
      <formula1>"Monthly, per kWh, per kW"</formula1>
    </dataValidation>
    <dataValidation type="list" allowBlank="1" showInputMessage="1" showErrorMessage="1" sqref="E77 E71 E63:E64">
      <formula1>'Res (2,000kWh)'!#REF!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and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Calhoun</dc:creator>
  <cp:keywords/>
  <dc:description/>
  <cp:lastModifiedBy>Grant Brooker</cp:lastModifiedBy>
  <cp:lastPrinted>2015-10-15T14:35:07Z</cp:lastPrinted>
  <dcterms:created xsi:type="dcterms:W3CDTF">2013-08-28T15:11:04Z</dcterms:created>
  <dcterms:modified xsi:type="dcterms:W3CDTF">2015-10-15T15:14:46Z</dcterms:modified>
  <cp:category/>
  <cp:version/>
  <cp:contentType/>
  <cp:contentStatus/>
</cp:coreProperties>
</file>