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770" windowHeight="7305" firstSheet="22" activeTab="22"/>
  </bookViews>
  <sheets>
    <sheet name="Monthly Data" sheetId="14" r:id="rId1"/>
    <sheet name="Weather Data" sheetId="19" r:id="rId2"/>
    <sheet name="Ontario Employment Growth" sheetId="30" r:id="rId3"/>
    <sheet name="Res OLS Model" sheetId="15" r:id="rId4"/>
    <sheet name="Res Predicted Monthly" sheetId="16" r:id="rId5"/>
    <sheet name="GS &lt; 50 OLS Model" sheetId="20" r:id="rId6"/>
    <sheet name="GS &lt; 50 Predicted Monthly" sheetId="21" r:id="rId7"/>
    <sheet name="GS &gt; 50 OLS Model" sheetId="23" r:id="rId8"/>
    <sheet name="GS &gt; 50 Predicted Monthly" sheetId="25" r:id="rId9"/>
    <sheet name="LU OLS Model" sheetId="24" r:id="rId10"/>
    <sheet name="LU Predicted Monthly" sheetId="26" r:id="rId11"/>
    <sheet name="Model Annual Summary" sheetId="12" r:id="rId12"/>
    <sheet name="Res Normalized Monthly" sheetId="17" r:id="rId13"/>
    <sheet name="GS &lt; 50 Normalized Monthly" sheetId="22" r:id="rId14"/>
    <sheet name="GS &gt; 50 Normalized Monthly" sheetId="27" r:id="rId15"/>
    <sheet name="LU Normalized Monthly" sheetId="28" r:id="rId16"/>
    <sheet name="Connection count " sheetId="31" r:id="rId17"/>
    <sheet name="Normalized Annual Summary" sheetId="18" r:id="rId18"/>
    <sheet name="kW Forecast" sheetId="29" r:id="rId19"/>
    <sheet name="Annual CDM" sheetId="33" r:id="rId20"/>
    <sheet name="CDM Adjustments" sheetId="34" r:id="rId21"/>
    <sheet name="LRAMVA kWh" sheetId="35" r:id="rId22"/>
    <sheet name="Summary Tables" sheetId="32" r:id="rId23"/>
  </sheets>
  <definedNames>
    <definedName name="_xlnm.Print_Area" localSheetId="22">'Summary Tables'!$B$1:$I$71</definedName>
  </definedNames>
  <calcPr calcId="145621"/>
</workbook>
</file>

<file path=xl/calcChain.xml><?xml version="1.0" encoding="utf-8"?>
<calcChain xmlns="http://schemas.openxmlformats.org/spreadsheetml/2006/main">
  <c r="G9" i="30" l="1"/>
  <c r="G10" i="30" s="1"/>
  <c r="P73" i="14" l="1"/>
  <c r="P7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/>
  <c r="P47" i="14"/>
  <c r="P46" i="14"/>
  <c r="P45" i="14"/>
  <c r="P44" i="14"/>
  <c r="P43" i="14"/>
  <c r="P42" i="14"/>
  <c r="P41" i="14"/>
  <c r="P40" i="14"/>
  <c r="P39" i="14"/>
  <c r="P38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P2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M3" i="14"/>
  <c r="M2" i="14"/>
  <c r="H13" i="14"/>
  <c r="H12" i="14"/>
  <c r="H11" i="14"/>
  <c r="H10" i="14"/>
  <c r="H9" i="14"/>
  <c r="H8" i="14"/>
  <c r="H7" i="14"/>
  <c r="H6" i="14"/>
  <c r="H5" i="14"/>
  <c r="H4" i="14"/>
  <c r="H3" i="14"/>
  <c r="H2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6" i="14"/>
  <c r="E7" i="14"/>
  <c r="E5" i="14"/>
  <c r="E4" i="14"/>
  <c r="E3" i="14"/>
  <c r="E2" i="14"/>
  <c r="U145" i="17"/>
  <c r="T145" i="17"/>
  <c r="S145" i="17"/>
  <c r="U144" i="17"/>
  <c r="T144" i="17"/>
  <c r="S144" i="17"/>
  <c r="U143" i="17"/>
  <c r="T143" i="17"/>
  <c r="S143" i="17"/>
  <c r="U142" i="17"/>
  <c r="T142" i="17"/>
  <c r="S142" i="17"/>
  <c r="U141" i="17"/>
  <c r="T141" i="17"/>
  <c r="S141" i="17"/>
  <c r="U140" i="17"/>
  <c r="T140" i="17"/>
  <c r="S140" i="17"/>
  <c r="U139" i="17"/>
  <c r="T139" i="17"/>
  <c r="S139" i="17"/>
  <c r="U138" i="17"/>
  <c r="T138" i="17"/>
  <c r="S138" i="17"/>
  <c r="U137" i="17"/>
  <c r="T137" i="17"/>
  <c r="S137" i="17"/>
  <c r="U136" i="17"/>
  <c r="T136" i="17"/>
  <c r="S136" i="17"/>
  <c r="U135" i="17"/>
  <c r="T135" i="17"/>
  <c r="S135" i="17"/>
  <c r="U134" i="17"/>
  <c r="T134" i="17"/>
  <c r="S134" i="17"/>
  <c r="U133" i="17"/>
  <c r="T133" i="17"/>
  <c r="S133" i="17"/>
  <c r="U132" i="17"/>
  <c r="T132" i="17"/>
  <c r="S132" i="17"/>
  <c r="U131" i="17"/>
  <c r="T131" i="17"/>
  <c r="S131" i="17"/>
  <c r="U130" i="17"/>
  <c r="T130" i="17"/>
  <c r="S130" i="17"/>
  <c r="U129" i="17"/>
  <c r="T129" i="17"/>
  <c r="S129" i="17"/>
  <c r="U128" i="17"/>
  <c r="T128" i="17"/>
  <c r="S128" i="17"/>
  <c r="U127" i="17"/>
  <c r="T127" i="17"/>
  <c r="S127" i="17"/>
  <c r="U126" i="17"/>
  <c r="T126" i="17"/>
  <c r="S126" i="17"/>
  <c r="U125" i="17"/>
  <c r="T125" i="17"/>
  <c r="S125" i="17"/>
  <c r="U124" i="17"/>
  <c r="T124" i="17"/>
  <c r="S124" i="17"/>
  <c r="U123" i="17"/>
  <c r="T123" i="17"/>
  <c r="S123" i="17"/>
  <c r="U122" i="17"/>
  <c r="T122" i="17"/>
  <c r="S122" i="17"/>
  <c r="U121" i="17"/>
  <c r="T121" i="17"/>
  <c r="S121" i="17"/>
  <c r="U120" i="17"/>
  <c r="T120" i="17"/>
  <c r="S120" i="17"/>
  <c r="U119" i="17"/>
  <c r="T119" i="17"/>
  <c r="S119" i="17"/>
  <c r="U118" i="17"/>
  <c r="T118" i="17"/>
  <c r="S118" i="17"/>
  <c r="U117" i="17"/>
  <c r="T117" i="17"/>
  <c r="S117" i="17"/>
  <c r="U116" i="17"/>
  <c r="T116" i="17"/>
  <c r="S116" i="17"/>
  <c r="U115" i="17"/>
  <c r="T115" i="17"/>
  <c r="S115" i="17"/>
  <c r="U114" i="17"/>
  <c r="T114" i="17"/>
  <c r="S114" i="17"/>
  <c r="U113" i="17"/>
  <c r="T113" i="17"/>
  <c r="S113" i="17"/>
  <c r="U112" i="17"/>
  <c r="T112" i="17"/>
  <c r="S112" i="17"/>
  <c r="U111" i="17"/>
  <c r="T111" i="17"/>
  <c r="S111" i="17"/>
  <c r="U110" i="17"/>
  <c r="T110" i="17"/>
  <c r="S110" i="17"/>
  <c r="U109" i="17"/>
  <c r="T109" i="17"/>
  <c r="S109" i="17"/>
  <c r="U108" i="17"/>
  <c r="T108" i="17"/>
  <c r="S108" i="17"/>
  <c r="U107" i="17"/>
  <c r="T107" i="17"/>
  <c r="S107" i="17"/>
  <c r="U106" i="17"/>
  <c r="T106" i="17"/>
  <c r="S106" i="17"/>
  <c r="U105" i="17"/>
  <c r="T105" i="17"/>
  <c r="S105" i="17"/>
  <c r="U104" i="17"/>
  <c r="T104" i="17"/>
  <c r="S104" i="17"/>
  <c r="U103" i="17"/>
  <c r="T103" i="17"/>
  <c r="S103" i="17"/>
  <c r="U102" i="17"/>
  <c r="T102" i="17"/>
  <c r="S102" i="17"/>
  <c r="U101" i="17"/>
  <c r="T101" i="17"/>
  <c r="S101" i="17"/>
  <c r="U100" i="17"/>
  <c r="T100" i="17"/>
  <c r="S100" i="17"/>
  <c r="U99" i="17"/>
  <c r="T99" i="17"/>
  <c r="S99" i="17"/>
  <c r="U98" i="17"/>
  <c r="T98" i="17"/>
  <c r="S98" i="17"/>
  <c r="U97" i="17"/>
  <c r="T97" i="17"/>
  <c r="S97" i="17"/>
  <c r="U96" i="17"/>
  <c r="T96" i="17"/>
  <c r="S96" i="17"/>
  <c r="U95" i="17"/>
  <c r="T95" i="17"/>
  <c r="S95" i="17"/>
  <c r="U94" i="17"/>
  <c r="T94" i="17"/>
  <c r="S94" i="17"/>
  <c r="U93" i="17"/>
  <c r="T93" i="17"/>
  <c r="S93" i="17"/>
  <c r="U92" i="17"/>
  <c r="T92" i="17"/>
  <c r="S92" i="17"/>
  <c r="U91" i="17"/>
  <c r="T91" i="17"/>
  <c r="S91" i="17"/>
  <c r="U90" i="17"/>
  <c r="T90" i="17"/>
  <c r="S90" i="17"/>
  <c r="U89" i="17"/>
  <c r="T89" i="17"/>
  <c r="S89" i="17"/>
  <c r="U88" i="17"/>
  <c r="T88" i="17"/>
  <c r="S88" i="17"/>
  <c r="U87" i="17"/>
  <c r="T87" i="17"/>
  <c r="S87" i="17"/>
  <c r="U86" i="17"/>
  <c r="T86" i="17"/>
  <c r="S86" i="17"/>
  <c r="U85" i="17"/>
  <c r="T85" i="17"/>
  <c r="S85" i="17"/>
  <c r="U84" i="17"/>
  <c r="T84" i="17"/>
  <c r="S84" i="17"/>
  <c r="U83" i="17"/>
  <c r="T83" i="17"/>
  <c r="S83" i="17"/>
  <c r="U82" i="17"/>
  <c r="T82" i="17"/>
  <c r="S82" i="17"/>
  <c r="U81" i="17"/>
  <c r="T81" i="17"/>
  <c r="S81" i="17"/>
  <c r="U80" i="17"/>
  <c r="T80" i="17"/>
  <c r="S80" i="17"/>
  <c r="U79" i="17"/>
  <c r="T79" i="17"/>
  <c r="S79" i="17"/>
  <c r="U78" i="17"/>
  <c r="T78" i="17"/>
  <c r="S78" i="17"/>
  <c r="U77" i="17"/>
  <c r="T77" i="17"/>
  <c r="S77" i="17"/>
  <c r="U76" i="17"/>
  <c r="T76" i="17"/>
  <c r="S76" i="17"/>
  <c r="U75" i="17"/>
  <c r="T75" i="17"/>
  <c r="S75" i="17"/>
  <c r="U74" i="17"/>
  <c r="T74" i="17"/>
  <c r="S74" i="17"/>
  <c r="U73" i="17"/>
  <c r="T73" i="17"/>
  <c r="S73" i="17"/>
  <c r="U72" i="17"/>
  <c r="T72" i="17"/>
  <c r="S72" i="17"/>
  <c r="U71" i="17"/>
  <c r="T71" i="17"/>
  <c r="S71" i="17"/>
  <c r="U70" i="17"/>
  <c r="T70" i="17"/>
  <c r="S70" i="17"/>
  <c r="U69" i="17"/>
  <c r="T69" i="17"/>
  <c r="S69" i="17"/>
  <c r="U68" i="17"/>
  <c r="T68" i="17"/>
  <c r="S68" i="17"/>
  <c r="U67" i="17"/>
  <c r="T67" i="17"/>
  <c r="S67" i="17"/>
  <c r="U66" i="17"/>
  <c r="T66" i="17"/>
  <c r="S66" i="17"/>
  <c r="U65" i="17"/>
  <c r="T65" i="17"/>
  <c r="S65" i="17"/>
  <c r="U64" i="17"/>
  <c r="T64" i="17"/>
  <c r="S64" i="17"/>
  <c r="U63" i="17"/>
  <c r="T63" i="17"/>
  <c r="S63" i="17"/>
  <c r="U62" i="17"/>
  <c r="T62" i="17"/>
  <c r="S62" i="17"/>
  <c r="U61" i="17"/>
  <c r="T61" i="17"/>
  <c r="S61" i="17"/>
  <c r="U60" i="17"/>
  <c r="T60" i="17"/>
  <c r="S60" i="17"/>
  <c r="U59" i="17"/>
  <c r="T59" i="17"/>
  <c r="S59" i="17"/>
  <c r="U58" i="17"/>
  <c r="T58" i="17"/>
  <c r="S58" i="17"/>
  <c r="U57" i="17"/>
  <c r="T57" i="17"/>
  <c r="S57" i="17"/>
  <c r="U56" i="17"/>
  <c r="T56" i="17"/>
  <c r="S56" i="17"/>
  <c r="U55" i="17"/>
  <c r="T55" i="17"/>
  <c r="S55" i="17"/>
  <c r="U54" i="17"/>
  <c r="T54" i="17"/>
  <c r="S54" i="17"/>
  <c r="U53" i="17"/>
  <c r="T53" i="17"/>
  <c r="S53" i="17"/>
  <c r="U52" i="17"/>
  <c r="T52" i="17"/>
  <c r="S52" i="17"/>
  <c r="U51" i="17"/>
  <c r="T51" i="17"/>
  <c r="S51" i="17"/>
  <c r="U50" i="17"/>
  <c r="T50" i="17"/>
  <c r="S50" i="17"/>
  <c r="U49" i="17"/>
  <c r="T49" i="17"/>
  <c r="S49" i="17"/>
  <c r="U48" i="17"/>
  <c r="T48" i="17"/>
  <c r="S48" i="17"/>
  <c r="U47" i="17"/>
  <c r="T47" i="17"/>
  <c r="S47" i="17"/>
  <c r="U46" i="17"/>
  <c r="T46" i="17"/>
  <c r="S46" i="17"/>
  <c r="U45" i="17"/>
  <c r="T45" i="17"/>
  <c r="S45" i="17"/>
  <c r="U44" i="17"/>
  <c r="T44" i="17"/>
  <c r="S44" i="17"/>
  <c r="U43" i="17"/>
  <c r="T43" i="17"/>
  <c r="S43" i="17"/>
  <c r="U42" i="17"/>
  <c r="T42" i="17"/>
  <c r="S42" i="17"/>
  <c r="U41" i="17"/>
  <c r="T41" i="17"/>
  <c r="S41" i="17"/>
  <c r="U40" i="17"/>
  <c r="T40" i="17"/>
  <c r="S40" i="17"/>
  <c r="U39" i="17"/>
  <c r="T39" i="17"/>
  <c r="S39" i="17"/>
  <c r="U38" i="17"/>
  <c r="T38" i="17"/>
  <c r="S38" i="17"/>
  <c r="U37" i="17"/>
  <c r="T37" i="17"/>
  <c r="S37" i="17"/>
  <c r="U36" i="17"/>
  <c r="T36" i="17"/>
  <c r="S36" i="17"/>
  <c r="U35" i="17"/>
  <c r="T35" i="17"/>
  <c r="S35" i="17"/>
  <c r="U34" i="17"/>
  <c r="T34" i="17"/>
  <c r="S34" i="17"/>
  <c r="U33" i="17"/>
  <c r="T33" i="17"/>
  <c r="S33" i="17"/>
  <c r="U32" i="17"/>
  <c r="T32" i="17"/>
  <c r="S32" i="17"/>
  <c r="U31" i="17"/>
  <c r="T31" i="17"/>
  <c r="S31" i="17"/>
  <c r="U30" i="17"/>
  <c r="T30" i="17"/>
  <c r="S30" i="17"/>
  <c r="U29" i="17"/>
  <c r="T29" i="17"/>
  <c r="S29" i="17"/>
  <c r="U28" i="17"/>
  <c r="T28" i="17"/>
  <c r="S28" i="17"/>
  <c r="U27" i="17"/>
  <c r="T27" i="17"/>
  <c r="S27" i="17"/>
  <c r="U26" i="17"/>
  <c r="T26" i="17"/>
  <c r="S26" i="17"/>
  <c r="U25" i="17"/>
  <c r="T25" i="17"/>
  <c r="S25" i="17"/>
  <c r="U24" i="17"/>
  <c r="T24" i="17"/>
  <c r="S24" i="17"/>
  <c r="U23" i="17"/>
  <c r="T23" i="17"/>
  <c r="S23" i="17"/>
  <c r="U22" i="17"/>
  <c r="T22" i="17"/>
  <c r="S22" i="17"/>
  <c r="U21" i="17"/>
  <c r="T21" i="17"/>
  <c r="S21" i="17"/>
  <c r="U20" i="17"/>
  <c r="T20" i="17"/>
  <c r="S20" i="17"/>
  <c r="U19" i="17"/>
  <c r="T19" i="17"/>
  <c r="S19" i="17"/>
  <c r="U18" i="17"/>
  <c r="T18" i="17"/>
  <c r="S18" i="17"/>
  <c r="U17" i="17"/>
  <c r="T17" i="17"/>
  <c r="S17" i="17"/>
  <c r="U16" i="17"/>
  <c r="T16" i="17"/>
  <c r="S16" i="17"/>
  <c r="U15" i="17"/>
  <c r="T15" i="17"/>
  <c r="S15" i="17"/>
  <c r="U14" i="17"/>
  <c r="T14" i="17"/>
  <c r="S14" i="17"/>
  <c r="U13" i="17"/>
  <c r="T13" i="17"/>
  <c r="S13" i="17"/>
  <c r="U12" i="17"/>
  <c r="T12" i="17"/>
  <c r="S12" i="17"/>
  <c r="U11" i="17"/>
  <c r="T11" i="17"/>
  <c r="S11" i="17"/>
  <c r="U10" i="17"/>
  <c r="T10" i="17"/>
  <c r="S10" i="17"/>
  <c r="U9" i="17"/>
  <c r="T9" i="17"/>
  <c r="S9" i="17"/>
  <c r="U8" i="17"/>
  <c r="T8" i="17"/>
  <c r="S8" i="17"/>
  <c r="U7" i="17"/>
  <c r="T7" i="17"/>
  <c r="S7" i="17"/>
  <c r="U6" i="17"/>
  <c r="T6" i="17"/>
  <c r="S6" i="17"/>
  <c r="U5" i="17"/>
  <c r="T5" i="17"/>
  <c r="S5" i="17"/>
  <c r="U4" i="17"/>
  <c r="T4" i="17"/>
  <c r="S4" i="17"/>
  <c r="U3" i="17"/>
  <c r="T3" i="17"/>
  <c r="S3" i="17"/>
  <c r="U2" i="17"/>
  <c r="T2" i="17"/>
  <c r="S2" i="17"/>
  <c r="K73" i="17"/>
  <c r="K85" i="17" s="1"/>
  <c r="K97" i="17" s="1"/>
  <c r="K109" i="17" s="1"/>
  <c r="K121" i="17" s="1"/>
  <c r="K133" i="17" s="1"/>
  <c r="K145" i="17" s="1"/>
  <c r="K72" i="17"/>
  <c r="K84" i="17" s="1"/>
  <c r="K96" i="17" s="1"/>
  <c r="K108" i="17" s="1"/>
  <c r="K120" i="17" s="1"/>
  <c r="K132" i="17" s="1"/>
  <c r="K144" i="17" s="1"/>
  <c r="K71" i="17"/>
  <c r="K83" i="17" s="1"/>
  <c r="K95" i="17" s="1"/>
  <c r="K107" i="17" s="1"/>
  <c r="K119" i="17" s="1"/>
  <c r="K131" i="17" s="1"/>
  <c r="K143" i="17" s="1"/>
  <c r="K70" i="17"/>
  <c r="K82" i="17" s="1"/>
  <c r="K94" i="17" s="1"/>
  <c r="K106" i="17" s="1"/>
  <c r="K118" i="17" s="1"/>
  <c r="K130" i="17" s="1"/>
  <c r="K142" i="17" s="1"/>
  <c r="K69" i="17"/>
  <c r="K81" i="17" s="1"/>
  <c r="K93" i="17" s="1"/>
  <c r="K105" i="17" s="1"/>
  <c r="K117" i="17" s="1"/>
  <c r="K129" i="17" s="1"/>
  <c r="K141" i="17" s="1"/>
  <c r="K68" i="17"/>
  <c r="K80" i="17" s="1"/>
  <c r="K92" i="17" s="1"/>
  <c r="K104" i="17" s="1"/>
  <c r="K116" i="17" s="1"/>
  <c r="K128" i="17" s="1"/>
  <c r="K140" i="17" s="1"/>
  <c r="K67" i="17"/>
  <c r="K79" i="17" s="1"/>
  <c r="K91" i="17" s="1"/>
  <c r="K103" i="17" s="1"/>
  <c r="K115" i="17" s="1"/>
  <c r="K127" i="17" s="1"/>
  <c r="K139" i="17" s="1"/>
  <c r="K66" i="17"/>
  <c r="K78" i="17" s="1"/>
  <c r="K90" i="17" s="1"/>
  <c r="K102" i="17" s="1"/>
  <c r="K114" i="17" s="1"/>
  <c r="K126" i="17" s="1"/>
  <c r="K138" i="17" s="1"/>
  <c r="K65" i="17"/>
  <c r="K77" i="17" s="1"/>
  <c r="K89" i="17" s="1"/>
  <c r="K101" i="17" s="1"/>
  <c r="K113" i="17" s="1"/>
  <c r="K125" i="17" s="1"/>
  <c r="K137" i="17" s="1"/>
  <c r="K64" i="17"/>
  <c r="K76" i="17" s="1"/>
  <c r="K88" i="17" s="1"/>
  <c r="K100" i="17" s="1"/>
  <c r="K112" i="17" s="1"/>
  <c r="K124" i="17" s="1"/>
  <c r="K136" i="17" s="1"/>
  <c r="K63" i="17"/>
  <c r="K75" i="17" s="1"/>
  <c r="K87" i="17" s="1"/>
  <c r="K99" i="17" s="1"/>
  <c r="K111" i="17" s="1"/>
  <c r="K123" i="17" s="1"/>
  <c r="K135" i="17" s="1"/>
  <c r="K62" i="17"/>
  <c r="K74" i="17" s="1"/>
  <c r="K86" i="17" s="1"/>
  <c r="K98" i="17" s="1"/>
  <c r="K110" i="17" s="1"/>
  <c r="K122" i="17" s="1"/>
  <c r="K134" i="17" s="1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K2" i="17"/>
  <c r="K1" i="17"/>
  <c r="U73" i="16"/>
  <c r="T73" i="16"/>
  <c r="S73" i="16"/>
  <c r="U72" i="16"/>
  <c r="T72" i="16"/>
  <c r="S72" i="16"/>
  <c r="U71" i="16"/>
  <c r="T71" i="16"/>
  <c r="S71" i="16"/>
  <c r="U70" i="16"/>
  <c r="T70" i="16"/>
  <c r="S70" i="16"/>
  <c r="U69" i="16"/>
  <c r="T69" i="16"/>
  <c r="S69" i="16"/>
  <c r="U68" i="16"/>
  <c r="T68" i="16"/>
  <c r="S68" i="16"/>
  <c r="U67" i="16"/>
  <c r="T67" i="16"/>
  <c r="S67" i="16"/>
  <c r="U66" i="16"/>
  <c r="T66" i="16"/>
  <c r="S66" i="16"/>
  <c r="U65" i="16"/>
  <c r="T65" i="16"/>
  <c r="S65" i="16"/>
  <c r="U64" i="16"/>
  <c r="T64" i="16"/>
  <c r="S64" i="16"/>
  <c r="U63" i="16"/>
  <c r="T63" i="16"/>
  <c r="S63" i="16"/>
  <c r="U62" i="16"/>
  <c r="T62" i="16"/>
  <c r="S62" i="16"/>
  <c r="U61" i="16"/>
  <c r="T61" i="16"/>
  <c r="S61" i="16"/>
  <c r="U60" i="16"/>
  <c r="T60" i="16"/>
  <c r="S60" i="16"/>
  <c r="U59" i="16"/>
  <c r="T59" i="16"/>
  <c r="S59" i="16"/>
  <c r="U58" i="16"/>
  <c r="T58" i="16"/>
  <c r="S58" i="16"/>
  <c r="U57" i="16"/>
  <c r="T57" i="16"/>
  <c r="S57" i="16"/>
  <c r="U56" i="16"/>
  <c r="T56" i="16"/>
  <c r="S56" i="16"/>
  <c r="U55" i="16"/>
  <c r="T55" i="16"/>
  <c r="S55" i="16"/>
  <c r="U54" i="16"/>
  <c r="T54" i="16"/>
  <c r="S54" i="16"/>
  <c r="U53" i="16"/>
  <c r="T53" i="16"/>
  <c r="S53" i="16"/>
  <c r="U52" i="16"/>
  <c r="T52" i="16"/>
  <c r="S52" i="16"/>
  <c r="U51" i="16"/>
  <c r="T51" i="16"/>
  <c r="S51" i="16"/>
  <c r="U50" i="16"/>
  <c r="T50" i="16"/>
  <c r="S50" i="16"/>
  <c r="U49" i="16"/>
  <c r="T49" i="16"/>
  <c r="S49" i="16"/>
  <c r="U48" i="16"/>
  <c r="T48" i="16"/>
  <c r="S48" i="16"/>
  <c r="U47" i="16"/>
  <c r="T47" i="16"/>
  <c r="S47" i="16"/>
  <c r="U46" i="16"/>
  <c r="T46" i="16"/>
  <c r="S46" i="16"/>
  <c r="U45" i="16"/>
  <c r="T45" i="16"/>
  <c r="S45" i="16"/>
  <c r="U44" i="16"/>
  <c r="T44" i="16"/>
  <c r="S44" i="16"/>
  <c r="U43" i="16"/>
  <c r="T43" i="16"/>
  <c r="S43" i="16"/>
  <c r="U42" i="16"/>
  <c r="T42" i="16"/>
  <c r="S42" i="16"/>
  <c r="U41" i="16"/>
  <c r="T41" i="16"/>
  <c r="S41" i="16"/>
  <c r="U40" i="16"/>
  <c r="T40" i="16"/>
  <c r="S40" i="16"/>
  <c r="U39" i="16"/>
  <c r="T39" i="16"/>
  <c r="S39" i="16"/>
  <c r="U38" i="16"/>
  <c r="T38" i="16"/>
  <c r="S38" i="16"/>
  <c r="U37" i="16"/>
  <c r="T37" i="16"/>
  <c r="S37" i="16"/>
  <c r="U36" i="16"/>
  <c r="T36" i="16"/>
  <c r="S36" i="16"/>
  <c r="U35" i="16"/>
  <c r="T35" i="16"/>
  <c r="S35" i="16"/>
  <c r="U34" i="16"/>
  <c r="T34" i="16"/>
  <c r="S34" i="16"/>
  <c r="U33" i="16"/>
  <c r="T33" i="16"/>
  <c r="S33" i="16"/>
  <c r="U32" i="16"/>
  <c r="T32" i="16"/>
  <c r="S32" i="16"/>
  <c r="U31" i="16"/>
  <c r="T31" i="16"/>
  <c r="S31" i="16"/>
  <c r="U30" i="16"/>
  <c r="T30" i="16"/>
  <c r="S30" i="16"/>
  <c r="U29" i="16"/>
  <c r="T29" i="16"/>
  <c r="S29" i="16"/>
  <c r="U28" i="16"/>
  <c r="T28" i="16"/>
  <c r="S28" i="16"/>
  <c r="U27" i="16"/>
  <c r="T27" i="16"/>
  <c r="S27" i="16"/>
  <c r="U26" i="16"/>
  <c r="T26" i="16"/>
  <c r="S26" i="16"/>
  <c r="U25" i="16"/>
  <c r="T25" i="16"/>
  <c r="S25" i="16"/>
  <c r="U24" i="16"/>
  <c r="T24" i="16"/>
  <c r="S24" i="16"/>
  <c r="U23" i="16"/>
  <c r="T23" i="16"/>
  <c r="S23" i="16"/>
  <c r="U22" i="16"/>
  <c r="T22" i="16"/>
  <c r="S22" i="16"/>
  <c r="U21" i="16"/>
  <c r="T21" i="16"/>
  <c r="S21" i="16"/>
  <c r="U20" i="16"/>
  <c r="T20" i="16"/>
  <c r="S20" i="16"/>
  <c r="U19" i="16"/>
  <c r="T19" i="16"/>
  <c r="S19" i="16"/>
  <c r="U18" i="16"/>
  <c r="T18" i="16"/>
  <c r="S18" i="16"/>
  <c r="U17" i="16"/>
  <c r="T17" i="16"/>
  <c r="S17" i="16"/>
  <c r="U16" i="16"/>
  <c r="T16" i="16"/>
  <c r="S16" i="16"/>
  <c r="U15" i="16"/>
  <c r="T15" i="16"/>
  <c r="S15" i="16"/>
  <c r="U14" i="16"/>
  <c r="T14" i="16"/>
  <c r="S14" i="16"/>
  <c r="U13" i="16"/>
  <c r="T13" i="16"/>
  <c r="S13" i="16"/>
  <c r="U12" i="16"/>
  <c r="T12" i="16"/>
  <c r="S12" i="16"/>
  <c r="U11" i="16"/>
  <c r="T11" i="16"/>
  <c r="S11" i="16"/>
  <c r="U10" i="16"/>
  <c r="T10" i="16"/>
  <c r="S10" i="16"/>
  <c r="U9" i="16"/>
  <c r="T9" i="16"/>
  <c r="S9" i="16"/>
  <c r="U8" i="16"/>
  <c r="T8" i="16"/>
  <c r="S8" i="16"/>
  <c r="U7" i="16"/>
  <c r="T7" i="16"/>
  <c r="S7" i="16"/>
  <c r="U6" i="16"/>
  <c r="T6" i="16"/>
  <c r="S6" i="16"/>
  <c r="U5" i="16"/>
  <c r="T5" i="16"/>
  <c r="S5" i="16"/>
  <c r="U4" i="16"/>
  <c r="T4" i="16"/>
  <c r="S4" i="16"/>
  <c r="U3" i="16"/>
  <c r="T3" i="16"/>
  <c r="S3" i="16"/>
  <c r="U2" i="16"/>
  <c r="T2" i="16"/>
  <c r="S2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K1" i="16"/>
  <c r="C1" i="26" l="1"/>
  <c r="C1" i="25"/>
  <c r="C1" i="21"/>
  <c r="D40" i="32"/>
  <c r="D39" i="32"/>
  <c r="D38" i="32"/>
  <c r="D37" i="32"/>
  <c r="D36" i="32"/>
  <c r="C36" i="32"/>
  <c r="C44" i="34" l="1"/>
  <c r="C28" i="34"/>
  <c r="C21" i="34"/>
  <c r="C46" i="34"/>
  <c r="C38" i="34"/>
  <c r="C30" i="34"/>
  <c r="C22" i="34"/>
  <c r="C14" i="34"/>
  <c r="C6" i="34"/>
  <c r="C45" i="34"/>
  <c r="C37" i="34"/>
  <c r="C29" i="34"/>
  <c r="C13" i="34"/>
  <c r="C5" i="34"/>
  <c r="C36" i="34"/>
  <c r="C20" i="34"/>
  <c r="C12" i="34"/>
  <c r="C4" i="34"/>
  <c r="C43" i="34"/>
  <c r="C35" i="34"/>
  <c r="C27" i="34"/>
  <c r="C19" i="34"/>
  <c r="C11" i="34"/>
  <c r="C3" i="34"/>
  <c r="H13" i="27"/>
  <c r="H12" i="27"/>
  <c r="H11" i="27"/>
  <c r="H10" i="27"/>
  <c r="H9" i="27"/>
  <c r="H8" i="27"/>
  <c r="H7" i="27"/>
  <c r="H6" i="27"/>
  <c r="H5" i="27"/>
  <c r="H4" i="27"/>
  <c r="H3" i="27"/>
  <c r="H2" i="27"/>
  <c r="H1" i="27"/>
  <c r="H13" i="25"/>
  <c r="H12" i="25"/>
  <c r="H11" i="25"/>
  <c r="H10" i="25"/>
  <c r="H9" i="25"/>
  <c r="H8" i="25"/>
  <c r="H7" i="25"/>
  <c r="H6" i="25"/>
  <c r="H5" i="25"/>
  <c r="H4" i="25"/>
  <c r="H3" i="25"/>
  <c r="H2" i="25"/>
  <c r="H1" i="25"/>
  <c r="I73" i="17"/>
  <c r="I85" i="17" s="1"/>
  <c r="H73" i="17"/>
  <c r="I72" i="17"/>
  <c r="H72" i="17"/>
  <c r="H84" i="17" s="1"/>
  <c r="I71" i="17"/>
  <c r="I83" i="17" s="1"/>
  <c r="H71" i="17"/>
  <c r="R71" i="17" s="1"/>
  <c r="I70" i="17"/>
  <c r="H70" i="17"/>
  <c r="H82" i="17" s="1"/>
  <c r="I69" i="17"/>
  <c r="I81" i="17" s="1"/>
  <c r="H69" i="17"/>
  <c r="R69" i="17" s="1"/>
  <c r="I68" i="17"/>
  <c r="H68" i="17"/>
  <c r="H80" i="17" s="1"/>
  <c r="I67" i="17"/>
  <c r="I79" i="17" s="1"/>
  <c r="H67" i="17"/>
  <c r="R67" i="17" s="1"/>
  <c r="I66" i="17"/>
  <c r="H66" i="17"/>
  <c r="H78" i="17" s="1"/>
  <c r="I65" i="17"/>
  <c r="I77" i="17" s="1"/>
  <c r="H65" i="17"/>
  <c r="R65" i="17" s="1"/>
  <c r="I64" i="17"/>
  <c r="H64" i="17"/>
  <c r="H76" i="17" s="1"/>
  <c r="I63" i="17"/>
  <c r="I75" i="17" s="1"/>
  <c r="H63" i="17"/>
  <c r="R63" i="17" s="1"/>
  <c r="I62" i="17"/>
  <c r="H62" i="17"/>
  <c r="H74" i="17" s="1"/>
  <c r="I61" i="17"/>
  <c r="H61" i="17"/>
  <c r="R61" i="17" s="1"/>
  <c r="I60" i="17"/>
  <c r="H60" i="17"/>
  <c r="R60" i="17" s="1"/>
  <c r="I59" i="17"/>
  <c r="H59" i="17"/>
  <c r="R59" i="17" s="1"/>
  <c r="I58" i="17"/>
  <c r="H58" i="17"/>
  <c r="R58" i="17" s="1"/>
  <c r="I57" i="17"/>
  <c r="H57" i="17"/>
  <c r="R57" i="17" s="1"/>
  <c r="I56" i="17"/>
  <c r="H56" i="17"/>
  <c r="R56" i="17" s="1"/>
  <c r="I55" i="17"/>
  <c r="H55" i="17"/>
  <c r="R55" i="17" s="1"/>
  <c r="I54" i="17"/>
  <c r="H54" i="17"/>
  <c r="R54" i="17" s="1"/>
  <c r="I53" i="17"/>
  <c r="H53" i="17"/>
  <c r="R53" i="17" s="1"/>
  <c r="I52" i="17"/>
  <c r="H52" i="17"/>
  <c r="R52" i="17" s="1"/>
  <c r="I51" i="17"/>
  <c r="H51" i="17"/>
  <c r="R51" i="17" s="1"/>
  <c r="I50" i="17"/>
  <c r="H50" i="17"/>
  <c r="R50" i="17" s="1"/>
  <c r="I49" i="17"/>
  <c r="H49" i="17"/>
  <c r="R49" i="17" s="1"/>
  <c r="I48" i="17"/>
  <c r="H48" i="17"/>
  <c r="R48" i="17" s="1"/>
  <c r="I47" i="17"/>
  <c r="H47" i="17"/>
  <c r="R47" i="17" s="1"/>
  <c r="I46" i="17"/>
  <c r="H46" i="17"/>
  <c r="R46" i="17" s="1"/>
  <c r="I45" i="17"/>
  <c r="H45" i="17"/>
  <c r="R45" i="17" s="1"/>
  <c r="I44" i="17"/>
  <c r="H44" i="17"/>
  <c r="R44" i="17" s="1"/>
  <c r="I43" i="17"/>
  <c r="H43" i="17"/>
  <c r="R43" i="17" s="1"/>
  <c r="I42" i="17"/>
  <c r="H42" i="17"/>
  <c r="R42" i="17" s="1"/>
  <c r="I41" i="17"/>
  <c r="H41" i="17"/>
  <c r="R41" i="17" s="1"/>
  <c r="I40" i="17"/>
  <c r="H40" i="17"/>
  <c r="R40" i="17" s="1"/>
  <c r="I39" i="17"/>
  <c r="H39" i="17"/>
  <c r="R39" i="17" s="1"/>
  <c r="I38" i="17"/>
  <c r="H38" i="17"/>
  <c r="R38" i="17" s="1"/>
  <c r="I37" i="17"/>
  <c r="H37" i="17"/>
  <c r="R37" i="17" s="1"/>
  <c r="I36" i="17"/>
  <c r="H36" i="17"/>
  <c r="R36" i="17" s="1"/>
  <c r="I35" i="17"/>
  <c r="H35" i="17"/>
  <c r="R35" i="17" s="1"/>
  <c r="I34" i="17"/>
  <c r="H34" i="17"/>
  <c r="R34" i="17" s="1"/>
  <c r="I33" i="17"/>
  <c r="H33" i="17"/>
  <c r="R33" i="17" s="1"/>
  <c r="I32" i="17"/>
  <c r="H32" i="17"/>
  <c r="R32" i="17" s="1"/>
  <c r="I31" i="17"/>
  <c r="H31" i="17"/>
  <c r="R31" i="17" s="1"/>
  <c r="I30" i="17"/>
  <c r="H30" i="17"/>
  <c r="R30" i="17" s="1"/>
  <c r="I29" i="17"/>
  <c r="H29" i="17"/>
  <c r="R29" i="17" s="1"/>
  <c r="I28" i="17"/>
  <c r="H28" i="17"/>
  <c r="R28" i="17" s="1"/>
  <c r="I27" i="17"/>
  <c r="H27" i="17"/>
  <c r="R27" i="17" s="1"/>
  <c r="I26" i="17"/>
  <c r="H26" i="17"/>
  <c r="R26" i="17" s="1"/>
  <c r="I25" i="17"/>
  <c r="H25" i="17"/>
  <c r="R25" i="17" s="1"/>
  <c r="I24" i="17"/>
  <c r="H24" i="17"/>
  <c r="R24" i="17" s="1"/>
  <c r="I23" i="17"/>
  <c r="H23" i="17"/>
  <c r="R23" i="17" s="1"/>
  <c r="I22" i="17"/>
  <c r="H22" i="17"/>
  <c r="R22" i="17" s="1"/>
  <c r="I21" i="17"/>
  <c r="H21" i="17"/>
  <c r="R21" i="17" s="1"/>
  <c r="I20" i="17"/>
  <c r="H20" i="17"/>
  <c r="R20" i="17" s="1"/>
  <c r="I19" i="17"/>
  <c r="H19" i="17"/>
  <c r="R19" i="17" s="1"/>
  <c r="I18" i="17"/>
  <c r="H18" i="17"/>
  <c r="R18" i="17" s="1"/>
  <c r="I17" i="17"/>
  <c r="H17" i="17"/>
  <c r="R17" i="17" s="1"/>
  <c r="I16" i="17"/>
  <c r="H16" i="17"/>
  <c r="R16" i="17" s="1"/>
  <c r="I15" i="17"/>
  <c r="H15" i="17"/>
  <c r="R15" i="17" s="1"/>
  <c r="I14" i="17"/>
  <c r="H14" i="17"/>
  <c r="R14" i="17" s="1"/>
  <c r="J13" i="17"/>
  <c r="I13" i="17"/>
  <c r="H13" i="17"/>
  <c r="R13" i="17" s="1"/>
  <c r="J12" i="17"/>
  <c r="I12" i="17"/>
  <c r="H12" i="17"/>
  <c r="R12" i="17" s="1"/>
  <c r="J11" i="17"/>
  <c r="I11" i="17"/>
  <c r="H11" i="17"/>
  <c r="R11" i="17" s="1"/>
  <c r="J10" i="17"/>
  <c r="I10" i="17"/>
  <c r="H10" i="17"/>
  <c r="R10" i="17" s="1"/>
  <c r="J9" i="17"/>
  <c r="I9" i="17"/>
  <c r="H9" i="17"/>
  <c r="R9" i="17" s="1"/>
  <c r="J8" i="17"/>
  <c r="I8" i="17"/>
  <c r="H8" i="17"/>
  <c r="R8" i="17" s="1"/>
  <c r="J7" i="17"/>
  <c r="I7" i="17"/>
  <c r="H7" i="17"/>
  <c r="R7" i="17" s="1"/>
  <c r="J6" i="17"/>
  <c r="I6" i="17"/>
  <c r="H6" i="17"/>
  <c r="R6" i="17" s="1"/>
  <c r="J5" i="17"/>
  <c r="I5" i="17"/>
  <c r="H5" i="17"/>
  <c r="R5" i="17" s="1"/>
  <c r="J4" i="17"/>
  <c r="I4" i="17"/>
  <c r="H4" i="17"/>
  <c r="R4" i="17" s="1"/>
  <c r="J3" i="17"/>
  <c r="I3" i="17"/>
  <c r="H3" i="17"/>
  <c r="R3" i="17" s="1"/>
  <c r="J2" i="17"/>
  <c r="I2" i="17"/>
  <c r="H2" i="17"/>
  <c r="R2" i="17" s="1"/>
  <c r="U1" i="17"/>
  <c r="J1" i="17"/>
  <c r="T1" i="17" s="1"/>
  <c r="I1" i="17"/>
  <c r="S1" i="17" s="1"/>
  <c r="H1" i="17"/>
  <c r="R1" i="17" s="1"/>
  <c r="I73" i="16"/>
  <c r="H73" i="16"/>
  <c r="R73" i="16" s="1"/>
  <c r="I72" i="16"/>
  <c r="H72" i="16"/>
  <c r="R72" i="16" s="1"/>
  <c r="I71" i="16"/>
  <c r="H71" i="16"/>
  <c r="R71" i="16" s="1"/>
  <c r="I70" i="16"/>
  <c r="H70" i="16"/>
  <c r="R70" i="16" s="1"/>
  <c r="I69" i="16"/>
  <c r="H69" i="16"/>
  <c r="R69" i="16" s="1"/>
  <c r="I68" i="16"/>
  <c r="H68" i="16"/>
  <c r="R68" i="16" s="1"/>
  <c r="I67" i="16"/>
  <c r="H67" i="16"/>
  <c r="R67" i="16" s="1"/>
  <c r="I66" i="16"/>
  <c r="H66" i="16"/>
  <c r="R66" i="16" s="1"/>
  <c r="I65" i="16"/>
  <c r="H65" i="16"/>
  <c r="R65" i="16" s="1"/>
  <c r="I64" i="16"/>
  <c r="H64" i="16"/>
  <c r="R64" i="16" s="1"/>
  <c r="I63" i="16"/>
  <c r="H63" i="16"/>
  <c r="R63" i="16" s="1"/>
  <c r="I62" i="16"/>
  <c r="H62" i="16"/>
  <c r="R62" i="16" s="1"/>
  <c r="I61" i="16"/>
  <c r="H61" i="16"/>
  <c r="R61" i="16" s="1"/>
  <c r="I60" i="16"/>
  <c r="H60" i="16"/>
  <c r="R60" i="16" s="1"/>
  <c r="I59" i="16"/>
  <c r="H59" i="16"/>
  <c r="R59" i="16" s="1"/>
  <c r="I58" i="16"/>
  <c r="H58" i="16"/>
  <c r="R58" i="16" s="1"/>
  <c r="I57" i="16"/>
  <c r="H57" i="16"/>
  <c r="R57" i="16" s="1"/>
  <c r="I56" i="16"/>
  <c r="H56" i="16"/>
  <c r="R56" i="16" s="1"/>
  <c r="I55" i="16"/>
  <c r="H55" i="16"/>
  <c r="R55" i="16" s="1"/>
  <c r="I54" i="16"/>
  <c r="H54" i="16"/>
  <c r="R54" i="16" s="1"/>
  <c r="I53" i="16"/>
  <c r="H53" i="16"/>
  <c r="R53" i="16" s="1"/>
  <c r="I52" i="16"/>
  <c r="H52" i="16"/>
  <c r="R52" i="16" s="1"/>
  <c r="I51" i="16"/>
  <c r="H51" i="16"/>
  <c r="R51" i="16" s="1"/>
  <c r="I50" i="16"/>
  <c r="H50" i="16"/>
  <c r="R50" i="16" s="1"/>
  <c r="I49" i="16"/>
  <c r="H49" i="16"/>
  <c r="R49" i="16" s="1"/>
  <c r="I48" i="16"/>
  <c r="H48" i="16"/>
  <c r="R48" i="16" s="1"/>
  <c r="I47" i="16"/>
  <c r="H47" i="16"/>
  <c r="R47" i="16" s="1"/>
  <c r="I46" i="16"/>
  <c r="H46" i="16"/>
  <c r="R46" i="16" s="1"/>
  <c r="I45" i="16"/>
  <c r="H45" i="16"/>
  <c r="R45" i="16" s="1"/>
  <c r="I44" i="16"/>
  <c r="H44" i="16"/>
  <c r="R44" i="16" s="1"/>
  <c r="I43" i="16"/>
  <c r="H43" i="16"/>
  <c r="R43" i="16" s="1"/>
  <c r="I42" i="16"/>
  <c r="H42" i="16"/>
  <c r="R42" i="16" s="1"/>
  <c r="I41" i="16"/>
  <c r="H41" i="16"/>
  <c r="R41" i="16" s="1"/>
  <c r="I40" i="16"/>
  <c r="H40" i="16"/>
  <c r="R40" i="16" s="1"/>
  <c r="I39" i="16"/>
  <c r="H39" i="16"/>
  <c r="R39" i="16" s="1"/>
  <c r="I38" i="16"/>
  <c r="H38" i="16"/>
  <c r="R38" i="16" s="1"/>
  <c r="I37" i="16"/>
  <c r="H37" i="16"/>
  <c r="R37" i="16" s="1"/>
  <c r="I36" i="16"/>
  <c r="H36" i="16"/>
  <c r="R36" i="16" s="1"/>
  <c r="I35" i="16"/>
  <c r="H35" i="16"/>
  <c r="R35" i="16" s="1"/>
  <c r="I34" i="16"/>
  <c r="H34" i="16"/>
  <c r="R34" i="16" s="1"/>
  <c r="I33" i="16"/>
  <c r="H33" i="16"/>
  <c r="R33" i="16" s="1"/>
  <c r="I32" i="16"/>
  <c r="H32" i="16"/>
  <c r="R32" i="16" s="1"/>
  <c r="I31" i="16"/>
  <c r="H31" i="16"/>
  <c r="R31" i="16" s="1"/>
  <c r="I30" i="16"/>
  <c r="H30" i="16"/>
  <c r="R30" i="16" s="1"/>
  <c r="I29" i="16"/>
  <c r="H29" i="16"/>
  <c r="R29" i="16" s="1"/>
  <c r="I28" i="16"/>
  <c r="H28" i="16"/>
  <c r="R28" i="16" s="1"/>
  <c r="I27" i="16"/>
  <c r="H27" i="16"/>
  <c r="R27" i="16" s="1"/>
  <c r="I26" i="16"/>
  <c r="H26" i="16"/>
  <c r="R26" i="16" s="1"/>
  <c r="I25" i="16"/>
  <c r="H25" i="16"/>
  <c r="R25" i="16" s="1"/>
  <c r="I24" i="16"/>
  <c r="H24" i="16"/>
  <c r="R24" i="16" s="1"/>
  <c r="I23" i="16"/>
  <c r="H23" i="16"/>
  <c r="R23" i="16" s="1"/>
  <c r="I22" i="16"/>
  <c r="H22" i="16"/>
  <c r="R22" i="16" s="1"/>
  <c r="I21" i="16"/>
  <c r="H21" i="16"/>
  <c r="R21" i="16" s="1"/>
  <c r="I20" i="16"/>
  <c r="H20" i="16"/>
  <c r="R20" i="16" s="1"/>
  <c r="I19" i="16"/>
  <c r="H19" i="16"/>
  <c r="R19" i="16" s="1"/>
  <c r="I18" i="16"/>
  <c r="H18" i="16"/>
  <c r="R18" i="16" s="1"/>
  <c r="I17" i="16"/>
  <c r="H17" i="16"/>
  <c r="R17" i="16" s="1"/>
  <c r="I16" i="16"/>
  <c r="H16" i="16"/>
  <c r="R16" i="16" s="1"/>
  <c r="I15" i="16"/>
  <c r="H15" i="16"/>
  <c r="R15" i="16" s="1"/>
  <c r="I14" i="16"/>
  <c r="H14" i="16"/>
  <c r="R14" i="16" s="1"/>
  <c r="J13" i="16"/>
  <c r="I13" i="16"/>
  <c r="H13" i="16"/>
  <c r="R13" i="16" s="1"/>
  <c r="J12" i="16"/>
  <c r="I12" i="16"/>
  <c r="H12" i="16"/>
  <c r="R12" i="16" s="1"/>
  <c r="J11" i="16"/>
  <c r="I11" i="16"/>
  <c r="H11" i="16"/>
  <c r="R11" i="16" s="1"/>
  <c r="J10" i="16"/>
  <c r="I10" i="16"/>
  <c r="H10" i="16"/>
  <c r="R10" i="16" s="1"/>
  <c r="J9" i="16"/>
  <c r="I9" i="16"/>
  <c r="H9" i="16"/>
  <c r="R9" i="16" s="1"/>
  <c r="J8" i="16"/>
  <c r="I8" i="16"/>
  <c r="H8" i="16"/>
  <c r="R8" i="16" s="1"/>
  <c r="J7" i="16"/>
  <c r="I7" i="16"/>
  <c r="H7" i="16"/>
  <c r="R7" i="16" s="1"/>
  <c r="J6" i="16"/>
  <c r="I6" i="16"/>
  <c r="H6" i="16"/>
  <c r="R6" i="16" s="1"/>
  <c r="J5" i="16"/>
  <c r="I5" i="16"/>
  <c r="H5" i="16"/>
  <c r="R5" i="16" s="1"/>
  <c r="J4" i="16"/>
  <c r="I4" i="16"/>
  <c r="H4" i="16"/>
  <c r="R4" i="16" s="1"/>
  <c r="J3" i="16"/>
  <c r="I3" i="16"/>
  <c r="H3" i="16"/>
  <c r="R3" i="16" s="1"/>
  <c r="J2" i="16"/>
  <c r="I2" i="16"/>
  <c r="H2" i="16"/>
  <c r="R2" i="16" s="1"/>
  <c r="U1" i="16"/>
  <c r="J1" i="16"/>
  <c r="T1" i="16" s="1"/>
  <c r="I1" i="16"/>
  <c r="S1" i="16" s="1"/>
  <c r="H1" i="16"/>
  <c r="R1" i="16" s="1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Q4" i="14"/>
  <c r="Q3" i="14"/>
  <c r="Q2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C10" i="17" l="1"/>
  <c r="C10" i="16"/>
  <c r="C26" i="17"/>
  <c r="C26" i="16"/>
  <c r="C38" i="16"/>
  <c r="C38" i="17"/>
  <c r="C3" i="17"/>
  <c r="C3" i="16"/>
  <c r="C19" i="17"/>
  <c r="C19" i="16"/>
  <c r="C31" i="17"/>
  <c r="C31" i="16"/>
  <c r="C39" i="17"/>
  <c r="C39" i="16"/>
  <c r="C51" i="17"/>
  <c r="C51" i="16"/>
  <c r="C63" i="17"/>
  <c r="C63" i="16"/>
  <c r="C3" i="22"/>
  <c r="C3" i="21"/>
  <c r="C23" i="21"/>
  <c r="C23" i="22"/>
  <c r="C4" i="17"/>
  <c r="C4" i="16"/>
  <c r="C8" i="17"/>
  <c r="C8" i="16"/>
  <c r="C12" i="17"/>
  <c r="C12" i="16"/>
  <c r="C16" i="17"/>
  <c r="C16" i="16"/>
  <c r="C20" i="17"/>
  <c r="C20" i="16"/>
  <c r="C24" i="17"/>
  <c r="C24" i="16"/>
  <c r="C28" i="17"/>
  <c r="C28" i="16"/>
  <c r="C32" i="17"/>
  <c r="C32" i="16"/>
  <c r="C36" i="17"/>
  <c r="C36" i="16"/>
  <c r="C40" i="17"/>
  <c r="C40" i="16"/>
  <c r="C44" i="17"/>
  <c r="C44" i="16"/>
  <c r="C48" i="17"/>
  <c r="C48" i="16"/>
  <c r="C52" i="17"/>
  <c r="C52" i="16"/>
  <c r="C56" i="17"/>
  <c r="C56" i="16"/>
  <c r="C60" i="17"/>
  <c r="C60" i="16"/>
  <c r="C64" i="17"/>
  <c r="C64" i="16"/>
  <c r="C68" i="17"/>
  <c r="C68" i="16"/>
  <c r="C72" i="17"/>
  <c r="C72" i="16"/>
  <c r="C4" i="21"/>
  <c r="C4" i="22"/>
  <c r="C8" i="21"/>
  <c r="C8" i="22"/>
  <c r="C12" i="21"/>
  <c r="C12" i="22"/>
  <c r="C16" i="21"/>
  <c r="C16" i="22"/>
  <c r="C20" i="21"/>
  <c r="C20" i="22"/>
  <c r="C24" i="21"/>
  <c r="C24" i="22"/>
  <c r="C28" i="21"/>
  <c r="C28" i="22"/>
  <c r="C32" i="21"/>
  <c r="C32" i="22"/>
  <c r="C36" i="21"/>
  <c r="C36" i="22"/>
  <c r="C40" i="21"/>
  <c r="C40" i="22"/>
  <c r="C44" i="21"/>
  <c r="C44" i="22"/>
  <c r="C48" i="21"/>
  <c r="C48" i="22"/>
  <c r="C52" i="21"/>
  <c r="C52" i="22"/>
  <c r="C56" i="21"/>
  <c r="C56" i="22"/>
  <c r="C60" i="21"/>
  <c r="C60" i="22"/>
  <c r="C64" i="21"/>
  <c r="C64" i="22"/>
  <c r="C68" i="21"/>
  <c r="C68" i="22"/>
  <c r="C72" i="21"/>
  <c r="C72" i="22"/>
  <c r="C4" i="26"/>
  <c r="C4" i="28"/>
  <c r="C8" i="26"/>
  <c r="C8" i="28"/>
  <c r="C12" i="26"/>
  <c r="C12" i="28"/>
  <c r="C16" i="26"/>
  <c r="C16" i="28"/>
  <c r="C20" i="26"/>
  <c r="C20" i="28"/>
  <c r="C24" i="26"/>
  <c r="C24" i="28"/>
  <c r="C28" i="26"/>
  <c r="C28" i="28"/>
  <c r="C32" i="26"/>
  <c r="C32" i="28"/>
  <c r="C36" i="26"/>
  <c r="C36" i="28"/>
  <c r="C40" i="26"/>
  <c r="C40" i="28"/>
  <c r="C44" i="26"/>
  <c r="C44" i="28"/>
  <c r="C48" i="26"/>
  <c r="C48" i="28"/>
  <c r="C52" i="26"/>
  <c r="C52" i="28"/>
  <c r="C56" i="26"/>
  <c r="C56" i="28"/>
  <c r="C60" i="26"/>
  <c r="C60" i="28"/>
  <c r="C64" i="26"/>
  <c r="C64" i="28"/>
  <c r="C68" i="26"/>
  <c r="C68" i="28"/>
  <c r="C72" i="26"/>
  <c r="C72" i="28"/>
  <c r="I87" i="17"/>
  <c r="H88" i="17"/>
  <c r="R76" i="17"/>
  <c r="I95" i="17"/>
  <c r="H96" i="17"/>
  <c r="R84" i="17"/>
  <c r="H75" i="17"/>
  <c r="I80" i="17"/>
  <c r="H83" i="17"/>
  <c r="C6" i="16"/>
  <c r="C6" i="17"/>
  <c r="C22" i="16"/>
  <c r="C22" i="17"/>
  <c r="C42" i="17"/>
  <c r="C42" i="16"/>
  <c r="C7" i="17"/>
  <c r="C7" i="16"/>
  <c r="C15" i="17"/>
  <c r="C15" i="16"/>
  <c r="C23" i="17"/>
  <c r="C23" i="16"/>
  <c r="C35" i="17"/>
  <c r="C35" i="16"/>
  <c r="C47" i="17"/>
  <c r="C47" i="16"/>
  <c r="C59" i="17"/>
  <c r="C59" i="16"/>
  <c r="C71" i="17"/>
  <c r="C71" i="16"/>
  <c r="C15" i="21"/>
  <c r="C15" i="22"/>
  <c r="C5" i="17"/>
  <c r="C5" i="16"/>
  <c r="C9" i="17"/>
  <c r="C9" i="16"/>
  <c r="C13" i="17"/>
  <c r="C13" i="16"/>
  <c r="C17" i="17"/>
  <c r="C17" i="16"/>
  <c r="C21" i="17"/>
  <c r="C21" i="16"/>
  <c r="C25" i="17"/>
  <c r="C25" i="16"/>
  <c r="C29" i="17"/>
  <c r="C29" i="16"/>
  <c r="C33" i="17"/>
  <c r="C33" i="16"/>
  <c r="C37" i="17"/>
  <c r="C37" i="16"/>
  <c r="C41" i="17"/>
  <c r="C41" i="16"/>
  <c r="C45" i="17"/>
  <c r="C45" i="16"/>
  <c r="C49" i="17"/>
  <c r="C49" i="16"/>
  <c r="C53" i="17"/>
  <c r="C53" i="16"/>
  <c r="C57" i="17"/>
  <c r="C57" i="16"/>
  <c r="C61" i="17"/>
  <c r="C61" i="16"/>
  <c r="C65" i="17"/>
  <c r="C65" i="16"/>
  <c r="C69" i="17"/>
  <c r="C69" i="16"/>
  <c r="C73" i="17"/>
  <c r="C73" i="16"/>
  <c r="C5" i="21"/>
  <c r="C5" i="22"/>
  <c r="C9" i="21"/>
  <c r="C9" i="22"/>
  <c r="C13" i="21"/>
  <c r="C13" i="22"/>
  <c r="C17" i="21"/>
  <c r="C17" i="22"/>
  <c r="C21" i="21"/>
  <c r="C21" i="22"/>
  <c r="C25" i="21"/>
  <c r="C25" i="22"/>
  <c r="C29" i="21"/>
  <c r="C29" i="22"/>
  <c r="C33" i="21"/>
  <c r="C33" i="22"/>
  <c r="C37" i="21"/>
  <c r="C37" i="22"/>
  <c r="C41" i="21"/>
  <c r="C41" i="22"/>
  <c r="C45" i="21"/>
  <c r="C45" i="22"/>
  <c r="C49" i="21"/>
  <c r="C49" i="22"/>
  <c r="C53" i="21"/>
  <c r="C53" i="22"/>
  <c r="C57" i="21"/>
  <c r="C57" i="22"/>
  <c r="C61" i="21"/>
  <c r="C61" i="22"/>
  <c r="C65" i="21"/>
  <c r="C65" i="22"/>
  <c r="C69" i="21"/>
  <c r="C69" i="22"/>
  <c r="C73" i="21"/>
  <c r="C73" i="22"/>
  <c r="C5" i="26"/>
  <c r="C5" i="28"/>
  <c r="C9" i="26"/>
  <c r="C9" i="28"/>
  <c r="C13" i="26"/>
  <c r="C13" i="28"/>
  <c r="C17" i="26"/>
  <c r="C17" i="28"/>
  <c r="C21" i="26"/>
  <c r="C21" i="28"/>
  <c r="C25" i="26"/>
  <c r="C25" i="28"/>
  <c r="C29" i="26"/>
  <c r="C29" i="28"/>
  <c r="C33" i="26"/>
  <c r="C33" i="28"/>
  <c r="C37" i="26"/>
  <c r="C37" i="28"/>
  <c r="C41" i="26"/>
  <c r="C41" i="28"/>
  <c r="C45" i="26"/>
  <c r="C45" i="28"/>
  <c r="C49" i="26"/>
  <c r="C49" i="28"/>
  <c r="C53" i="26"/>
  <c r="C53" i="28"/>
  <c r="C57" i="26"/>
  <c r="C57" i="28"/>
  <c r="C61" i="26"/>
  <c r="C61" i="28"/>
  <c r="C65" i="26"/>
  <c r="C65" i="28"/>
  <c r="C69" i="26"/>
  <c r="C69" i="28"/>
  <c r="C73" i="26"/>
  <c r="C73" i="28"/>
  <c r="H86" i="17"/>
  <c r="R74" i="17"/>
  <c r="I93" i="17"/>
  <c r="H94" i="17"/>
  <c r="R82" i="17"/>
  <c r="R73" i="17"/>
  <c r="H85" i="17"/>
  <c r="I78" i="17"/>
  <c r="H81" i="17"/>
  <c r="C18" i="16"/>
  <c r="C18" i="17"/>
  <c r="C30" i="17"/>
  <c r="C30" i="16"/>
  <c r="C46" i="17"/>
  <c r="C46" i="16"/>
  <c r="C50" i="16"/>
  <c r="C50" i="17"/>
  <c r="C54" i="16"/>
  <c r="C54" i="17"/>
  <c r="C58" i="17"/>
  <c r="C58" i="16"/>
  <c r="C62" i="17"/>
  <c r="C62" i="16"/>
  <c r="C66" i="16"/>
  <c r="C66" i="17"/>
  <c r="C70" i="16"/>
  <c r="C70" i="17"/>
  <c r="C2" i="21"/>
  <c r="C2" i="22"/>
  <c r="C6" i="21"/>
  <c r="C6" i="22"/>
  <c r="C10" i="21"/>
  <c r="C10" i="22"/>
  <c r="C14" i="21"/>
  <c r="C14" i="22"/>
  <c r="C18" i="21"/>
  <c r="C18" i="22"/>
  <c r="C22" i="21"/>
  <c r="C22" i="22"/>
  <c r="C26" i="21"/>
  <c r="C26" i="22"/>
  <c r="C30" i="21"/>
  <c r="C30" i="22"/>
  <c r="C34" i="21"/>
  <c r="C34" i="22"/>
  <c r="C38" i="21"/>
  <c r="C38" i="22"/>
  <c r="C42" i="21"/>
  <c r="C42" i="22"/>
  <c r="C46" i="21"/>
  <c r="C46" i="22"/>
  <c r="C50" i="21"/>
  <c r="C50" i="22"/>
  <c r="C54" i="21"/>
  <c r="C54" i="22"/>
  <c r="C58" i="21"/>
  <c r="C58" i="22"/>
  <c r="C62" i="21"/>
  <c r="C62" i="22"/>
  <c r="C66" i="21"/>
  <c r="C66" i="22"/>
  <c r="C70" i="21"/>
  <c r="C70" i="22"/>
  <c r="C2" i="26"/>
  <c r="C2" i="28"/>
  <c r="C6" i="26"/>
  <c r="C6" i="28"/>
  <c r="C10" i="26"/>
  <c r="C10" i="28"/>
  <c r="C14" i="26"/>
  <c r="C14" i="28"/>
  <c r="C18" i="26"/>
  <c r="C18" i="28"/>
  <c r="C22" i="26"/>
  <c r="C22" i="28"/>
  <c r="C26" i="26"/>
  <c r="C26" i="28"/>
  <c r="C30" i="26"/>
  <c r="C30" i="28"/>
  <c r="C34" i="26"/>
  <c r="C34" i="28"/>
  <c r="C38" i="26"/>
  <c r="C38" i="28"/>
  <c r="C42" i="26"/>
  <c r="C42" i="28"/>
  <c r="C46" i="26"/>
  <c r="C46" i="28"/>
  <c r="C50" i="26"/>
  <c r="C50" i="28"/>
  <c r="C54" i="26"/>
  <c r="C54" i="28"/>
  <c r="C58" i="26"/>
  <c r="C58" i="28"/>
  <c r="C62" i="26"/>
  <c r="C62" i="28"/>
  <c r="C66" i="26"/>
  <c r="C66" i="28"/>
  <c r="C70" i="26"/>
  <c r="C70" i="28"/>
  <c r="I91" i="17"/>
  <c r="H92" i="17"/>
  <c r="R80" i="17"/>
  <c r="I84" i="17"/>
  <c r="I76" i="17"/>
  <c r="H79" i="17"/>
  <c r="C2" i="16"/>
  <c r="C2" i="17"/>
  <c r="C14" i="17"/>
  <c r="C14" i="16"/>
  <c r="C34" i="16"/>
  <c r="C34" i="17"/>
  <c r="C11" i="17"/>
  <c r="C11" i="16"/>
  <c r="C27" i="17"/>
  <c r="C27" i="16"/>
  <c r="C43" i="17"/>
  <c r="C43" i="16"/>
  <c r="C55" i="17"/>
  <c r="C55" i="16"/>
  <c r="C67" i="17"/>
  <c r="C67" i="16"/>
  <c r="C7" i="21"/>
  <c r="C7" i="22"/>
  <c r="C11" i="21"/>
  <c r="C11" i="22"/>
  <c r="C19" i="22"/>
  <c r="C19" i="21"/>
  <c r="C27" i="21"/>
  <c r="C27" i="22"/>
  <c r="C31" i="21"/>
  <c r="C31" i="22"/>
  <c r="C35" i="22"/>
  <c r="C35" i="21"/>
  <c r="C39" i="21"/>
  <c r="C39" i="22"/>
  <c r="C43" i="21"/>
  <c r="C43" i="22"/>
  <c r="C47" i="21"/>
  <c r="C47" i="22"/>
  <c r="C51" i="22"/>
  <c r="C51" i="21"/>
  <c r="C55" i="21"/>
  <c r="C55" i="22"/>
  <c r="C59" i="21"/>
  <c r="C59" i="22"/>
  <c r="C63" i="21"/>
  <c r="C63" i="22"/>
  <c r="C67" i="22"/>
  <c r="C67" i="21"/>
  <c r="C71" i="21"/>
  <c r="C71" i="22"/>
  <c r="C3" i="26"/>
  <c r="C3" i="28"/>
  <c r="C7" i="26"/>
  <c r="C7" i="28"/>
  <c r="C11" i="26"/>
  <c r="C11" i="28"/>
  <c r="C15" i="26"/>
  <c r="C15" i="28"/>
  <c r="C19" i="26"/>
  <c r="C19" i="28"/>
  <c r="C23" i="26"/>
  <c r="C23" i="28"/>
  <c r="C27" i="26"/>
  <c r="C27" i="28"/>
  <c r="C31" i="26"/>
  <c r="C31" i="28"/>
  <c r="C35" i="26"/>
  <c r="C35" i="28"/>
  <c r="C39" i="26"/>
  <c r="C39" i="28"/>
  <c r="C43" i="26"/>
  <c r="C43" i="28"/>
  <c r="C47" i="26"/>
  <c r="C47" i="28"/>
  <c r="C51" i="26"/>
  <c r="C51" i="28"/>
  <c r="C55" i="26"/>
  <c r="C55" i="28"/>
  <c r="C59" i="26"/>
  <c r="C59" i="28"/>
  <c r="C63" i="26"/>
  <c r="C63" i="28"/>
  <c r="C67" i="26"/>
  <c r="C67" i="28"/>
  <c r="C71" i="26"/>
  <c r="C71" i="28"/>
  <c r="I89" i="17"/>
  <c r="H90" i="17"/>
  <c r="R78" i="17"/>
  <c r="I97" i="17"/>
  <c r="I74" i="17"/>
  <c r="H77" i="17"/>
  <c r="I82" i="17"/>
  <c r="R62" i="17"/>
  <c r="R64" i="17"/>
  <c r="R66" i="17"/>
  <c r="R68" i="17"/>
  <c r="R70" i="17"/>
  <c r="R72" i="17"/>
  <c r="C31" i="34"/>
  <c r="C23" i="34"/>
  <c r="C39" i="34"/>
  <c r="C15" i="34"/>
  <c r="C47" i="34"/>
  <c r="C7" i="34"/>
  <c r="L16" i="29"/>
  <c r="L17" i="29" s="1"/>
  <c r="L18" i="29" s="1"/>
  <c r="L19" i="29" s="1"/>
  <c r="G16" i="29"/>
  <c r="G17" i="29" s="1"/>
  <c r="G18" i="29" s="1"/>
  <c r="G19" i="29" s="1"/>
  <c r="I94" i="17" l="1"/>
  <c r="H104" i="17"/>
  <c r="R92" i="17"/>
  <c r="R81" i="17"/>
  <c r="H93" i="17"/>
  <c r="H87" i="17"/>
  <c r="R75" i="17"/>
  <c r="I107" i="17"/>
  <c r="H89" i="17"/>
  <c r="R77" i="17"/>
  <c r="R79" i="17"/>
  <c r="H91" i="17"/>
  <c r="I90" i="17"/>
  <c r="I105" i="17"/>
  <c r="I86" i="17"/>
  <c r="H102" i="17"/>
  <c r="R90" i="17"/>
  <c r="I88" i="17"/>
  <c r="I103" i="17"/>
  <c r="R85" i="17"/>
  <c r="H97" i="17"/>
  <c r="H95" i="17"/>
  <c r="R83" i="17"/>
  <c r="R96" i="17"/>
  <c r="H108" i="17"/>
  <c r="H100" i="17"/>
  <c r="R88" i="17"/>
  <c r="I109" i="17"/>
  <c r="I101" i="17"/>
  <c r="I96" i="17"/>
  <c r="H106" i="17"/>
  <c r="R94" i="17"/>
  <c r="R86" i="17"/>
  <c r="H98" i="17"/>
  <c r="I92" i="17"/>
  <c r="I99" i="17"/>
  <c r="D48" i="35"/>
  <c r="D38" i="35"/>
  <c r="D28" i="35"/>
  <c r="D18" i="35"/>
  <c r="D8" i="35"/>
  <c r="I111" i="17" l="1"/>
  <c r="H118" i="17"/>
  <c r="R106" i="17"/>
  <c r="I100" i="17"/>
  <c r="R102" i="17"/>
  <c r="H114" i="17"/>
  <c r="H101" i="17"/>
  <c r="R89" i="17"/>
  <c r="I119" i="17"/>
  <c r="H99" i="17"/>
  <c r="R87" i="17"/>
  <c r="H120" i="17"/>
  <c r="R108" i="17"/>
  <c r="I106" i="17"/>
  <c r="I104" i="17"/>
  <c r="I113" i="17"/>
  <c r="I121" i="17"/>
  <c r="H112" i="17"/>
  <c r="R100" i="17"/>
  <c r="R95" i="17"/>
  <c r="H107" i="17"/>
  <c r="I115" i="17"/>
  <c r="H116" i="17"/>
  <c r="R104" i="17"/>
  <c r="H110" i="17"/>
  <c r="R98" i="17"/>
  <c r="I108" i="17"/>
  <c r="H109" i="17"/>
  <c r="R97" i="17"/>
  <c r="I98" i="17"/>
  <c r="I117" i="17"/>
  <c r="I102" i="17"/>
  <c r="H103" i="17"/>
  <c r="R91" i="17"/>
  <c r="R93" i="17"/>
  <c r="H105" i="17"/>
  <c r="Q53" i="19"/>
  <c r="P53" i="19"/>
  <c r="O53" i="19"/>
  <c r="N53" i="19"/>
  <c r="M53" i="19"/>
  <c r="L53" i="19"/>
  <c r="K53" i="19"/>
  <c r="J53" i="19"/>
  <c r="I53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H117" i="17" l="1"/>
  <c r="R105" i="17"/>
  <c r="I110" i="17"/>
  <c r="H126" i="17"/>
  <c r="R114" i="17"/>
  <c r="I114" i="17"/>
  <c r="I120" i="17"/>
  <c r="H128" i="17"/>
  <c r="R116" i="17"/>
  <c r="I127" i="17"/>
  <c r="I133" i="17"/>
  <c r="I118" i="17"/>
  <c r="H111" i="17"/>
  <c r="R99" i="17"/>
  <c r="H119" i="17"/>
  <c r="R107" i="17"/>
  <c r="I123" i="17"/>
  <c r="H115" i="17"/>
  <c r="R103" i="17"/>
  <c r="I129" i="17"/>
  <c r="H121" i="17"/>
  <c r="R109" i="17"/>
  <c r="R110" i="17"/>
  <c r="H122" i="17"/>
  <c r="H124" i="17"/>
  <c r="R112" i="17"/>
  <c r="I125" i="17"/>
  <c r="I116" i="17"/>
  <c r="H132" i="17"/>
  <c r="R120" i="17"/>
  <c r="I131" i="17"/>
  <c r="H113" i="17"/>
  <c r="R101" i="17"/>
  <c r="I112" i="17"/>
  <c r="H130" i="17"/>
  <c r="R118" i="17"/>
  <c r="W15" i="31"/>
  <c r="W14" i="31"/>
  <c r="W13" i="31"/>
  <c r="W12" i="31"/>
  <c r="W11" i="31"/>
  <c r="H134" i="17" l="1"/>
  <c r="R134" i="17" s="1"/>
  <c r="R122" i="17"/>
  <c r="H142" i="17"/>
  <c r="R142" i="17" s="1"/>
  <c r="R130" i="17"/>
  <c r="I124" i="17"/>
  <c r="H125" i="17"/>
  <c r="R113" i="17"/>
  <c r="H144" i="17"/>
  <c r="R144" i="17" s="1"/>
  <c r="R132" i="17"/>
  <c r="I128" i="17"/>
  <c r="I137" i="17"/>
  <c r="I141" i="17"/>
  <c r="I135" i="17"/>
  <c r="I130" i="17"/>
  <c r="H140" i="17"/>
  <c r="R140" i="17" s="1"/>
  <c r="R128" i="17"/>
  <c r="I132" i="17"/>
  <c r="H138" i="17"/>
  <c r="R138" i="17" s="1"/>
  <c r="R126" i="17"/>
  <c r="I122" i="17"/>
  <c r="I143" i="17"/>
  <c r="H136" i="17"/>
  <c r="R136" i="17" s="1"/>
  <c r="R124" i="17"/>
  <c r="H133" i="17"/>
  <c r="R121" i="17"/>
  <c r="H127" i="17"/>
  <c r="R115" i="17"/>
  <c r="H131" i="17"/>
  <c r="R119" i="17"/>
  <c r="H123" i="17"/>
  <c r="R111" i="17"/>
  <c r="I145" i="17"/>
  <c r="I139" i="17"/>
  <c r="I126" i="17"/>
  <c r="H129" i="17"/>
  <c r="R117" i="17"/>
  <c r="D41" i="32"/>
  <c r="E10" i="29"/>
  <c r="C41" i="32" s="1"/>
  <c r="H145" i="17" l="1"/>
  <c r="R145" i="17" s="1"/>
  <c r="R133" i="17"/>
  <c r="H139" i="17"/>
  <c r="R139" i="17" s="1"/>
  <c r="R127" i="17"/>
  <c r="I134" i="17"/>
  <c r="I144" i="17"/>
  <c r="I140" i="17"/>
  <c r="I136" i="17"/>
  <c r="H141" i="17"/>
  <c r="R141" i="17" s="1"/>
  <c r="R129" i="17"/>
  <c r="I138" i="17"/>
  <c r="H135" i="17"/>
  <c r="R135" i="17" s="1"/>
  <c r="R123" i="17"/>
  <c r="H143" i="17"/>
  <c r="R143" i="17" s="1"/>
  <c r="R131" i="17"/>
  <c r="I142" i="17"/>
  <c r="H137" i="17"/>
  <c r="R137" i="17" s="1"/>
  <c r="R125" i="17"/>
  <c r="I73" i="28" l="1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I2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3" i="28"/>
  <c r="G2" i="28"/>
  <c r="L1" i="28"/>
  <c r="K1" i="28"/>
  <c r="J1" i="28"/>
  <c r="I1" i="28"/>
  <c r="H1" i="28"/>
  <c r="G1" i="28"/>
  <c r="F1" i="28"/>
  <c r="E1" i="28"/>
  <c r="D1" i="28"/>
  <c r="L73" i="27"/>
  <c r="L85" i="27" s="1"/>
  <c r="L97" i="27" s="1"/>
  <c r="L109" i="27" s="1"/>
  <c r="L121" i="27" s="1"/>
  <c r="L133" i="27" s="1"/>
  <c r="L145" i="27" s="1"/>
  <c r="X145" i="27" s="1"/>
  <c r="K73" i="27"/>
  <c r="J73" i="27"/>
  <c r="J85" i="27" s="1"/>
  <c r="J97" i="27" s="1"/>
  <c r="J109" i="27" s="1"/>
  <c r="J121" i="27" s="1"/>
  <c r="J133" i="27" s="1"/>
  <c r="J145" i="27" s="1"/>
  <c r="I73" i="27"/>
  <c r="I85" i="27" s="1"/>
  <c r="I97" i="27" s="1"/>
  <c r="I109" i="27" s="1"/>
  <c r="I121" i="27" s="1"/>
  <c r="I133" i="27" s="1"/>
  <c r="I145" i="27" s="1"/>
  <c r="G73" i="27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F73" i="27"/>
  <c r="L72" i="27"/>
  <c r="L84" i="27" s="1"/>
  <c r="L96" i="27" s="1"/>
  <c r="L108" i="27" s="1"/>
  <c r="L120" i="27" s="1"/>
  <c r="L132" i="27" s="1"/>
  <c r="L144" i="27" s="1"/>
  <c r="X144" i="27" s="1"/>
  <c r="K72" i="27"/>
  <c r="K84" i="27" s="1"/>
  <c r="K96" i="27" s="1"/>
  <c r="K108" i="27" s="1"/>
  <c r="K120" i="27" s="1"/>
  <c r="K132" i="27" s="1"/>
  <c r="K144" i="27" s="1"/>
  <c r="W144" i="27" s="1"/>
  <c r="J72" i="27"/>
  <c r="J84" i="27" s="1"/>
  <c r="J96" i="27" s="1"/>
  <c r="J108" i="27" s="1"/>
  <c r="J120" i="27" s="1"/>
  <c r="J132" i="27" s="1"/>
  <c r="J144" i="27" s="1"/>
  <c r="I72" i="27"/>
  <c r="I84" i="27" s="1"/>
  <c r="I96" i="27" s="1"/>
  <c r="I108" i="27" s="1"/>
  <c r="I120" i="27" s="1"/>
  <c r="I132" i="27" s="1"/>
  <c r="I144" i="27" s="1"/>
  <c r="G72" i="27"/>
  <c r="F72" i="27"/>
  <c r="L71" i="27"/>
  <c r="K71" i="27"/>
  <c r="K83" i="27" s="1"/>
  <c r="K95" i="27" s="1"/>
  <c r="K107" i="27" s="1"/>
  <c r="K119" i="27" s="1"/>
  <c r="K131" i="27" s="1"/>
  <c r="K143" i="27" s="1"/>
  <c r="W143" i="27" s="1"/>
  <c r="J71" i="27"/>
  <c r="J83" i="27" s="1"/>
  <c r="J95" i="27" s="1"/>
  <c r="J107" i="27" s="1"/>
  <c r="J119" i="27" s="1"/>
  <c r="J131" i="27" s="1"/>
  <c r="J143" i="27" s="1"/>
  <c r="I71" i="27"/>
  <c r="I83" i="27" s="1"/>
  <c r="I95" i="27" s="1"/>
  <c r="I107" i="27" s="1"/>
  <c r="I119" i="27" s="1"/>
  <c r="I131" i="27" s="1"/>
  <c r="I143" i="27" s="1"/>
  <c r="G71" i="27"/>
  <c r="F71" i="27"/>
  <c r="L70" i="27"/>
  <c r="L82" i="27" s="1"/>
  <c r="L94" i="27" s="1"/>
  <c r="L106" i="27" s="1"/>
  <c r="L118" i="27" s="1"/>
  <c r="L130" i="27" s="1"/>
  <c r="L142" i="27" s="1"/>
  <c r="X142" i="27" s="1"/>
  <c r="K70" i="27"/>
  <c r="J70" i="27"/>
  <c r="J82" i="27" s="1"/>
  <c r="J94" i="27" s="1"/>
  <c r="J106" i="27" s="1"/>
  <c r="J118" i="27" s="1"/>
  <c r="J130" i="27" s="1"/>
  <c r="J142" i="27" s="1"/>
  <c r="I70" i="27"/>
  <c r="I82" i="27" s="1"/>
  <c r="I94" i="27" s="1"/>
  <c r="I106" i="27" s="1"/>
  <c r="I118" i="27" s="1"/>
  <c r="I130" i="27" s="1"/>
  <c r="I142" i="27" s="1"/>
  <c r="G70" i="27"/>
  <c r="F70" i="27"/>
  <c r="L69" i="27"/>
  <c r="L81" i="27" s="1"/>
  <c r="L93" i="27" s="1"/>
  <c r="L105" i="27" s="1"/>
  <c r="L117" i="27" s="1"/>
  <c r="L129" i="27" s="1"/>
  <c r="L141" i="27" s="1"/>
  <c r="X141" i="27" s="1"/>
  <c r="K69" i="27"/>
  <c r="K81" i="27" s="1"/>
  <c r="K93" i="27" s="1"/>
  <c r="K105" i="27" s="1"/>
  <c r="K117" i="27" s="1"/>
  <c r="K129" i="27" s="1"/>
  <c r="K141" i="27" s="1"/>
  <c r="W141" i="27" s="1"/>
  <c r="J69" i="27"/>
  <c r="J81" i="27" s="1"/>
  <c r="J93" i="27" s="1"/>
  <c r="J105" i="27" s="1"/>
  <c r="J117" i="27" s="1"/>
  <c r="J129" i="27" s="1"/>
  <c r="J141" i="27" s="1"/>
  <c r="I69" i="27"/>
  <c r="I81" i="27" s="1"/>
  <c r="I93" i="27" s="1"/>
  <c r="I105" i="27" s="1"/>
  <c r="I117" i="27" s="1"/>
  <c r="I129" i="27" s="1"/>
  <c r="I141" i="27" s="1"/>
  <c r="G69" i="27"/>
  <c r="F69" i="27"/>
  <c r="L68" i="27"/>
  <c r="L80" i="27" s="1"/>
  <c r="L92" i="27" s="1"/>
  <c r="L104" i="27" s="1"/>
  <c r="L116" i="27" s="1"/>
  <c r="L128" i="27" s="1"/>
  <c r="L140" i="27" s="1"/>
  <c r="X140" i="27" s="1"/>
  <c r="K68" i="27"/>
  <c r="K80" i="27" s="1"/>
  <c r="K92" i="27" s="1"/>
  <c r="K104" i="27" s="1"/>
  <c r="K116" i="27" s="1"/>
  <c r="K128" i="27" s="1"/>
  <c r="K140" i="27" s="1"/>
  <c r="W140" i="27" s="1"/>
  <c r="J68" i="27"/>
  <c r="J80" i="27" s="1"/>
  <c r="J92" i="27" s="1"/>
  <c r="J104" i="27" s="1"/>
  <c r="J116" i="27" s="1"/>
  <c r="J128" i="27" s="1"/>
  <c r="J140" i="27" s="1"/>
  <c r="I68" i="27"/>
  <c r="I80" i="27" s="1"/>
  <c r="I92" i="27" s="1"/>
  <c r="I104" i="27" s="1"/>
  <c r="I116" i="27" s="1"/>
  <c r="I128" i="27" s="1"/>
  <c r="I140" i="27" s="1"/>
  <c r="G68" i="27"/>
  <c r="F68" i="27"/>
  <c r="L67" i="27"/>
  <c r="L79" i="27" s="1"/>
  <c r="L91" i="27" s="1"/>
  <c r="L103" i="27" s="1"/>
  <c r="L115" i="27" s="1"/>
  <c r="L127" i="27" s="1"/>
  <c r="L139" i="27" s="1"/>
  <c r="X139" i="27" s="1"/>
  <c r="K67" i="27"/>
  <c r="K79" i="27" s="1"/>
  <c r="K91" i="27" s="1"/>
  <c r="K103" i="27" s="1"/>
  <c r="K115" i="27" s="1"/>
  <c r="K127" i="27" s="1"/>
  <c r="K139" i="27" s="1"/>
  <c r="W139" i="27" s="1"/>
  <c r="J67" i="27"/>
  <c r="J79" i="27" s="1"/>
  <c r="J91" i="27" s="1"/>
  <c r="J103" i="27" s="1"/>
  <c r="J115" i="27" s="1"/>
  <c r="J127" i="27" s="1"/>
  <c r="J139" i="27" s="1"/>
  <c r="I67" i="27"/>
  <c r="I79" i="27" s="1"/>
  <c r="I91" i="27" s="1"/>
  <c r="I103" i="27" s="1"/>
  <c r="I115" i="27" s="1"/>
  <c r="I127" i="27" s="1"/>
  <c r="I139" i="27" s="1"/>
  <c r="G67" i="27"/>
  <c r="F67" i="27"/>
  <c r="L66" i="27"/>
  <c r="L78" i="27" s="1"/>
  <c r="L90" i="27" s="1"/>
  <c r="L102" i="27" s="1"/>
  <c r="L114" i="27" s="1"/>
  <c r="L126" i="27" s="1"/>
  <c r="L138" i="27" s="1"/>
  <c r="X138" i="27" s="1"/>
  <c r="K66" i="27"/>
  <c r="K78" i="27" s="1"/>
  <c r="K90" i="27" s="1"/>
  <c r="K102" i="27" s="1"/>
  <c r="K114" i="27" s="1"/>
  <c r="K126" i="27" s="1"/>
  <c r="K138" i="27" s="1"/>
  <c r="W138" i="27" s="1"/>
  <c r="J66" i="27"/>
  <c r="J78" i="27" s="1"/>
  <c r="J90" i="27" s="1"/>
  <c r="J102" i="27" s="1"/>
  <c r="J114" i="27" s="1"/>
  <c r="J126" i="27" s="1"/>
  <c r="J138" i="27" s="1"/>
  <c r="I66" i="27"/>
  <c r="I78" i="27" s="1"/>
  <c r="I90" i="27" s="1"/>
  <c r="I102" i="27" s="1"/>
  <c r="I114" i="27" s="1"/>
  <c r="I126" i="27" s="1"/>
  <c r="I138" i="27" s="1"/>
  <c r="G66" i="27"/>
  <c r="F66" i="27"/>
  <c r="L65" i="27"/>
  <c r="L77" i="27" s="1"/>
  <c r="L89" i="27" s="1"/>
  <c r="L101" i="27" s="1"/>
  <c r="L113" i="27" s="1"/>
  <c r="L125" i="27" s="1"/>
  <c r="L137" i="27" s="1"/>
  <c r="X137" i="27" s="1"/>
  <c r="K65" i="27"/>
  <c r="K77" i="27" s="1"/>
  <c r="K89" i="27" s="1"/>
  <c r="K101" i="27" s="1"/>
  <c r="K113" i="27" s="1"/>
  <c r="K125" i="27" s="1"/>
  <c r="K137" i="27" s="1"/>
  <c r="W137" i="27" s="1"/>
  <c r="J65" i="27"/>
  <c r="J77" i="27" s="1"/>
  <c r="J89" i="27" s="1"/>
  <c r="J101" i="27" s="1"/>
  <c r="J113" i="27" s="1"/>
  <c r="J125" i="27" s="1"/>
  <c r="J137" i="27" s="1"/>
  <c r="I65" i="27"/>
  <c r="I77" i="27" s="1"/>
  <c r="I89" i="27" s="1"/>
  <c r="I101" i="27" s="1"/>
  <c r="I113" i="27" s="1"/>
  <c r="I125" i="27" s="1"/>
  <c r="I137" i="27" s="1"/>
  <c r="G65" i="27"/>
  <c r="F65" i="27"/>
  <c r="L64" i="27"/>
  <c r="L76" i="27" s="1"/>
  <c r="L88" i="27" s="1"/>
  <c r="L100" i="27" s="1"/>
  <c r="L112" i="27" s="1"/>
  <c r="L124" i="27" s="1"/>
  <c r="L136" i="27" s="1"/>
  <c r="X136" i="27" s="1"/>
  <c r="K64" i="27"/>
  <c r="K76" i="27" s="1"/>
  <c r="K88" i="27" s="1"/>
  <c r="K100" i="27" s="1"/>
  <c r="K112" i="27" s="1"/>
  <c r="K124" i="27" s="1"/>
  <c r="K136" i="27" s="1"/>
  <c r="W136" i="27" s="1"/>
  <c r="J64" i="27"/>
  <c r="J76" i="27" s="1"/>
  <c r="J88" i="27" s="1"/>
  <c r="J100" i="27" s="1"/>
  <c r="J112" i="27" s="1"/>
  <c r="J124" i="27" s="1"/>
  <c r="J136" i="27" s="1"/>
  <c r="I64" i="27"/>
  <c r="I76" i="27" s="1"/>
  <c r="I88" i="27" s="1"/>
  <c r="I100" i="27" s="1"/>
  <c r="I112" i="27" s="1"/>
  <c r="I124" i="27" s="1"/>
  <c r="I136" i="27" s="1"/>
  <c r="G64" i="27"/>
  <c r="F64" i="27"/>
  <c r="L63" i="27"/>
  <c r="L75" i="27" s="1"/>
  <c r="L87" i="27" s="1"/>
  <c r="L99" i="27" s="1"/>
  <c r="L111" i="27" s="1"/>
  <c r="L123" i="27" s="1"/>
  <c r="L135" i="27" s="1"/>
  <c r="X135" i="27" s="1"/>
  <c r="K63" i="27"/>
  <c r="K75" i="27" s="1"/>
  <c r="K87" i="27" s="1"/>
  <c r="K99" i="27" s="1"/>
  <c r="K111" i="27" s="1"/>
  <c r="K123" i="27" s="1"/>
  <c r="K135" i="27" s="1"/>
  <c r="W135" i="27" s="1"/>
  <c r="J63" i="27"/>
  <c r="J75" i="27" s="1"/>
  <c r="J87" i="27" s="1"/>
  <c r="J99" i="27" s="1"/>
  <c r="J111" i="27" s="1"/>
  <c r="J123" i="27" s="1"/>
  <c r="J135" i="27" s="1"/>
  <c r="I63" i="27"/>
  <c r="I75" i="27" s="1"/>
  <c r="I87" i="27" s="1"/>
  <c r="I99" i="27" s="1"/>
  <c r="I111" i="27" s="1"/>
  <c r="I123" i="27" s="1"/>
  <c r="I135" i="27" s="1"/>
  <c r="G63" i="27"/>
  <c r="F63" i="27"/>
  <c r="L62" i="27"/>
  <c r="L74" i="27" s="1"/>
  <c r="L86" i="27" s="1"/>
  <c r="L98" i="27" s="1"/>
  <c r="L110" i="27" s="1"/>
  <c r="L122" i="27" s="1"/>
  <c r="L134" i="27" s="1"/>
  <c r="X134" i="27" s="1"/>
  <c r="K62" i="27"/>
  <c r="K74" i="27" s="1"/>
  <c r="K86" i="27" s="1"/>
  <c r="K98" i="27" s="1"/>
  <c r="K110" i="27" s="1"/>
  <c r="K122" i="27" s="1"/>
  <c r="K134" i="27" s="1"/>
  <c r="W134" i="27" s="1"/>
  <c r="J62" i="27"/>
  <c r="J74" i="27" s="1"/>
  <c r="J86" i="27" s="1"/>
  <c r="J98" i="27" s="1"/>
  <c r="J110" i="27" s="1"/>
  <c r="J122" i="27" s="1"/>
  <c r="J134" i="27" s="1"/>
  <c r="I62" i="27"/>
  <c r="I74" i="27" s="1"/>
  <c r="I86" i="27" s="1"/>
  <c r="I98" i="27" s="1"/>
  <c r="I110" i="27" s="1"/>
  <c r="I122" i="27" s="1"/>
  <c r="I134" i="27" s="1"/>
  <c r="G62" i="27"/>
  <c r="F62" i="27"/>
  <c r="L61" i="27"/>
  <c r="X61" i="27" s="1"/>
  <c r="K61" i="27"/>
  <c r="W61" i="27" s="1"/>
  <c r="J61" i="27"/>
  <c r="I61" i="27"/>
  <c r="G61" i="27"/>
  <c r="F61" i="27"/>
  <c r="L60" i="27"/>
  <c r="X60" i="27" s="1"/>
  <c r="K60" i="27"/>
  <c r="W60" i="27" s="1"/>
  <c r="J60" i="27"/>
  <c r="I60" i="27"/>
  <c r="G60" i="27"/>
  <c r="F60" i="27"/>
  <c r="L59" i="27"/>
  <c r="X59" i="27" s="1"/>
  <c r="K59" i="27"/>
  <c r="W59" i="27" s="1"/>
  <c r="J59" i="27"/>
  <c r="I59" i="27"/>
  <c r="G59" i="27"/>
  <c r="F59" i="27"/>
  <c r="L58" i="27"/>
  <c r="X58" i="27" s="1"/>
  <c r="K58" i="27"/>
  <c r="W58" i="27" s="1"/>
  <c r="J58" i="27"/>
  <c r="I58" i="27"/>
  <c r="G58" i="27"/>
  <c r="F58" i="27"/>
  <c r="L57" i="27"/>
  <c r="X57" i="27" s="1"/>
  <c r="K57" i="27"/>
  <c r="W57" i="27" s="1"/>
  <c r="J57" i="27"/>
  <c r="I57" i="27"/>
  <c r="G57" i="27"/>
  <c r="F57" i="27"/>
  <c r="L56" i="27"/>
  <c r="X56" i="27" s="1"/>
  <c r="K56" i="27"/>
  <c r="W56" i="27" s="1"/>
  <c r="J56" i="27"/>
  <c r="I56" i="27"/>
  <c r="G56" i="27"/>
  <c r="F56" i="27"/>
  <c r="L55" i="27"/>
  <c r="X55" i="27" s="1"/>
  <c r="K55" i="27"/>
  <c r="W55" i="27" s="1"/>
  <c r="J55" i="27"/>
  <c r="I55" i="27"/>
  <c r="G55" i="27"/>
  <c r="F55" i="27"/>
  <c r="L54" i="27"/>
  <c r="X54" i="27" s="1"/>
  <c r="K54" i="27"/>
  <c r="W54" i="27" s="1"/>
  <c r="J54" i="27"/>
  <c r="I54" i="27"/>
  <c r="G54" i="27"/>
  <c r="F54" i="27"/>
  <c r="L53" i="27"/>
  <c r="X53" i="27" s="1"/>
  <c r="K53" i="27"/>
  <c r="W53" i="27" s="1"/>
  <c r="J53" i="27"/>
  <c r="I53" i="27"/>
  <c r="G53" i="27"/>
  <c r="F53" i="27"/>
  <c r="L52" i="27"/>
  <c r="X52" i="27" s="1"/>
  <c r="K52" i="27"/>
  <c r="W52" i="27" s="1"/>
  <c r="J52" i="27"/>
  <c r="I52" i="27"/>
  <c r="G52" i="27"/>
  <c r="F52" i="27"/>
  <c r="L51" i="27"/>
  <c r="X51" i="27" s="1"/>
  <c r="K51" i="27"/>
  <c r="W51" i="27" s="1"/>
  <c r="J51" i="27"/>
  <c r="I51" i="27"/>
  <c r="G51" i="27"/>
  <c r="F51" i="27"/>
  <c r="L50" i="27"/>
  <c r="X50" i="27" s="1"/>
  <c r="K50" i="27"/>
  <c r="W50" i="27" s="1"/>
  <c r="J50" i="27"/>
  <c r="I50" i="27"/>
  <c r="G50" i="27"/>
  <c r="F50" i="27"/>
  <c r="L49" i="27"/>
  <c r="X49" i="27" s="1"/>
  <c r="K49" i="27"/>
  <c r="W49" i="27" s="1"/>
  <c r="J49" i="27"/>
  <c r="I49" i="27"/>
  <c r="G49" i="27"/>
  <c r="F49" i="27"/>
  <c r="L48" i="27"/>
  <c r="X48" i="27" s="1"/>
  <c r="K48" i="27"/>
  <c r="W48" i="27" s="1"/>
  <c r="J48" i="27"/>
  <c r="I48" i="27"/>
  <c r="G48" i="27"/>
  <c r="F48" i="27"/>
  <c r="L47" i="27"/>
  <c r="X47" i="27" s="1"/>
  <c r="K47" i="27"/>
  <c r="W47" i="27" s="1"/>
  <c r="J47" i="27"/>
  <c r="I47" i="27"/>
  <c r="G47" i="27"/>
  <c r="F47" i="27"/>
  <c r="L46" i="27"/>
  <c r="X46" i="27" s="1"/>
  <c r="K46" i="27"/>
  <c r="W46" i="27" s="1"/>
  <c r="J46" i="27"/>
  <c r="I46" i="27"/>
  <c r="G46" i="27"/>
  <c r="F46" i="27"/>
  <c r="L45" i="27"/>
  <c r="X45" i="27" s="1"/>
  <c r="K45" i="27"/>
  <c r="W45" i="27" s="1"/>
  <c r="J45" i="27"/>
  <c r="I45" i="27"/>
  <c r="G45" i="27"/>
  <c r="F45" i="27"/>
  <c r="L44" i="27"/>
  <c r="X44" i="27" s="1"/>
  <c r="K44" i="27"/>
  <c r="W44" i="27" s="1"/>
  <c r="J44" i="27"/>
  <c r="I44" i="27"/>
  <c r="G44" i="27"/>
  <c r="F44" i="27"/>
  <c r="L43" i="27"/>
  <c r="X43" i="27" s="1"/>
  <c r="K43" i="27"/>
  <c r="W43" i="27" s="1"/>
  <c r="J43" i="27"/>
  <c r="I43" i="27"/>
  <c r="G43" i="27"/>
  <c r="F43" i="27"/>
  <c r="L42" i="27"/>
  <c r="X42" i="27" s="1"/>
  <c r="K42" i="27"/>
  <c r="W42" i="27" s="1"/>
  <c r="J42" i="27"/>
  <c r="I42" i="27"/>
  <c r="G42" i="27"/>
  <c r="F42" i="27"/>
  <c r="L41" i="27"/>
  <c r="X41" i="27" s="1"/>
  <c r="K41" i="27"/>
  <c r="W41" i="27" s="1"/>
  <c r="J41" i="27"/>
  <c r="I41" i="27"/>
  <c r="G41" i="27"/>
  <c r="F41" i="27"/>
  <c r="L40" i="27"/>
  <c r="X40" i="27" s="1"/>
  <c r="K40" i="27"/>
  <c r="W40" i="27" s="1"/>
  <c r="J40" i="27"/>
  <c r="I40" i="27"/>
  <c r="G40" i="27"/>
  <c r="F40" i="27"/>
  <c r="L39" i="27"/>
  <c r="X39" i="27" s="1"/>
  <c r="K39" i="27"/>
  <c r="W39" i="27" s="1"/>
  <c r="J39" i="27"/>
  <c r="I39" i="27"/>
  <c r="G39" i="27"/>
  <c r="F39" i="27"/>
  <c r="L38" i="27"/>
  <c r="X38" i="27" s="1"/>
  <c r="K38" i="27"/>
  <c r="W38" i="27" s="1"/>
  <c r="J38" i="27"/>
  <c r="I38" i="27"/>
  <c r="G38" i="27"/>
  <c r="F38" i="27"/>
  <c r="L37" i="27"/>
  <c r="X37" i="27" s="1"/>
  <c r="K37" i="27"/>
  <c r="W37" i="27" s="1"/>
  <c r="J37" i="27"/>
  <c r="I37" i="27"/>
  <c r="G37" i="27"/>
  <c r="F37" i="27"/>
  <c r="L36" i="27"/>
  <c r="X36" i="27" s="1"/>
  <c r="K36" i="27"/>
  <c r="W36" i="27" s="1"/>
  <c r="J36" i="27"/>
  <c r="I36" i="27"/>
  <c r="G36" i="27"/>
  <c r="F36" i="27"/>
  <c r="L35" i="27"/>
  <c r="X35" i="27" s="1"/>
  <c r="K35" i="27"/>
  <c r="W35" i="27" s="1"/>
  <c r="J35" i="27"/>
  <c r="I35" i="27"/>
  <c r="G35" i="27"/>
  <c r="F35" i="27"/>
  <c r="L34" i="27"/>
  <c r="X34" i="27" s="1"/>
  <c r="K34" i="27"/>
  <c r="W34" i="27" s="1"/>
  <c r="J34" i="27"/>
  <c r="I34" i="27"/>
  <c r="G34" i="27"/>
  <c r="F34" i="27"/>
  <c r="L33" i="27"/>
  <c r="X33" i="27" s="1"/>
  <c r="K33" i="27"/>
  <c r="W33" i="27" s="1"/>
  <c r="J33" i="27"/>
  <c r="I33" i="27"/>
  <c r="G33" i="27"/>
  <c r="F33" i="27"/>
  <c r="L32" i="27"/>
  <c r="X32" i="27" s="1"/>
  <c r="K32" i="27"/>
  <c r="W32" i="27" s="1"/>
  <c r="J32" i="27"/>
  <c r="I32" i="27"/>
  <c r="G32" i="27"/>
  <c r="F32" i="27"/>
  <c r="L31" i="27"/>
  <c r="X31" i="27" s="1"/>
  <c r="K31" i="27"/>
  <c r="W31" i="27" s="1"/>
  <c r="J31" i="27"/>
  <c r="I31" i="27"/>
  <c r="G31" i="27"/>
  <c r="F31" i="27"/>
  <c r="L30" i="27"/>
  <c r="X30" i="27" s="1"/>
  <c r="K30" i="27"/>
  <c r="W30" i="27" s="1"/>
  <c r="J30" i="27"/>
  <c r="I30" i="27"/>
  <c r="G30" i="27"/>
  <c r="F30" i="27"/>
  <c r="L29" i="27"/>
  <c r="X29" i="27" s="1"/>
  <c r="K29" i="27"/>
  <c r="W29" i="27" s="1"/>
  <c r="J29" i="27"/>
  <c r="I29" i="27"/>
  <c r="G29" i="27"/>
  <c r="F29" i="27"/>
  <c r="L28" i="27"/>
  <c r="X28" i="27" s="1"/>
  <c r="K28" i="27"/>
  <c r="W28" i="27" s="1"/>
  <c r="J28" i="27"/>
  <c r="I28" i="27"/>
  <c r="G28" i="27"/>
  <c r="F28" i="27"/>
  <c r="L27" i="27"/>
  <c r="X27" i="27" s="1"/>
  <c r="K27" i="27"/>
  <c r="W27" i="27" s="1"/>
  <c r="J27" i="27"/>
  <c r="I27" i="27"/>
  <c r="G27" i="27"/>
  <c r="F27" i="27"/>
  <c r="L26" i="27"/>
  <c r="X26" i="27" s="1"/>
  <c r="K26" i="27"/>
  <c r="W26" i="27" s="1"/>
  <c r="J26" i="27"/>
  <c r="I26" i="27"/>
  <c r="G26" i="27"/>
  <c r="F26" i="27"/>
  <c r="L25" i="27"/>
  <c r="X25" i="27" s="1"/>
  <c r="K25" i="27"/>
  <c r="W25" i="27" s="1"/>
  <c r="J25" i="27"/>
  <c r="I25" i="27"/>
  <c r="G25" i="27"/>
  <c r="F25" i="27"/>
  <c r="L24" i="27"/>
  <c r="X24" i="27" s="1"/>
  <c r="K24" i="27"/>
  <c r="W24" i="27" s="1"/>
  <c r="J24" i="27"/>
  <c r="I24" i="27"/>
  <c r="G24" i="27"/>
  <c r="F24" i="27"/>
  <c r="L23" i="27"/>
  <c r="X23" i="27" s="1"/>
  <c r="K23" i="27"/>
  <c r="W23" i="27" s="1"/>
  <c r="J23" i="27"/>
  <c r="I23" i="27"/>
  <c r="G23" i="27"/>
  <c r="F23" i="27"/>
  <c r="L22" i="27"/>
  <c r="X22" i="27" s="1"/>
  <c r="K22" i="27"/>
  <c r="W22" i="27" s="1"/>
  <c r="J22" i="27"/>
  <c r="I22" i="27"/>
  <c r="G22" i="27"/>
  <c r="F22" i="27"/>
  <c r="L21" i="27"/>
  <c r="X21" i="27" s="1"/>
  <c r="K21" i="27"/>
  <c r="W21" i="27" s="1"/>
  <c r="J21" i="27"/>
  <c r="I21" i="27"/>
  <c r="G21" i="27"/>
  <c r="F21" i="27"/>
  <c r="L20" i="27"/>
  <c r="X20" i="27" s="1"/>
  <c r="K20" i="27"/>
  <c r="W20" i="27" s="1"/>
  <c r="J20" i="27"/>
  <c r="I20" i="27"/>
  <c r="G20" i="27"/>
  <c r="F20" i="27"/>
  <c r="L19" i="27"/>
  <c r="X19" i="27" s="1"/>
  <c r="K19" i="27"/>
  <c r="W19" i="27" s="1"/>
  <c r="J19" i="27"/>
  <c r="I19" i="27"/>
  <c r="G19" i="27"/>
  <c r="F19" i="27"/>
  <c r="L18" i="27"/>
  <c r="X18" i="27" s="1"/>
  <c r="K18" i="27"/>
  <c r="W18" i="27" s="1"/>
  <c r="J18" i="27"/>
  <c r="I18" i="27"/>
  <c r="G18" i="27"/>
  <c r="F18" i="27"/>
  <c r="L17" i="27"/>
  <c r="X17" i="27" s="1"/>
  <c r="K17" i="27"/>
  <c r="W17" i="27" s="1"/>
  <c r="J17" i="27"/>
  <c r="I17" i="27"/>
  <c r="G17" i="27"/>
  <c r="F17" i="27"/>
  <c r="L16" i="27"/>
  <c r="X16" i="27" s="1"/>
  <c r="K16" i="27"/>
  <c r="W16" i="27" s="1"/>
  <c r="J16" i="27"/>
  <c r="I16" i="27"/>
  <c r="G16" i="27"/>
  <c r="F16" i="27"/>
  <c r="L15" i="27"/>
  <c r="X15" i="27" s="1"/>
  <c r="K15" i="27"/>
  <c r="W15" i="27" s="1"/>
  <c r="J15" i="27"/>
  <c r="I15" i="27"/>
  <c r="G15" i="27"/>
  <c r="F15" i="27"/>
  <c r="L14" i="27"/>
  <c r="X14" i="27" s="1"/>
  <c r="K14" i="27"/>
  <c r="W14" i="27" s="1"/>
  <c r="J14" i="27"/>
  <c r="I14" i="27"/>
  <c r="G14" i="27"/>
  <c r="F14" i="27"/>
  <c r="M13" i="27"/>
  <c r="Y13" i="27" s="1"/>
  <c r="L13" i="27"/>
  <c r="X13" i="27" s="1"/>
  <c r="K13" i="27"/>
  <c r="W13" i="27" s="1"/>
  <c r="J13" i="27"/>
  <c r="I13" i="27"/>
  <c r="G13" i="27"/>
  <c r="F13" i="27"/>
  <c r="M12" i="27"/>
  <c r="Y12" i="27" s="1"/>
  <c r="L12" i="27"/>
  <c r="X12" i="27" s="1"/>
  <c r="K12" i="27"/>
  <c r="W12" i="27" s="1"/>
  <c r="J12" i="27"/>
  <c r="I12" i="27"/>
  <c r="G12" i="27"/>
  <c r="F12" i="27"/>
  <c r="M11" i="27"/>
  <c r="Y11" i="27" s="1"/>
  <c r="L11" i="27"/>
  <c r="X11" i="27" s="1"/>
  <c r="K11" i="27"/>
  <c r="W11" i="27" s="1"/>
  <c r="J11" i="27"/>
  <c r="I11" i="27"/>
  <c r="G11" i="27"/>
  <c r="F11" i="27"/>
  <c r="M10" i="27"/>
  <c r="Y10" i="27" s="1"/>
  <c r="L10" i="27"/>
  <c r="X10" i="27" s="1"/>
  <c r="K10" i="27"/>
  <c r="W10" i="27" s="1"/>
  <c r="J10" i="27"/>
  <c r="I10" i="27"/>
  <c r="G10" i="27"/>
  <c r="F10" i="27"/>
  <c r="M9" i="27"/>
  <c r="Y9" i="27" s="1"/>
  <c r="L9" i="27"/>
  <c r="X9" i="27" s="1"/>
  <c r="K9" i="27"/>
  <c r="W9" i="27" s="1"/>
  <c r="J9" i="27"/>
  <c r="I9" i="27"/>
  <c r="G9" i="27"/>
  <c r="F9" i="27"/>
  <c r="M8" i="27"/>
  <c r="Y8" i="27" s="1"/>
  <c r="L8" i="27"/>
  <c r="X8" i="27" s="1"/>
  <c r="K8" i="27"/>
  <c r="W8" i="27" s="1"/>
  <c r="J8" i="27"/>
  <c r="I8" i="27"/>
  <c r="G8" i="27"/>
  <c r="F8" i="27"/>
  <c r="M7" i="27"/>
  <c r="Y7" i="27" s="1"/>
  <c r="L7" i="27"/>
  <c r="X7" i="27" s="1"/>
  <c r="K7" i="27"/>
  <c r="W7" i="27" s="1"/>
  <c r="J7" i="27"/>
  <c r="I7" i="27"/>
  <c r="G7" i="27"/>
  <c r="F7" i="27"/>
  <c r="M6" i="27"/>
  <c r="Y6" i="27" s="1"/>
  <c r="L6" i="27"/>
  <c r="X6" i="27" s="1"/>
  <c r="K6" i="27"/>
  <c r="W6" i="27" s="1"/>
  <c r="J6" i="27"/>
  <c r="I6" i="27"/>
  <c r="G6" i="27"/>
  <c r="F6" i="27"/>
  <c r="M5" i="27"/>
  <c r="Y5" i="27" s="1"/>
  <c r="L5" i="27"/>
  <c r="X5" i="27" s="1"/>
  <c r="K5" i="27"/>
  <c r="W5" i="27" s="1"/>
  <c r="J5" i="27"/>
  <c r="I5" i="27"/>
  <c r="G5" i="27"/>
  <c r="F5" i="27"/>
  <c r="M4" i="27"/>
  <c r="Y4" i="27" s="1"/>
  <c r="L4" i="27"/>
  <c r="X4" i="27" s="1"/>
  <c r="K4" i="27"/>
  <c r="W4" i="27" s="1"/>
  <c r="J4" i="27"/>
  <c r="I4" i="27"/>
  <c r="G4" i="27"/>
  <c r="F4" i="27"/>
  <c r="M3" i="27"/>
  <c r="Y3" i="27" s="1"/>
  <c r="L3" i="27"/>
  <c r="X3" i="27" s="1"/>
  <c r="K3" i="27"/>
  <c r="W3" i="27" s="1"/>
  <c r="J3" i="27"/>
  <c r="I3" i="27"/>
  <c r="G3" i="27"/>
  <c r="F3" i="27"/>
  <c r="M2" i="27"/>
  <c r="Y2" i="27" s="1"/>
  <c r="L2" i="27"/>
  <c r="X2" i="27" s="1"/>
  <c r="K2" i="27"/>
  <c r="W2" i="27" s="1"/>
  <c r="J2" i="27"/>
  <c r="I2" i="27"/>
  <c r="G2" i="27"/>
  <c r="F2" i="27"/>
  <c r="M1" i="27"/>
  <c r="Y1" i="27" s="1"/>
  <c r="L1" i="27"/>
  <c r="X1" i="27" s="1"/>
  <c r="K1" i="27"/>
  <c r="W1" i="27" s="1"/>
  <c r="J1" i="27"/>
  <c r="V1" i="27" s="1"/>
  <c r="I1" i="27"/>
  <c r="U1" i="27" s="1"/>
  <c r="T1" i="27"/>
  <c r="G1" i="27"/>
  <c r="S1" i="27" s="1"/>
  <c r="F1" i="27"/>
  <c r="R1" i="27" s="1"/>
  <c r="E1" i="27"/>
  <c r="Q1" i="27" s="1"/>
  <c r="D1" i="27"/>
  <c r="P1" i="27" s="1"/>
  <c r="J73" i="22"/>
  <c r="I73" i="22"/>
  <c r="H73" i="22"/>
  <c r="G73" i="22"/>
  <c r="F73" i="22"/>
  <c r="O73" i="22" s="1"/>
  <c r="J72" i="22"/>
  <c r="S72" i="22" s="1"/>
  <c r="I72" i="22"/>
  <c r="R72" i="22" s="1"/>
  <c r="H72" i="22"/>
  <c r="G72" i="22"/>
  <c r="F72" i="22"/>
  <c r="O72" i="22" s="1"/>
  <c r="J71" i="22"/>
  <c r="I71" i="22"/>
  <c r="H71" i="22"/>
  <c r="Q71" i="22" s="1"/>
  <c r="G71" i="22"/>
  <c r="F71" i="22"/>
  <c r="O71" i="22" s="1"/>
  <c r="J70" i="22"/>
  <c r="I70" i="22"/>
  <c r="R70" i="22" s="1"/>
  <c r="H70" i="22"/>
  <c r="G70" i="22"/>
  <c r="F70" i="22"/>
  <c r="O70" i="22" s="1"/>
  <c r="J69" i="22"/>
  <c r="I69" i="22"/>
  <c r="H69" i="22"/>
  <c r="G69" i="22"/>
  <c r="F69" i="22"/>
  <c r="O69" i="22" s="1"/>
  <c r="J68" i="22"/>
  <c r="S68" i="22" s="1"/>
  <c r="I68" i="22"/>
  <c r="R68" i="22" s="1"/>
  <c r="H68" i="22"/>
  <c r="G68" i="22"/>
  <c r="F68" i="22"/>
  <c r="O68" i="22" s="1"/>
  <c r="J67" i="22"/>
  <c r="I67" i="22"/>
  <c r="H67" i="22"/>
  <c r="Q67" i="22" s="1"/>
  <c r="G67" i="22"/>
  <c r="F67" i="22"/>
  <c r="O67" i="22" s="1"/>
  <c r="J66" i="22"/>
  <c r="I66" i="22"/>
  <c r="H66" i="22"/>
  <c r="G66" i="22"/>
  <c r="F66" i="22"/>
  <c r="O66" i="22" s="1"/>
  <c r="J65" i="22"/>
  <c r="I65" i="22"/>
  <c r="H65" i="22"/>
  <c r="G65" i="22"/>
  <c r="F65" i="22"/>
  <c r="O65" i="22" s="1"/>
  <c r="J64" i="22"/>
  <c r="S64" i="22" s="1"/>
  <c r="I64" i="22"/>
  <c r="R64" i="22" s="1"/>
  <c r="H64" i="22"/>
  <c r="G64" i="22"/>
  <c r="F64" i="22"/>
  <c r="O64" i="22" s="1"/>
  <c r="J63" i="22"/>
  <c r="I63" i="22"/>
  <c r="R63" i="22" s="1"/>
  <c r="H63" i="22"/>
  <c r="Q63" i="22" s="1"/>
  <c r="G63" i="22"/>
  <c r="F63" i="22"/>
  <c r="O63" i="22" s="1"/>
  <c r="J62" i="22"/>
  <c r="I62" i="22"/>
  <c r="R62" i="22" s="1"/>
  <c r="H62" i="22"/>
  <c r="G62" i="22"/>
  <c r="F62" i="22"/>
  <c r="O62" i="22" s="1"/>
  <c r="J61" i="22"/>
  <c r="S61" i="22" s="1"/>
  <c r="I61" i="22"/>
  <c r="R61" i="22" s="1"/>
  <c r="H61" i="22"/>
  <c r="Q61" i="22" s="1"/>
  <c r="G61" i="22"/>
  <c r="P61" i="22" s="1"/>
  <c r="F61" i="22"/>
  <c r="O61" i="22" s="1"/>
  <c r="J60" i="22"/>
  <c r="S60" i="22" s="1"/>
  <c r="I60" i="22"/>
  <c r="R60" i="22" s="1"/>
  <c r="H60" i="22"/>
  <c r="Q60" i="22" s="1"/>
  <c r="G60" i="22"/>
  <c r="P60" i="22" s="1"/>
  <c r="F60" i="22"/>
  <c r="O60" i="22" s="1"/>
  <c r="J59" i="22"/>
  <c r="S59" i="22" s="1"/>
  <c r="I59" i="22"/>
  <c r="R59" i="22" s="1"/>
  <c r="H59" i="22"/>
  <c r="Q59" i="22" s="1"/>
  <c r="G59" i="22"/>
  <c r="P59" i="22" s="1"/>
  <c r="F59" i="22"/>
  <c r="O59" i="22" s="1"/>
  <c r="J58" i="22"/>
  <c r="S58" i="22" s="1"/>
  <c r="I58" i="22"/>
  <c r="R58" i="22" s="1"/>
  <c r="H58" i="22"/>
  <c r="Q58" i="22" s="1"/>
  <c r="G58" i="22"/>
  <c r="P58" i="22" s="1"/>
  <c r="F58" i="22"/>
  <c r="O58" i="22" s="1"/>
  <c r="J57" i="22"/>
  <c r="S57" i="22" s="1"/>
  <c r="I57" i="22"/>
  <c r="R57" i="22" s="1"/>
  <c r="H57" i="22"/>
  <c r="Q57" i="22" s="1"/>
  <c r="G57" i="22"/>
  <c r="P57" i="22" s="1"/>
  <c r="F57" i="22"/>
  <c r="O57" i="22" s="1"/>
  <c r="J56" i="22"/>
  <c r="S56" i="22" s="1"/>
  <c r="I56" i="22"/>
  <c r="R56" i="22" s="1"/>
  <c r="H56" i="22"/>
  <c r="Q56" i="22" s="1"/>
  <c r="G56" i="22"/>
  <c r="P56" i="22" s="1"/>
  <c r="F56" i="22"/>
  <c r="O56" i="22" s="1"/>
  <c r="J55" i="22"/>
  <c r="S55" i="22" s="1"/>
  <c r="I55" i="22"/>
  <c r="R55" i="22" s="1"/>
  <c r="H55" i="22"/>
  <c r="Q55" i="22" s="1"/>
  <c r="G55" i="22"/>
  <c r="P55" i="22" s="1"/>
  <c r="F55" i="22"/>
  <c r="O55" i="22" s="1"/>
  <c r="J54" i="22"/>
  <c r="S54" i="22" s="1"/>
  <c r="I54" i="22"/>
  <c r="R54" i="22" s="1"/>
  <c r="H54" i="22"/>
  <c r="Q54" i="22" s="1"/>
  <c r="G54" i="22"/>
  <c r="P54" i="22" s="1"/>
  <c r="F54" i="22"/>
  <c r="O54" i="22" s="1"/>
  <c r="J53" i="22"/>
  <c r="S53" i="22" s="1"/>
  <c r="I53" i="22"/>
  <c r="R53" i="22" s="1"/>
  <c r="H53" i="22"/>
  <c r="Q53" i="22" s="1"/>
  <c r="G53" i="22"/>
  <c r="P53" i="22" s="1"/>
  <c r="F53" i="22"/>
  <c r="O53" i="22" s="1"/>
  <c r="J52" i="22"/>
  <c r="S52" i="22" s="1"/>
  <c r="I52" i="22"/>
  <c r="R52" i="22" s="1"/>
  <c r="H52" i="22"/>
  <c r="Q52" i="22" s="1"/>
  <c r="G52" i="22"/>
  <c r="P52" i="22" s="1"/>
  <c r="F52" i="22"/>
  <c r="O52" i="22" s="1"/>
  <c r="J51" i="22"/>
  <c r="S51" i="22" s="1"/>
  <c r="I51" i="22"/>
  <c r="R51" i="22" s="1"/>
  <c r="H51" i="22"/>
  <c r="Q51" i="22" s="1"/>
  <c r="G51" i="22"/>
  <c r="P51" i="22" s="1"/>
  <c r="F51" i="22"/>
  <c r="O51" i="22" s="1"/>
  <c r="J50" i="22"/>
  <c r="S50" i="22" s="1"/>
  <c r="I50" i="22"/>
  <c r="R50" i="22" s="1"/>
  <c r="H50" i="22"/>
  <c r="Q50" i="22" s="1"/>
  <c r="G50" i="22"/>
  <c r="P50" i="22" s="1"/>
  <c r="F50" i="22"/>
  <c r="O50" i="22" s="1"/>
  <c r="J49" i="22"/>
  <c r="S49" i="22" s="1"/>
  <c r="I49" i="22"/>
  <c r="R49" i="22" s="1"/>
  <c r="H49" i="22"/>
  <c r="Q49" i="22" s="1"/>
  <c r="G49" i="22"/>
  <c r="P49" i="22" s="1"/>
  <c r="F49" i="22"/>
  <c r="O49" i="22" s="1"/>
  <c r="J48" i="22"/>
  <c r="S48" i="22" s="1"/>
  <c r="I48" i="22"/>
  <c r="R48" i="22" s="1"/>
  <c r="H48" i="22"/>
  <c r="Q48" i="22" s="1"/>
  <c r="G48" i="22"/>
  <c r="P48" i="22" s="1"/>
  <c r="F48" i="22"/>
  <c r="O48" i="22" s="1"/>
  <c r="J47" i="22"/>
  <c r="S47" i="22" s="1"/>
  <c r="I47" i="22"/>
  <c r="R47" i="22" s="1"/>
  <c r="H47" i="22"/>
  <c r="Q47" i="22" s="1"/>
  <c r="G47" i="22"/>
  <c r="P47" i="22" s="1"/>
  <c r="F47" i="22"/>
  <c r="O47" i="22" s="1"/>
  <c r="J46" i="22"/>
  <c r="S46" i="22" s="1"/>
  <c r="I46" i="22"/>
  <c r="R46" i="22" s="1"/>
  <c r="H46" i="22"/>
  <c r="Q46" i="22" s="1"/>
  <c r="G46" i="22"/>
  <c r="P46" i="22" s="1"/>
  <c r="F46" i="22"/>
  <c r="O46" i="22" s="1"/>
  <c r="J45" i="22"/>
  <c r="S45" i="22" s="1"/>
  <c r="I45" i="22"/>
  <c r="R45" i="22" s="1"/>
  <c r="H45" i="22"/>
  <c r="Q45" i="22" s="1"/>
  <c r="G45" i="22"/>
  <c r="P45" i="22" s="1"/>
  <c r="F45" i="22"/>
  <c r="O45" i="22" s="1"/>
  <c r="J44" i="22"/>
  <c r="S44" i="22" s="1"/>
  <c r="I44" i="22"/>
  <c r="R44" i="22" s="1"/>
  <c r="H44" i="22"/>
  <c r="Q44" i="22" s="1"/>
  <c r="G44" i="22"/>
  <c r="P44" i="22" s="1"/>
  <c r="F44" i="22"/>
  <c r="O44" i="22" s="1"/>
  <c r="J43" i="22"/>
  <c r="S43" i="22" s="1"/>
  <c r="I43" i="22"/>
  <c r="R43" i="22" s="1"/>
  <c r="H43" i="22"/>
  <c r="Q43" i="22" s="1"/>
  <c r="G43" i="22"/>
  <c r="P43" i="22" s="1"/>
  <c r="F43" i="22"/>
  <c r="O43" i="22" s="1"/>
  <c r="J42" i="22"/>
  <c r="S42" i="22" s="1"/>
  <c r="I42" i="22"/>
  <c r="R42" i="22" s="1"/>
  <c r="H42" i="22"/>
  <c r="Q42" i="22" s="1"/>
  <c r="G42" i="22"/>
  <c r="P42" i="22" s="1"/>
  <c r="F42" i="22"/>
  <c r="O42" i="22" s="1"/>
  <c r="J41" i="22"/>
  <c r="S41" i="22" s="1"/>
  <c r="I41" i="22"/>
  <c r="R41" i="22" s="1"/>
  <c r="H41" i="22"/>
  <c r="Q41" i="22" s="1"/>
  <c r="G41" i="22"/>
  <c r="P41" i="22" s="1"/>
  <c r="F41" i="22"/>
  <c r="O41" i="22" s="1"/>
  <c r="J40" i="22"/>
  <c r="S40" i="22" s="1"/>
  <c r="I40" i="22"/>
  <c r="R40" i="22" s="1"/>
  <c r="H40" i="22"/>
  <c r="Q40" i="22" s="1"/>
  <c r="G40" i="22"/>
  <c r="P40" i="22" s="1"/>
  <c r="F40" i="22"/>
  <c r="O40" i="22" s="1"/>
  <c r="J39" i="22"/>
  <c r="S39" i="22" s="1"/>
  <c r="I39" i="22"/>
  <c r="R39" i="22" s="1"/>
  <c r="H39" i="22"/>
  <c r="Q39" i="22" s="1"/>
  <c r="G39" i="22"/>
  <c r="P39" i="22" s="1"/>
  <c r="F39" i="22"/>
  <c r="O39" i="22" s="1"/>
  <c r="J38" i="22"/>
  <c r="S38" i="22" s="1"/>
  <c r="I38" i="22"/>
  <c r="R38" i="22" s="1"/>
  <c r="H38" i="22"/>
  <c r="Q38" i="22" s="1"/>
  <c r="G38" i="22"/>
  <c r="P38" i="22" s="1"/>
  <c r="F38" i="22"/>
  <c r="O38" i="22" s="1"/>
  <c r="J37" i="22"/>
  <c r="S37" i="22" s="1"/>
  <c r="I37" i="22"/>
  <c r="R37" i="22" s="1"/>
  <c r="H37" i="22"/>
  <c r="Q37" i="22" s="1"/>
  <c r="G37" i="22"/>
  <c r="P37" i="22" s="1"/>
  <c r="F37" i="22"/>
  <c r="O37" i="22" s="1"/>
  <c r="J36" i="22"/>
  <c r="S36" i="22" s="1"/>
  <c r="I36" i="22"/>
  <c r="R36" i="22" s="1"/>
  <c r="H36" i="22"/>
  <c r="Q36" i="22" s="1"/>
  <c r="G36" i="22"/>
  <c r="P36" i="22" s="1"/>
  <c r="F36" i="22"/>
  <c r="O36" i="22" s="1"/>
  <c r="J35" i="22"/>
  <c r="S35" i="22" s="1"/>
  <c r="I35" i="22"/>
  <c r="R35" i="22" s="1"/>
  <c r="H35" i="22"/>
  <c r="Q35" i="22" s="1"/>
  <c r="G35" i="22"/>
  <c r="P35" i="22" s="1"/>
  <c r="F35" i="22"/>
  <c r="O35" i="22" s="1"/>
  <c r="J34" i="22"/>
  <c r="S34" i="22" s="1"/>
  <c r="I34" i="22"/>
  <c r="R34" i="22" s="1"/>
  <c r="H34" i="22"/>
  <c r="Q34" i="22" s="1"/>
  <c r="G34" i="22"/>
  <c r="P34" i="22" s="1"/>
  <c r="F34" i="22"/>
  <c r="O34" i="22" s="1"/>
  <c r="J33" i="22"/>
  <c r="S33" i="22" s="1"/>
  <c r="I33" i="22"/>
  <c r="R33" i="22" s="1"/>
  <c r="H33" i="22"/>
  <c r="Q33" i="22" s="1"/>
  <c r="G33" i="22"/>
  <c r="P33" i="22" s="1"/>
  <c r="F33" i="22"/>
  <c r="O33" i="22" s="1"/>
  <c r="J32" i="22"/>
  <c r="S32" i="22" s="1"/>
  <c r="I32" i="22"/>
  <c r="R32" i="22" s="1"/>
  <c r="H32" i="22"/>
  <c r="Q32" i="22" s="1"/>
  <c r="G32" i="22"/>
  <c r="P32" i="22" s="1"/>
  <c r="F32" i="22"/>
  <c r="O32" i="22" s="1"/>
  <c r="J31" i="22"/>
  <c r="S31" i="22" s="1"/>
  <c r="I31" i="22"/>
  <c r="R31" i="22" s="1"/>
  <c r="H31" i="22"/>
  <c r="Q31" i="22" s="1"/>
  <c r="G31" i="22"/>
  <c r="P31" i="22" s="1"/>
  <c r="F31" i="22"/>
  <c r="O31" i="22" s="1"/>
  <c r="J30" i="22"/>
  <c r="S30" i="22" s="1"/>
  <c r="I30" i="22"/>
  <c r="R30" i="22" s="1"/>
  <c r="H30" i="22"/>
  <c r="Q30" i="22" s="1"/>
  <c r="G30" i="22"/>
  <c r="P30" i="22" s="1"/>
  <c r="F30" i="22"/>
  <c r="O30" i="22" s="1"/>
  <c r="J29" i="22"/>
  <c r="S29" i="22" s="1"/>
  <c r="I29" i="22"/>
  <c r="R29" i="22" s="1"/>
  <c r="H29" i="22"/>
  <c r="Q29" i="22" s="1"/>
  <c r="G29" i="22"/>
  <c r="P29" i="22" s="1"/>
  <c r="F29" i="22"/>
  <c r="O29" i="22" s="1"/>
  <c r="J28" i="22"/>
  <c r="S28" i="22" s="1"/>
  <c r="I28" i="22"/>
  <c r="R28" i="22" s="1"/>
  <c r="H28" i="22"/>
  <c r="Q28" i="22" s="1"/>
  <c r="G28" i="22"/>
  <c r="P28" i="22" s="1"/>
  <c r="F28" i="22"/>
  <c r="O28" i="22" s="1"/>
  <c r="J27" i="22"/>
  <c r="S27" i="22" s="1"/>
  <c r="I27" i="22"/>
  <c r="R27" i="22" s="1"/>
  <c r="H27" i="22"/>
  <c r="Q27" i="22" s="1"/>
  <c r="G27" i="22"/>
  <c r="P27" i="22" s="1"/>
  <c r="F27" i="22"/>
  <c r="O27" i="22" s="1"/>
  <c r="J26" i="22"/>
  <c r="S26" i="22" s="1"/>
  <c r="I26" i="22"/>
  <c r="R26" i="22" s="1"/>
  <c r="H26" i="22"/>
  <c r="Q26" i="22" s="1"/>
  <c r="G26" i="22"/>
  <c r="P26" i="22" s="1"/>
  <c r="F26" i="22"/>
  <c r="O26" i="22" s="1"/>
  <c r="J25" i="22"/>
  <c r="S25" i="22" s="1"/>
  <c r="I25" i="22"/>
  <c r="R25" i="22" s="1"/>
  <c r="H25" i="22"/>
  <c r="Q25" i="22" s="1"/>
  <c r="G25" i="22"/>
  <c r="P25" i="22" s="1"/>
  <c r="F25" i="22"/>
  <c r="O25" i="22" s="1"/>
  <c r="J24" i="22"/>
  <c r="S24" i="22" s="1"/>
  <c r="I24" i="22"/>
  <c r="R24" i="22" s="1"/>
  <c r="H24" i="22"/>
  <c r="Q24" i="22" s="1"/>
  <c r="G24" i="22"/>
  <c r="P24" i="22" s="1"/>
  <c r="F24" i="22"/>
  <c r="O24" i="22" s="1"/>
  <c r="J23" i="22"/>
  <c r="S23" i="22" s="1"/>
  <c r="I23" i="22"/>
  <c r="R23" i="22" s="1"/>
  <c r="H23" i="22"/>
  <c r="Q23" i="22" s="1"/>
  <c r="G23" i="22"/>
  <c r="P23" i="22" s="1"/>
  <c r="F23" i="22"/>
  <c r="O23" i="22" s="1"/>
  <c r="J22" i="22"/>
  <c r="S22" i="22" s="1"/>
  <c r="I22" i="22"/>
  <c r="R22" i="22" s="1"/>
  <c r="H22" i="22"/>
  <c r="Q22" i="22" s="1"/>
  <c r="G22" i="22"/>
  <c r="P22" i="22" s="1"/>
  <c r="F22" i="22"/>
  <c r="O22" i="22" s="1"/>
  <c r="J21" i="22"/>
  <c r="S21" i="22" s="1"/>
  <c r="I21" i="22"/>
  <c r="R21" i="22" s="1"/>
  <c r="H21" i="22"/>
  <c r="Q21" i="22" s="1"/>
  <c r="G21" i="22"/>
  <c r="P21" i="22" s="1"/>
  <c r="F21" i="22"/>
  <c r="O21" i="22" s="1"/>
  <c r="J20" i="22"/>
  <c r="S20" i="22" s="1"/>
  <c r="I20" i="22"/>
  <c r="R20" i="22" s="1"/>
  <c r="H20" i="22"/>
  <c r="Q20" i="22" s="1"/>
  <c r="G20" i="22"/>
  <c r="P20" i="22" s="1"/>
  <c r="F20" i="22"/>
  <c r="O20" i="22" s="1"/>
  <c r="J19" i="22"/>
  <c r="S19" i="22" s="1"/>
  <c r="I19" i="22"/>
  <c r="R19" i="22" s="1"/>
  <c r="H19" i="22"/>
  <c r="Q19" i="22" s="1"/>
  <c r="G19" i="22"/>
  <c r="P19" i="22" s="1"/>
  <c r="F19" i="22"/>
  <c r="O19" i="22" s="1"/>
  <c r="J18" i="22"/>
  <c r="S18" i="22" s="1"/>
  <c r="I18" i="22"/>
  <c r="R18" i="22" s="1"/>
  <c r="H18" i="22"/>
  <c r="Q18" i="22" s="1"/>
  <c r="G18" i="22"/>
  <c r="P18" i="22" s="1"/>
  <c r="F18" i="22"/>
  <c r="O18" i="22" s="1"/>
  <c r="J17" i="22"/>
  <c r="S17" i="22" s="1"/>
  <c r="I17" i="22"/>
  <c r="R17" i="22" s="1"/>
  <c r="H17" i="22"/>
  <c r="Q17" i="22" s="1"/>
  <c r="G17" i="22"/>
  <c r="P17" i="22" s="1"/>
  <c r="F17" i="22"/>
  <c r="O17" i="22" s="1"/>
  <c r="J16" i="22"/>
  <c r="S16" i="22" s="1"/>
  <c r="I16" i="22"/>
  <c r="R16" i="22" s="1"/>
  <c r="H16" i="22"/>
  <c r="Q16" i="22" s="1"/>
  <c r="G16" i="22"/>
  <c r="P16" i="22" s="1"/>
  <c r="F16" i="22"/>
  <c r="O16" i="22" s="1"/>
  <c r="J15" i="22"/>
  <c r="S15" i="22" s="1"/>
  <c r="I15" i="22"/>
  <c r="R15" i="22" s="1"/>
  <c r="H15" i="22"/>
  <c r="Q15" i="22" s="1"/>
  <c r="G15" i="22"/>
  <c r="P15" i="22" s="1"/>
  <c r="F15" i="22"/>
  <c r="O15" i="22" s="1"/>
  <c r="J14" i="22"/>
  <c r="S14" i="22" s="1"/>
  <c r="I14" i="22"/>
  <c r="R14" i="22" s="1"/>
  <c r="H14" i="22"/>
  <c r="Q14" i="22" s="1"/>
  <c r="G14" i="22"/>
  <c r="P14" i="22" s="1"/>
  <c r="F14" i="22"/>
  <c r="O14" i="22" s="1"/>
  <c r="J13" i="22"/>
  <c r="S13" i="22" s="1"/>
  <c r="I13" i="22"/>
  <c r="R13" i="22" s="1"/>
  <c r="H13" i="22"/>
  <c r="Q13" i="22" s="1"/>
  <c r="G13" i="22"/>
  <c r="P13" i="22" s="1"/>
  <c r="F13" i="22"/>
  <c r="O13" i="22" s="1"/>
  <c r="J12" i="22"/>
  <c r="S12" i="22" s="1"/>
  <c r="I12" i="22"/>
  <c r="R12" i="22" s="1"/>
  <c r="H12" i="22"/>
  <c r="Q12" i="22" s="1"/>
  <c r="G12" i="22"/>
  <c r="P12" i="22" s="1"/>
  <c r="F12" i="22"/>
  <c r="O12" i="22" s="1"/>
  <c r="J11" i="22"/>
  <c r="S11" i="22" s="1"/>
  <c r="I11" i="22"/>
  <c r="R11" i="22" s="1"/>
  <c r="H11" i="22"/>
  <c r="Q11" i="22" s="1"/>
  <c r="G11" i="22"/>
  <c r="P11" i="22" s="1"/>
  <c r="F11" i="22"/>
  <c r="O11" i="22" s="1"/>
  <c r="J10" i="22"/>
  <c r="S10" i="22" s="1"/>
  <c r="I10" i="22"/>
  <c r="R10" i="22" s="1"/>
  <c r="H10" i="22"/>
  <c r="Q10" i="22" s="1"/>
  <c r="G10" i="22"/>
  <c r="P10" i="22" s="1"/>
  <c r="F10" i="22"/>
  <c r="O10" i="22" s="1"/>
  <c r="J9" i="22"/>
  <c r="S9" i="22" s="1"/>
  <c r="I9" i="22"/>
  <c r="R9" i="22" s="1"/>
  <c r="H9" i="22"/>
  <c r="Q9" i="22" s="1"/>
  <c r="G9" i="22"/>
  <c r="P9" i="22" s="1"/>
  <c r="F9" i="22"/>
  <c r="O9" i="22" s="1"/>
  <c r="J8" i="22"/>
  <c r="S8" i="22" s="1"/>
  <c r="I8" i="22"/>
  <c r="R8" i="22" s="1"/>
  <c r="H8" i="22"/>
  <c r="Q8" i="22" s="1"/>
  <c r="G8" i="22"/>
  <c r="P8" i="22" s="1"/>
  <c r="F8" i="22"/>
  <c r="O8" i="22" s="1"/>
  <c r="J7" i="22"/>
  <c r="S7" i="22" s="1"/>
  <c r="I7" i="22"/>
  <c r="R7" i="22" s="1"/>
  <c r="H7" i="22"/>
  <c r="Q7" i="22" s="1"/>
  <c r="G7" i="22"/>
  <c r="P7" i="22" s="1"/>
  <c r="F7" i="22"/>
  <c r="O7" i="22" s="1"/>
  <c r="J6" i="22"/>
  <c r="S6" i="22" s="1"/>
  <c r="I6" i="22"/>
  <c r="R6" i="22" s="1"/>
  <c r="H6" i="22"/>
  <c r="Q6" i="22" s="1"/>
  <c r="G6" i="22"/>
  <c r="P6" i="22" s="1"/>
  <c r="F6" i="22"/>
  <c r="O6" i="22" s="1"/>
  <c r="J5" i="22"/>
  <c r="S5" i="22" s="1"/>
  <c r="I5" i="22"/>
  <c r="R5" i="22" s="1"/>
  <c r="H5" i="22"/>
  <c r="Q5" i="22" s="1"/>
  <c r="G5" i="22"/>
  <c r="P5" i="22" s="1"/>
  <c r="F5" i="22"/>
  <c r="O5" i="22" s="1"/>
  <c r="J4" i="22"/>
  <c r="S4" i="22" s="1"/>
  <c r="I4" i="22"/>
  <c r="R4" i="22" s="1"/>
  <c r="H4" i="22"/>
  <c r="Q4" i="22" s="1"/>
  <c r="G4" i="22"/>
  <c r="P4" i="22" s="1"/>
  <c r="F4" i="22"/>
  <c r="O4" i="22" s="1"/>
  <c r="J3" i="22"/>
  <c r="S3" i="22" s="1"/>
  <c r="I3" i="22"/>
  <c r="R3" i="22" s="1"/>
  <c r="H3" i="22"/>
  <c r="Q3" i="22" s="1"/>
  <c r="G3" i="22"/>
  <c r="P3" i="22" s="1"/>
  <c r="F3" i="22"/>
  <c r="O3" i="22" s="1"/>
  <c r="J2" i="22"/>
  <c r="S2" i="22" s="1"/>
  <c r="I2" i="22"/>
  <c r="R2" i="22" s="1"/>
  <c r="H2" i="22"/>
  <c r="Q2" i="22" s="1"/>
  <c r="G2" i="22"/>
  <c r="P2" i="22" s="1"/>
  <c r="F2" i="22"/>
  <c r="O2" i="22" s="1"/>
  <c r="J1" i="22"/>
  <c r="S1" i="22" s="1"/>
  <c r="I1" i="22"/>
  <c r="R1" i="22" s="1"/>
  <c r="H1" i="22"/>
  <c r="Q1" i="22" s="1"/>
  <c r="G1" i="22"/>
  <c r="P1" i="22" s="1"/>
  <c r="F1" i="22"/>
  <c r="O1" i="22" s="1"/>
  <c r="E1" i="22"/>
  <c r="N1" i="22" s="1"/>
  <c r="D1" i="22"/>
  <c r="M1" i="22" s="1"/>
  <c r="G73" i="17"/>
  <c r="Q73" i="17" s="1"/>
  <c r="G72" i="17"/>
  <c r="Q72" i="17" s="1"/>
  <c r="G71" i="17"/>
  <c r="Q71" i="17" s="1"/>
  <c r="G70" i="17"/>
  <c r="G69" i="17"/>
  <c r="Q69" i="17" s="1"/>
  <c r="G68" i="17"/>
  <c r="Q68" i="17" s="1"/>
  <c r="G67" i="17"/>
  <c r="Q67" i="17" s="1"/>
  <c r="G66" i="17"/>
  <c r="Q66" i="17" s="1"/>
  <c r="G65" i="17"/>
  <c r="Q65" i="17" s="1"/>
  <c r="G64" i="17"/>
  <c r="Q64" i="17" s="1"/>
  <c r="G63" i="17"/>
  <c r="Q63" i="17" s="1"/>
  <c r="G62" i="17"/>
  <c r="Q62" i="17" s="1"/>
  <c r="G61" i="17"/>
  <c r="Q61" i="17" s="1"/>
  <c r="G60" i="17"/>
  <c r="Q60" i="17" s="1"/>
  <c r="G59" i="17"/>
  <c r="Q59" i="17" s="1"/>
  <c r="G58" i="17"/>
  <c r="Q58" i="17" s="1"/>
  <c r="G57" i="17"/>
  <c r="Q57" i="17" s="1"/>
  <c r="G56" i="17"/>
  <c r="Q56" i="17" s="1"/>
  <c r="G55" i="17"/>
  <c r="Q55" i="17" s="1"/>
  <c r="G54" i="17"/>
  <c r="Q54" i="17" s="1"/>
  <c r="G53" i="17"/>
  <c r="G52" i="17"/>
  <c r="Q52" i="17" s="1"/>
  <c r="G51" i="17"/>
  <c r="Q51" i="17" s="1"/>
  <c r="G50" i="17"/>
  <c r="Q50" i="17" s="1"/>
  <c r="G49" i="17"/>
  <c r="Q49" i="17" s="1"/>
  <c r="G48" i="17"/>
  <c r="Q48" i="17" s="1"/>
  <c r="G47" i="17"/>
  <c r="Q47" i="17" s="1"/>
  <c r="G46" i="17"/>
  <c r="Q46" i="17" s="1"/>
  <c r="G45" i="17"/>
  <c r="Q45" i="17" s="1"/>
  <c r="G44" i="17"/>
  <c r="Q44" i="17" s="1"/>
  <c r="G43" i="17"/>
  <c r="Q43" i="17" s="1"/>
  <c r="G42" i="17"/>
  <c r="Q42" i="17" s="1"/>
  <c r="G41" i="17"/>
  <c r="Q41" i="17" s="1"/>
  <c r="G40" i="17"/>
  <c r="Q40" i="17" s="1"/>
  <c r="G39" i="17"/>
  <c r="Q39" i="17" s="1"/>
  <c r="G38" i="17"/>
  <c r="Q38" i="17" s="1"/>
  <c r="G37" i="17"/>
  <c r="Q37" i="17" s="1"/>
  <c r="G36" i="17"/>
  <c r="Q36" i="17" s="1"/>
  <c r="G35" i="17"/>
  <c r="Q35" i="17" s="1"/>
  <c r="G34" i="17"/>
  <c r="Q34" i="17" s="1"/>
  <c r="G33" i="17"/>
  <c r="Q33" i="17" s="1"/>
  <c r="G32" i="17"/>
  <c r="Q32" i="17" s="1"/>
  <c r="G31" i="17"/>
  <c r="Q31" i="17" s="1"/>
  <c r="G30" i="17"/>
  <c r="Q30" i="17" s="1"/>
  <c r="G29" i="17"/>
  <c r="Q29" i="17" s="1"/>
  <c r="G28" i="17"/>
  <c r="Q28" i="17" s="1"/>
  <c r="G27" i="17"/>
  <c r="Q27" i="17" s="1"/>
  <c r="G26" i="17"/>
  <c r="G25" i="17"/>
  <c r="Q25" i="17" s="1"/>
  <c r="G24" i="17"/>
  <c r="Q24" i="17" s="1"/>
  <c r="G23" i="17"/>
  <c r="Q23" i="17" s="1"/>
  <c r="G22" i="17"/>
  <c r="Q22" i="17" s="1"/>
  <c r="G21" i="17"/>
  <c r="Q21" i="17" s="1"/>
  <c r="G20" i="17"/>
  <c r="Q20" i="17" s="1"/>
  <c r="G19" i="17"/>
  <c r="Q19" i="17" s="1"/>
  <c r="G18" i="17"/>
  <c r="Q18" i="17" s="1"/>
  <c r="G17" i="17"/>
  <c r="Q17" i="17" s="1"/>
  <c r="G16" i="17"/>
  <c r="Q16" i="17" s="1"/>
  <c r="G15" i="17"/>
  <c r="Q15" i="17" s="1"/>
  <c r="G14" i="17"/>
  <c r="Q14" i="17" s="1"/>
  <c r="G13" i="17"/>
  <c r="Q13" i="17" s="1"/>
  <c r="G12" i="17"/>
  <c r="Q12" i="17" s="1"/>
  <c r="G11" i="17"/>
  <c r="Q11" i="17" s="1"/>
  <c r="G10" i="17"/>
  <c r="Q10" i="17" s="1"/>
  <c r="G9" i="17"/>
  <c r="Q9" i="17" s="1"/>
  <c r="G8" i="17"/>
  <c r="Q8" i="17" s="1"/>
  <c r="G7" i="17"/>
  <c r="Q7" i="17" s="1"/>
  <c r="G6" i="17"/>
  <c r="Q6" i="17" s="1"/>
  <c r="G5" i="17"/>
  <c r="Q5" i="17" s="1"/>
  <c r="G4" i="17"/>
  <c r="Q4" i="17" s="1"/>
  <c r="G3" i="17"/>
  <c r="Q3" i="17" s="1"/>
  <c r="Q70" i="17"/>
  <c r="Q53" i="17"/>
  <c r="Q26" i="17"/>
  <c r="G2" i="17"/>
  <c r="Q2" i="17" s="1"/>
  <c r="G1" i="17"/>
  <c r="Q1" i="17" s="1"/>
  <c r="F1" i="17"/>
  <c r="P1" i="17" s="1"/>
  <c r="N73" i="26"/>
  <c r="K73" i="26"/>
  <c r="V73" i="26" s="1"/>
  <c r="J73" i="26"/>
  <c r="U73" i="26" s="1"/>
  <c r="I73" i="26"/>
  <c r="T73" i="26" s="1"/>
  <c r="H73" i="26"/>
  <c r="S73" i="26" s="1"/>
  <c r="G73" i="26"/>
  <c r="R73" i="26" s="1"/>
  <c r="F73" i="26"/>
  <c r="Q73" i="26" s="1"/>
  <c r="E73" i="26"/>
  <c r="P73" i="26" s="1"/>
  <c r="D73" i="26"/>
  <c r="O73" i="26" s="1"/>
  <c r="A73" i="26"/>
  <c r="B73" i="26" s="1"/>
  <c r="N72" i="26"/>
  <c r="K72" i="26"/>
  <c r="V72" i="26" s="1"/>
  <c r="J72" i="26"/>
  <c r="U72" i="26" s="1"/>
  <c r="I72" i="26"/>
  <c r="T72" i="26" s="1"/>
  <c r="H72" i="26"/>
  <c r="S72" i="26" s="1"/>
  <c r="G72" i="26"/>
  <c r="R72" i="26" s="1"/>
  <c r="F72" i="26"/>
  <c r="Q72" i="26" s="1"/>
  <c r="E72" i="26"/>
  <c r="P72" i="26" s="1"/>
  <c r="D72" i="26"/>
  <c r="O72" i="26" s="1"/>
  <c r="A72" i="26"/>
  <c r="B72" i="26" s="1"/>
  <c r="N71" i="26"/>
  <c r="K71" i="26"/>
  <c r="V71" i="26" s="1"/>
  <c r="J71" i="26"/>
  <c r="U71" i="26" s="1"/>
  <c r="I71" i="26"/>
  <c r="T71" i="26" s="1"/>
  <c r="H71" i="26"/>
  <c r="S71" i="26" s="1"/>
  <c r="G71" i="26"/>
  <c r="R71" i="26" s="1"/>
  <c r="F71" i="26"/>
  <c r="Q71" i="26" s="1"/>
  <c r="E71" i="26"/>
  <c r="P71" i="26" s="1"/>
  <c r="D71" i="26"/>
  <c r="O71" i="26" s="1"/>
  <c r="A71" i="26"/>
  <c r="B71" i="26" s="1"/>
  <c r="N70" i="26"/>
  <c r="K70" i="26"/>
  <c r="V70" i="26" s="1"/>
  <c r="J70" i="26"/>
  <c r="U70" i="26" s="1"/>
  <c r="I70" i="26"/>
  <c r="T70" i="26" s="1"/>
  <c r="H70" i="26"/>
  <c r="S70" i="26" s="1"/>
  <c r="G70" i="26"/>
  <c r="R70" i="26" s="1"/>
  <c r="F70" i="26"/>
  <c r="Q70" i="26" s="1"/>
  <c r="E70" i="26"/>
  <c r="P70" i="26" s="1"/>
  <c r="D70" i="26"/>
  <c r="O70" i="26" s="1"/>
  <c r="A70" i="26"/>
  <c r="B70" i="26" s="1"/>
  <c r="N69" i="26"/>
  <c r="K69" i="26"/>
  <c r="V69" i="26" s="1"/>
  <c r="J69" i="26"/>
  <c r="U69" i="26" s="1"/>
  <c r="I69" i="26"/>
  <c r="T69" i="26" s="1"/>
  <c r="H69" i="26"/>
  <c r="S69" i="26" s="1"/>
  <c r="G69" i="26"/>
  <c r="R69" i="26" s="1"/>
  <c r="F69" i="26"/>
  <c r="Q69" i="26" s="1"/>
  <c r="E69" i="26"/>
  <c r="P69" i="26" s="1"/>
  <c r="D69" i="26"/>
  <c r="O69" i="26" s="1"/>
  <c r="A69" i="26"/>
  <c r="B69" i="26" s="1"/>
  <c r="N68" i="26"/>
  <c r="K68" i="26"/>
  <c r="V68" i="26" s="1"/>
  <c r="J68" i="26"/>
  <c r="U68" i="26" s="1"/>
  <c r="I68" i="26"/>
  <c r="T68" i="26" s="1"/>
  <c r="H68" i="26"/>
  <c r="S68" i="26" s="1"/>
  <c r="G68" i="26"/>
  <c r="R68" i="26" s="1"/>
  <c r="F68" i="26"/>
  <c r="Q68" i="26" s="1"/>
  <c r="E68" i="26"/>
  <c r="P68" i="26" s="1"/>
  <c r="D68" i="26"/>
  <c r="O68" i="26" s="1"/>
  <c r="A68" i="26"/>
  <c r="B68" i="26" s="1"/>
  <c r="N67" i="26"/>
  <c r="K67" i="26"/>
  <c r="V67" i="26" s="1"/>
  <c r="J67" i="26"/>
  <c r="U67" i="26" s="1"/>
  <c r="I67" i="26"/>
  <c r="T67" i="26" s="1"/>
  <c r="H67" i="26"/>
  <c r="S67" i="26" s="1"/>
  <c r="G67" i="26"/>
  <c r="R67" i="26" s="1"/>
  <c r="F67" i="26"/>
  <c r="Q67" i="26" s="1"/>
  <c r="E67" i="26"/>
  <c r="P67" i="26" s="1"/>
  <c r="D67" i="26"/>
  <c r="O67" i="26" s="1"/>
  <c r="A67" i="26"/>
  <c r="B67" i="26" s="1"/>
  <c r="N66" i="26"/>
  <c r="K66" i="26"/>
  <c r="V66" i="26" s="1"/>
  <c r="J66" i="26"/>
  <c r="U66" i="26" s="1"/>
  <c r="I66" i="26"/>
  <c r="T66" i="26" s="1"/>
  <c r="H66" i="26"/>
  <c r="S66" i="26" s="1"/>
  <c r="G66" i="26"/>
  <c r="R66" i="26" s="1"/>
  <c r="F66" i="26"/>
  <c r="Q66" i="26" s="1"/>
  <c r="E66" i="26"/>
  <c r="P66" i="26" s="1"/>
  <c r="D66" i="26"/>
  <c r="O66" i="26" s="1"/>
  <c r="A66" i="26"/>
  <c r="B66" i="26" s="1"/>
  <c r="N65" i="26"/>
  <c r="K65" i="26"/>
  <c r="V65" i="26" s="1"/>
  <c r="J65" i="26"/>
  <c r="U65" i="26" s="1"/>
  <c r="I65" i="26"/>
  <c r="T65" i="26" s="1"/>
  <c r="H65" i="26"/>
  <c r="S65" i="26" s="1"/>
  <c r="G65" i="26"/>
  <c r="R65" i="26" s="1"/>
  <c r="F65" i="26"/>
  <c r="Q65" i="26" s="1"/>
  <c r="E65" i="26"/>
  <c r="P65" i="26" s="1"/>
  <c r="D65" i="26"/>
  <c r="O65" i="26" s="1"/>
  <c r="A65" i="26"/>
  <c r="B65" i="26" s="1"/>
  <c r="N64" i="26"/>
  <c r="K64" i="26"/>
  <c r="V64" i="26" s="1"/>
  <c r="J64" i="26"/>
  <c r="U64" i="26" s="1"/>
  <c r="I64" i="26"/>
  <c r="T64" i="26" s="1"/>
  <c r="H64" i="26"/>
  <c r="S64" i="26" s="1"/>
  <c r="G64" i="26"/>
  <c r="R64" i="26" s="1"/>
  <c r="F64" i="26"/>
  <c r="Q64" i="26" s="1"/>
  <c r="E64" i="26"/>
  <c r="P64" i="26" s="1"/>
  <c r="D64" i="26"/>
  <c r="O64" i="26" s="1"/>
  <c r="A64" i="26"/>
  <c r="B64" i="26" s="1"/>
  <c r="N63" i="26"/>
  <c r="K63" i="26"/>
  <c r="V63" i="26" s="1"/>
  <c r="J63" i="26"/>
  <c r="U63" i="26" s="1"/>
  <c r="I63" i="26"/>
  <c r="T63" i="26" s="1"/>
  <c r="H63" i="26"/>
  <c r="S63" i="26" s="1"/>
  <c r="G63" i="26"/>
  <c r="R63" i="26" s="1"/>
  <c r="F63" i="26"/>
  <c r="Q63" i="26" s="1"/>
  <c r="E63" i="26"/>
  <c r="P63" i="26" s="1"/>
  <c r="D63" i="26"/>
  <c r="O63" i="26" s="1"/>
  <c r="A63" i="26"/>
  <c r="B63" i="26" s="1"/>
  <c r="N62" i="26"/>
  <c r="K62" i="26"/>
  <c r="V62" i="26" s="1"/>
  <c r="J62" i="26"/>
  <c r="U62" i="26" s="1"/>
  <c r="I62" i="26"/>
  <c r="T62" i="26" s="1"/>
  <c r="H62" i="26"/>
  <c r="S62" i="26" s="1"/>
  <c r="G62" i="26"/>
  <c r="R62" i="26" s="1"/>
  <c r="F62" i="26"/>
  <c r="Q62" i="26" s="1"/>
  <c r="E62" i="26"/>
  <c r="P62" i="26" s="1"/>
  <c r="D62" i="26"/>
  <c r="O62" i="26" s="1"/>
  <c r="A62" i="26"/>
  <c r="B62" i="26" s="1"/>
  <c r="I61" i="26"/>
  <c r="T61" i="26" s="1"/>
  <c r="I60" i="26"/>
  <c r="T60" i="26" s="1"/>
  <c r="I59" i="26"/>
  <c r="T59" i="26" s="1"/>
  <c r="I58" i="26"/>
  <c r="T58" i="26" s="1"/>
  <c r="I57" i="26"/>
  <c r="T57" i="26" s="1"/>
  <c r="I56" i="26"/>
  <c r="T56" i="26" s="1"/>
  <c r="I55" i="26"/>
  <c r="T55" i="26" s="1"/>
  <c r="I54" i="26"/>
  <c r="T54" i="26" s="1"/>
  <c r="I53" i="26"/>
  <c r="I52" i="26"/>
  <c r="T52" i="26" s="1"/>
  <c r="I51" i="26"/>
  <c r="T51" i="26" s="1"/>
  <c r="I50" i="26"/>
  <c r="T50" i="26" s="1"/>
  <c r="I49" i="26"/>
  <c r="I48" i="26"/>
  <c r="T48" i="26" s="1"/>
  <c r="I47" i="26"/>
  <c r="T47" i="26" s="1"/>
  <c r="I46" i="26"/>
  <c r="T46" i="26" s="1"/>
  <c r="I45" i="26"/>
  <c r="T45" i="26" s="1"/>
  <c r="I44" i="26"/>
  <c r="T44" i="26" s="1"/>
  <c r="I43" i="26"/>
  <c r="T43" i="26" s="1"/>
  <c r="I42" i="26"/>
  <c r="T42" i="26" s="1"/>
  <c r="I41" i="26"/>
  <c r="T41" i="26" s="1"/>
  <c r="I40" i="26"/>
  <c r="T40" i="26" s="1"/>
  <c r="I39" i="26"/>
  <c r="T39" i="26" s="1"/>
  <c r="I38" i="26"/>
  <c r="T38" i="26" s="1"/>
  <c r="I37" i="26"/>
  <c r="I36" i="26"/>
  <c r="I35" i="26"/>
  <c r="T35" i="26" s="1"/>
  <c r="I34" i="26"/>
  <c r="T34" i="26" s="1"/>
  <c r="I33" i="26"/>
  <c r="T33" i="26" s="1"/>
  <c r="I32" i="26"/>
  <c r="T32" i="26" s="1"/>
  <c r="I31" i="26"/>
  <c r="T31" i="26" s="1"/>
  <c r="I30" i="26"/>
  <c r="T30" i="26" s="1"/>
  <c r="I29" i="26"/>
  <c r="I28" i="26"/>
  <c r="T28" i="26" s="1"/>
  <c r="I27" i="26"/>
  <c r="T27" i="26" s="1"/>
  <c r="I26" i="26"/>
  <c r="T26" i="26" s="1"/>
  <c r="I25" i="26"/>
  <c r="T25" i="26" s="1"/>
  <c r="I24" i="26"/>
  <c r="T24" i="26" s="1"/>
  <c r="I23" i="26"/>
  <c r="T23" i="26" s="1"/>
  <c r="I22" i="26"/>
  <c r="T22" i="26" s="1"/>
  <c r="I21" i="26"/>
  <c r="I20" i="26"/>
  <c r="T20" i="26" s="1"/>
  <c r="I19" i="26"/>
  <c r="T19" i="26" s="1"/>
  <c r="I18" i="26"/>
  <c r="T18" i="26" s="1"/>
  <c r="I17" i="26"/>
  <c r="T17" i="26" s="1"/>
  <c r="I16" i="26"/>
  <c r="T16" i="26" s="1"/>
  <c r="I15" i="26"/>
  <c r="T15" i="26" s="1"/>
  <c r="I14" i="26"/>
  <c r="T14" i="26" s="1"/>
  <c r="I13" i="26"/>
  <c r="I12" i="26"/>
  <c r="T12" i="26" s="1"/>
  <c r="I11" i="26"/>
  <c r="T11" i="26" s="1"/>
  <c r="I10" i="26"/>
  <c r="I9" i="26"/>
  <c r="I8" i="26"/>
  <c r="T8" i="26" s="1"/>
  <c r="I7" i="26"/>
  <c r="T7" i="26" s="1"/>
  <c r="I6" i="26"/>
  <c r="T6" i="26" s="1"/>
  <c r="I5" i="26"/>
  <c r="I4" i="26"/>
  <c r="T4" i="26" s="1"/>
  <c r="I3" i="26"/>
  <c r="T3" i="26" s="1"/>
  <c r="I2" i="26"/>
  <c r="I1" i="26"/>
  <c r="N61" i="26"/>
  <c r="N60" i="26"/>
  <c r="N59" i="26"/>
  <c r="N58" i="26"/>
  <c r="N57" i="26"/>
  <c r="N56" i="26"/>
  <c r="N55" i="26"/>
  <c r="N54" i="26"/>
  <c r="T53" i="26"/>
  <c r="N53" i="26"/>
  <c r="N52" i="26"/>
  <c r="N51" i="26"/>
  <c r="N50" i="26"/>
  <c r="T49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T37" i="26"/>
  <c r="N37" i="26"/>
  <c r="T36" i="26"/>
  <c r="N36" i="26"/>
  <c r="N35" i="26"/>
  <c r="N34" i="26"/>
  <c r="N33" i="26"/>
  <c r="N32" i="26"/>
  <c r="N31" i="26"/>
  <c r="N30" i="26"/>
  <c r="T29" i="26"/>
  <c r="N29" i="26"/>
  <c r="N28" i="26"/>
  <c r="N27" i="26"/>
  <c r="N26" i="26"/>
  <c r="N25" i="26"/>
  <c r="N24" i="26"/>
  <c r="N23" i="26"/>
  <c r="N22" i="26"/>
  <c r="T21" i="26"/>
  <c r="N21" i="26"/>
  <c r="N20" i="26"/>
  <c r="N19" i="26"/>
  <c r="N18" i="26"/>
  <c r="N17" i="26"/>
  <c r="N16" i="26"/>
  <c r="N15" i="26"/>
  <c r="N14" i="26"/>
  <c r="T13" i="26"/>
  <c r="N13" i="26"/>
  <c r="N12" i="26"/>
  <c r="N11" i="26"/>
  <c r="T10" i="26"/>
  <c r="N10" i="26"/>
  <c r="T9" i="26"/>
  <c r="N9" i="26"/>
  <c r="N8" i="26"/>
  <c r="N7" i="26"/>
  <c r="N6" i="26"/>
  <c r="T5" i="26"/>
  <c r="N5" i="26"/>
  <c r="N4" i="26"/>
  <c r="N3" i="26"/>
  <c r="K61" i="26"/>
  <c r="V61" i="26" s="1"/>
  <c r="J61" i="26"/>
  <c r="U61" i="26" s="1"/>
  <c r="H61" i="26"/>
  <c r="S61" i="26" s="1"/>
  <c r="G61" i="26"/>
  <c r="R61" i="26" s="1"/>
  <c r="F61" i="26"/>
  <c r="Q61" i="26" s="1"/>
  <c r="E61" i="26"/>
  <c r="P61" i="26" s="1"/>
  <c r="D61" i="26"/>
  <c r="O61" i="26" s="1"/>
  <c r="K60" i="26"/>
  <c r="V60" i="26" s="1"/>
  <c r="J60" i="26"/>
  <c r="U60" i="26" s="1"/>
  <c r="H60" i="26"/>
  <c r="S60" i="26" s="1"/>
  <c r="G60" i="26"/>
  <c r="R60" i="26" s="1"/>
  <c r="F60" i="26"/>
  <c r="Q60" i="26" s="1"/>
  <c r="E60" i="26"/>
  <c r="P60" i="26" s="1"/>
  <c r="D60" i="26"/>
  <c r="O60" i="26" s="1"/>
  <c r="K59" i="26"/>
  <c r="V59" i="26" s="1"/>
  <c r="J59" i="26"/>
  <c r="U59" i="26" s="1"/>
  <c r="H59" i="26"/>
  <c r="S59" i="26" s="1"/>
  <c r="G59" i="26"/>
  <c r="R59" i="26" s="1"/>
  <c r="F59" i="26"/>
  <c r="Q59" i="26" s="1"/>
  <c r="E59" i="26"/>
  <c r="P59" i="26" s="1"/>
  <c r="D59" i="26"/>
  <c r="O59" i="26" s="1"/>
  <c r="K58" i="26"/>
  <c r="V58" i="26" s="1"/>
  <c r="J58" i="26"/>
  <c r="U58" i="26" s="1"/>
  <c r="H58" i="26"/>
  <c r="S58" i="26" s="1"/>
  <c r="G58" i="26"/>
  <c r="R58" i="26" s="1"/>
  <c r="F58" i="26"/>
  <c r="Q58" i="26" s="1"/>
  <c r="E58" i="26"/>
  <c r="P58" i="26" s="1"/>
  <c r="D58" i="26"/>
  <c r="O58" i="26" s="1"/>
  <c r="K57" i="26"/>
  <c r="V57" i="26" s="1"/>
  <c r="J57" i="26"/>
  <c r="U57" i="26" s="1"/>
  <c r="H57" i="26"/>
  <c r="S57" i="26" s="1"/>
  <c r="G57" i="26"/>
  <c r="R57" i="26" s="1"/>
  <c r="F57" i="26"/>
  <c r="Q57" i="26" s="1"/>
  <c r="E57" i="26"/>
  <c r="P57" i="26" s="1"/>
  <c r="D57" i="26"/>
  <c r="O57" i="26" s="1"/>
  <c r="K56" i="26"/>
  <c r="V56" i="26" s="1"/>
  <c r="J56" i="26"/>
  <c r="U56" i="26" s="1"/>
  <c r="H56" i="26"/>
  <c r="S56" i="26" s="1"/>
  <c r="G56" i="26"/>
  <c r="R56" i="26" s="1"/>
  <c r="F56" i="26"/>
  <c r="Q56" i="26" s="1"/>
  <c r="E56" i="26"/>
  <c r="P56" i="26" s="1"/>
  <c r="D56" i="26"/>
  <c r="O56" i="26" s="1"/>
  <c r="K55" i="26"/>
  <c r="V55" i="26" s="1"/>
  <c r="J55" i="26"/>
  <c r="U55" i="26" s="1"/>
  <c r="H55" i="26"/>
  <c r="S55" i="26" s="1"/>
  <c r="G55" i="26"/>
  <c r="R55" i="26" s="1"/>
  <c r="F55" i="26"/>
  <c r="Q55" i="26" s="1"/>
  <c r="E55" i="26"/>
  <c r="P55" i="26" s="1"/>
  <c r="D55" i="26"/>
  <c r="O55" i="26" s="1"/>
  <c r="K54" i="26"/>
  <c r="V54" i="26" s="1"/>
  <c r="J54" i="26"/>
  <c r="U54" i="26" s="1"/>
  <c r="H54" i="26"/>
  <c r="S54" i="26" s="1"/>
  <c r="G54" i="26"/>
  <c r="R54" i="26" s="1"/>
  <c r="F54" i="26"/>
  <c r="Q54" i="26" s="1"/>
  <c r="E54" i="26"/>
  <c r="P54" i="26" s="1"/>
  <c r="D54" i="26"/>
  <c r="O54" i="26" s="1"/>
  <c r="K53" i="26"/>
  <c r="V53" i="26" s="1"/>
  <c r="J53" i="26"/>
  <c r="U53" i="26" s="1"/>
  <c r="H53" i="26"/>
  <c r="S53" i="26" s="1"/>
  <c r="G53" i="26"/>
  <c r="R53" i="26" s="1"/>
  <c r="F53" i="26"/>
  <c r="Q53" i="26" s="1"/>
  <c r="E53" i="26"/>
  <c r="P53" i="26" s="1"/>
  <c r="D53" i="26"/>
  <c r="O53" i="26" s="1"/>
  <c r="K52" i="26"/>
  <c r="V52" i="26" s="1"/>
  <c r="J52" i="26"/>
  <c r="U52" i="26" s="1"/>
  <c r="H52" i="26"/>
  <c r="S52" i="26" s="1"/>
  <c r="G52" i="26"/>
  <c r="R52" i="26" s="1"/>
  <c r="F52" i="26"/>
  <c r="Q52" i="26" s="1"/>
  <c r="E52" i="26"/>
  <c r="P52" i="26" s="1"/>
  <c r="D52" i="26"/>
  <c r="O52" i="26" s="1"/>
  <c r="K51" i="26"/>
  <c r="V51" i="26" s="1"/>
  <c r="J51" i="26"/>
  <c r="U51" i="26" s="1"/>
  <c r="H51" i="26"/>
  <c r="S51" i="26" s="1"/>
  <c r="G51" i="26"/>
  <c r="R51" i="26" s="1"/>
  <c r="F51" i="26"/>
  <c r="Q51" i="26" s="1"/>
  <c r="E51" i="26"/>
  <c r="P51" i="26" s="1"/>
  <c r="D51" i="26"/>
  <c r="O51" i="26" s="1"/>
  <c r="K50" i="26"/>
  <c r="V50" i="26" s="1"/>
  <c r="J50" i="26"/>
  <c r="U50" i="26" s="1"/>
  <c r="H50" i="26"/>
  <c r="S50" i="26" s="1"/>
  <c r="G50" i="26"/>
  <c r="R50" i="26" s="1"/>
  <c r="F50" i="26"/>
  <c r="Q50" i="26" s="1"/>
  <c r="E50" i="26"/>
  <c r="P50" i="26" s="1"/>
  <c r="D50" i="26"/>
  <c r="O50" i="26" s="1"/>
  <c r="K49" i="26"/>
  <c r="V49" i="26" s="1"/>
  <c r="J49" i="26"/>
  <c r="U49" i="26" s="1"/>
  <c r="H49" i="26"/>
  <c r="S49" i="26" s="1"/>
  <c r="G49" i="26"/>
  <c r="R49" i="26" s="1"/>
  <c r="F49" i="26"/>
  <c r="Q49" i="26" s="1"/>
  <c r="E49" i="26"/>
  <c r="P49" i="26" s="1"/>
  <c r="D49" i="26"/>
  <c r="O49" i="26" s="1"/>
  <c r="K48" i="26"/>
  <c r="V48" i="26" s="1"/>
  <c r="J48" i="26"/>
  <c r="U48" i="26" s="1"/>
  <c r="H48" i="26"/>
  <c r="S48" i="26" s="1"/>
  <c r="G48" i="26"/>
  <c r="R48" i="26" s="1"/>
  <c r="F48" i="26"/>
  <c r="Q48" i="26" s="1"/>
  <c r="E48" i="26"/>
  <c r="P48" i="26" s="1"/>
  <c r="D48" i="26"/>
  <c r="O48" i="26" s="1"/>
  <c r="K47" i="26"/>
  <c r="V47" i="26" s="1"/>
  <c r="J47" i="26"/>
  <c r="U47" i="26" s="1"/>
  <c r="H47" i="26"/>
  <c r="S47" i="26" s="1"/>
  <c r="G47" i="26"/>
  <c r="R47" i="26" s="1"/>
  <c r="F47" i="26"/>
  <c r="Q47" i="26" s="1"/>
  <c r="E47" i="26"/>
  <c r="P47" i="26" s="1"/>
  <c r="D47" i="26"/>
  <c r="O47" i="26" s="1"/>
  <c r="K46" i="26"/>
  <c r="V46" i="26" s="1"/>
  <c r="J46" i="26"/>
  <c r="U46" i="26" s="1"/>
  <c r="H46" i="26"/>
  <c r="S46" i="26" s="1"/>
  <c r="G46" i="26"/>
  <c r="R46" i="26" s="1"/>
  <c r="F46" i="26"/>
  <c r="Q46" i="26" s="1"/>
  <c r="E46" i="26"/>
  <c r="P46" i="26" s="1"/>
  <c r="D46" i="26"/>
  <c r="O46" i="26" s="1"/>
  <c r="K45" i="26"/>
  <c r="V45" i="26" s="1"/>
  <c r="J45" i="26"/>
  <c r="U45" i="26" s="1"/>
  <c r="H45" i="26"/>
  <c r="S45" i="26" s="1"/>
  <c r="G45" i="26"/>
  <c r="R45" i="26" s="1"/>
  <c r="F45" i="26"/>
  <c r="Q45" i="26" s="1"/>
  <c r="E45" i="26"/>
  <c r="P45" i="26" s="1"/>
  <c r="D45" i="26"/>
  <c r="O45" i="26" s="1"/>
  <c r="K44" i="26"/>
  <c r="V44" i="26" s="1"/>
  <c r="J44" i="26"/>
  <c r="U44" i="26" s="1"/>
  <c r="H44" i="26"/>
  <c r="S44" i="26" s="1"/>
  <c r="G44" i="26"/>
  <c r="R44" i="26" s="1"/>
  <c r="F44" i="26"/>
  <c r="Q44" i="26" s="1"/>
  <c r="E44" i="26"/>
  <c r="P44" i="26" s="1"/>
  <c r="D44" i="26"/>
  <c r="O44" i="26" s="1"/>
  <c r="K43" i="26"/>
  <c r="V43" i="26" s="1"/>
  <c r="J43" i="26"/>
  <c r="U43" i="26" s="1"/>
  <c r="H43" i="26"/>
  <c r="S43" i="26" s="1"/>
  <c r="G43" i="26"/>
  <c r="R43" i="26" s="1"/>
  <c r="F43" i="26"/>
  <c r="Q43" i="26" s="1"/>
  <c r="E43" i="26"/>
  <c r="P43" i="26" s="1"/>
  <c r="D43" i="26"/>
  <c r="O43" i="26" s="1"/>
  <c r="K42" i="26"/>
  <c r="V42" i="26" s="1"/>
  <c r="J42" i="26"/>
  <c r="U42" i="26" s="1"/>
  <c r="H42" i="26"/>
  <c r="S42" i="26" s="1"/>
  <c r="G42" i="26"/>
  <c r="R42" i="26" s="1"/>
  <c r="F42" i="26"/>
  <c r="Q42" i="26" s="1"/>
  <c r="E42" i="26"/>
  <c r="P42" i="26" s="1"/>
  <c r="D42" i="26"/>
  <c r="O42" i="26" s="1"/>
  <c r="K41" i="26"/>
  <c r="V41" i="26" s="1"/>
  <c r="J41" i="26"/>
  <c r="U41" i="26" s="1"/>
  <c r="H41" i="26"/>
  <c r="S41" i="26" s="1"/>
  <c r="G41" i="26"/>
  <c r="R41" i="26" s="1"/>
  <c r="F41" i="26"/>
  <c r="Q41" i="26" s="1"/>
  <c r="E41" i="26"/>
  <c r="P41" i="26" s="1"/>
  <c r="D41" i="26"/>
  <c r="O41" i="26" s="1"/>
  <c r="K40" i="26"/>
  <c r="V40" i="26" s="1"/>
  <c r="J40" i="26"/>
  <c r="U40" i="26" s="1"/>
  <c r="H40" i="26"/>
  <c r="S40" i="26" s="1"/>
  <c r="G40" i="26"/>
  <c r="R40" i="26" s="1"/>
  <c r="F40" i="26"/>
  <c r="Q40" i="26" s="1"/>
  <c r="E40" i="26"/>
  <c r="P40" i="26" s="1"/>
  <c r="D40" i="26"/>
  <c r="O40" i="26" s="1"/>
  <c r="K39" i="26"/>
  <c r="V39" i="26" s="1"/>
  <c r="J39" i="26"/>
  <c r="U39" i="26" s="1"/>
  <c r="H39" i="26"/>
  <c r="S39" i="26" s="1"/>
  <c r="G39" i="26"/>
  <c r="R39" i="26" s="1"/>
  <c r="F39" i="26"/>
  <c r="Q39" i="26" s="1"/>
  <c r="E39" i="26"/>
  <c r="P39" i="26" s="1"/>
  <c r="D39" i="26"/>
  <c r="O39" i="26" s="1"/>
  <c r="K38" i="26"/>
  <c r="V38" i="26" s="1"/>
  <c r="J38" i="26"/>
  <c r="U38" i="26" s="1"/>
  <c r="H38" i="26"/>
  <c r="S38" i="26" s="1"/>
  <c r="G38" i="26"/>
  <c r="R38" i="26" s="1"/>
  <c r="F38" i="26"/>
  <c r="Q38" i="26" s="1"/>
  <c r="E38" i="26"/>
  <c r="P38" i="26" s="1"/>
  <c r="D38" i="26"/>
  <c r="O38" i="26" s="1"/>
  <c r="K37" i="26"/>
  <c r="V37" i="26" s="1"/>
  <c r="J37" i="26"/>
  <c r="U37" i="26" s="1"/>
  <c r="H37" i="26"/>
  <c r="S37" i="26" s="1"/>
  <c r="G37" i="26"/>
  <c r="R37" i="26" s="1"/>
  <c r="F37" i="26"/>
  <c r="Q37" i="26" s="1"/>
  <c r="E37" i="26"/>
  <c r="P37" i="26" s="1"/>
  <c r="D37" i="26"/>
  <c r="O37" i="26" s="1"/>
  <c r="K36" i="26"/>
  <c r="V36" i="26" s="1"/>
  <c r="J36" i="26"/>
  <c r="U36" i="26" s="1"/>
  <c r="H36" i="26"/>
  <c r="S36" i="26" s="1"/>
  <c r="G36" i="26"/>
  <c r="R36" i="26" s="1"/>
  <c r="F36" i="26"/>
  <c r="Q36" i="26" s="1"/>
  <c r="E36" i="26"/>
  <c r="P36" i="26" s="1"/>
  <c r="D36" i="26"/>
  <c r="O36" i="26" s="1"/>
  <c r="K35" i="26"/>
  <c r="V35" i="26" s="1"/>
  <c r="J35" i="26"/>
  <c r="U35" i="26" s="1"/>
  <c r="H35" i="26"/>
  <c r="S35" i="26" s="1"/>
  <c r="G35" i="26"/>
  <c r="R35" i="26" s="1"/>
  <c r="F35" i="26"/>
  <c r="Q35" i="26" s="1"/>
  <c r="E35" i="26"/>
  <c r="P35" i="26" s="1"/>
  <c r="D35" i="26"/>
  <c r="O35" i="26" s="1"/>
  <c r="K34" i="26"/>
  <c r="V34" i="26" s="1"/>
  <c r="J34" i="26"/>
  <c r="U34" i="26" s="1"/>
  <c r="H34" i="26"/>
  <c r="S34" i="26" s="1"/>
  <c r="G34" i="26"/>
  <c r="R34" i="26" s="1"/>
  <c r="F34" i="26"/>
  <c r="Q34" i="26" s="1"/>
  <c r="E34" i="26"/>
  <c r="P34" i="26" s="1"/>
  <c r="D34" i="26"/>
  <c r="O34" i="26" s="1"/>
  <c r="K33" i="26"/>
  <c r="V33" i="26" s="1"/>
  <c r="J33" i="26"/>
  <c r="U33" i="26" s="1"/>
  <c r="H33" i="26"/>
  <c r="S33" i="26" s="1"/>
  <c r="G33" i="26"/>
  <c r="R33" i="26" s="1"/>
  <c r="F33" i="26"/>
  <c r="Q33" i="26" s="1"/>
  <c r="E33" i="26"/>
  <c r="P33" i="26" s="1"/>
  <c r="D33" i="26"/>
  <c r="O33" i="26" s="1"/>
  <c r="K32" i="26"/>
  <c r="V32" i="26" s="1"/>
  <c r="J32" i="26"/>
  <c r="U32" i="26" s="1"/>
  <c r="H32" i="26"/>
  <c r="S32" i="26" s="1"/>
  <c r="G32" i="26"/>
  <c r="R32" i="26" s="1"/>
  <c r="F32" i="26"/>
  <c r="Q32" i="26" s="1"/>
  <c r="E32" i="26"/>
  <c r="P32" i="26" s="1"/>
  <c r="D32" i="26"/>
  <c r="O32" i="26" s="1"/>
  <c r="K31" i="26"/>
  <c r="V31" i="26" s="1"/>
  <c r="J31" i="26"/>
  <c r="U31" i="26" s="1"/>
  <c r="H31" i="26"/>
  <c r="S31" i="26" s="1"/>
  <c r="G31" i="26"/>
  <c r="R31" i="26" s="1"/>
  <c r="F31" i="26"/>
  <c r="Q31" i="26" s="1"/>
  <c r="E31" i="26"/>
  <c r="P31" i="26" s="1"/>
  <c r="D31" i="26"/>
  <c r="O31" i="26" s="1"/>
  <c r="K30" i="26"/>
  <c r="V30" i="26" s="1"/>
  <c r="J30" i="26"/>
  <c r="U30" i="26" s="1"/>
  <c r="H30" i="26"/>
  <c r="S30" i="26" s="1"/>
  <c r="G30" i="26"/>
  <c r="R30" i="26" s="1"/>
  <c r="F30" i="26"/>
  <c r="Q30" i="26" s="1"/>
  <c r="E30" i="26"/>
  <c r="P30" i="26" s="1"/>
  <c r="D30" i="26"/>
  <c r="O30" i="26" s="1"/>
  <c r="K29" i="26"/>
  <c r="V29" i="26" s="1"/>
  <c r="J29" i="26"/>
  <c r="U29" i="26" s="1"/>
  <c r="H29" i="26"/>
  <c r="S29" i="26" s="1"/>
  <c r="G29" i="26"/>
  <c r="R29" i="26" s="1"/>
  <c r="F29" i="26"/>
  <c r="Q29" i="26" s="1"/>
  <c r="E29" i="26"/>
  <c r="P29" i="26" s="1"/>
  <c r="D29" i="26"/>
  <c r="O29" i="26" s="1"/>
  <c r="K28" i="26"/>
  <c r="V28" i="26" s="1"/>
  <c r="J28" i="26"/>
  <c r="U28" i="26" s="1"/>
  <c r="H28" i="26"/>
  <c r="S28" i="26" s="1"/>
  <c r="G28" i="26"/>
  <c r="R28" i="26" s="1"/>
  <c r="F28" i="26"/>
  <c r="Q28" i="26" s="1"/>
  <c r="E28" i="26"/>
  <c r="P28" i="26" s="1"/>
  <c r="D28" i="26"/>
  <c r="O28" i="26" s="1"/>
  <c r="K27" i="26"/>
  <c r="V27" i="26" s="1"/>
  <c r="J27" i="26"/>
  <c r="U27" i="26" s="1"/>
  <c r="H27" i="26"/>
  <c r="S27" i="26" s="1"/>
  <c r="G27" i="26"/>
  <c r="R27" i="26" s="1"/>
  <c r="F27" i="26"/>
  <c r="Q27" i="26" s="1"/>
  <c r="E27" i="26"/>
  <c r="P27" i="26" s="1"/>
  <c r="D27" i="26"/>
  <c r="O27" i="26" s="1"/>
  <c r="K26" i="26"/>
  <c r="V26" i="26" s="1"/>
  <c r="J26" i="26"/>
  <c r="U26" i="26" s="1"/>
  <c r="H26" i="26"/>
  <c r="S26" i="26" s="1"/>
  <c r="G26" i="26"/>
  <c r="R26" i="26" s="1"/>
  <c r="F26" i="26"/>
  <c r="Q26" i="26" s="1"/>
  <c r="E26" i="26"/>
  <c r="P26" i="26" s="1"/>
  <c r="D26" i="26"/>
  <c r="O26" i="26" s="1"/>
  <c r="K25" i="26"/>
  <c r="V25" i="26" s="1"/>
  <c r="J25" i="26"/>
  <c r="U25" i="26" s="1"/>
  <c r="H25" i="26"/>
  <c r="S25" i="26" s="1"/>
  <c r="G25" i="26"/>
  <c r="R25" i="26" s="1"/>
  <c r="F25" i="26"/>
  <c r="Q25" i="26" s="1"/>
  <c r="E25" i="26"/>
  <c r="P25" i="26" s="1"/>
  <c r="D25" i="26"/>
  <c r="O25" i="26" s="1"/>
  <c r="K24" i="26"/>
  <c r="V24" i="26" s="1"/>
  <c r="J24" i="26"/>
  <c r="U24" i="26" s="1"/>
  <c r="H24" i="26"/>
  <c r="S24" i="26" s="1"/>
  <c r="G24" i="26"/>
  <c r="R24" i="26" s="1"/>
  <c r="F24" i="26"/>
  <c r="Q24" i="26" s="1"/>
  <c r="E24" i="26"/>
  <c r="P24" i="26" s="1"/>
  <c r="D24" i="26"/>
  <c r="O24" i="26" s="1"/>
  <c r="K23" i="26"/>
  <c r="V23" i="26" s="1"/>
  <c r="J23" i="26"/>
  <c r="U23" i="26" s="1"/>
  <c r="H23" i="26"/>
  <c r="S23" i="26" s="1"/>
  <c r="G23" i="26"/>
  <c r="R23" i="26" s="1"/>
  <c r="F23" i="26"/>
  <c r="Q23" i="26" s="1"/>
  <c r="E23" i="26"/>
  <c r="P23" i="26" s="1"/>
  <c r="D23" i="26"/>
  <c r="O23" i="26" s="1"/>
  <c r="K22" i="26"/>
  <c r="V22" i="26" s="1"/>
  <c r="J22" i="26"/>
  <c r="U22" i="26" s="1"/>
  <c r="H22" i="26"/>
  <c r="S22" i="26" s="1"/>
  <c r="G22" i="26"/>
  <c r="R22" i="26" s="1"/>
  <c r="F22" i="26"/>
  <c r="Q22" i="26" s="1"/>
  <c r="E22" i="26"/>
  <c r="P22" i="26" s="1"/>
  <c r="D22" i="26"/>
  <c r="O22" i="26" s="1"/>
  <c r="K21" i="26"/>
  <c r="V21" i="26" s="1"/>
  <c r="J21" i="26"/>
  <c r="U21" i="26" s="1"/>
  <c r="H21" i="26"/>
  <c r="S21" i="26" s="1"/>
  <c r="G21" i="26"/>
  <c r="R21" i="26" s="1"/>
  <c r="F21" i="26"/>
  <c r="Q21" i="26" s="1"/>
  <c r="E21" i="26"/>
  <c r="P21" i="26" s="1"/>
  <c r="D21" i="26"/>
  <c r="O21" i="26" s="1"/>
  <c r="K20" i="26"/>
  <c r="V20" i="26" s="1"/>
  <c r="J20" i="26"/>
  <c r="U20" i="26" s="1"/>
  <c r="H20" i="26"/>
  <c r="S20" i="26" s="1"/>
  <c r="G20" i="26"/>
  <c r="R20" i="26" s="1"/>
  <c r="F20" i="26"/>
  <c r="Q20" i="26" s="1"/>
  <c r="E20" i="26"/>
  <c r="P20" i="26" s="1"/>
  <c r="D20" i="26"/>
  <c r="O20" i="26" s="1"/>
  <c r="K19" i="26"/>
  <c r="V19" i="26" s="1"/>
  <c r="J19" i="26"/>
  <c r="U19" i="26" s="1"/>
  <c r="H19" i="26"/>
  <c r="S19" i="26" s="1"/>
  <c r="G19" i="26"/>
  <c r="R19" i="26" s="1"/>
  <c r="F19" i="26"/>
  <c r="Q19" i="26" s="1"/>
  <c r="E19" i="26"/>
  <c r="P19" i="26" s="1"/>
  <c r="D19" i="26"/>
  <c r="O19" i="26" s="1"/>
  <c r="K18" i="26"/>
  <c r="V18" i="26" s="1"/>
  <c r="J18" i="26"/>
  <c r="U18" i="26" s="1"/>
  <c r="H18" i="26"/>
  <c r="S18" i="26" s="1"/>
  <c r="G18" i="26"/>
  <c r="R18" i="26" s="1"/>
  <c r="F18" i="26"/>
  <c r="Q18" i="26" s="1"/>
  <c r="E18" i="26"/>
  <c r="P18" i="26" s="1"/>
  <c r="D18" i="26"/>
  <c r="O18" i="26" s="1"/>
  <c r="K17" i="26"/>
  <c r="V17" i="26" s="1"/>
  <c r="J17" i="26"/>
  <c r="U17" i="26" s="1"/>
  <c r="H17" i="26"/>
  <c r="S17" i="26" s="1"/>
  <c r="G17" i="26"/>
  <c r="R17" i="26" s="1"/>
  <c r="F17" i="26"/>
  <c r="Q17" i="26" s="1"/>
  <c r="E17" i="26"/>
  <c r="P17" i="26" s="1"/>
  <c r="D17" i="26"/>
  <c r="O17" i="26" s="1"/>
  <c r="K16" i="26"/>
  <c r="V16" i="26" s="1"/>
  <c r="J16" i="26"/>
  <c r="U16" i="26" s="1"/>
  <c r="H16" i="26"/>
  <c r="S16" i="26" s="1"/>
  <c r="G16" i="26"/>
  <c r="R16" i="26" s="1"/>
  <c r="F16" i="26"/>
  <c r="Q16" i="26" s="1"/>
  <c r="E16" i="26"/>
  <c r="P16" i="26" s="1"/>
  <c r="D16" i="26"/>
  <c r="O16" i="26" s="1"/>
  <c r="K15" i="26"/>
  <c r="V15" i="26" s="1"/>
  <c r="J15" i="26"/>
  <c r="U15" i="26" s="1"/>
  <c r="H15" i="26"/>
  <c r="S15" i="26" s="1"/>
  <c r="G15" i="26"/>
  <c r="R15" i="26" s="1"/>
  <c r="F15" i="26"/>
  <c r="Q15" i="26" s="1"/>
  <c r="E15" i="26"/>
  <c r="P15" i="26" s="1"/>
  <c r="D15" i="26"/>
  <c r="O15" i="26" s="1"/>
  <c r="K14" i="26"/>
  <c r="V14" i="26" s="1"/>
  <c r="J14" i="26"/>
  <c r="U14" i="26" s="1"/>
  <c r="H14" i="26"/>
  <c r="S14" i="26" s="1"/>
  <c r="G14" i="26"/>
  <c r="R14" i="26" s="1"/>
  <c r="F14" i="26"/>
  <c r="Q14" i="26" s="1"/>
  <c r="E14" i="26"/>
  <c r="P14" i="26" s="1"/>
  <c r="D14" i="26"/>
  <c r="O14" i="26" s="1"/>
  <c r="L13" i="26"/>
  <c r="W13" i="26" s="1"/>
  <c r="K13" i="26"/>
  <c r="V13" i="26" s="1"/>
  <c r="J13" i="26"/>
  <c r="U13" i="26" s="1"/>
  <c r="H13" i="26"/>
  <c r="S13" i="26" s="1"/>
  <c r="G13" i="26"/>
  <c r="R13" i="26" s="1"/>
  <c r="F13" i="26"/>
  <c r="Q13" i="26" s="1"/>
  <c r="E13" i="26"/>
  <c r="P13" i="26" s="1"/>
  <c r="D13" i="26"/>
  <c r="O13" i="26" s="1"/>
  <c r="L12" i="26"/>
  <c r="W12" i="26" s="1"/>
  <c r="K12" i="26"/>
  <c r="V12" i="26" s="1"/>
  <c r="J12" i="26"/>
  <c r="U12" i="26" s="1"/>
  <c r="H12" i="26"/>
  <c r="S12" i="26" s="1"/>
  <c r="G12" i="26"/>
  <c r="R12" i="26" s="1"/>
  <c r="F12" i="26"/>
  <c r="Q12" i="26" s="1"/>
  <c r="E12" i="26"/>
  <c r="P12" i="26" s="1"/>
  <c r="D12" i="26"/>
  <c r="O12" i="26" s="1"/>
  <c r="L11" i="26"/>
  <c r="W11" i="26" s="1"/>
  <c r="K11" i="26"/>
  <c r="V11" i="26" s="1"/>
  <c r="J11" i="26"/>
  <c r="U11" i="26" s="1"/>
  <c r="H11" i="26"/>
  <c r="S11" i="26" s="1"/>
  <c r="G11" i="26"/>
  <c r="R11" i="26" s="1"/>
  <c r="F11" i="26"/>
  <c r="Q11" i="26" s="1"/>
  <c r="E11" i="26"/>
  <c r="P11" i="26" s="1"/>
  <c r="D11" i="26"/>
  <c r="O11" i="26" s="1"/>
  <c r="L10" i="26"/>
  <c r="W10" i="26" s="1"/>
  <c r="K10" i="26"/>
  <c r="V10" i="26" s="1"/>
  <c r="J10" i="26"/>
  <c r="U10" i="26" s="1"/>
  <c r="H10" i="26"/>
  <c r="S10" i="26" s="1"/>
  <c r="G10" i="26"/>
  <c r="R10" i="26" s="1"/>
  <c r="F10" i="26"/>
  <c r="Q10" i="26" s="1"/>
  <c r="E10" i="26"/>
  <c r="P10" i="26" s="1"/>
  <c r="D10" i="26"/>
  <c r="O10" i="26" s="1"/>
  <c r="L9" i="26"/>
  <c r="W9" i="26" s="1"/>
  <c r="K9" i="26"/>
  <c r="V9" i="26" s="1"/>
  <c r="J9" i="26"/>
  <c r="U9" i="26" s="1"/>
  <c r="H9" i="26"/>
  <c r="S9" i="26" s="1"/>
  <c r="G9" i="26"/>
  <c r="R9" i="26" s="1"/>
  <c r="F9" i="26"/>
  <c r="Q9" i="26" s="1"/>
  <c r="E9" i="26"/>
  <c r="P9" i="26" s="1"/>
  <c r="D9" i="26"/>
  <c r="O9" i="26" s="1"/>
  <c r="L8" i="26"/>
  <c r="W8" i="26" s="1"/>
  <c r="K8" i="26"/>
  <c r="V8" i="26" s="1"/>
  <c r="J8" i="26"/>
  <c r="U8" i="26" s="1"/>
  <c r="H8" i="26"/>
  <c r="S8" i="26" s="1"/>
  <c r="G8" i="26"/>
  <c r="R8" i="26" s="1"/>
  <c r="F8" i="26"/>
  <c r="Q8" i="26" s="1"/>
  <c r="E8" i="26"/>
  <c r="P8" i="26" s="1"/>
  <c r="D8" i="26"/>
  <c r="O8" i="26" s="1"/>
  <c r="L7" i="26"/>
  <c r="W7" i="26" s="1"/>
  <c r="K7" i="26"/>
  <c r="V7" i="26" s="1"/>
  <c r="J7" i="26"/>
  <c r="U7" i="26" s="1"/>
  <c r="H7" i="26"/>
  <c r="S7" i="26" s="1"/>
  <c r="G7" i="26"/>
  <c r="R7" i="26" s="1"/>
  <c r="F7" i="26"/>
  <c r="Q7" i="26" s="1"/>
  <c r="E7" i="26"/>
  <c r="P7" i="26" s="1"/>
  <c r="D7" i="26"/>
  <c r="O7" i="26" s="1"/>
  <c r="L6" i="26"/>
  <c r="W6" i="26" s="1"/>
  <c r="K6" i="26"/>
  <c r="V6" i="26" s="1"/>
  <c r="J6" i="26"/>
  <c r="U6" i="26" s="1"/>
  <c r="H6" i="26"/>
  <c r="S6" i="26" s="1"/>
  <c r="G6" i="26"/>
  <c r="R6" i="26" s="1"/>
  <c r="F6" i="26"/>
  <c r="Q6" i="26" s="1"/>
  <c r="E6" i="26"/>
  <c r="P6" i="26" s="1"/>
  <c r="D6" i="26"/>
  <c r="O6" i="26" s="1"/>
  <c r="L5" i="26"/>
  <c r="W5" i="26" s="1"/>
  <c r="K5" i="26"/>
  <c r="V5" i="26" s="1"/>
  <c r="J5" i="26"/>
  <c r="U5" i="26" s="1"/>
  <c r="H5" i="26"/>
  <c r="S5" i="26" s="1"/>
  <c r="G5" i="26"/>
  <c r="R5" i="26" s="1"/>
  <c r="F5" i="26"/>
  <c r="Q5" i="26" s="1"/>
  <c r="E5" i="26"/>
  <c r="P5" i="26" s="1"/>
  <c r="D5" i="26"/>
  <c r="O5" i="26" s="1"/>
  <c r="L4" i="26"/>
  <c r="W4" i="26" s="1"/>
  <c r="K4" i="26"/>
  <c r="V4" i="26" s="1"/>
  <c r="J4" i="26"/>
  <c r="U4" i="26" s="1"/>
  <c r="H4" i="26"/>
  <c r="S4" i="26" s="1"/>
  <c r="G4" i="26"/>
  <c r="R4" i="26" s="1"/>
  <c r="F4" i="26"/>
  <c r="Q4" i="26" s="1"/>
  <c r="E4" i="26"/>
  <c r="P4" i="26" s="1"/>
  <c r="D4" i="26"/>
  <c r="O4" i="26" s="1"/>
  <c r="L3" i="26"/>
  <c r="W3" i="26" s="1"/>
  <c r="K3" i="26"/>
  <c r="V3" i="26" s="1"/>
  <c r="J3" i="26"/>
  <c r="U3" i="26" s="1"/>
  <c r="H3" i="26"/>
  <c r="S3" i="26" s="1"/>
  <c r="G3" i="26"/>
  <c r="R3" i="26" s="1"/>
  <c r="F3" i="26"/>
  <c r="Q3" i="26" s="1"/>
  <c r="E3" i="26"/>
  <c r="P3" i="26" s="1"/>
  <c r="D3" i="26"/>
  <c r="O3" i="26" s="1"/>
  <c r="L2" i="26"/>
  <c r="K2" i="26"/>
  <c r="J2" i="26"/>
  <c r="H2" i="26"/>
  <c r="G2" i="26"/>
  <c r="F2" i="26"/>
  <c r="E2" i="26"/>
  <c r="D2" i="26"/>
  <c r="J1" i="26"/>
  <c r="F1" i="26"/>
  <c r="G1" i="26"/>
  <c r="H1" i="26"/>
  <c r="E1" i="26"/>
  <c r="D1" i="26"/>
  <c r="K1" i="26"/>
  <c r="O73" i="25"/>
  <c r="L73" i="25"/>
  <c r="X73" i="25" s="1"/>
  <c r="K73" i="25"/>
  <c r="W73" i="25" s="1"/>
  <c r="J73" i="25"/>
  <c r="V73" i="25" s="1"/>
  <c r="I73" i="25"/>
  <c r="U73" i="25" s="1"/>
  <c r="G73" i="25"/>
  <c r="S73" i="25" s="1"/>
  <c r="F73" i="25"/>
  <c r="R73" i="25" s="1"/>
  <c r="E73" i="25"/>
  <c r="Q73" i="25" s="1"/>
  <c r="D73" i="25"/>
  <c r="P73" i="25" s="1"/>
  <c r="A73" i="25"/>
  <c r="B73" i="25" s="1"/>
  <c r="O72" i="25"/>
  <c r="L72" i="25"/>
  <c r="X72" i="25" s="1"/>
  <c r="K72" i="25"/>
  <c r="W72" i="25" s="1"/>
  <c r="J72" i="25"/>
  <c r="V72" i="25" s="1"/>
  <c r="I72" i="25"/>
  <c r="U72" i="25" s="1"/>
  <c r="G72" i="25"/>
  <c r="S72" i="25" s="1"/>
  <c r="F72" i="25"/>
  <c r="R72" i="25" s="1"/>
  <c r="E72" i="25"/>
  <c r="Q72" i="25" s="1"/>
  <c r="D72" i="25"/>
  <c r="P72" i="25" s="1"/>
  <c r="A72" i="25"/>
  <c r="B72" i="25" s="1"/>
  <c r="O71" i="25"/>
  <c r="L71" i="25"/>
  <c r="X71" i="25" s="1"/>
  <c r="K71" i="25"/>
  <c r="W71" i="25" s="1"/>
  <c r="J71" i="25"/>
  <c r="V71" i="25" s="1"/>
  <c r="I71" i="25"/>
  <c r="U71" i="25" s="1"/>
  <c r="G71" i="25"/>
  <c r="S71" i="25" s="1"/>
  <c r="F71" i="25"/>
  <c r="R71" i="25" s="1"/>
  <c r="E71" i="25"/>
  <c r="Q71" i="25" s="1"/>
  <c r="D71" i="25"/>
  <c r="P71" i="25" s="1"/>
  <c r="A71" i="25"/>
  <c r="B71" i="25" s="1"/>
  <c r="O70" i="25"/>
  <c r="L70" i="25"/>
  <c r="X70" i="25" s="1"/>
  <c r="K70" i="25"/>
  <c r="W70" i="25" s="1"/>
  <c r="J70" i="25"/>
  <c r="V70" i="25" s="1"/>
  <c r="I70" i="25"/>
  <c r="U70" i="25" s="1"/>
  <c r="G70" i="25"/>
  <c r="S70" i="25" s="1"/>
  <c r="F70" i="25"/>
  <c r="R70" i="25" s="1"/>
  <c r="E70" i="25"/>
  <c r="Q70" i="25" s="1"/>
  <c r="D70" i="25"/>
  <c r="P70" i="25" s="1"/>
  <c r="A70" i="25"/>
  <c r="B70" i="25" s="1"/>
  <c r="O69" i="25"/>
  <c r="L69" i="25"/>
  <c r="X69" i="25" s="1"/>
  <c r="K69" i="25"/>
  <c r="W69" i="25" s="1"/>
  <c r="J69" i="25"/>
  <c r="V69" i="25" s="1"/>
  <c r="I69" i="25"/>
  <c r="U69" i="25" s="1"/>
  <c r="G69" i="25"/>
  <c r="S69" i="25" s="1"/>
  <c r="F69" i="25"/>
  <c r="R69" i="25" s="1"/>
  <c r="E69" i="25"/>
  <c r="Q69" i="25" s="1"/>
  <c r="D69" i="25"/>
  <c r="P69" i="25" s="1"/>
  <c r="A69" i="25"/>
  <c r="B69" i="25" s="1"/>
  <c r="O68" i="25"/>
  <c r="L68" i="25"/>
  <c r="X68" i="25" s="1"/>
  <c r="K68" i="25"/>
  <c r="W68" i="25" s="1"/>
  <c r="J68" i="25"/>
  <c r="V68" i="25" s="1"/>
  <c r="I68" i="25"/>
  <c r="U68" i="25" s="1"/>
  <c r="G68" i="25"/>
  <c r="S68" i="25" s="1"/>
  <c r="F68" i="25"/>
  <c r="R68" i="25" s="1"/>
  <c r="E68" i="25"/>
  <c r="Q68" i="25" s="1"/>
  <c r="D68" i="25"/>
  <c r="P68" i="25" s="1"/>
  <c r="A68" i="25"/>
  <c r="B68" i="25" s="1"/>
  <c r="O67" i="25"/>
  <c r="L67" i="25"/>
  <c r="X67" i="25" s="1"/>
  <c r="K67" i="25"/>
  <c r="W67" i="25" s="1"/>
  <c r="J67" i="25"/>
  <c r="V67" i="25" s="1"/>
  <c r="I67" i="25"/>
  <c r="U67" i="25" s="1"/>
  <c r="G67" i="25"/>
  <c r="S67" i="25" s="1"/>
  <c r="F67" i="25"/>
  <c r="R67" i="25" s="1"/>
  <c r="E67" i="25"/>
  <c r="Q67" i="25" s="1"/>
  <c r="D67" i="25"/>
  <c r="P67" i="25" s="1"/>
  <c r="A67" i="25"/>
  <c r="B67" i="25" s="1"/>
  <c r="O66" i="25"/>
  <c r="L66" i="25"/>
  <c r="X66" i="25" s="1"/>
  <c r="K66" i="25"/>
  <c r="W66" i="25" s="1"/>
  <c r="J66" i="25"/>
  <c r="V66" i="25" s="1"/>
  <c r="I66" i="25"/>
  <c r="U66" i="25" s="1"/>
  <c r="G66" i="25"/>
  <c r="S66" i="25" s="1"/>
  <c r="F66" i="25"/>
  <c r="R66" i="25" s="1"/>
  <c r="E66" i="25"/>
  <c r="Q66" i="25" s="1"/>
  <c r="D66" i="25"/>
  <c r="P66" i="25" s="1"/>
  <c r="A66" i="25"/>
  <c r="B66" i="25" s="1"/>
  <c r="O65" i="25"/>
  <c r="L65" i="25"/>
  <c r="X65" i="25" s="1"/>
  <c r="K65" i="25"/>
  <c r="W65" i="25" s="1"/>
  <c r="J65" i="25"/>
  <c r="V65" i="25" s="1"/>
  <c r="I65" i="25"/>
  <c r="U65" i="25" s="1"/>
  <c r="G65" i="25"/>
  <c r="S65" i="25" s="1"/>
  <c r="F65" i="25"/>
  <c r="R65" i="25" s="1"/>
  <c r="E65" i="25"/>
  <c r="Q65" i="25" s="1"/>
  <c r="D65" i="25"/>
  <c r="P65" i="25" s="1"/>
  <c r="A65" i="25"/>
  <c r="B65" i="25" s="1"/>
  <c r="O64" i="25"/>
  <c r="L64" i="25"/>
  <c r="X64" i="25" s="1"/>
  <c r="K64" i="25"/>
  <c r="W64" i="25" s="1"/>
  <c r="J64" i="25"/>
  <c r="V64" i="25" s="1"/>
  <c r="I64" i="25"/>
  <c r="U64" i="25" s="1"/>
  <c r="G64" i="25"/>
  <c r="S64" i="25" s="1"/>
  <c r="F64" i="25"/>
  <c r="R64" i="25" s="1"/>
  <c r="E64" i="25"/>
  <c r="Q64" i="25" s="1"/>
  <c r="D64" i="25"/>
  <c r="P64" i="25" s="1"/>
  <c r="A64" i="25"/>
  <c r="B64" i="25" s="1"/>
  <c r="O63" i="25"/>
  <c r="L63" i="25"/>
  <c r="X63" i="25" s="1"/>
  <c r="K63" i="25"/>
  <c r="W63" i="25" s="1"/>
  <c r="J63" i="25"/>
  <c r="V63" i="25" s="1"/>
  <c r="I63" i="25"/>
  <c r="U63" i="25" s="1"/>
  <c r="G63" i="25"/>
  <c r="S63" i="25" s="1"/>
  <c r="F63" i="25"/>
  <c r="R63" i="25" s="1"/>
  <c r="E63" i="25"/>
  <c r="Q63" i="25" s="1"/>
  <c r="D63" i="25"/>
  <c r="P63" i="25" s="1"/>
  <c r="A63" i="25"/>
  <c r="B63" i="25" s="1"/>
  <c r="O62" i="25"/>
  <c r="L62" i="25"/>
  <c r="X62" i="25" s="1"/>
  <c r="K62" i="25"/>
  <c r="W62" i="25" s="1"/>
  <c r="J62" i="25"/>
  <c r="V62" i="25" s="1"/>
  <c r="I62" i="25"/>
  <c r="U62" i="25" s="1"/>
  <c r="G62" i="25"/>
  <c r="S62" i="25" s="1"/>
  <c r="F62" i="25"/>
  <c r="R62" i="25" s="1"/>
  <c r="E62" i="25"/>
  <c r="Q62" i="25" s="1"/>
  <c r="D62" i="25"/>
  <c r="P62" i="25" s="1"/>
  <c r="A62" i="25"/>
  <c r="B62" i="25" s="1"/>
  <c r="O61" i="25"/>
  <c r="L61" i="25"/>
  <c r="X61" i="25" s="1"/>
  <c r="K61" i="25"/>
  <c r="W61" i="25" s="1"/>
  <c r="J61" i="25"/>
  <c r="V61" i="25" s="1"/>
  <c r="I61" i="25"/>
  <c r="U61" i="25" s="1"/>
  <c r="G61" i="25"/>
  <c r="S61" i="25" s="1"/>
  <c r="F61" i="25"/>
  <c r="R61" i="25" s="1"/>
  <c r="E61" i="25"/>
  <c r="Q61" i="25" s="1"/>
  <c r="D61" i="25"/>
  <c r="P61" i="25" s="1"/>
  <c r="A61" i="25"/>
  <c r="B61" i="25" s="1"/>
  <c r="O60" i="25"/>
  <c r="L60" i="25"/>
  <c r="X60" i="25" s="1"/>
  <c r="K60" i="25"/>
  <c r="W60" i="25" s="1"/>
  <c r="J60" i="25"/>
  <c r="V60" i="25" s="1"/>
  <c r="I60" i="25"/>
  <c r="U60" i="25" s="1"/>
  <c r="G60" i="25"/>
  <c r="S60" i="25" s="1"/>
  <c r="F60" i="25"/>
  <c r="R60" i="25" s="1"/>
  <c r="E60" i="25"/>
  <c r="Q60" i="25" s="1"/>
  <c r="D60" i="25"/>
  <c r="P60" i="25" s="1"/>
  <c r="A60" i="25"/>
  <c r="B60" i="25" s="1"/>
  <c r="O59" i="25"/>
  <c r="L59" i="25"/>
  <c r="X59" i="25" s="1"/>
  <c r="K59" i="25"/>
  <c r="W59" i="25" s="1"/>
  <c r="J59" i="25"/>
  <c r="V59" i="25" s="1"/>
  <c r="I59" i="25"/>
  <c r="U59" i="25" s="1"/>
  <c r="G59" i="25"/>
  <c r="S59" i="25" s="1"/>
  <c r="F59" i="25"/>
  <c r="R59" i="25" s="1"/>
  <c r="E59" i="25"/>
  <c r="Q59" i="25" s="1"/>
  <c r="D59" i="25"/>
  <c r="P59" i="25" s="1"/>
  <c r="A59" i="25"/>
  <c r="B59" i="25" s="1"/>
  <c r="O58" i="25"/>
  <c r="L58" i="25"/>
  <c r="X58" i="25" s="1"/>
  <c r="K58" i="25"/>
  <c r="W58" i="25" s="1"/>
  <c r="J58" i="25"/>
  <c r="V58" i="25" s="1"/>
  <c r="I58" i="25"/>
  <c r="U58" i="25" s="1"/>
  <c r="G58" i="25"/>
  <c r="S58" i="25" s="1"/>
  <c r="F58" i="25"/>
  <c r="R58" i="25" s="1"/>
  <c r="E58" i="25"/>
  <c r="Q58" i="25" s="1"/>
  <c r="D58" i="25"/>
  <c r="P58" i="25" s="1"/>
  <c r="A58" i="25"/>
  <c r="B58" i="25" s="1"/>
  <c r="O57" i="25"/>
  <c r="L57" i="25"/>
  <c r="X57" i="25" s="1"/>
  <c r="K57" i="25"/>
  <c r="W57" i="25" s="1"/>
  <c r="J57" i="25"/>
  <c r="V57" i="25" s="1"/>
  <c r="I57" i="25"/>
  <c r="U57" i="25" s="1"/>
  <c r="G57" i="25"/>
  <c r="S57" i="25" s="1"/>
  <c r="F57" i="25"/>
  <c r="R57" i="25" s="1"/>
  <c r="E57" i="25"/>
  <c r="Q57" i="25" s="1"/>
  <c r="D57" i="25"/>
  <c r="P57" i="25" s="1"/>
  <c r="A57" i="25"/>
  <c r="B57" i="25" s="1"/>
  <c r="O56" i="25"/>
  <c r="L56" i="25"/>
  <c r="X56" i="25" s="1"/>
  <c r="K56" i="25"/>
  <c r="W56" i="25" s="1"/>
  <c r="J56" i="25"/>
  <c r="V56" i="25" s="1"/>
  <c r="I56" i="25"/>
  <c r="U56" i="25" s="1"/>
  <c r="G56" i="25"/>
  <c r="S56" i="25" s="1"/>
  <c r="F56" i="25"/>
  <c r="R56" i="25" s="1"/>
  <c r="E56" i="25"/>
  <c r="Q56" i="25" s="1"/>
  <c r="D56" i="25"/>
  <c r="P56" i="25" s="1"/>
  <c r="A56" i="25"/>
  <c r="B56" i="25" s="1"/>
  <c r="O55" i="25"/>
  <c r="L55" i="25"/>
  <c r="X55" i="25" s="1"/>
  <c r="K55" i="25"/>
  <c r="W55" i="25" s="1"/>
  <c r="J55" i="25"/>
  <c r="V55" i="25" s="1"/>
  <c r="I55" i="25"/>
  <c r="U55" i="25" s="1"/>
  <c r="G55" i="25"/>
  <c r="S55" i="25" s="1"/>
  <c r="F55" i="25"/>
  <c r="R55" i="25" s="1"/>
  <c r="E55" i="25"/>
  <c r="Q55" i="25" s="1"/>
  <c r="D55" i="25"/>
  <c r="P55" i="25" s="1"/>
  <c r="A55" i="25"/>
  <c r="B55" i="25" s="1"/>
  <c r="O54" i="25"/>
  <c r="L54" i="25"/>
  <c r="X54" i="25" s="1"/>
  <c r="K54" i="25"/>
  <c r="W54" i="25" s="1"/>
  <c r="J54" i="25"/>
  <c r="V54" i="25" s="1"/>
  <c r="I54" i="25"/>
  <c r="U54" i="25" s="1"/>
  <c r="G54" i="25"/>
  <c r="S54" i="25" s="1"/>
  <c r="F54" i="25"/>
  <c r="R54" i="25" s="1"/>
  <c r="E54" i="25"/>
  <c r="Q54" i="25" s="1"/>
  <c r="D54" i="25"/>
  <c r="P54" i="25" s="1"/>
  <c r="A54" i="25"/>
  <c r="B54" i="25" s="1"/>
  <c r="O53" i="25"/>
  <c r="L53" i="25"/>
  <c r="X53" i="25" s="1"/>
  <c r="K53" i="25"/>
  <c r="W53" i="25" s="1"/>
  <c r="J53" i="25"/>
  <c r="V53" i="25" s="1"/>
  <c r="I53" i="25"/>
  <c r="U53" i="25" s="1"/>
  <c r="G53" i="25"/>
  <c r="S53" i="25" s="1"/>
  <c r="F53" i="25"/>
  <c r="R53" i="25" s="1"/>
  <c r="E53" i="25"/>
  <c r="Q53" i="25" s="1"/>
  <c r="D53" i="25"/>
  <c r="P53" i="25" s="1"/>
  <c r="A53" i="25"/>
  <c r="B53" i="25" s="1"/>
  <c r="O52" i="25"/>
  <c r="L52" i="25"/>
  <c r="X52" i="25" s="1"/>
  <c r="K52" i="25"/>
  <c r="W52" i="25" s="1"/>
  <c r="J52" i="25"/>
  <c r="V52" i="25" s="1"/>
  <c r="I52" i="25"/>
  <c r="U52" i="25" s="1"/>
  <c r="G52" i="25"/>
  <c r="S52" i="25" s="1"/>
  <c r="F52" i="25"/>
  <c r="R52" i="25" s="1"/>
  <c r="E52" i="25"/>
  <c r="Q52" i="25" s="1"/>
  <c r="D52" i="25"/>
  <c r="P52" i="25" s="1"/>
  <c r="A52" i="25"/>
  <c r="B52" i="25" s="1"/>
  <c r="O51" i="25"/>
  <c r="L51" i="25"/>
  <c r="X51" i="25" s="1"/>
  <c r="K51" i="25"/>
  <c r="W51" i="25" s="1"/>
  <c r="J51" i="25"/>
  <c r="V51" i="25" s="1"/>
  <c r="I51" i="25"/>
  <c r="U51" i="25" s="1"/>
  <c r="G51" i="25"/>
  <c r="S51" i="25" s="1"/>
  <c r="F51" i="25"/>
  <c r="R51" i="25" s="1"/>
  <c r="E51" i="25"/>
  <c r="Q51" i="25" s="1"/>
  <c r="D51" i="25"/>
  <c r="P51" i="25" s="1"/>
  <c r="A51" i="25"/>
  <c r="B51" i="25" s="1"/>
  <c r="O50" i="25"/>
  <c r="L50" i="25"/>
  <c r="X50" i="25" s="1"/>
  <c r="K50" i="25"/>
  <c r="W50" i="25" s="1"/>
  <c r="J50" i="25"/>
  <c r="V50" i="25" s="1"/>
  <c r="I50" i="25"/>
  <c r="U50" i="25" s="1"/>
  <c r="G50" i="25"/>
  <c r="S50" i="25" s="1"/>
  <c r="F50" i="25"/>
  <c r="R50" i="25" s="1"/>
  <c r="E50" i="25"/>
  <c r="Q50" i="25" s="1"/>
  <c r="D50" i="25"/>
  <c r="P50" i="25" s="1"/>
  <c r="A50" i="25"/>
  <c r="B50" i="25" s="1"/>
  <c r="O49" i="25"/>
  <c r="L49" i="25"/>
  <c r="X49" i="25" s="1"/>
  <c r="K49" i="25"/>
  <c r="W49" i="25" s="1"/>
  <c r="J49" i="25"/>
  <c r="V49" i="25" s="1"/>
  <c r="I49" i="25"/>
  <c r="U49" i="25" s="1"/>
  <c r="G49" i="25"/>
  <c r="S49" i="25" s="1"/>
  <c r="F49" i="25"/>
  <c r="R49" i="25" s="1"/>
  <c r="E49" i="25"/>
  <c r="Q49" i="25" s="1"/>
  <c r="D49" i="25"/>
  <c r="P49" i="25" s="1"/>
  <c r="A49" i="25"/>
  <c r="B49" i="25" s="1"/>
  <c r="O48" i="25"/>
  <c r="L48" i="25"/>
  <c r="X48" i="25" s="1"/>
  <c r="K48" i="25"/>
  <c r="W48" i="25" s="1"/>
  <c r="J48" i="25"/>
  <c r="V48" i="25" s="1"/>
  <c r="I48" i="25"/>
  <c r="U48" i="25" s="1"/>
  <c r="G48" i="25"/>
  <c r="S48" i="25" s="1"/>
  <c r="F48" i="25"/>
  <c r="R48" i="25" s="1"/>
  <c r="E48" i="25"/>
  <c r="Q48" i="25" s="1"/>
  <c r="D48" i="25"/>
  <c r="P48" i="25" s="1"/>
  <c r="A48" i="25"/>
  <c r="B48" i="25" s="1"/>
  <c r="O47" i="25"/>
  <c r="L47" i="25"/>
  <c r="X47" i="25" s="1"/>
  <c r="K47" i="25"/>
  <c r="W47" i="25" s="1"/>
  <c r="J47" i="25"/>
  <c r="V47" i="25" s="1"/>
  <c r="I47" i="25"/>
  <c r="U47" i="25" s="1"/>
  <c r="G47" i="25"/>
  <c r="S47" i="25" s="1"/>
  <c r="F47" i="25"/>
  <c r="R47" i="25" s="1"/>
  <c r="E47" i="25"/>
  <c r="Q47" i="25" s="1"/>
  <c r="D47" i="25"/>
  <c r="P47" i="25" s="1"/>
  <c r="A47" i="25"/>
  <c r="B47" i="25" s="1"/>
  <c r="O46" i="25"/>
  <c r="L46" i="25"/>
  <c r="X46" i="25" s="1"/>
  <c r="K46" i="25"/>
  <c r="W46" i="25" s="1"/>
  <c r="J46" i="25"/>
  <c r="V46" i="25" s="1"/>
  <c r="I46" i="25"/>
  <c r="U46" i="25" s="1"/>
  <c r="G46" i="25"/>
  <c r="S46" i="25" s="1"/>
  <c r="F46" i="25"/>
  <c r="R46" i="25" s="1"/>
  <c r="E46" i="25"/>
  <c r="Q46" i="25" s="1"/>
  <c r="D46" i="25"/>
  <c r="P46" i="25" s="1"/>
  <c r="A46" i="25"/>
  <c r="B46" i="25" s="1"/>
  <c r="O45" i="25"/>
  <c r="L45" i="25"/>
  <c r="X45" i="25" s="1"/>
  <c r="K45" i="25"/>
  <c r="W45" i="25" s="1"/>
  <c r="J45" i="25"/>
  <c r="V45" i="25" s="1"/>
  <c r="I45" i="25"/>
  <c r="U45" i="25" s="1"/>
  <c r="G45" i="25"/>
  <c r="S45" i="25" s="1"/>
  <c r="F45" i="25"/>
  <c r="R45" i="25" s="1"/>
  <c r="E45" i="25"/>
  <c r="Q45" i="25" s="1"/>
  <c r="D45" i="25"/>
  <c r="P45" i="25" s="1"/>
  <c r="A45" i="25"/>
  <c r="B45" i="25" s="1"/>
  <c r="O44" i="25"/>
  <c r="L44" i="25"/>
  <c r="X44" i="25" s="1"/>
  <c r="K44" i="25"/>
  <c r="W44" i="25" s="1"/>
  <c r="J44" i="25"/>
  <c r="V44" i="25" s="1"/>
  <c r="I44" i="25"/>
  <c r="U44" i="25" s="1"/>
  <c r="G44" i="25"/>
  <c r="S44" i="25" s="1"/>
  <c r="F44" i="25"/>
  <c r="R44" i="25" s="1"/>
  <c r="E44" i="25"/>
  <c r="Q44" i="25" s="1"/>
  <c r="D44" i="25"/>
  <c r="P44" i="25" s="1"/>
  <c r="A44" i="25"/>
  <c r="B44" i="25" s="1"/>
  <c r="O43" i="25"/>
  <c r="L43" i="25"/>
  <c r="X43" i="25" s="1"/>
  <c r="K43" i="25"/>
  <c r="W43" i="25" s="1"/>
  <c r="J43" i="25"/>
  <c r="V43" i="25" s="1"/>
  <c r="I43" i="25"/>
  <c r="U43" i="25" s="1"/>
  <c r="G43" i="25"/>
  <c r="S43" i="25" s="1"/>
  <c r="F43" i="25"/>
  <c r="R43" i="25" s="1"/>
  <c r="E43" i="25"/>
  <c r="Q43" i="25" s="1"/>
  <c r="D43" i="25"/>
  <c r="P43" i="25" s="1"/>
  <c r="A43" i="25"/>
  <c r="B43" i="25" s="1"/>
  <c r="O42" i="25"/>
  <c r="L42" i="25"/>
  <c r="X42" i="25" s="1"/>
  <c r="K42" i="25"/>
  <c r="W42" i="25" s="1"/>
  <c r="J42" i="25"/>
  <c r="V42" i="25" s="1"/>
  <c r="I42" i="25"/>
  <c r="U42" i="25" s="1"/>
  <c r="G42" i="25"/>
  <c r="S42" i="25" s="1"/>
  <c r="F42" i="25"/>
  <c r="R42" i="25" s="1"/>
  <c r="E42" i="25"/>
  <c r="Q42" i="25" s="1"/>
  <c r="D42" i="25"/>
  <c r="P42" i="25" s="1"/>
  <c r="A42" i="25"/>
  <c r="B42" i="25" s="1"/>
  <c r="O41" i="25"/>
  <c r="L41" i="25"/>
  <c r="X41" i="25" s="1"/>
  <c r="K41" i="25"/>
  <c r="W41" i="25" s="1"/>
  <c r="J41" i="25"/>
  <c r="V41" i="25" s="1"/>
  <c r="I41" i="25"/>
  <c r="U41" i="25" s="1"/>
  <c r="G41" i="25"/>
  <c r="S41" i="25" s="1"/>
  <c r="F41" i="25"/>
  <c r="R41" i="25" s="1"/>
  <c r="E41" i="25"/>
  <c r="Q41" i="25" s="1"/>
  <c r="D41" i="25"/>
  <c r="P41" i="25" s="1"/>
  <c r="A41" i="25"/>
  <c r="B41" i="25" s="1"/>
  <c r="O40" i="25"/>
  <c r="L40" i="25"/>
  <c r="X40" i="25" s="1"/>
  <c r="K40" i="25"/>
  <c r="W40" i="25" s="1"/>
  <c r="J40" i="25"/>
  <c r="V40" i="25" s="1"/>
  <c r="I40" i="25"/>
  <c r="U40" i="25" s="1"/>
  <c r="G40" i="25"/>
  <c r="S40" i="25" s="1"/>
  <c r="F40" i="25"/>
  <c r="R40" i="25" s="1"/>
  <c r="E40" i="25"/>
  <c r="Q40" i="25" s="1"/>
  <c r="D40" i="25"/>
  <c r="P40" i="25" s="1"/>
  <c r="A40" i="25"/>
  <c r="B40" i="25" s="1"/>
  <c r="O39" i="25"/>
  <c r="L39" i="25"/>
  <c r="X39" i="25" s="1"/>
  <c r="K39" i="25"/>
  <c r="W39" i="25" s="1"/>
  <c r="J39" i="25"/>
  <c r="V39" i="25" s="1"/>
  <c r="I39" i="25"/>
  <c r="U39" i="25" s="1"/>
  <c r="G39" i="25"/>
  <c r="S39" i="25" s="1"/>
  <c r="F39" i="25"/>
  <c r="R39" i="25" s="1"/>
  <c r="E39" i="25"/>
  <c r="Q39" i="25" s="1"/>
  <c r="D39" i="25"/>
  <c r="P39" i="25" s="1"/>
  <c r="A39" i="25"/>
  <c r="B39" i="25" s="1"/>
  <c r="O38" i="25"/>
  <c r="L38" i="25"/>
  <c r="X38" i="25" s="1"/>
  <c r="K38" i="25"/>
  <c r="W38" i="25" s="1"/>
  <c r="J38" i="25"/>
  <c r="V38" i="25" s="1"/>
  <c r="I38" i="25"/>
  <c r="U38" i="25" s="1"/>
  <c r="G38" i="25"/>
  <c r="S38" i="25" s="1"/>
  <c r="F38" i="25"/>
  <c r="R38" i="25" s="1"/>
  <c r="E38" i="25"/>
  <c r="Q38" i="25" s="1"/>
  <c r="D38" i="25"/>
  <c r="P38" i="25" s="1"/>
  <c r="A38" i="25"/>
  <c r="B38" i="25" s="1"/>
  <c r="O37" i="25"/>
  <c r="L37" i="25"/>
  <c r="X37" i="25" s="1"/>
  <c r="K37" i="25"/>
  <c r="W37" i="25" s="1"/>
  <c r="J37" i="25"/>
  <c r="V37" i="25" s="1"/>
  <c r="I37" i="25"/>
  <c r="U37" i="25" s="1"/>
  <c r="G37" i="25"/>
  <c r="S37" i="25" s="1"/>
  <c r="F37" i="25"/>
  <c r="R37" i="25" s="1"/>
  <c r="E37" i="25"/>
  <c r="Q37" i="25" s="1"/>
  <c r="D37" i="25"/>
  <c r="P37" i="25" s="1"/>
  <c r="A37" i="25"/>
  <c r="B37" i="25" s="1"/>
  <c r="O36" i="25"/>
  <c r="L36" i="25"/>
  <c r="X36" i="25" s="1"/>
  <c r="K36" i="25"/>
  <c r="W36" i="25" s="1"/>
  <c r="J36" i="25"/>
  <c r="V36" i="25" s="1"/>
  <c r="I36" i="25"/>
  <c r="U36" i="25" s="1"/>
  <c r="G36" i="25"/>
  <c r="S36" i="25" s="1"/>
  <c r="F36" i="25"/>
  <c r="R36" i="25" s="1"/>
  <c r="E36" i="25"/>
  <c r="Q36" i="25" s="1"/>
  <c r="D36" i="25"/>
  <c r="P36" i="25" s="1"/>
  <c r="A36" i="25"/>
  <c r="B36" i="25" s="1"/>
  <c r="O35" i="25"/>
  <c r="L35" i="25"/>
  <c r="X35" i="25" s="1"/>
  <c r="K35" i="25"/>
  <c r="W35" i="25" s="1"/>
  <c r="J35" i="25"/>
  <c r="V35" i="25" s="1"/>
  <c r="I35" i="25"/>
  <c r="U35" i="25" s="1"/>
  <c r="G35" i="25"/>
  <c r="S35" i="25" s="1"/>
  <c r="F35" i="25"/>
  <c r="R35" i="25" s="1"/>
  <c r="E35" i="25"/>
  <c r="Q35" i="25" s="1"/>
  <c r="D35" i="25"/>
  <c r="P35" i="25" s="1"/>
  <c r="A35" i="25"/>
  <c r="B35" i="25" s="1"/>
  <c r="O34" i="25"/>
  <c r="L34" i="25"/>
  <c r="X34" i="25" s="1"/>
  <c r="K34" i="25"/>
  <c r="W34" i="25" s="1"/>
  <c r="J34" i="25"/>
  <c r="V34" i="25" s="1"/>
  <c r="I34" i="25"/>
  <c r="U34" i="25" s="1"/>
  <c r="G34" i="25"/>
  <c r="S34" i="25" s="1"/>
  <c r="F34" i="25"/>
  <c r="R34" i="25" s="1"/>
  <c r="E34" i="25"/>
  <c r="Q34" i="25" s="1"/>
  <c r="D34" i="25"/>
  <c r="P34" i="25" s="1"/>
  <c r="A34" i="25"/>
  <c r="B34" i="25" s="1"/>
  <c r="O33" i="25"/>
  <c r="L33" i="25"/>
  <c r="X33" i="25" s="1"/>
  <c r="K33" i="25"/>
  <c r="W33" i="25" s="1"/>
  <c r="J33" i="25"/>
  <c r="V33" i="25" s="1"/>
  <c r="I33" i="25"/>
  <c r="U33" i="25" s="1"/>
  <c r="G33" i="25"/>
  <c r="S33" i="25" s="1"/>
  <c r="F33" i="25"/>
  <c r="R33" i="25" s="1"/>
  <c r="E33" i="25"/>
  <c r="Q33" i="25" s="1"/>
  <c r="D33" i="25"/>
  <c r="P33" i="25" s="1"/>
  <c r="A33" i="25"/>
  <c r="B33" i="25" s="1"/>
  <c r="O32" i="25"/>
  <c r="L32" i="25"/>
  <c r="X32" i="25" s="1"/>
  <c r="K32" i="25"/>
  <c r="W32" i="25" s="1"/>
  <c r="J32" i="25"/>
  <c r="V32" i="25" s="1"/>
  <c r="I32" i="25"/>
  <c r="U32" i="25" s="1"/>
  <c r="G32" i="25"/>
  <c r="S32" i="25" s="1"/>
  <c r="F32" i="25"/>
  <c r="R32" i="25" s="1"/>
  <c r="E32" i="25"/>
  <c r="Q32" i="25" s="1"/>
  <c r="D32" i="25"/>
  <c r="P32" i="25" s="1"/>
  <c r="A32" i="25"/>
  <c r="B32" i="25" s="1"/>
  <c r="O31" i="25"/>
  <c r="L31" i="25"/>
  <c r="X31" i="25" s="1"/>
  <c r="K31" i="25"/>
  <c r="W31" i="25" s="1"/>
  <c r="J31" i="25"/>
  <c r="V31" i="25" s="1"/>
  <c r="I31" i="25"/>
  <c r="U31" i="25" s="1"/>
  <c r="G31" i="25"/>
  <c r="S31" i="25" s="1"/>
  <c r="F31" i="25"/>
  <c r="R31" i="25" s="1"/>
  <c r="E31" i="25"/>
  <c r="Q31" i="25" s="1"/>
  <c r="D31" i="25"/>
  <c r="P31" i="25" s="1"/>
  <c r="A31" i="25"/>
  <c r="B31" i="25" s="1"/>
  <c r="O30" i="25"/>
  <c r="L30" i="25"/>
  <c r="X30" i="25" s="1"/>
  <c r="K30" i="25"/>
  <c r="W30" i="25" s="1"/>
  <c r="J30" i="25"/>
  <c r="V30" i="25" s="1"/>
  <c r="I30" i="25"/>
  <c r="U30" i="25" s="1"/>
  <c r="G30" i="25"/>
  <c r="S30" i="25" s="1"/>
  <c r="F30" i="25"/>
  <c r="R30" i="25" s="1"/>
  <c r="E30" i="25"/>
  <c r="Q30" i="25" s="1"/>
  <c r="D30" i="25"/>
  <c r="P30" i="25" s="1"/>
  <c r="A30" i="25"/>
  <c r="B30" i="25" s="1"/>
  <c r="O29" i="25"/>
  <c r="L29" i="25"/>
  <c r="X29" i="25" s="1"/>
  <c r="K29" i="25"/>
  <c r="W29" i="25" s="1"/>
  <c r="J29" i="25"/>
  <c r="V29" i="25" s="1"/>
  <c r="I29" i="25"/>
  <c r="U29" i="25" s="1"/>
  <c r="G29" i="25"/>
  <c r="S29" i="25" s="1"/>
  <c r="F29" i="25"/>
  <c r="R29" i="25" s="1"/>
  <c r="E29" i="25"/>
  <c r="Q29" i="25" s="1"/>
  <c r="D29" i="25"/>
  <c r="P29" i="25" s="1"/>
  <c r="A29" i="25"/>
  <c r="B29" i="25" s="1"/>
  <c r="O28" i="25"/>
  <c r="L28" i="25"/>
  <c r="X28" i="25" s="1"/>
  <c r="K28" i="25"/>
  <c r="W28" i="25" s="1"/>
  <c r="J28" i="25"/>
  <c r="V28" i="25" s="1"/>
  <c r="I28" i="25"/>
  <c r="U28" i="25" s="1"/>
  <c r="G28" i="25"/>
  <c r="S28" i="25" s="1"/>
  <c r="F28" i="25"/>
  <c r="R28" i="25" s="1"/>
  <c r="E28" i="25"/>
  <c r="Q28" i="25" s="1"/>
  <c r="D28" i="25"/>
  <c r="P28" i="25" s="1"/>
  <c r="A28" i="25"/>
  <c r="B28" i="25" s="1"/>
  <c r="O27" i="25"/>
  <c r="L27" i="25"/>
  <c r="X27" i="25" s="1"/>
  <c r="K27" i="25"/>
  <c r="W27" i="25" s="1"/>
  <c r="J27" i="25"/>
  <c r="V27" i="25" s="1"/>
  <c r="I27" i="25"/>
  <c r="U27" i="25" s="1"/>
  <c r="G27" i="25"/>
  <c r="S27" i="25" s="1"/>
  <c r="F27" i="25"/>
  <c r="R27" i="25" s="1"/>
  <c r="E27" i="25"/>
  <c r="Q27" i="25" s="1"/>
  <c r="D27" i="25"/>
  <c r="P27" i="25" s="1"/>
  <c r="A27" i="25"/>
  <c r="B27" i="25" s="1"/>
  <c r="O26" i="25"/>
  <c r="L26" i="25"/>
  <c r="X26" i="25" s="1"/>
  <c r="K26" i="25"/>
  <c r="W26" i="25" s="1"/>
  <c r="J26" i="25"/>
  <c r="V26" i="25" s="1"/>
  <c r="I26" i="25"/>
  <c r="U26" i="25" s="1"/>
  <c r="G26" i="25"/>
  <c r="S26" i="25" s="1"/>
  <c r="F26" i="25"/>
  <c r="R26" i="25" s="1"/>
  <c r="E26" i="25"/>
  <c r="Q26" i="25" s="1"/>
  <c r="D26" i="25"/>
  <c r="P26" i="25" s="1"/>
  <c r="A26" i="25"/>
  <c r="B26" i="25" s="1"/>
  <c r="O25" i="25"/>
  <c r="L25" i="25"/>
  <c r="X25" i="25" s="1"/>
  <c r="K25" i="25"/>
  <c r="W25" i="25" s="1"/>
  <c r="J25" i="25"/>
  <c r="V25" i="25" s="1"/>
  <c r="I25" i="25"/>
  <c r="U25" i="25" s="1"/>
  <c r="G25" i="25"/>
  <c r="S25" i="25" s="1"/>
  <c r="F25" i="25"/>
  <c r="R25" i="25" s="1"/>
  <c r="E25" i="25"/>
  <c r="Q25" i="25" s="1"/>
  <c r="D25" i="25"/>
  <c r="P25" i="25" s="1"/>
  <c r="A25" i="25"/>
  <c r="B25" i="25" s="1"/>
  <c r="O24" i="25"/>
  <c r="L24" i="25"/>
  <c r="X24" i="25" s="1"/>
  <c r="K24" i="25"/>
  <c r="W24" i="25" s="1"/>
  <c r="J24" i="25"/>
  <c r="V24" i="25" s="1"/>
  <c r="I24" i="25"/>
  <c r="U24" i="25" s="1"/>
  <c r="G24" i="25"/>
  <c r="S24" i="25" s="1"/>
  <c r="F24" i="25"/>
  <c r="R24" i="25" s="1"/>
  <c r="E24" i="25"/>
  <c r="Q24" i="25" s="1"/>
  <c r="D24" i="25"/>
  <c r="P24" i="25" s="1"/>
  <c r="A24" i="25"/>
  <c r="B24" i="25" s="1"/>
  <c r="O23" i="25"/>
  <c r="L23" i="25"/>
  <c r="X23" i="25" s="1"/>
  <c r="K23" i="25"/>
  <c r="W23" i="25" s="1"/>
  <c r="J23" i="25"/>
  <c r="V23" i="25" s="1"/>
  <c r="I23" i="25"/>
  <c r="U23" i="25" s="1"/>
  <c r="G23" i="25"/>
  <c r="S23" i="25" s="1"/>
  <c r="F23" i="25"/>
  <c r="R23" i="25" s="1"/>
  <c r="E23" i="25"/>
  <c r="Q23" i="25" s="1"/>
  <c r="D23" i="25"/>
  <c r="P23" i="25" s="1"/>
  <c r="A23" i="25"/>
  <c r="B23" i="25" s="1"/>
  <c r="O22" i="25"/>
  <c r="L22" i="25"/>
  <c r="X22" i="25" s="1"/>
  <c r="K22" i="25"/>
  <c r="W22" i="25" s="1"/>
  <c r="J22" i="25"/>
  <c r="V22" i="25" s="1"/>
  <c r="I22" i="25"/>
  <c r="U22" i="25" s="1"/>
  <c r="G22" i="25"/>
  <c r="S22" i="25" s="1"/>
  <c r="F22" i="25"/>
  <c r="R22" i="25" s="1"/>
  <c r="E22" i="25"/>
  <c r="Q22" i="25" s="1"/>
  <c r="D22" i="25"/>
  <c r="P22" i="25" s="1"/>
  <c r="A22" i="25"/>
  <c r="B22" i="25" s="1"/>
  <c r="O21" i="25"/>
  <c r="L21" i="25"/>
  <c r="X21" i="25" s="1"/>
  <c r="K21" i="25"/>
  <c r="W21" i="25" s="1"/>
  <c r="J21" i="25"/>
  <c r="V21" i="25" s="1"/>
  <c r="I21" i="25"/>
  <c r="U21" i="25" s="1"/>
  <c r="G21" i="25"/>
  <c r="S21" i="25" s="1"/>
  <c r="F21" i="25"/>
  <c r="R21" i="25" s="1"/>
  <c r="E21" i="25"/>
  <c r="Q21" i="25" s="1"/>
  <c r="D21" i="25"/>
  <c r="P21" i="25" s="1"/>
  <c r="A21" i="25"/>
  <c r="B21" i="25" s="1"/>
  <c r="O20" i="25"/>
  <c r="L20" i="25"/>
  <c r="X20" i="25" s="1"/>
  <c r="K20" i="25"/>
  <c r="W20" i="25" s="1"/>
  <c r="J20" i="25"/>
  <c r="V20" i="25" s="1"/>
  <c r="I20" i="25"/>
  <c r="U20" i="25" s="1"/>
  <c r="G20" i="25"/>
  <c r="S20" i="25" s="1"/>
  <c r="F20" i="25"/>
  <c r="R20" i="25" s="1"/>
  <c r="E20" i="25"/>
  <c r="Q20" i="25" s="1"/>
  <c r="D20" i="25"/>
  <c r="P20" i="25" s="1"/>
  <c r="A20" i="25"/>
  <c r="B20" i="25" s="1"/>
  <c r="O19" i="25"/>
  <c r="L19" i="25"/>
  <c r="X19" i="25" s="1"/>
  <c r="K19" i="25"/>
  <c r="W19" i="25" s="1"/>
  <c r="J19" i="25"/>
  <c r="V19" i="25" s="1"/>
  <c r="I19" i="25"/>
  <c r="U19" i="25" s="1"/>
  <c r="G19" i="25"/>
  <c r="S19" i="25" s="1"/>
  <c r="F19" i="25"/>
  <c r="R19" i="25" s="1"/>
  <c r="E19" i="25"/>
  <c r="Q19" i="25" s="1"/>
  <c r="D19" i="25"/>
  <c r="P19" i="25" s="1"/>
  <c r="A19" i="25"/>
  <c r="B19" i="25" s="1"/>
  <c r="O18" i="25"/>
  <c r="L18" i="25"/>
  <c r="X18" i="25" s="1"/>
  <c r="K18" i="25"/>
  <c r="W18" i="25" s="1"/>
  <c r="J18" i="25"/>
  <c r="V18" i="25" s="1"/>
  <c r="I18" i="25"/>
  <c r="U18" i="25" s="1"/>
  <c r="G18" i="25"/>
  <c r="S18" i="25" s="1"/>
  <c r="F18" i="25"/>
  <c r="R18" i="25" s="1"/>
  <c r="E18" i="25"/>
  <c r="Q18" i="25" s="1"/>
  <c r="D18" i="25"/>
  <c r="P18" i="25" s="1"/>
  <c r="A18" i="25"/>
  <c r="B18" i="25" s="1"/>
  <c r="O17" i="25"/>
  <c r="L17" i="25"/>
  <c r="X17" i="25" s="1"/>
  <c r="K17" i="25"/>
  <c r="W17" i="25" s="1"/>
  <c r="J17" i="25"/>
  <c r="V17" i="25" s="1"/>
  <c r="I17" i="25"/>
  <c r="U17" i="25" s="1"/>
  <c r="G17" i="25"/>
  <c r="S17" i="25" s="1"/>
  <c r="F17" i="25"/>
  <c r="R17" i="25" s="1"/>
  <c r="E17" i="25"/>
  <c r="Q17" i="25" s="1"/>
  <c r="D17" i="25"/>
  <c r="P17" i="25" s="1"/>
  <c r="A17" i="25"/>
  <c r="B17" i="25" s="1"/>
  <c r="O16" i="25"/>
  <c r="L16" i="25"/>
  <c r="X16" i="25" s="1"/>
  <c r="K16" i="25"/>
  <c r="W16" i="25" s="1"/>
  <c r="J16" i="25"/>
  <c r="V16" i="25" s="1"/>
  <c r="I16" i="25"/>
  <c r="U16" i="25" s="1"/>
  <c r="G16" i="25"/>
  <c r="S16" i="25" s="1"/>
  <c r="F16" i="25"/>
  <c r="R16" i="25" s="1"/>
  <c r="E16" i="25"/>
  <c r="Q16" i="25" s="1"/>
  <c r="D16" i="25"/>
  <c r="P16" i="25" s="1"/>
  <c r="A16" i="25"/>
  <c r="B16" i="25" s="1"/>
  <c r="O15" i="25"/>
  <c r="L15" i="25"/>
  <c r="X15" i="25" s="1"/>
  <c r="K15" i="25"/>
  <c r="W15" i="25" s="1"/>
  <c r="J15" i="25"/>
  <c r="V15" i="25" s="1"/>
  <c r="I15" i="25"/>
  <c r="U15" i="25" s="1"/>
  <c r="G15" i="25"/>
  <c r="S15" i="25" s="1"/>
  <c r="F15" i="25"/>
  <c r="R15" i="25" s="1"/>
  <c r="E15" i="25"/>
  <c r="Q15" i="25" s="1"/>
  <c r="D15" i="25"/>
  <c r="P15" i="25" s="1"/>
  <c r="A15" i="25"/>
  <c r="B15" i="25" s="1"/>
  <c r="O14" i="25"/>
  <c r="L14" i="25"/>
  <c r="X14" i="25" s="1"/>
  <c r="K14" i="25"/>
  <c r="W14" i="25" s="1"/>
  <c r="J14" i="25"/>
  <c r="V14" i="25" s="1"/>
  <c r="I14" i="25"/>
  <c r="U14" i="25" s="1"/>
  <c r="G14" i="25"/>
  <c r="S14" i="25" s="1"/>
  <c r="F14" i="25"/>
  <c r="R14" i="25" s="1"/>
  <c r="E14" i="25"/>
  <c r="Q14" i="25" s="1"/>
  <c r="D14" i="25"/>
  <c r="P14" i="25" s="1"/>
  <c r="A14" i="25"/>
  <c r="B14" i="25" s="1"/>
  <c r="O13" i="25"/>
  <c r="M13" i="25"/>
  <c r="Y13" i="25" s="1"/>
  <c r="L13" i="25"/>
  <c r="X13" i="25" s="1"/>
  <c r="K13" i="25"/>
  <c r="W13" i="25" s="1"/>
  <c r="J13" i="25"/>
  <c r="V13" i="25" s="1"/>
  <c r="I13" i="25"/>
  <c r="U13" i="25" s="1"/>
  <c r="T13" i="25"/>
  <c r="G13" i="25"/>
  <c r="S13" i="25" s="1"/>
  <c r="F13" i="25"/>
  <c r="R13" i="25" s="1"/>
  <c r="E13" i="25"/>
  <c r="Q13" i="25" s="1"/>
  <c r="D13" i="25"/>
  <c r="P13" i="25" s="1"/>
  <c r="A13" i="25"/>
  <c r="B13" i="25" s="1"/>
  <c r="O12" i="25"/>
  <c r="M12" i="25"/>
  <c r="Y12" i="25" s="1"/>
  <c r="L12" i="25"/>
  <c r="X12" i="25" s="1"/>
  <c r="K12" i="25"/>
  <c r="W12" i="25" s="1"/>
  <c r="J12" i="25"/>
  <c r="V12" i="25" s="1"/>
  <c r="I12" i="25"/>
  <c r="U12" i="25" s="1"/>
  <c r="T12" i="25"/>
  <c r="G12" i="25"/>
  <c r="S12" i="25" s="1"/>
  <c r="F12" i="25"/>
  <c r="R12" i="25" s="1"/>
  <c r="E12" i="25"/>
  <c r="Q12" i="25" s="1"/>
  <c r="D12" i="25"/>
  <c r="P12" i="25" s="1"/>
  <c r="A12" i="25"/>
  <c r="B12" i="25" s="1"/>
  <c r="O11" i="25"/>
  <c r="M11" i="25"/>
  <c r="Y11" i="25" s="1"/>
  <c r="L11" i="25"/>
  <c r="X11" i="25" s="1"/>
  <c r="K11" i="25"/>
  <c r="W11" i="25" s="1"/>
  <c r="J11" i="25"/>
  <c r="V11" i="25" s="1"/>
  <c r="I11" i="25"/>
  <c r="U11" i="25" s="1"/>
  <c r="T11" i="25"/>
  <c r="G11" i="25"/>
  <c r="S11" i="25" s="1"/>
  <c r="F11" i="25"/>
  <c r="R11" i="25" s="1"/>
  <c r="E11" i="25"/>
  <c r="Q11" i="25" s="1"/>
  <c r="D11" i="25"/>
  <c r="P11" i="25" s="1"/>
  <c r="A11" i="25"/>
  <c r="B11" i="25" s="1"/>
  <c r="O10" i="25"/>
  <c r="M10" i="25"/>
  <c r="Y10" i="25" s="1"/>
  <c r="L10" i="25"/>
  <c r="X10" i="25" s="1"/>
  <c r="K10" i="25"/>
  <c r="W10" i="25" s="1"/>
  <c r="J10" i="25"/>
  <c r="V10" i="25" s="1"/>
  <c r="I10" i="25"/>
  <c r="U10" i="25" s="1"/>
  <c r="T10" i="25"/>
  <c r="G10" i="25"/>
  <c r="S10" i="25" s="1"/>
  <c r="F10" i="25"/>
  <c r="R10" i="25" s="1"/>
  <c r="E10" i="25"/>
  <c r="Q10" i="25" s="1"/>
  <c r="D10" i="25"/>
  <c r="P10" i="25" s="1"/>
  <c r="A10" i="25"/>
  <c r="B10" i="25" s="1"/>
  <c r="O9" i="25"/>
  <c r="M9" i="25"/>
  <c r="Y9" i="25" s="1"/>
  <c r="L9" i="25"/>
  <c r="X9" i="25" s="1"/>
  <c r="K9" i="25"/>
  <c r="W9" i="25" s="1"/>
  <c r="J9" i="25"/>
  <c r="V9" i="25" s="1"/>
  <c r="I9" i="25"/>
  <c r="U9" i="25" s="1"/>
  <c r="T9" i="25"/>
  <c r="G9" i="25"/>
  <c r="S9" i="25" s="1"/>
  <c r="F9" i="25"/>
  <c r="R9" i="25" s="1"/>
  <c r="E9" i="25"/>
  <c r="Q9" i="25" s="1"/>
  <c r="D9" i="25"/>
  <c r="P9" i="25" s="1"/>
  <c r="A9" i="25"/>
  <c r="B9" i="25" s="1"/>
  <c r="O8" i="25"/>
  <c r="M8" i="25"/>
  <c r="Y8" i="25" s="1"/>
  <c r="L8" i="25"/>
  <c r="X8" i="25" s="1"/>
  <c r="K8" i="25"/>
  <c r="W8" i="25" s="1"/>
  <c r="J8" i="25"/>
  <c r="V8" i="25" s="1"/>
  <c r="I8" i="25"/>
  <c r="U8" i="25" s="1"/>
  <c r="T8" i="25"/>
  <c r="G8" i="25"/>
  <c r="S8" i="25" s="1"/>
  <c r="F8" i="25"/>
  <c r="R8" i="25" s="1"/>
  <c r="E8" i="25"/>
  <c r="Q8" i="25" s="1"/>
  <c r="D8" i="25"/>
  <c r="P8" i="25" s="1"/>
  <c r="A8" i="25"/>
  <c r="B8" i="25" s="1"/>
  <c r="O7" i="25"/>
  <c r="M7" i="25"/>
  <c r="Y7" i="25" s="1"/>
  <c r="L7" i="25"/>
  <c r="X7" i="25" s="1"/>
  <c r="K7" i="25"/>
  <c r="W7" i="25" s="1"/>
  <c r="J7" i="25"/>
  <c r="V7" i="25" s="1"/>
  <c r="I7" i="25"/>
  <c r="U7" i="25" s="1"/>
  <c r="T7" i="25"/>
  <c r="G7" i="25"/>
  <c r="S7" i="25" s="1"/>
  <c r="F7" i="25"/>
  <c r="R7" i="25" s="1"/>
  <c r="E7" i="25"/>
  <c r="Q7" i="25" s="1"/>
  <c r="D7" i="25"/>
  <c r="P7" i="25" s="1"/>
  <c r="A7" i="25"/>
  <c r="B7" i="25" s="1"/>
  <c r="O6" i="25"/>
  <c r="M6" i="25"/>
  <c r="Y6" i="25" s="1"/>
  <c r="L6" i="25"/>
  <c r="X6" i="25" s="1"/>
  <c r="K6" i="25"/>
  <c r="W6" i="25" s="1"/>
  <c r="J6" i="25"/>
  <c r="V6" i="25" s="1"/>
  <c r="I6" i="25"/>
  <c r="U6" i="25" s="1"/>
  <c r="T6" i="25"/>
  <c r="G6" i="25"/>
  <c r="S6" i="25" s="1"/>
  <c r="F6" i="25"/>
  <c r="R6" i="25" s="1"/>
  <c r="E6" i="25"/>
  <c r="Q6" i="25" s="1"/>
  <c r="D6" i="25"/>
  <c r="P6" i="25" s="1"/>
  <c r="A6" i="25"/>
  <c r="B6" i="25" s="1"/>
  <c r="O5" i="25"/>
  <c r="M5" i="25"/>
  <c r="Y5" i="25" s="1"/>
  <c r="L5" i="25"/>
  <c r="X5" i="25" s="1"/>
  <c r="K5" i="25"/>
  <c r="W5" i="25" s="1"/>
  <c r="J5" i="25"/>
  <c r="V5" i="25" s="1"/>
  <c r="I5" i="25"/>
  <c r="U5" i="25" s="1"/>
  <c r="T5" i="25"/>
  <c r="G5" i="25"/>
  <c r="S5" i="25" s="1"/>
  <c r="F5" i="25"/>
  <c r="R5" i="25" s="1"/>
  <c r="E5" i="25"/>
  <c r="Q5" i="25" s="1"/>
  <c r="D5" i="25"/>
  <c r="P5" i="25" s="1"/>
  <c r="A5" i="25"/>
  <c r="B5" i="25" s="1"/>
  <c r="O4" i="25"/>
  <c r="M4" i="25"/>
  <c r="Y4" i="25" s="1"/>
  <c r="L4" i="25"/>
  <c r="X4" i="25" s="1"/>
  <c r="K4" i="25"/>
  <c r="W4" i="25" s="1"/>
  <c r="J4" i="25"/>
  <c r="V4" i="25" s="1"/>
  <c r="I4" i="25"/>
  <c r="U4" i="25" s="1"/>
  <c r="T4" i="25"/>
  <c r="G4" i="25"/>
  <c r="S4" i="25" s="1"/>
  <c r="F4" i="25"/>
  <c r="R4" i="25" s="1"/>
  <c r="E4" i="25"/>
  <c r="Q4" i="25" s="1"/>
  <c r="D4" i="25"/>
  <c r="P4" i="25" s="1"/>
  <c r="A4" i="25"/>
  <c r="B4" i="25" s="1"/>
  <c r="O3" i="25"/>
  <c r="M3" i="25"/>
  <c r="Y3" i="25" s="1"/>
  <c r="L3" i="25"/>
  <c r="X3" i="25" s="1"/>
  <c r="K3" i="25"/>
  <c r="W3" i="25" s="1"/>
  <c r="J3" i="25"/>
  <c r="V3" i="25" s="1"/>
  <c r="I3" i="25"/>
  <c r="U3" i="25" s="1"/>
  <c r="T3" i="25"/>
  <c r="G3" i="25"/>
  <c r="S3" i="25" s="1"/>
  <c r="F3" i="25"/>
  <c r="R3" i="25" s="1"/>
  <c r="E3" i="25"/>
  <c r="Q3" i="25" s="1"/>
  <c r="D3" i="25"/>
  <c r="P3" i="25" s="1"/>
  <c r="A3" i="25"/>
  <c r="B3" i="25" s="1"/>
  <c r="M2" i="25"/>
  <c r="Y2" i="25" s="1"/>
  <c r="L2" i="25"/>
  <c r="X2" i="25" s="1"/>
  <c r="K2" i="25"/>
  <c r="W2" i="25" s="1"/>
  <c r="J2" i="25"/>
  <c r="I2" i="25"/>
  <c r="G2" i="25"/>
  <c r="F2" i="25"/>
  <c r="E2" i="25"/>
  <c r="D2" i="25"/>
  <c r="M1" i="25"/>
  <c r="Y1" i="25" s="1"/>
  <c r="L1" i="25"/>
  <c r="X1" i="25" s="1"/>
  <c r="K1" i="25"/>
  <c r="W1" i="25" s="1"/>
  <c r="J1" i="25"/>
  <c r="V1" i="25" s="1"/>
  <c r="I1" i="25"/>
  <c r="U1" i="25" s="1"/>
  <c r="T1" i="25"/>
  <c r="G1" i="25"/>
  <c r="S1" i="25" s="1"/>
  <c r="F1" i="25"/>
  <c r="R1" i="25" s="1"/>
  <c r="E1" i="25"/>
  <c r="Q1" i="25" s="1"/>
  <c r="D1" i="25"/>
  <c r="P1" i="25" s="1"/>
  <c r="J73" i="21"/>
  <c r="S73" i="21" s="1"/>
  <c r="I73" i="21"/>
  <c r="R73" i="21" s="1"/>
  <c r="H73" i="21"/>
  <c r="Q73" i="21" s="1"/>
  <c r="G73" i="21"/>
  <c r="P73" i="21" s="1"/>
  <c r="F73" i="21"/>
  <c r="O73" i="21" s="1"/>
  <c r="J72" i="21"/>
  <c r="S72" i="21" s="1"/>
  <c r="I72" i="21"/>
  <c r="R72" i="21" s="1"/>
  <c r="H72" i="21"/>
  <c r="Q72" i="21" s="1"/>
  <c r="G72" i="21"/>
  <c r="P72" i="21" s="1"/>
  <c r="F72" i="21"/>
  <c r="O72" i="21" s="1"/>
  <c r="J71" i="21"/>
  <c r="S71" i="21" s="1"/>
  <c r="I71" i="21"/>
  <c r="R71" i="21" s="1"/>
  <c r="H71" i="21"/>
  <c r="Q71" i="21" s="1"/>
  <c r="G71" i="21"/>
  <c r="P71" i="21" s="1"/>
  <c r="F71" i="21"/>
  <c r="O71" i="21" s="1"/>
  <c r="J70" i="21"/>
  <c r="S70" i="21" s="1"/>
  <c r="I70" i="21"/>
  <c r="R70" i="21" s="1"/>
  <c r="H70" i="21"/>
  <c r="Q70" i="21" s="1"/>
  <c r="G70" i="21"/>
  <c r="P70" i="21" s="1"/>
  <c r="F70" i="21"/>
  <c r="O70" i="21" s="1"/>
  <c r="J69" i="21"/>
  <c r="S69" i="21" s="1"/>
  <c r="I69" i="21"/>
  <c r="R69" i="21" s="1"/>
  <c r="H69" i="21"/>
  <c r="Q69" i="21" s="1"/>
  <c r="G69" i="21"/>
  <c r="P69" i="21" s="1"/>
  <c r="F69" i="21"/>
  <c r="O69" i="21" s="1"/>
  <c r="J68" i="21"/>
  <c r="S68" i="21" s="1"/>
  <c r="I68" i="21"/>
  <c r="R68" i="21" s="1"/>
  <c r="H68" i="21"/>
  <c r="Q68" i="21" s="1"/>
  <c r="G68" i="21"/>
  <c r="P68" i="21" s="1"/>
  <c r="F68" i="21"/>
  <c r="O68" i="21" s="1"/>
  <c r="J67" i="21"/>
  <c r="S67" i="21" s="1"/>
  <c r="I67" i="21"/>
  <c r="R67" i="21" s="1"/>
  <c r="H67" i="21"/>
  <c r="Q67" i="21" s="1"/>
  <c r="G67" i="21"/>
  <c r="P67" i="21" s="1"/>
  <c r="F67" i="21"/>
  <c r="O67" i="21" s="1"/>
  <c r="J66" i="21"/>
  <c r="S66" i="21" s="1"/>
  <c r="I66" i="21"/>
  <c r="R66" i="21" s="1"/>
  <c r="H66" i="21"/>
  <c r="Q66" i="21" s="1"/>
  <c r="G66" i="21"/>
  <c r="P66" i="21" s="1"/>
  <c r="F66" i="21"/>
  <c r="O66" i="21" s="1"/>
  <c r="J65" i="21"/>
  <c r="S65" i="21" s="1"/>
  <c r="I65" i="21"/>
  <c r="R65" i="21" s="1"/>
  <c r="H65" i="21"/>
  <c r="Q65" i="21" s="1"/>
  <c r="G65" i="21"/>
  <c r="P65" i="21" s="1"/>
  <c r="F65" i="21"/>
  <c r="O65" i="21" s="1"/>
  <c r="J64" i="21"/>
  <c r="S64" i="21" s="1"/>
  <c r="I64" i="21"/>
  <c r="R64" i="21" s="1"/>
  <c r="H64" i="21"/>
  <c r="Q64" i="21" s="1"/>
  <c r="G64" i="21"/>
  <c r="P64" i="21" s="1"/>
  <c r="F64" i="21"/>
  <c r="O64" i="21" s="1"/>
  <c r="J63" i="21"/>
  <c r="S63" i="21" s="1"/>
  <c r="I63" i="21"/>
  <c r="R63" i="21" s="1"/>
  <c r="H63" i="21"/>
  <c r="Q63" i="21" s="1"/>
  <c r="G63" i="21"/>
  <c r="P63" i="21" s="1"/>
  <c r="F63" i="21"/>
  <c r="O63" i="21" s="1"/>
  <c r="J62" i="21"/>
  <c r="S62" i="21" s="1"/>
  <c r="I62" i="21"/>
  <c r="R62" i="21" s="1"/>
  <c r="H62" i="21"/>
  <c r="Q62" i="21" s="1"/>
  <c r="G62" i="21"/>
  <c r="P62" i="21" s="1"/>
  <c r="F62" i="21"/>
  <c r="O62" i="21" s="1"/>
  <c r="J61" i="21"/>
  <c r="S61" i="21" s="1"/>
  <c r="I61" i="21"/>
  <c r="R61" i="21" s="1"/>
  <c r="H61" i="21"/>
  <c r="Q61" i="21" s="1"/>
  <c r="G61" i="21"/>
  <c r="P61" i="21" s="1"/>
  <c r="F61" i="21"/>
  <c r="O61" i="21" s="1"/>
  <c r="J60" i="21"/>
  <c r="S60" i="21" s="1"/>
  <c r="I60" i="21"/>
  <c r="R60" i="21" s="1"/>
  <c r="H60" i="21"/>
  <c r="Q60" i="21" s="1"/>
  <c r="G60" i="21"/>
  <c r="P60" i="21" s="1"/>
  <c r="F60" i="21"/>
  <c r="O60" i="21" s="1"/>
  <c r="J59" i="21"/>
  <c r="S59" i="21" s="1"/>
  <c r="I59" i="21"/>
  <c r="R59" i="21" s="1"/>
  <c r="H59" i="21"/>
  <c r="Q59" i="21" s="1"/>
  <c r="G59" i="21"/>
  <c r="P59" i="21" s="1"/>
  <c r="F59" i="21"/>
  <c r="O59" i="21" s="1"/>
  <c r="J58" i="21"/>
  <c r="S58" i="21" s="1"/>
  <c r="I58" i="21"/>
  <c r="R58" i="21" s="1"/>
  <c r="H58" i="21"/>
  <c r="Q58" i="21" s="1"/>
  <c r="G58" i="21"/>
  <c r="P58" i="21" s="1"/>
  <c r="F58" i="21"/>
  <c r="O58" i="21" s="1"/>
  <c r="J57" i="21"/>
  <c r="S57" i="21" s="1"/>
  <c r="I57" i="21"/>
  <c r="R57" i="21" s="1"/>
  <c r="H57" i="21"/>
  <c r="Q57" i="21" s="1"/>
  <c r="G57" i="21"/>
  <c r="P57" i="21" s="1"/>
  <c r="F57" i="21"/>
  <c r="O57" i="21" s="1"/>
  <c r="J56" i="21"/>
  <c r="S56" i="21" s="1"/>
  <c r="I56" i="21"/>
  <c r="R56" i="21" s="1"/>
  <c r="H56" i="21"/>
  <c r="Q56" i="21" s="1"/>
  <c r="G56" i="21"/>
  <c r="P56" i="21" s="1"/>
  <c r="F56" i="21"/>
  <c r="O56" i="21" s="1"/>
  <c r="J55" i="21"/>
  <c r="S55" i="21" s="1"/>
  <c r="I55" i="21"/>
  <c r="R55" i="21" s="1"/>
  <c r="H55" i="21"/>
  <c r="Q55" i="21" s="1"/>
  <c r="G55" i="21"/>
  <c r="P55" i="21" s="1"/>
  <c r="F55" i="21"/>
  <c r="O55" i="21" s="1"/>
  <c r="J54" i="21"/>
  <c r="S54" i="21" s="1"/>
  <c r="I54" i="21"/>
  <c r="R54" i="21" s="1"/>
  <c r="H54" i="21"/>
  <c r="Q54" i="21" s="1"/>
  <c r="G54" i="21"/>
  <c r="P54" i="21" s="1"/>
  <c r="F54" i="21"/>
  <c r="O54" i="21" s="1"/>
  <c r="J53" i="21"/>
  <c r="S53" i="21" s="1"/>
  <c r="I53" i="21"/>
  <c r="R53" i="21" s="1"/>
  <c r="H53" i="21"/>
  <c r="Q53" i="21" s="1"/>
  <c r="G53" i="21"/>
  <c r="P53" i="21" s="1"/>
  <c r="F53" i="21"/>
  <c r="O53" i="21" s="1"/>
  <c r="J52" i="21"/>
  <c r="S52" i="21" s="1"/>
  <c r="I52" i="21"/>
  <c r="R52" i="21" s="1"/>
  <c r="H52" i="21"/>
  <c r="Q52" i="21" s="1"/>
  <c r="G52" i="21"/>
  <c r="P52" i="21" s="1"/>
  <c r="F52" i="21"/>
  <c r="O52" i="21" s="1"/>
  <c r="J51" i="21"/>
  <c r="S51" i="21" s="1"/>
  <c r="I51" i="21"/>
  <c r="R51" i="21" s="1"/>
  <c r="H51" i="21"/>
  <c r="Q51" i="21" s="1"/>
  <c r="G51" i="21"/>
  <c r="P51" i="21" s="1"/>
  <c r="F51" i="21"/>
  <c r="O51" i="21" s="1"/>
  <c r="J50" i="21"/>
  <c r="S50" i="21" s="1"/>
  <c r="I50" i="21"/>
  <c r="R50" i="21" s="1"/>
  <c r="H50" i="21"/>
  <c r="Q50" i="21" s="1"/>
  <c r="G50" i="21"/>
  <c r="P50" i="21" s="1"/>
  <c r="F50" i="21"/>
  <c r="O50" i="21" s="1"/>
  <c r="J49" i="21"/>
  <c r="S49" i="21" s="1"/>
  <c r="I49" i="21"/>
  <c r="R49" i="21" s="1"/>
  <c r="H49" i="21"/>
  <c r="Q49" i="21" s="1"/>
  <c r="G49" i="21"/>
  <c r="P49" i="21" s="1"/>
  <c r="F49" i="21"/>
  <c r="O49" i="21" s="1"/>
  <c r="J48" i="21"/>
  <c r="S48" i="21" s="1"/>
  <c r="I48" i="21"/>
  <c r="R48" i="21" s="1"/>
  <c r="H48" i="21"/>
  <c r="Q48" i="21" s="1"/>
  <c r="G48" i="21"/>
  <c r="P48" i="21" s="1"/>
  <c r="F48" i="21"/>
  <c r="O48" i="21" s="1"/>
  <c r="J47" i="21"/>
  <c r="S47" i="21" s="1"/>
  <c r="I47" i="21"/>
  <c r="R47" i="21" s="1"/>
  <c r="H47" i="21"/>
  <c r="Q47" i="21" s="1"/>
  <c r="G47" i="21"/>
  <c r="P47" i="21" s="1"/>
  <c r="F47" i="21"/>
  <c r="O47" i="21" s="1"/>
  <c r="J46" i="21"/>
  <c r="S46" i="21" s="1"/>
  <c r="I46" i="21"/>
  <c r="R46" i="21" s="1"/>
  <c r="H46" i="21"/>
  <c r="Q46" i="21" s="1"/>
  <c r="G46" i="21"/>
  <c r="P46" i="21" s="1"/>
  <c r="F46" i="21"/>
  <c r="O46" i="21" s="1"/>
  <c r="J45" i="21"/>
  <c r="S45" i="21" s="1"/>
  <c r="I45" i="21"/>
  <c r="R45" i="21" s="1"/>
  <c r="H45" i="21"/>
  <c r="Q45" i="21" s="1"/>
  <c r="G45" i="21"/>
  <c r="P45" i="21" s="1"/>
  <c r="F45" i="21"/>
  <c r="O45" i="21" s="1"/>
  <c r="J44" i="21"/>
  <c r="S44" i="21" s="1"/>
  <c r="I44" i="21"/>
  <c r="R44" i="21" s="1"/>
  <c r="H44" i="21"/>
  <c r="Q44" i="21" s="1"/>
  <c r="G44" i="21"/>
  <c r="P44" i="21" s="1"/>
  <c r="F44" i="21"/>
  <c r="O44" i="21" s="1"/>
  <c r="J43" i="21"/>
  <c r="S43" i="21" s="1"/>
  <c r="I43" i="21"/>
  <c r="R43" i="21" s="1"/>
  <c r="H43" i="21"/>
  <c r="Q43" i="21" s="1"/>
  <c r="G43" i="21"/>
  <c r="P43" i="21" s="1"/>
  <c r="F43" i="21"/>
  <c r="O43" i="21" s="1"/>
  <c r="J42" i="21"/>
  <c r="S42" i="21" s="1"/>
  <c r="I42" i="21"/>
  <c r="R42" i="21" s="1"/>
  <c r="H42" i="21"/>
  <c r="Q42" i="21" s="1"/>
  <c r="G42" i="21"/>
  <c r="P42" i="21" s="1"/>
  <c r="F42" i="21"/>
  <c r="O42" i="21" s="1"/>
  <c r="J41" i="21"/>
  <c r="S41" i="21" s="1"/>
  <c r="I41" i="21"/>
  <c r="R41" i="21" s="1"/>
  <c r="H41" i="21"/>
  <c r="Q41" i="21" s="1"/>
  <c r="G41" i="21"/>
  <c r="P41" i="21" s="1"/>
  <c r="F41" i="21"/>
  <c r="O41" i="21" s="1"/>
  <c r="J40" i="21"/>
  <c r="S40" i="21" s="1"/>
  <c r="I40" i="21"/>
  <c r="R40" i="21" s="1"/>
  <c r="H40" i="21"/>
  <c r="Q40" i="21" s="1"/>
  <c r="G40" i="21"/>
  <c r="P40" i="21" s="1"/>
  <c r="F40" i="21"/>
  <c r="O40" i="21" s="1"/>
  <c r="J39" i="21"/>
  <c r="S39" i="21" s="1"/>
  <c r="I39" i="21"/>
  <c r="R39" i="21" s="1"/>
  <c r="H39" i="21"/>
  <c r="Q39" i="21" s="1"/>
  <c r="G39" i="21"/>
  <c r="P39" i="21" s="1"/>
  <c r="F39" i="21"/>
  <c r="O39" i="21" s="1"/>
  <c r="J38" i="21"/>
  <c r="S38" i="21" s="1"/>
  <c r="I38" i="21"/>
  <c r="R38" i="21" s="1"/>
  <c r="H38" i="21"/>
  <c r="Q38" i="21" s="1"/>
  <c r="G38" i="21"/>
  <c r="P38" i="21" s="1"/>
  <c r="F38" i="21"/>
  <c r="O38" i="21" s="1"/>
  <c r="J37" i="21"/>
  <c r="S37" i="21" s="1"/>
  <c r="I37" i="21"/>
  <c r="R37" i="21" s="1"/>
  <c r="H37" i="21"/>
  <c r="Q37" i="21" s="1"/>
  <c r="G37" i="21"/>
  <c r="P37" i="21" s="1"/>
  <c r="F37" i="21"/>
  <c r="O37" i="21" s="1"/>
  <c r="J36" i="21"/>
  <c r="S36" i="21" s="1"/>
  <c r="I36" i="21"/>
  <c r="R36" i="21" s="1"/>
  <c r="H36" i="21"/>
  <c r="Q36" i="21" s="1"/>
  <c r="G36" i="21"/>
  <c r="P36" i="21" s="1"/>
  <c r="F36" i="21"/>
  <c r="O36" i="21" s="1"/>
  <c r="J35" i="21"/>
  <c r="S35" i="21" s="1"/>
  <c r="I35" i="21"/>
  <c r="R35" i="21" s="1"/>
  <c r="H35" i="21"/>
  <c r="Q35" i="21" s="1"/>
  <c r="G35" i="21"/>
  <c r="P35" i="21" s="1"/>
  <c r="F35" i="21"/>
  <c r="O35" i="21" s="1"/>
  <c r="J34" i="21"/>
  <c r="S34" i="21" s="1"/>
  <c r="I34" i="21"/>
  <c r="R34" i="21" s="1"/>
  <c r="H34" i="21"/>
  <c r="Q34" i="21" s="1"/>
  <c r="G34" i="21"/>
  <c r="P34" i="21" s="1"/>
  <c r="F34" i="21"/>
  <c r="O34" i="21" s="1"/>
  <c r="J33" i="21"/>
  <c r="S33" i="21" s="1"/>
  <c r="I33" i="21"/>
  <c r="R33" i="21" s="1"/>
  <c r="H33" i="21"/>
  <c r="Q33" i="21" s="1"/>
  <c r="G33" i="21"/>
  <c r="P33" i="21" s="1"/>
  <c r="F33" i="21"/>
  <c r="O33" i="21" s="1"/>
  <c r="J32" i="21"/>
  <c r="S32" i="21" s="1"/>
  <c r="I32" i="21"/>
  <c r="R32" i="21" s="1"/>
  <c r="H32" i="21"/>
  <c r="Q32" i="21" s="1"/>
  <c r="G32" i="21"/>
  <c r="P32" i="21" s="1"/>
  <c r="F32" i="21"/>
  <c r="O32" i="21" s="1"/>
  <c r="J31" i="21"/>
  <c r="S31" i="21" s="1"/>
  <c r="I31" i="21"/>
  <c r="R31" i="21" s="1"/>
  <c r="H31" i="21"/>
  <c r="Q31" i="21" s="1"/>
  <c r="G31" i="21"/>
  <c r="P31" i="21" s="1"/>
  <c r="F31" i="21"/>
  <c r="O31" i="21" s="1"/>
  <c r="J30" i="21"/>
  <c r="S30" i="21" s="1"/>
  <c r="I30" i="21"/>
  <c r="R30" i="21" s="1"/>
  <c r="H30" i="21"/>
  <c r="Q30" i="21" s="1"/>
  <c r="G30" i="21"/>
  <c r="P30" i="21" s="1"/>
  <c r="F30" i="21"/>
  <c r="O30" i="21" s="1"/>
  <c r="J29" i="21"/>
  <c r="S29" i="21" s="1"/>
  <c r="I29" i="21"/>
  <c r="R29" i="21" s="1"/>
  <c r="H29" i="21"/>
  <c r="Q29" i="21" s="1"/>
  <c r="G29" i="21"/>
  <c r="P29" i="21" s="1"/>
  <c r="F29" i="21"/>
  <c r="O29" i="21" s="1"/>
  <c r="J28" i="21"/>
  <c r="S28" i="21" s="1"/>
  <c r="I28" i="21"/>
  <c r="R28" i="21" s="1"/>
  <c r="H28" i="21"/>
  <c r="Q28" i="21" s="1"/>
  <c r="G28" i="21"/>
  <c r="P28" i="21" s="1"/>
  <c r="F28" i="21"/>
  <c r="O28" i="21" s="1"/>
  <c r="J27" i="21"/>
  <c r="S27" i="21" s="1"/>
  <c r="I27" i="21"/>
  <c r="R27" i="21" s="1"/>
  <c r="H27" i="21"/>
  <c r="Q27" i="21" s="1"/>
  <c r="G27" i="21"/>
  <c r="P27" i="21" s="1"/>
  <c r="F27" i="21"/>
  <c r="O27" i="21" s="1"/>
  <c r="J26" i="21"/>
  <c r="S26" i="21" s="1"/>
  <c r="I26" i="21"/>
  <c r="R26" i="21" s="1"/>
  <c r="H26" i="21"/>
  <c r="Q26" i="21" s="1"/>
  <c r="G26" i="21"/>
  <c r="P26" i="21" s="1"/>
  <c r="F26" i="21"/>
  <c r="O26" i="21" s="1"/>
  <c r="J25" i="21"/>
  <c r="S25" i="21" s="1"/>
  <c r="I25" i="21"/>
  <c r="R25" i="21" s="1"/>
  <c r="H25" i="21"/>
  <c r="Q25" i="21" s="1"/>
  <c r="G25" i="21"/>
  <c r="P25" i="21" s="1"/>
  <c r="F25" i="21"/>
  <c r="O25" i="21" s="1"/>
  <c r="J24" i="21"/>
  <c r="S24" i="21" s="1"/>
  <c r="I24" i="21"/>
  <c r="R24" i="21" s="1"/>
  <c r="H24" i="21"/>
  <c r="Q24" i="21" s="1"/>
  <c r="G24" i="21"/>
  <c r="P24" i="21" s="1"/>
  <c r="F24" i="21"/>
  <c r="O24" i="21" s="1"/>
  <c r="J23" i="21"/>
  <c r="S23" i="21" s="1"/>
  <c r="I23" i="21"/>
  <c r="R23" i="21" s="1"/>
  <c r="H23" i="21"/>
  <c r="Q23" i="21" s="1"/>
  <c r="G23" i="21"/>
  <c r="P23" i="21" s="1"/>
  <c r="F23" i="21"/>
  <c r="O23" i="21" s="1"/>
  <c r="J22" i="21"/>
  <c r="S22" i="21" s="1"/>
  <c r="I22" i="21"/>
  <c r="R22" i="21" s="1"/>
  <c r="H22" i="21"/>
  <c r="Q22" i="21" s="1"/>
  <c r="G22" i="21"/>
  <c r="P22" i="21" s="1"/>
  <c r="F22" i="21"/>
  <c r="O22" i="21" s="1"/>
  <c r="J21" i="21"/>
  <c r="S21" i="21" s="1"/>
  <c r="I21" i="21"/>
  <c r="R21" i="21" s="1"/>
  <c r="H21" i="21"/>
  <c r="Q21" i="21" s="1"/>
  <c r="G21" i="21"/>
  <c r="P21" i="21" s="1"/>
  <c r="F21" i="21"/>
  <c r="O21" i="21" s="1"/>
  <c r="J20" i="21"/>
  <c r="S20" i="21" s="1"/>
  <c r="I20" i="21"/>
  <c r="R20" i="21" s="1"/>
  <c r="H20" i="21"/>
  <c r="Q20" i="21" s="1"/>
  <c r="G20" i="21"/>
  <c r="P20" i="21" s="1"/>
  <c r="F20" i="21"/>
  <c r="O20" i="21" s="1"/>
  <c r="J19" i="21"/>
  <c r="S19" i="21" s="1"/>
  <c r="I19" i="21"/>
  <c r="R19" i="21" s="1"/>
  <c r="H19" i="21"/>
  <c r="Q19" i="21" s="1"/>
  <c r="G19" i="21"/>
  <c r="P19" i="21" s="1"/>
  <c r="F19" i="21"/>
  <c r="O19" i="21" s="1"/>
  <c r="J18" i="21"/>
  <c r="S18" i="21" s="1"/>
  <c r="I18" i="21"/>
  <c r="R18" i="21" s="1"/>
  <c r="H18" i="21"/>
  <c r="Q18" i="21" s="1"/>
  <c r="G18" i="21"/>
  <c r="P18" i="21" s="1"/>
  <c r="F18" i="21"/>
  <c r="O18" i="21" s="1"/>
  <c r="J17" i="21"/>
  <c r="S17" i="21" s="1"/>
  <c r="I17" i="21"/>
  <c r="R17" i="21" s="1"/>
  <c r="H17" i="21"/>
  <c r="Q17" i="21" s="1"/>
  <c r="G17" i="21"/>
  <c r="P17" i="21" s="1"/>
  <c r="F17" i="21"/>
  <c r="O17" i="21" s="1"/>
  <c r="J16" i="21"/>
  <c r="S16" i="21" s="1"/>
  <c r="I16" i="21"/>
  <c r="R16" i="21" s="1"/>
  <c r="H16" i="21"/>
  <c r="Q16" i="21" s="1"/>
  <c r="G16" i="21"/>
  <c r="P16" i="21" s="1"/>
  <c r="F16" i="21"/>
  <c r="O16" i="21" s="1"/>
  <c r="J15" i="21"/>
  <c r="S15" i="21" s="1"/>
  <c r="I15" i="21"/>
  <c r="R15" i="21" s="1"/>
  <c r="H15" i="21"/>
  <c r="Q15" i="21" s="1"/>
  <c r="G15" i="21"/>
  <c r="P15" i="21" s="1"/>
  <c r="F15" i="21"/>
  <c r="O15" i="21" s="1"/>
  <c r="J14" i="21"/>
  <c r="S14" i="21" s="1"/>
  <c r="I14" i="21"/>
  <c r="R14" i="21" s="1"/>
  <c r="H14" i="21"/>
  <c r="Q14" i="21" s="1"/>
  <c r="G14" i="21"/>
  <c r="P14" i="21" s="1"/>
  <c r="F14" i="21"/>
  <c r="O14" i="21" s="1"/>
  <c r="J13" i="21"/>
  <c r="S13" i="21" s="1"/>
  <c r="I13" i="21"/>
  <c r="R13" i="21" s="1"/>
  <c r="H13" i="21"/>
  <c r="Q13" i="21" s="1"/>
  <c r="G13" i="21"/>
  <c r="P13" i="21" s="1"/>
  <c r="F13" i="21"/>
  <c r="O13" i="21" s="1"/>
  <c r="J12" i="21"/>
  <c r="S12" i="21" s="1"/>
  <c r="I12" i="21"/>
  <c r="R12" i="21" s="1"/>
  <c r="H12" i="21"/>
  <c r="Q12" i="21" s="1"/>
  <c r="G12" i="21"/>
  <c r="P12" i="21" s="1"/>
  <c r="F12" i="21"/>
  <c r="O12" i="21" s="1"/>
  <c r="J11" i="21"/>
  <c r="S11" i="21" s="1"/>
  <c r="I11" i="21"/>
  <c r="R11" i="21" s="1"/>
  <c r="H11" i="21"/>
  <c r="Q11" i="21" s="1"/>
  <c r="G11" i="21"/>
  <c r="P11" i="21" s="1"/>
  <c r="F11" i="21"/>
  <c r="O11" i="21" s="1"/>
  <c r="J10" i="21"/>
  <c r="S10" i="21" s="1"/>
  <c r="I10" i="21"/>
  <c r="R10" i="21" s="1"/>
  <c r="H10" i="21"/>
  <c r="Q10" i="21" s="1"/>
  <c r="G10" i="21"/>
  <c r="P10" i="21" s="1"/>
  <c r="F10" i="21"/>
  <c r="O10" i="21" s="1"/>
  <c r="J9" i="21"/>
  <c r="S9" i="21" s="1"/>
  <c r="I9" i="21"/>
  <c r="R9" i="21" s="1"/>
  <c r="H9" i="21"/>
  <c r="Q9" i="21" s="1"/>
  <c r="G9" i="21"/>
  <c r="P9" i="21" s="1"/>
  <c r="F9" i="21"/>
  <c r="O9" i="21" s="1"/>
  <c r="J8" i="21"/>
  <c r="S8" i="21" s="1"/>
  <c r="I8" i="21"/>
  <c r="R8" i="21" s="1"/>
  <c r="H8" i="21"/>
  <c r="Q8" i="21" s="1"/>
  <c r="G8" i="21"/>
  <c r="P8" i="21" s="1"/>
  <c r="F8" i="21"/>
  <c r="O8" i="21" s="1"/>
  <c r="J7" i="21"/>
  <c r="S7" i="21" s="1"/>
  <c r="I7" i="21"/>
  <c r="R7" i="21" s="1"/>
  <c r="H7" i="21"/>
  <c r="Q7" i="21" s="1"/>
  <c r="G7" i="21"/>
  <c r="P7" i="21" s="1"/>
  <c r="F7" i="21"/>
  <c r="O7" i="21" s="1"/>
  <c r="J6" i="21"/>
  <c r="S6" i="21" s="1"/>
  <c r="I6" i="21"/>
  <c r="R6" i="21" s="1"/>
  <c r="H6" i="21"/>
  <c r="Q6" i="21" s="1"/>
  <c r="G6" i="21"/>
  <c r="P6" i="21" s="1"/>
  <c r="F6" i="21"/>
  <c r="O6" i="21" s="1"/>
  <c r="J5" i="21"/>
  <c r="S5" i="21" s="1"/>
  <c r="I5" i="21"/>
  <c r="R5" i="21" s="1"/>
  <c r="H5" i="21"/>
  <c r="Q5" i="21" s="1"/>
  <c r="G5" i="21"/>
  <c r="P5" i="21" s="1"/>
  <c r="F5" i="21"/>
  <c r="O5" i="21" s="1"/>
  <c r="J4" i="21"/>
  <c r="S4" i="21" s="1"/>
  <c r="I4" i="21"/>
  <c r="R4" i="21" s="1"/>
  <c r="H4" i="21"/>
  <c r="Q4" i="21" s="1"/>
  <c r="G4" i="21"/>
  <c r="P4" i="21" s="1"/>
  <c r="F4" i="21"/>
  <c r="O4" i="21" s="1"/>
  <c r="J3" i="21"/>
  <c r="S3" i="21" s="1"/>
  <c r="I3" i="21"/>
  <c r="R3" i="21" s="1"/>
  <c r="H3" i="21"/>
  <c r="Q3" i="21" s="1"/>
  <c r="G3" i="21"/>
  <c r="P3" i="21" s="1"/>
  <c r="F3" i="21"/>
  <c r="O3" i="21" s="1"/>
  <c r="J2" i="21"/>
  <c r="S2" i="21" s="1"/>
  <c r="I2" i="21"/>
  <c r="R2" i="21" s="1"/>
  <c r="H2" i="21"/>
  <c r="Q2" i="21" s="1"/>
  <c r="G2" i="21"/>
  <c r="P2" i="21" s="1"/>
  <c r="F2" i="21"/>
  <c r="O2" i="21" s="1"/>
  <c r="J1" i="21"/>
  <c r="S1" i="21" s="1"/>
  <c r="I1" i="21"/>
  <c r="R1" i="21" s="1"/>
  <c r="H1" i="21"/>
  <c r="Q1" i="21" s="1"/>
  <c r="G1" i="21"/>
  <c r="P1" i="21" s="1"/>
  <c r="F1" i="21"/>
  <c r="O1" i="21" s="1"/>
  <c r="A62" i="21"/>
  <c r="B62" i="21" s="1"/>
  <c r="D62" i="21"/>
  <c r="M62" i="21" s="1"/>
  <c r="E62" i="21"/>
  <c r="N62" i="21" s="1"/>
  <c r="L62" i="21"/>
  <c r="A63" i="21"/>
  <c r="B63" i="21" s="1"/>
  <c r="D63" i="21"/>
  <c r="M63" i="21" s="1"/>
  <c r="E63" i="21"/>
  <c r="N63" i="21" s="1"/>
  <c r="L63" i="21"/>
  <c r="A64" i="21"/>
  <c r="B64" i="21" s="1"/>
  <c r="D64" i="21"/>
  <c r="M64" i="21" s="1"/>
  <c r="E64" i="21"/>
  <c r="N64" i="21" s="1"/>
  <c r="L64" i="21"/>
  <c r="A65" i="21"/>
  <c r="B65" i="21" s="1"/>
  <c r="D65" i="21"/>
  <c r="M65" i="21" s="1"/>
  <c r="E65" i="21"/>
  <c r="N65" i="21" s="1"/>
  <c r="L65" i="21"/>
  <c r="A66" i="21"/>
  <c r="B66" i="21" s="1"/>
  <c r="D66" i="21"/>
  <c r="M66" i="21" s="1"/>
  <c r="E66" i="21"/>
  <c r="N66" i="21" s="1"/>
  <c r="L66" i="21"/>
  <c r="A67" i="21"/>
  <c r="B67" i="21" s="1"/>
  <c r="D67" i="21"/>
  <c r="M67" i="21" s="1"/>
  <c r="E67" i="21"/>
  <c r="N67" i="21" s="1"/>
  <c r="L67" i="21"/>
  <c r="A68" i="21"/>
  <c r="B68" i="21" s="1"/>
  <c r="D68" i="21"/>
  <c r="M68" i="21" s="1"/>
  <c r="E68" i="21"/>
  <c r="N68" i="21" s="1"/>
  <c r="L68" i="21"/>
  <c r="A69" i="21"/>
  <c r="B69" i="21" s="1"/>
  <c r="D69" i="21"/>
  <c r="M69" i="21" s="1"/>
  <c r="E69" i="21"/>
  <c r="N69" i="21" s="1"/>
  <c r="L69" i="21"/>
  <c r="A70" i="21"/>
  <c r="B70" i="21" s="1"/>
  <c r="D70" i="21"/>
  <c r="M70" i="21" s="1"/>
  <c r="E70" i="21"/>
  <c r="N70" i="21" s="1"/>
  <c r="L70" i="21"/>
  <c r="A71" i="21"/>
  <c r="B71" i="21" s="1"/>
  <c r="D71" i="21"/>
  <c r="M71" i="21" s="1"/>
  <c r="E71" i="21"/>
  <c r="N71" i="21" s="1"/>
  <c r="L71" i="21"/>
  <c r="A72" i="21"/>
  <c r="B72" i="21" s="1"/>
  <c r="D72" i="21"/>
  <c r="M72" i="21" s="1"/>
  <c r="E72" i="21"/>
  <c r="N72" i="21" s="1"/>
  <c r="L72" i="21"/>
  <c r="A73" i="21"/>
  <c r="B73" i="21" s="1"/>
  <c r="D73" i="21"/>
  <c r="M73" i="21" s="1"/>
  <c r="E73" i="21"/>
  <c r="N73" i="21" s="1"/>
  <c r="L73" i="21"/>
  <c r="A62" i="16"/>
  <c r="B62" i="16" s="1"/>
  <c r="D62" i="16"/>
  <c r="N62" i="16" s="1"/>
  <c r="E62" i="16"/>
  <c r="O62" i="16" s="1"/>
  <c r="F62" i="16"/>
  <c r="P62" i="16" s="1"/>
  <c r="G62" i="16"/>
  <c r="Q62" i="16" s="1"/>
  <c r="M62" i="16"/>
  <c r="A63" i="16"/>
  <c r="B63" i="16" s="1"/>
  <c r="D63" i="16"/>
  <c r="N63" i="16" s="1"/>
  <c r="E63" i="16"/>
  <c r="O63" i="16" s="1"/>
  <c r="F63" i="16"/>
  <c r="P63" i="16" s="1"/>
  <c r="G63" i="16"/>
  <c r="Q63" i="16" s="1"/>
  <c r="M63" i="16"/>
  <c r="A64" i="16"/>
  <c r="B64" i="16" s="1"/>
  <c r="D64" i="16"/>
  <c r="N64" i="16" s="1"/>
  <c r="E64" i="16"/>
  <c r="O64" i="16" s="1"/>
  <c r="F64" i="16"/>
  <c r="P64" i="16" s="1"/>
  <c r="G64" i="16"/>
  <c r="Q64" i="16" s="1"/>
  <c r="M64" i="16"/>
  <c r="A65" i="16"/>
  <c r="B65" i="16" s="1"/>
  <c r="D65" i="16"/>
  <c r="N65" i="16" s="1"/>
  <c r="E65" i="16"/>
  <c r="O65" i="16" s="1"/>
  <c r="F65" i="16"/>
  <c r="P65" i="16" s="1"/>
  <c r="G65" i="16"/>
  <c r="Q65" i="16" s="1"/>
  <c r="M65" i="16"/>
  <c r="A66" i="16"/>
  <c r="B66" i="16" s="1"/>
  <c r="D66" i="16"/>
  <c r="N66" i="16" s="1"/>
  <c r="E66" i="16"/>
  <c r="O66" i="16" s="1"/>
  <c r="F66" i="16"/>
  <c r="P66" i="16" s="1"/>
  <c r="G66" i="16"/>
  <c r="Q66" i="16" s="1"/>
  <c r="M66" i="16"/>
  <c r="A67" i="16"/>
  <c r="B67" i="16" s="1"/>
  <c r="D67" i="16"/>
  <c r="N67" i="16" s="1"/>
  <c r="E67" i="16"/>
  <c r="O67" i="16" s="1"/>
  <c r="F67" i="16"/>
  <c r="P67" i="16" s="1"/>
  <c r="G67" i="16"/>
  <c r="Q67" i="16" s="1"/>
  <c r="M67" i="16"/>
  <c r="A68" i="16"/>
  <c r="B68" i="16" s="1"/>
  <c r="D68" i="16"/>
  <c r="N68" i="16" s="1"/>
  <c r="E68" i="16"/>
  <c r="O68" i="16" s="1"/>
  <c r="F68" i="16"/>
  <c r="P68" i="16" s="1"/>
  <c r="G68" i="16"/>
  <c r="Q68" i="16" s="1"/>
  <c r="M68" i="16"/>
  <c r="A69" i="16"/>
  <c r="B69" i="16" s="1"/>
  <c r="D69" i="16"/>
  <c r="N69" i="16" s="1"/>
  <c r="E69" i="16"/>
  <c r="O69" i="16" s="1"/>
  <c r="F69" i="16"/>
  <c r="P69" i="16" s="1"/>
  <c r="G69" i="16"/>
  <c r="Q69" i="16" s="1"/>
  <c r="M69" i="16"/>
  <c r="A70" i="16"/>
  <c r="B70" i="16" s="1"/>
  <c r="D70" i="16"/>
  <c r="N70" i="16" s="1"/>
  <c r="E70" i="16"/>
  <c r="O70" i="16" s="1"/>
  <c r="F70" i="16"/>
  <c r="P70" i="16" s="1"/>
  <c r="G70" i="16"/>
  <c r="Q70" i="16" s="1"/>
  <c r="M70" i="16"/>
  <c r="A71" i="16"/>
  <c r="B71" i="16" s="1"/>
  <c r="D71" i="16"/>
  <c r="N71" i="16" s="1"/>
  <c r="E71" i="16"/>
  <c r="O71" i="16" s="1"/>
  <c r="F71" i="16"/>
  <c r="P71" i="16" s="1"/>
  <c r="G71" i="16"/>
  <c r="Q71" i="16" s="1"/>
  <c r="M71" i="16"/>
  <c r="A72" i="16"/>
  <c r="B72" i="16" s="1"/>
  <c r="D72" i="16"/>
  <c r="N72" i="16" s="1"/>
  <c r="E72" i="16"/>
  <c r="O72" i="16" s="1"/>
  <c r="F72" i="16"/>
  <c r="P72" i="16" s="1"/>
  <c r="G72" i="16"/>
  <c r="Q72" i="16" s="1"/>
  <c r="M72" i="16"/>
  <c r="A73" i="16"/>
  <c r="B73" i="16" s="1"/>
  <c r="D73" i="16"/>
  <c r="N73" i="16" s="1"/>
  <c r="E73" i="16"/>
  <c r="O73" i="16" s="1"/>
  <c r="F73" i="16"/>
  <c r="P73" i="16" s="1"/>
  <c r="G73" i="16"/>
  <c r="Q73" i="16" s="1"/>
  <c r="M73" i="16"/>
  <c r="G61" i="16"/>
  <c r="Q61" i="16" s="1"/>
  <c r="G60" i="16"/>
  <c r="Q60" i="16" s="1"/>
  <c r="G59" i="16"/>
  <c r="Q59" i="16" s="1"/>
  <c r="G58" i="16"/>
  <c r="Q58" i="16" s="1"/>
  <c r="G57" i="16"/>
  <c r="Q57" i="16" s="1"/>
  <c r="G56" i="16"/>
  <c r="Q56" i="16" s="1"/>
  <c r="G55" i="16"/>
  <c r="Q55" i="16" s="1"/>
  <c r="G54" i="16"/>
  <c r="Q54" i="16" s="1"/>
  <c r="G53" i="16"/>
  <c r="Q53" i="16" s="1"/>
  <c r="G52" i="16"/>
  <c r="Q52" i="16" s="1"/>
  <c r="G51" i="16"/>
  <c r="Q51" i="16" s="1"/>
  <c r="G50" i="16"/>
  <c r="Q50" i="16" s="1"/>
  <c r="G49" i="16"/>
  <c r="Q49" i="16" s="1"/>
  <c r="G48" i="16"/>
  <c r="Q48" i="16" s="1"/>
  <c r="G47" i="16"/>
  <c r="Q47" i="16" s="1"/>
  <c r="G46" i="16"/>
  <c r="Q46" i="16" s="1"/>
  <c r="G45" i="16"/>
  <c r="Q45" i="16" s="1"/>
  <c r="G44" i="16"/>
  <c r="Q44" i="16" s="1"/>
  <c r="G43" i="16"/>
  <c r="Q43" i="16" s="1"/>
  <c r="G42" i="16"/>
  <c r="Q42" i="16" s="1"/>
  <c r="G41" i="16"/>
  <c r="Q41" i="16" s="1"/>
  <c r="G40" i="16"/>
  <c r="Q40" i="16" s="1"/>
  <c r="G39" i="16"/>
  <c r="Q39" i="16" s="1"/>
  <c r="G38" i="16"/>
  <c r="Q38" i="16" s="1"/>
  <c r="G37" i="16"/>
  <c r="Q37" i="16" s="1"/>
  <c r="G36" i="16"/>
  <c r="Q36" i="16" s="1"/>
  <c r="G35" i="16"/>
  <c r="Q35" i="16" s="1"/>
  <c r="G34" i="16"/>
  <c r="Q34" i="16" s="1"/>
  <c r="G33" i="16"/>
  <c r="Q33" i="16" s="1"/>
  <c r="G32" i="16"/>
  <c r="Q32" i="16" s="1"/>
  <c r="G31" i="16"/>
  <c r="Q31" i="16" s="1"/>
  <c r="G30" i="16"/>
  <c r="Q30" i="16" s="1"/>
  <c r="G29" i="16"/>
  <c r="Q29" i="16" s="1"/>
  <c r="G28" i="16"/>
  <c r="Q28" i="16" s="1"/>
  <c r="G27" i="16"/>
  <c r="Q27" i="16" s="1"/>
  <c r="G26" i="16"/>
  <c r="Q26" i="16" s="1"/>
  <c r="G25" i="16"/>
  <c r="Q25" i="16" s="1"/>
  <c r="G24" i="16"/>
  <c r="Q24" i="16" s="1"/>
  <c r="G23" i="16"/>
  <c r="Q23" i="16" s="1"/>
  <c r="G22" i="16"/>
  <c r="Q22" i="16" s="1"/>
  <c r="G21" i="16"/>
  <c r="Q21" i="16" s="1"/>
  <c r="G20" i="16"/>
  <c r="Q20" i="16" s="1"/>
  <c r="G19" i="16"/>
  <c r="Q19" i="16" s="1"/>
  <c r="G18" i="16"/>
  <c r="Q18" i="16" s="1"/>
  <c r="G17" i="16"/>
  <c r="Q17" i="16" s="1"/>
  <c r="G16" i="16"/>
  <c r="Q16" i="16" s="1"/>
  <c r="G15" i="16"/>
  <c r="Q15" i="16" s="1"/>
  <c r="G14" i="16"/>
  <c r="Q14" i="16" s="1"/>
  <c r="G13" i="16"/>
  <c r="Q13" i="16" s="1"/>
  <c r="G12" i="16"/>
  <c r="Q12" i="16" s="1"/>
  <c r="G11" i="16"/>
  <c r="Q11" i="16" s="1"/>
  <c r="G10" i="16"/>
  <c r="Q10" i="16" s="1"/>
  <c r="G9" i="16"/>
  <c r="Q9" i="16" s="1"/>
  <c r="G8" i="16"/>
  <c r="Q8" i="16" s="1"/>
  <c r="G7" i="16"/>
  <c r="Q7" i="16" s="1"/>
  <c r="G6" i="16"/>
  <c r="Q6" i="16" s="1"/>
  <c r="G5" i="16"/>
  <c r="Q5" i="16" s="1"/>
  <c r="G4" i="16"/>
  <c r="Q4" i="16" s="1"/>
  <c r="G3" i="16"/>
  <c r="Q3" i="16" s="1"/>
  <c r="G2" i="16"/>
  <c r="Q2" i="16" s="1"/>
  <c r="G1" i="16"/>
  <c r="Q1" i="16" s="1"/>
  <c r="G76" i="22" l="1"/>
  <c r="P64" i="22"/>
  <c r="J77" i="22"/>
  <c r="S65" i="22"/>
  <c r="I78" i="22"/>
  <c r="R78" i="22" s="1"/>
  <c r="R66" i="22"/>
  <c r="G80" i="22"/>
  <c r="P68" i="22"/>
  <c r="J81" i="22"/>
  <c r="S69" i="22"/>
  <c r="G84" i="22"/>
  <c r="P72" i="22"/>
  <c r="J85" i="22"/>
  <c r="S73" i="22"/>
  <c r="J74" i="22"/>
  <c r="S62" i="22"/>
  <c r="H76" i="22"/>
  <c r="Q76" i="22" s="1"/>
  <c r="Q64" i="22"/>
  <c r="G77" i="22"/>
  <c r="P65" i="22"/>
  <c r="J78" i="22"/>
  <c r="S66" i="22"/>
  <c r="I79" i="22"/>
  <c r="R79" i="22" s="1"/>
  <c r="R67" i="22"/>
  <c r="H80" i="22"/>
  <c r="Q80" i="22" s="1"/>
  <c r="Q68" i="22"/>
  <c r="G81" i="22"/>
  <c r="P69" i="22"/>
  <c r="J82" i="22"/>
  <c r="S70" i="22"/>
  <c r="I83" i="22"/>
  <c r="R83" i="22" s="1"/>
  <c r="R71" i="22"/>
  <c r="H84" i="22"/>
  <c r="Q84" i="22" s="1"/>
  <c r="Q72" i="22"/>
  <c r="G85" i="22"/>
  <c r="P73" i="22"/>
  <c r="G74" i="22"/>
  <c r="P62" i="22"/>
  <c r="J75" i="22"/>
  <c r="S75" i="22" s="1"/>
  <c r="S63" i="22"/>
  <c r="H77" i="22"/>
  <c r="Q65" i="22"/>
  <c r="G78" i="22"/>
  <c r="P66" i="22"/>
  <c r="J79" i="22"/>
  <c r="S67" i="22"/>
  <c r="H81" i="22"/>
  <c r="Q69" i="22"/>
  <c r="G82" i="22"/>
  <c r="P70" i="22"/>
  <c r="J83" i="22"/>
  <c r="S71" i="22"/>
  <c r="H85" i="22"/>
  <c r="Q85" i="22" s="1"/>
  <c r="Q73" i="22"/>
  <c r="H74" i="22"/>
  <c r="Q62" i="22"/>
  <c r="G75" i="22"/>
  <c r="P63" i="22"/>
  <c r="I77" i="22"/>
  <c r="R65" i="22"/>
  <c r="H78" i="22"/>
  <c r="Q66" i="22"/>
  <c r="G79" i="22"/>
  <c r="P67" i="22"/>
  <c r="I81" i="22"/>
  <c r="R81" i="22" s="1"/>
  <c r="R69" i="22"/>
  <c r="H82" i="22"/>
  <c r="Q70" i="22"/>
  <c r="G83" i="22"/>
  <c r="P71" i="22"/>
  <c r="I85" i="22"/>
  <c r="R73" i="22"/>
  <c r="W126" i="27"/>
  <c r="I75" i="22"/>
  <c r="X75" i="27"/>
  <c r="W62" i="27"/>
  <c r="W102" i="27"/>
  <c r="W86" i="27"/>
  <c r="X91" i="27"/>
  <c r="Z11" i="25"/>
  <c r="K82" i="27"/>
  <c r="W70" i="27"/>
  <c r="L83" i="27"/>
  <c r="X71" i="27"/>
  <c r="X3" i="26"/>
  <c r="I91" i="22"/>
  <c r="I95" i="22"/>
  <c r="X9" i="26"/>
  <c r="I93" i="22"/>
  <c r="R93" i="22" s="1"/>
  <c r="X5" i="26"/>
  <c r="K85" i="27"/>
  <c r="K97" i="27" s="1"/>
  <c r="K109" i="27" s="1"/>
  <c r="K121" i="27" s="1"/>
  <c r="K133" i="27" s="1"/>
  <c r="K145" i="27" s="1"/>
  <c r="W145" i="27" s="1"/>
  <c r="W73" i="27"/>
  <c r="H75" i="22"/>
  <c r="X87" i="27"/>
  <c r="X103" i="27"/>
  <c r="W74" i="27"/>
  <c r="W90" i="27"/>
  <c r="X123" i="27"/>
  <c r="X63" i="27"/>
  <c r="W78" i="27"/>
  <c r="W110" i="27"/>
  <c r="X127" i="27"/>
  <c r="W66" i="27"/>
  <c r="X79" i="27"/>
  <c r="X111" i="27"/>
  <c r="X67" i="27"/>
  <c r="W98" i="27"/>
  <c r="W114" i="27"/>
  <c r="X99" i="27"/>
  <c r="X115" i="27"/>
  <c r="T72" i="21"/>
  <c r="V72" i="21" s="1"/>
  <c r="T66" i="21"/>
  <c r="V66" i="21" s="1"/>
  <c r="T62" i="21"/>
  <c r="V62" i="21" s="1"/>
  <c r="T71" i="21"/>
  <c r="V71" i="21" s="1"/>
  <c r="I76" i="22"/>
  <c r="R76" i="22" s="1"/>
  <c r="H96" i="22"/>
  <c r="Q96" i="22" s="1"/>
  <c r="J87" i="22"/>
  <c r="S87" i="22" s="1"/>
  <c r="I74" i="22"/>
  <c r="R74" i="22" s="1"/>
  <c r="I90" i="22"/>
  <c r="I80" i="22"/>
  <c r="R80" i="22" s="1"/>
  <c r="I82" i="22"/>
  <c r="R82" i="22" s="1"/>
  <c r="I84" i="22"/>
  <c r="R84" i="22" s="1"/>
  <c r="T73" i="21"/>
  <c r="V73" i="21" s="1"/>
  <c r="T68" i="21"/>
  <c r="V68" i="21" s="1"/>
  <c r="T70" i="21"/>
  <c r="T67" i="21"/>
  <c r="V67" i="21" s="1"/>
  <c r="T65" i="21"/>
  <c r="V65" i="21" s="1"/>
  <c r="T64" i="21"/>
  <c r="V64" i="21" s="1"/>
  <c r="T63" i="21"/>
  <c r="V63" i="21" s="1"/>
  <c r="H97" i="22"/>
  <c r="Q97" i="22" s="1"/>
  <c r="J80" i="22"/>
  <c r="S80" i="22" s="1"/>
  <c r="J84" i="22"/>
  <c r="S84" i="22" s="1"/>
  <c r="J76" i="22"/>
  <c r="S76" i="22" s="1"/>
  <c r="H79" i="22"/>
  <c r="Q79" i="22" s="1"/>
  <c r="H83" i="22"/>
  <c r="Q83" i="22" s="1"/>
  <c r="W64" i="27"/>
  <c r="X65" i="27"/>
  <c r="W68" i="27"/>
  <c r="X69" i="27"/>
  <c r="W72" i="27"/>
  <c r="X73" i="27"/>
  <c r="W76" i="27"/>
  <c r="X77" i="27"/>
  <c r="W80" i="27"/>
  <c r="X81" i="27"/>
  <c r="W84" i="27"/>
  <c r="X85" i="27"/>
  <c r="W88" i="27"/>
  <c r="X89" i="27"/>
  <c r="W92" i="27"/>
  <c r="X93" i="27"/>
  <c r="W96" i="27"/>
  <c r="X97" i="27"/>
  <c r="W100" i="27"/>
  <c r="X101" i="27"/>
  <c r="W104" i="27"/>
  <c r="X105" i="27"/>
  <c r="W108" i="27"/>
  <c r="X109" i="27"/>
  <c r="W112" i="27"/>
  <c r="X113" i="27"/>
  <c r="W116" i="27"/>
  <c r="X117" i="27"/>
  <c r="W120" i="27"/>
  <c r="X121" i="27"/>
  <c r="W124" i="27"/>
  <c r="X125" i="27"/>
  <c r="W128" i="27"/>
  <c r="X129" i="27"/>
  <c r="W132" i="27"/>
  <c r="X133" i="27"/>
  <c r="W63" i="27"/>
  <c r="X64" i="27"/>
  <c r="W67" i="27"/>
  <c r="X68" i="27"/>
  <c r="W71" i="27"/>
  <c r="X72" i="27"/>
  <c r="W75" i="27"/>
  <c r="X76" i="27"/>
  <c r="W79" i="27"/>
  <c r="X80" i="27"/>
  <c r="W83" i="27"/>
  <c r="X84" i="27"/>
  <c r="W87" i="27"/>
  <c r="X88" i="27"/>
  <c r="W91" i="27"/>
  <c r="X92" i="27"/>
  <c r="W95" i="27"/>
  <c r="X96" i="27"/>
  <c r="W99" i="27"/>
  <c r="X100" i="27"/>
  <c r="W103" i="27"/>
  <c r="X104" i="27"/>
  <c r="W107" i="27"/>
  <c r="X108" i="27"/>
  <c r="W111" i="27"/>
  <c r="X112" i="27"/>
  <c r="W115" i="27"/>
  <c r="X116" i="27"/>
  <c r="W119" i="27"/>
  <c r="X120" i="27"/>
  <c r="W123" i="27"/>
  <c r="X124" i="27"/>
  <c r="W127" i="27"/>
  <c r="X128" i="27"/>
  <c r="W131" i="27"/>
  <c r="X132" i="27"/>
  <c r="W122" i="27"/>
  <c r="X62" i="27"/>
  <c r="W65" i="27"/>
  <c r="X66" i="27"/>
  <c r="W69" i="27"/>
  <c r="X70" i="27"/>
  <c r="X74" i="27"/>
  <c r="W77" i="27"/>
  <c r="X78" i="27"/>
  <c r="W81" i="27"/>
  <c r="X82" i="27"/>
  <c r="X86" i="27"/>
  <c r="W89" i="27"/>
  <c r="X90" i="27"/>
  <c r="W93" i="27"/>
  <c r="X94" i="27"/>
  <c r="X98" i="27"/>
  <c r="W101" i="27"/>
  <c r="X102" i="27"/>
  <c r="W105" i="27"/>
  <c r="X106" i="27"/>
  <c r="X110" i="27"/>
  <c r="W113" i="27"/>
  <c r="X114" i="27"/>
  <c r="W117" i="27"/>
  <c r="X118" i="27"/>
  <c r="X122" i="27"/>
  <c r="W125" i="27"/>
  <c r="X126" i="27"/>
  <c r="W129" i="27"/>
  <c r="X130" i="27"/>
  <c r="T69" i="21"/>
  <c r="I105" i="22"/>
  <c r="R105" i="22" s="1"/>
  <c r="J99" i="22"/>
  <c r="S99" i="22" s="1"/>
  <c r="H88" i="22"/>
  <c r="Q88" i="22" s="1"/>
  <c r="H92" i="22"/>
  <c r="Q92" i="22" s="1"/>
  <c r="X11" i="26"/>
  <c r="X13" i="26"/>
  <c r="X6" i="26"/>
  <c r="X10" i="26"/>
  <c r="X7" i="26"/>
  <c r="X4" i="26"/>
  <c r="X8" i="26"/>
  <c r="X12" i="26"/>
  <c r="Z8" i="25"/>
  <c r="Z3" i="25"/>
  <c r="Z13" i="25"/>
  <c r="Z5" i="25"/>
  <c r="Z12" i="25"/>
  <c r="Z4" i="25"/>
  <c r="Z7" i="25"/>
  <c r="Z10" i="25"/>
  <c r="Z6" i="25"/>
  <c r="Z9" i="25"/>
  <c r="AF73" i="14"/>
  <c r="AF72" i="14"/>
  <c r="AF71" i="14"/>
  <c r="AF70" i="14"/>
  <c r="AF69" i="14"/>
  <c r="AF68" i="14"/>
  <c r="AF67" i="14"/>
  <c r="AF66" i="14"/>
  <c r="AF65" i="14"/>
  <c r="AF64" i="14"/>
  <c r="AF63" i="14"/>
  <c r="AF62" i="14"/>
  <c r="L73" i="14"/>
  <c r="N73" i="14" s="1"/>
  <c r="L72" i="14"/>
  <c r="N72" i="14" s="1"/>
  <c r="L71" i="14"/>
  <c r="N71" i="14" s="1"/>
  <c r="L70" i="14"/>
  <c r="N70" i="14" s="1"/>
  <c r="L69" i="14"/>
  <c r="N69" i="14" s="1"/>
  <c r="L68" i="14"/>
  <c r="N68" i="14" s="1"/>
  <c r="L67" i="14"/>
  <c r="N67" i="14" s="1"/>
  <c r="L66" i="14"/>
  <c r="N66" i="14" s="1"/>
  <c r="L65" i="14"/>
  <c r="N65" i="14" s="1"/>
  <c r="L64" i="14"/>
  <c r="N64" i="14" s="1"/>
  <c r="L63" i="14"/>
  <c r="N63" i="14" s="1"/>
  <c r="L62" i="14"/>
  <c r="N62" i="14" s="1"/>
  <c r="U72" i="21" l="1"/>
  <c r="U68" i="21"/>
  <c r="C72" i="25"/>
  <c r="C72" i="27"/>
  <c r="H64" i="27"/>
  <c r="H64" i="25"/>
  <c r="T64" i="25" s="1"/>
  <c r="H68" i="27"/>
  <c r="H68" i="25"/>
  <c r="T68" i="25" s="1"/>
  <c r="H72" i="27"/>
  <c r="H72" i="25"/>
  <c r="T72" i="25" s="1"/>
  <c r="G94" i="22"/>
  <c r="P82" i="22"/>
  <c r="J91" i="22"/>
  <c r="S79" i="22"/>
  <c r="H89" i="22"/>
  <c r="Q77" i="22"/>
  <c r="G86" i="22"/>
  <c r="P74" i="22"/>
  <c r="J94" i="22"/>
  <c r="S82" i="22"/>
  <c r="J90" i="22"/>
  <c r="S78" i="22"/>
  <c r="J97" i="22"/>
  <c r="S85" i="22"/>
  <c r="J93" i="22"/>
  <c r="S81" i="22"/>
  <c r="G88" i="22"/>
  <c r="P76" i="22"/>
  <c r="C64" i="25"/>
  <c r="C64" i="27"/>
  <c r="C68" i="25"/>
  <c r="C68" i="27"/>
  <c r="C65" i="25"/>
  <c r="C65" i="27"/>
  <c r="C69" i="25"/>
  <c r="C69" i="27"/>
  <c r="C73" i="25"/>
  <c r="C73" i="27"/>
  <c r="H65" i="27"/>
  <c r="H65" i="25"/>
  <c r="T65" i="25" s="1"/>
  <c r="H69" i="27"/>
  <c r="H69" i="25"/>
  <c r="T69" i="25" s="1"/>
  <c r="H73" i="27"/>
  <c r="H73" i="25"/>
  <c r="T73" i="25" s="1"/>
  <c r="I102" i="22"/>
  <c r="R102" i="22" s="1"/>
  <c r="R90" i="22"/>
  <c r="I107" i="22"/>
  <c r="R107" i="22" s="1"/>
  <c r="R95" i="22"/>
  <c r="I97" i="22"/>
  <c r="R85" i="22"/>
  <c r="H94" i="22"/>
  <c r="Q82" i="22"/>
  <c r="G91" i="22"/>
  <c r="P79" i="22"/>
  <c r="I89" i="22"/>
  <c r="R77" i="22"/>
  <c r="H86" i="22"/>
  <c r="Q74" i="22"/>
  <c r="C63" i="25"/>
  <c r="C63" i="27"/>
  <c r="C62" i="25"/>
  <c r="C62" i="27"/>
  <c r="C66" i="25"/>
  <c r="C66" i="27"/>
  <c r="C70" i="25"/>
  <c r="C70" i="27"/>
  <c r="H62" i="27"/>
  <c r="H62" i="25"/>
  <c r="T62" i="25" s="1"/>
  <c r="H66" i="27"/>
  <c r="H66" i="25"/>
  <c r="T66" i="25" s="1"/>
  <c r="H70" i="27"/>
  <c r="H70" i="25"/>
  <c r="T70" i="25" s="1"/>
  <c r="I103" i="22"/>
  <c r="R103" i="22" s="1"/>
  <c r="R91" i="22"/>
  <c r="I87" i="22"/>
  <c r="R75" i="22"/>
  <c r="J95" i="22"/>
  <c r="S83" i="22"/>
  <c r="H93" i="22"/>
  <c r="Q81" i="22"/>
  <c r="G90" i="22"/>
  <c r="P78" i="22"/>
  <c r="G97" i="22"/>
  <c r="P85" i="22"/>
  <c r="G93" i="22"/>
  <c r="P81" i="22"/>
  <c r="G89" i="22"/>
  <c r="P77" i="22"/>
  <c r="J86" i="22"/>
  <c r="S74" i="22"/>
  <c r="G96" i="22"/>
  <c r="P84" i="22"/>
  <c r="G92" i="22"/>
  <c r="P80" i="22"/>
  <c r="J89" i="22"/>
  <c r="S77" i="22"/>
  <c r="C67" i="25"/>
  <c r="C67" i="27"/>
  <c r="C71" i="25"/>
  <c r="C71" i="27"/>
  <c r="H63" i="25"/>
  <c r="T63" i="25" s="1"/>
  <c r="H63" i="27"/>
  <c r="H67" i="25"/>
  <c r="T67" i="25" s="1"/>
  <c r="H67" i="27"/>
  <c r="H71" i="25"/>
  <c r="T71" i="25" s="1"/>
  <c r="H71" i="27"/>
  <c r="H87" i="22"/>
  <c r="Q87" i="22" s="1"/>
  <c r="Q75" i="22"/>
  <c r="G95" i="22"/>
  <c r="P83" i="22"/>
  <c r="H90" i="22"/>
  <c r="Q78" i="22"/>
  <c r="G87" i="22"/>
  <c r="P75" i="22"/>
  <c r="H99" i="22"/>
  <c r="Q99" i="22" s="1"/>
  <c r="U62" i="21"/>
  <c r="U67" i="21"/>
  <c r="W133" i="27"/>
  <c r="W109" i="27"/>
  <c r="W85" i="27"/>
  <c r="U65" i="21"/>
  <c r="U71" i="21"/>
  <c r="W121" i="27"/>
  <c r="W97" i="27"/>
  <c r="U66" i="21"/>
  <c r="V69" i="21"/>
  <c r="U69" i="21"/>
  <c r="V70" i="21"/>
  <c r="U70" i="21"/>
  <c r="K94" i="27"/>
  <c r="W82" i="27"/>
  <c r="H109" i="22"/>
  <c r="Q109" i="22" s="1"/>
  <c r="U63" i="21"/>
  <c r="U73" i="21"/>
  <c r="H108" i="22"/>
  <c r="Q108" i="22" s="1"/>
  <c r="U64" i="21"/>
  <c r="L95" i="27"/>
  <c r="X83" i="27"/>
  <c r="H91" i="22"/>
  <c r="Q91" i="22" s="1"/>
  <c r="I94" i="22"/>
  <c r="R94" i="22" s="1"/>
  <c r="I86" i="22"/>
  <c r="R86" i="22" s="1"/>
  <c r="I88" i="22"/>
  <c r="R88" i="22" s="1"/>
  <c r="J92" i="22"/>
  <c r="S92" i="22" s="1"/>
  <c r="J88" i="22"/>
  <c r="S88" i="22" s="1"/>
  <c r="H95" i="22"/>
  <c r="Q95" i="22" s="1"/>
  <c r="J96" i="22"/>
  <c r="S96" i="22" s="1"/>
  <c r="I96" i="22"/>
  <c r="R96" i="22" s="1"/>
  <c r="I92" i="22"/>
  <c r="R92" i="22" s="1"/>
  <c r="H100" i="22"/>
  <c r="Q100" i="22" s="1"/>
  <c r="I114" i="22"/>
  <c r="R114" i="22" s="1"/>
  <c r="H111" i="22"/>
  <c r="Q111" i="22" s="1"/>
  <c r="I119" i="22"/>
  <c r="R119" i="22" s="1"/>
  <c r="H120" i="22"/>
  <c r="Q120" i="22" s="1"/>
  <c r="I115" i="22"/>
  <c r="R115" i="22" s="1"/>
  <c r="H104" i="22"/>
  <c r="Q104" i="22" s="1"/>
  <c r="J111" i="22"/>
  <c r="S111" i="22" s="1"/>
  <c r="I117" i="22"/>
  <c r="R117" i="22" s="1"/>
  <c r="B62" i="14"/>
  <c r="B63" i="14"/>
  <c r="B64" i="14"/>
  <c r="B65" i="14"/>
  <c r="B66" i="14"/>
  <c r="B67" i="14"/>
  <c r="B68" i="14"/>
  <c r="B69" i="14"/>
  <c r="B70" i="14"/>
  <c r="B71" i="14"/>
  <c r="B72" i="14"/>
  <c r="B73" i="14"/>
  <c r="H121" i="22" l="1"/>
  <c r="Q121" i="22" s="1"/>
  <c r="G99" i="22"/>
  <c r="P87" i="22"/>
  <c r="G107" i="22"/>
  <c r="P95" i="22"/>
  <c r="G104" i="22"/>
  <c r="P92" i="22"/>
  <c r="S86" i="22"/>
  <c r="J98" i="22"/>
  <c r="G105" i="22"/>
  <c r="P93" i="22"/>
  <c r="G102" i="22"/>
  <c r="P90" i="22"/>
  <c r="S95" i="22"/>
  <c r="J107" i="22"/>
  <c r="Q86" i="22"/>
  <c r="H98" i="22"/>
  <c r="G103" i="22"/>
  <c r="P91" i="22"/>
  <c r="R97" i="22"/>
  <c r="I109" i="22"/>
  <c r="S93" i="22"/>
  <c r="J105" i="22"/>
  <c r="S90" i="22"/>
  <c r="J102" i="22"/>
  <c r="G98" i="22"/>
  <c r="P86" i="22"/>
  <c r="S91" i="22"/>
  <c r="J103" i="22"/>
  <c r="Q90" i="22"/>
  <c r="H102" i="22"/>
  <c r="S89" i="22"/>
  <c r="J101" i="22"/>
  <c r="G108" i="22"/>
  <c r="P96" i="22"/>
  <c r="G101" i="22"/>
  <c r="P89" i="22"/>
  <c r="G109" i="22"/>
  <c r="P97" i="22"/>
  <c r="Q93" i="22"/>
  <c r="H105" i="22"/>
  <c r="I99" i="22"/>
  <c r="R87" i="22"/>
  <c r="R89" i="22"/>
  <c r="I101" i="22"/>
  <c r="Q94" i="22"/>
  <c r="H106" i="22"/>
  <c r="G100" i="22"/>
  <c r="P88" i="22"/>
  <c r="S97" i="22"/>
  <c r="J109" i="22"/>
  <c r="S94" i="22"/>
  <c r="J106" i="22"/>
  <c r="Q89" i="22"/>
  <c r="H101" i="22"/>
  <c r="G106" i="22"/>
  <c r="P94" i="22"/>
  <c r="L107" i="27"/>
  <c r="X95" i="27"/>
  <c r="K106" i="27"/>
  <c r="W94" i="27"/>
  <c r="J104" i="22"/>
  <c r="S104" i="22" s="1"/>
  <c r="I100" i="22"/>
  <c r="R100" i="22" s="1"/>
  <c r="I106" i="22"/>
  <c r="R106" i="22" s="1"/>
  <c r="I108" i="22"/>
  <c r="R108" i="22" s="1"/>
  <c r="H107" i="22"/>
  <c r="Q107" i="22" s="1"/>
  <c r="J100" i="22"/>
  <c r="S100" i="22" s="1"/>
  <c r="I104" i="22"/>
  <c r="R104" i="22" s="1"/>
  <c r="J108" i="22"/>
  <c r="S108" i="22" s="1"/>
  <c r="I98" i="22"/>
  <c r="R98" i="22" s="1"/>
  <c r="H103" i="22"/>
  <c r="Q103" i="22" s="1"/>
  <c r="I126" i="22"/>
  <c r="R126" i="22" s="1"/>
  <c r="H116" i="22"/>
  <c r="Q116" i="22" s="1"/>
  <c r="I129" i="22"/>
  <c r="R129" i="22" s="1"/>
  <c r="I127" i="22"/>
  <c r="R127" i="22" s="1"/>
  <c r="I131" i="22"/>
  <c r="R131" i="22" s="1"/>
  <c r="H123" i="22"/>
  <c r="Q123" i="22" s="1"/>
  <c r="H112" i="22"/>
  <c r="Q112" i="22" s="1"/>
  <c r="H133" i="22"/>
  <c r="Q133" i="22" s="1"/>
  <c r="J123" i="22"/>
  <c r="S123" i="22" s="1"/>
  <c r="H132" i="22"/>
  <c r="Q132" i="22" s="1"/>
  <c r="Q52" i="19"/>
  <c r="P52" i="19"/>
  <c r="O52" i="19"/>
  <c r="N52" i="19"/>
  <c r="M52" i="19"/>
  <c r="L52" i="19"/>
  <c r="K52" i="19"/>
  <c r="J52" i="19"/>
  <c r="I52" i="19"/>
  <c r="H52" i="19"/>
  <c r="G52" i="19"/>
  <c r="F52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Q43" i="19"/>
  <c r="P43" i="19"/>
  <c r="O43" i="19"/>
  <c r="N43" i="19"/>
  <c r="M43" i="19"/>
  <c r="L43" i="19"/>
  <c r="L60" i="19" s="1"/>
  <c r="K43" i="19"/>
  <c r="J43" i="19"/>
  <c r="I43" i="19"/>
  <c r="H43" i="19"/>
  <c r="G43" i="19"/>
  <c r="F43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G118" i="22" l="1"/>
  <c r="P106" i="22"/>
  <c r="G112" i="22"/>
  <c r="P100" i="22"/>
  <c r="G113" i="22"/>
  <c r="P101" i="22"/>
  <c r="G114" i="22"/>
  <c r="P102" i="22"/>
  <c r="G119" i="22"/>
  <c r="P107" i="22"/>
  <c r="Q101" i="22"/>
  <c r="H113" i="22"/>
  <c r="S109" i="22"/>
  <c r="J121" i="22"/>
  <c r="Q106" i="22"/>
  <c r="H118" i="22"/>
  <c r="Q102" i="22"/>
  <c r="H114" i="22"/>
  <c r="S105" i="22"/>
  <c r="J117" i="22"/>
  <c r="S107" i="22"/>
  <c r="J119" i="22"/>
  <c r="R99" i="22"/>
  <c r="I111" i="22"/>
  <c r="G121" i="22"/>
  <c r="P109" i="22"/>
  <c r="G120" i="22"/>
  <c r="P108" i="22"/>
  <c r="G110" i="22"/>
  <c r="P98" i="22"/>
  <c r="G115" i="22"/>
  <c r="P103" i="22"/>
  <c r="G117" i="22"/>
  <c r="P105" i="22"/>
  <c r="G116" i="22"/>
  <c r="P104" i="22"/>
  <c r="G111" i="22"/>
  <c r="P99" i="22"/>
  <c r="S106" i="22"/>
  <c r="J118" i="22"/>
  <c r="R101" i="22"/>
  <c r="I113" i="22"/>
  <c r="Q105" i="22"/>
  <c r="H117" i="22"/>
  <c r="S101" i="22"/>
  <c r="J113" i="22"/>
  <c r="S103" i="22"/>
  <c r="J115" i="22"/>
  <c r="S102" i="22"/>
  <c r="J114" i="22"/>
  <c r="R109" i="22"/>
  <c r="I121" i="22"/>
  <c r="Q98" i="22"/>
  <c r="H110" i="22"/>
  <c r="S98" i="22"/>
  <c r="J110" i="22"/>
  <c r="P61" i="19"/>
  <c r="N61" i="19"/>
  <c r="K60" i="19"/>
  <c r="J60" i="19"/>
  <c r="O61" i="19"/>
  <c r="M60" i="19"/>
  <c r="G60" i="19"/>
  <c r="O60" i="19"/>
  <c r="K61" i="19"/>
  <c r="M61" i="19"/>
  <c r="I60" i="19"/>
  <c r="Q60" i="19"/>
  <c r="Q61" i="19"/>
  <c r="I61" i="19"/>
  <c r="J61" i="19"/>
  <c r="F60" i="19"/>
  <c r="N60" i="19"/>
  <c r="K118" i="27"/>
  <c r="W106" i="27"/>
  <c r="L61" i="19"/>
  <c r="H60" i="19"/>
  <c r="P60" i="19"/>
  <c r="L119" i="27"/>
  <c r="X107" i="27"/>
  <c r="I110" i="22"/>
  <c r="R110" i="22" s="1"/>
  <c r="I120" i="22"/>
  <c r="R120" i="22" s="1"/>
  <c r="J112" i="22"/>
  <c r="S112" i="22" s="1"/>
  <c r="J116" i="22"/>
  <c r="S116" i="22" s="1"/>
  <c r="H115" i="22"/>
  <c r="Q115" i="22" s="1"/>
  <c r="J120" i="22"/>
  <c r="S120" i="22" s="1"/>
  <c r="H119" i="22"/>
  <c r="Q119" i="22" s="1"/>
  <c r="I118" i="22"/>
  <c r="R118" i="22" s="1"/>
  <c r="I116" i="22"/>
  <c r="R116" i="22" s="1"/>
  <c r="I112" i="22"/>
  <c r="R112" i="22" s="1"/>
  <c r="H145" i="22"/>
  <c r="Q145" i="22" s="1"/>
  <c r="I138" i="22"/>
  <c r="R138" i="22" s="1"/>
  <c r="H128" i="22"/>
  <c r="Q128" i="22" s="1"/>
  <c r="I143" i="22"/>
  <c r="R143" i="22" s="1"/>
  <c r="J135" i="22"/>
  <c r="S135" i="22" s="1"/>
  <c r="H124" i="22"/>
  <c r="Q124" i="22" s="1"/>
  <c r="I141" i="22"/>
  <c r="R141" i="22" s="1"/>
  <c r="H144" i="22"/>
  <c r="Q144" i="22" s="1"/>
  <c r="I139" i="22"/>
  <c r="R139" i="22" s="1"/>
  <c r="H135" i="22"/>
  <c r="Q135" i="22" s="1"/>
  <c r="S110" i="22" l="1"/>
  <c r="J122" i="22"/>
  <c r="R121" i="22"/>
  <c r="I133" i="22"/>
  <c r="S115" i="22"/>
  <c r="J127" i="22"/>
  <c r="Q117" i="22"/>
  <c r="H129" i="22"/>
  <c r="S118" i="22"/>
  <c r="J130" i="22"/>
  <c r="R111" i="22"/>
  <c r="I123" i="22"/>
  <c r="S117" i="22"/>
  <c r="J129" i="22"/>
  <c r="Q118" i="22"/>
  <c r="H130" i="22"/>
  <c r="Q113" i="22"/>
  <c r="H125" i="22"/>
  <c r="G128" i="22"/>
  <c r="P116" i="22"/>
  <c r="G127" i="22"/>
  <c r="P115" i="22"/>
  <c r="G132" i="22"/>
  <c r="P120" i="22"/>
  <c r="G126" i="22"/>
  <c r="P114" i="22"/>
  <c r="G124" i="22"/>
  <c r="P112" i="22"/>
  <c r="Q110" i="22"/>
  <c r="H122" i="22"/>
  <c r="S114" i="22"/>
  <c r="J126" i="22"/>
  <c r="S113" i="22"/>
  <c r="J125" i="22"/>
  <c r="R113" i="22"/>
  <c r="I125" i="22"/>
  <c r="S119" i="22"/>
  <c r="J131" i="22"/>
  <c r="Q114" i="22"/>
  <c r="H126" i="22"/>
  <c r="S121" i="22"/>
  <c r="J133" i="22"/>
  <c r="G123" i="22"/>
  <c r="P111" i="22"/>
  <c r="G129" i="22"/>
  <c r="P117" i="22"/>
  <c r="G122" i="22"/>
  <c r="P110" i="22"/>
  <c r="G133" i="22"/>
  <c r="P121" i="22"/>
  <c r="G131" i="22"/>
  <c r="P119" i="22"/>
  <c r="G125" i="22"/>
  <c r="P113" i="22"/>
  <c r="G130" i="22"/>
  <c r="P118" i="22"/>
  <c r="L131" i="27"/>
  <c r="X119" i="27"/>
  <c r="K130" i="27"/>
  <c r="W118" i="27"/>
  <c r="H127" i="22"/>
  <c r="Q127" i="22" s="1"/>
  <c r="I128" i="22"/>
  <c r="R128" i="22" s="1"/>
  <c r="J132" i="22"/>
  <c r="S132" i="22" s="1"/>
  <c r="J128" i="22"/>
  <c r="S128" i="22" s="1"/>
  <c r="I130" i="22"/>
  <c r="R130" i="22" s="1"/>
  <c r="J124" i="22"/>
  <c r="S124" i="22" s="1"/>
  <c r="I132" i="22"/>
  <c r="R132" i="22" s="1"/>
  <c r="I124" i="22"/>
  <c r="R124" i="22" s="1"/>
  <c r="H131" i="22"/>
  <c r="Q131" i="22" s="1"/>
  <c r="I122" i="22"/>
  <c r="R122" i="22" s="1"/>
  <c r="H140" i="22"/>
  <c r="Q140" i="22" s="1"/>
  <c r="H136" i="22"/>
  <c r="Q136" i="22" s="1"/>
  <c r="Q126" i="22" l="1"/>
  <c r="H138" i="22"/>
  <c r="Q138" i="22" s="1"/>
  <c r="R125" i="22"/>
  <c r="I137" i="22"/>
  <c r="R137" i="22" s="1"/>
  <c r="S126" i="22"/>
  <c r="J138" i="22"/>
  <c r="S138" i="22" s="1"/>
  <c r="Q130" i="22"/>
  <c r="H142" i="22"/>
  <c r="Q142" i="22" s="1"/>
  <c r="R123" i="22"/>
  <c r="I135" i="22"/>
  <c r="R135" i="22" s="1"/>
  <c r="Q129" i="22"/>
  <c r="H141" i="22"/>
  <c r="Q141" i="22" s="1"/>
  <c r="R133" i="22"/>
  <c r="I145" i="22"/>
  <c r="R145" i="22" s="1"/>
  <c r="G142" i="22"/>
  <c r="P142" i="22" s="1"/>
  <c r="P130" i="22"/>
  <c r="G143" i="22"/>
  <c r="P143" i="22" s="1"/>
  <c r="P131" i="22"/>
  <c r="G134" i="22"/>
  <c r="P134" i="22" s="1"/>
  <c r="P122" i="22"/>
  <c r="G135" i="22"/>
  <c r="P135" i="22" s="1"/>
  <c r="P123" i="22"/>
  <c r="G136" i="22"/>
  <c r="P136" i="22" s="1"/>
  <c r="P124" i="22"/>
  <c r="G144" i="22"/>
  <c r="P144" i="22" s="1"/>
  <c r="P132" i="22"/>
  <c r="G140" i="22"/>
  <c r="P140" i="22" s="1"/>
  <c r="P128" i="22"/>
  <c r="S133" i="22"/>
  <c r="J145" i="22"/>
  <c r="S145" i="22" s="1"/>
  <c r="S131" i="22"/>
  <c r="J143" i="22"/>
  <c r="S143" i="22" s="1"/>
  <c r="S125" i="22"/>
  <c r="J137" i="22"/>
  <c r="S137" i="22" s="1"/>
  <c r="Q122" i="22"/>
  <c r="H134" i="22"/>
  <c r="Q134" i="22" s="1"/>
  <c r="Q125" i="22"/>
  <c r="H137" i="22"/>
  <c r="Q137" i="22" s="1"/>
  <c r="S129" i="22"/>
  <c r="J141" i="22"/>
  <c r="S141" i="22" s="1"/>
  <c r="S130" i="22"/>
  <c r="J142" i="22"/>
  <c r="S142" i="22" s="1"/>
  <c r="S127" i="22"/>
  <c r="J139" i="22"/>
  <c r="S139" i="22" s="1"/>
  <c r="S122" i="22"/>
  <c r="J134" i="22"/>
  <c r="S134" i="22" s="1"/>
  <c r="G137" i="22"/>
  <c r="P137" i="22" s="1"/>
  <c r="P125" i="22"/>
  <c r="G145" i="22"/>
  <c r="P145" i="22" s="1"/>
  <c r="P133" i="22"/>
  <c r="G141" i="22"/>
  <c r="P141" i="22" s="1"/>
  <c r="P129" i="22"/>
  <c r="G138" i="22"/>
  <c r="P138" i="22" s="1"/>
  <c r="P126" i="22"/>
  <c r="G139" i="22"/>
  <c r="P139" i="22" s="1"/>
  <c r="P127" i="22"/>
  <c r="K142" i="27"/>
  <c r="W142" i="27" s="1"/>
  <c r="W130" i="27"/>
  <c r="L143" i="27"/>
  <c r="X143" i="27" s="1"/>
  <c r="X131" i="27"/>
  <c r="I134" i="22"/>
  <c r="R134" i="22" s="1"/>
  <c r="J136" i="22"/>
  <c r="S136" i="22" s="1"/>
  <c r="J144" i="22"/>
  <c r="S144" i="22" s="1"/>
  <c r="I140" i="22"/>
  <c r="R140" i="22" s="1"/>
  <c r="I136" i="22"/>
  <c r="R136" i="22" s="1"/>
  <c r="I142" i="22"/>
  <c r="R142" i="22" s="1"/>
  <c r="H143" i="22"/>
  <c r="Q143" i="22" s="1"/>
  <c r="I144" i="22"/>
  <c r="R144" i="22" s="1"/>
  <c r="J140" i="22"/>
  <c r="S140" i="22" s="1"/>
  <c r="H139" i="22"/>
  <c r="Q139" i="22" s="1"/>
  <c r="N145" i="28" l="1"/>
  <c r="B145" i="28"/>
  <c r="N144" i="28"/>
  <c r="B144" i="28"/>
  <c r="N143" i="28"/>
  <c r="B143" i="28"/>
  <c r="N142" i="28"/>
  <c r="B142" i="28"/>
  <c r="N141" i="28"/>
  <c r="B141" i="28"/>
  <c r="N140" i="28"/>
  <c r="B140" i="28"/>
  <c r="N139" i="28"/>
  <c r="B139" i="28"/>
  <c r="N138" i="28"/>
  <c r="B138" i="28"/>
  <c r="N137" i="28"/>
  <c r="B137" i="28"/>
  <c r="N136" i="28"/>
  <c r="B136" i="28"/>
  <c r="N135" i="28"/>
  <c r="B135" i="28"/>
  <c r="N134" i="28"/>
  <c r="B134" i="28"/>
  <c r="N133" i="28"/>
  <c r="B133" i="28"/>
  <c r="N132" i="28"/>
  <c r="B132" i="28"/>
  <c r="N131" i="28"/>
  <c r="B131" i="28"/>
  <c r="N130" i="28"/>
  <c r="B130" i="28"/>
  <c r="N129" i="28"/>
  <c r="B129" i="28"/>
  <c r="N128" i="28"/>
  <c r="B128" i="28"/>
  <c r="N127" i="28"/>
  <c r="B127" i="28"/>
  <c r="N126" i="28"/>
  <c r="B126" i="28"/>
  <c r="N125" i="28"/>
  <c r="B125" i="28"/>
  <c r="N124" i="28"/>
  <c r="B124" i="28"/>
  <c r="N123" i="28"/>
  <c r="B123" i="28"/>
  <c r="N122" i="28"/>
  <c r="B122" i="28"/>
  <c r="N121" i="28"/>
  <c r="B121" i="28"/>
  <c r="N120" i="28"/>
  <c r="B120" i="28"/>
  <c r="N119" i="28"/>
  <c r="B119" i="28"/>
  <c r="N118" i="28"/>
  <c r="B118" i="28"/>
  <c r="N117" i="28"/>
  <c r="B117" i="28"/>
  <c r="N116" i="28"/>
  <c r="B116" i="28"/>
  <c r="N115" i="28"/>
  <c r="B115" i="28"/>
  <c r="N114" i="28"/>
  <c r="B114" i="28"/>
  <c r="N113" i="28"/>
  <c r="B113" i="28"/>
  <c r="N112" i="28"/>
  <c r="B112" i="28"/>
  <c r="N111" i="28"/>
  <c r="B111" i="28"/>
  <c r="N110" i="28"/>
  <c r="B110" i="28"/>
  <c r="N109" i="28"/>
  <c r="B109" i="28"/>
  <c r="N108" i="28"/>
  <c r="B108" i="28"/>
  <c r="N107" i="28"/>
  <c r="B107" i="28"/>
  <c r="N106" i="28"/>
  <c r="B106" i="28"/>
  <c r="N105" i="28"/>
  <c r="B105" i="28"/>
  <c r="N104" i="28"/>
  <c r="B104" i="28"/>
  <c r="N103" i="28"/>
  <c r="B103" i="28"/>
  <c r="N102" i="28"/>
  <c r="B102" i="28"/>
  <c r="N101" i="28"/>
  <c r="B101" i="28"/>
  <c r="N100" i="28"/>
  <c r="B100" i="28"/>
  <c r="N99" i="28"/>
  <c r="F99" i="28"/>
  <c r="B99" i="28"/>
  <c r="N98" i="28"/>
  <c r="B98" i="28"/>
  <c r="O145" i="27"/>
  <c r="B145" i="27"/>
  <c r="O144" i="27"/>
  <c r="B144" i="27"/>
  <c r="O143" i="27"/>
  <c r="B143" i="27"/>
  <c r="O142" i="27"/>
  <c r="B142" i="27"/>
  <c r="O141" i="27"/>
  <c r="B141" i="27"/>
  <c r="O140" i="27"/>
  <c r="B140" i="27"/>
  <c r="O139" i="27"/>
  <c r="B139" i="27"/>
  <c r="O138" i="27"/>
  <c r="B138" i="27"/>
  <c r="O137" i="27"/>
  <c r="B137" i="27"/>
  <c r="O136" i="27"/>
  <c r="B136" i="27"/>
  <c r="O135" i="27"/>
  <c r="B135" i="27"/>
  <c r="O134" i="27"/>
  <c r="B134" i="27"/>
  <c r="O133" i="27"/>
  <c r="B133" i="27"/>
  <c r="O132" i="27"/>
  <c r="B132" i="27"/>
  <c r="O131" i="27"/>
  <c r="B131" i="27"/>
  <c r="O130" i="27"/>
  <c r="B130" i="27"/>
  <c r="O129" i="27"/>
  <c r="B129" i="27"/>
  <c r="O128" i="27"/>
  <c r="B128" i="27"/>
  <c r="O127" i="27"/>
  <c r="B127" i="27"/>
  <c r="O126" i="27"/>
  <c r="B126" i="27"/>
  <c r="O125" i="27"/>
  <c r="B125" i="27"/>
  <c r="O124" i="27"/>
  <c r="B124" i="27"/>
  <c r="O123" i="27"/>
  <c r="B123" i="27"/>
  <c r="O122" i="27"/>
  <c r="B122" i="27"/>
  <c r="O121" i="27"/>
  <c r="B121" i="27"/>
  <c r="O120" i="27"/>
  <c r="B120" i="27"/>
  <c r="O119" i="27"/>
  <c r="B119" i="27"/>
  <c r="O118" i="27"/>
  <c r="B118" i="27"/>
  <c r="O117" i="27"/>
  <c r="B117" i="27"/>
  <c r="O116" i="27"/>
  <c r="B116" i="27"/>
  <c r="O115" i="27"/>
  <c r="B115" i="27"/>
  <c r="O114" i="27"/>
  <c r="B114" i="27"/>
  <c r="O113" i="27"/>
  <c r="B113" i="27"/>
  <c r="O112" i="27"/>
  <c r="B112" i="27"/>
  <c r="O111" i="27"/>
  <c r="B111" i="27"/>
  <c r="O110" i="27"/>
  <c r="B110" i="27"/>
  <c r="O109" i="27"/>
  <c r="B109" i="27"/>
  <c r="O108" i="27"/>
  <c r="B108" i="27"/>
  <c r="O107" i="27"/>
  <c r="B107" i="27"/>
  <c r="O106" i="27"/>
  <c r="B106" i="27"/>
  <c r="O105" i="27"/>
  <c r="B105" i="27"/>
  <c r="O104" i="27"/>
  <c r="B104" i="27"/>
  <c r="O103" i="27"/>
  <c r="B103" i="27"/>
  <c r="O102" i="27"/>
  <c r="B102" i="27"/>
  <c r="O101" i="27"/>
  <c r="B101" i="27"/>
  <c r="O100" i="27"/>
  <c r="B100" i="27"/>
  <c r="O99" i="27"/>
  <c r="B99" i="27"/>
  <c r="O98" i="27"/>
  <c r="B98" i="27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L145" i="22"/>
  <c r="L144" i="22"/>
  <c r="L143" i="22"/>
  <c r="L142" i="22"/>
  <c r="L141" i="22"/>
  <c r="L140" i="22"/>
  <c r="L139" i="22"/>
  <c r="L138" i="22"/>
  <c r="L137" i="22"/>
  <c r="L136" i="22"/>
  <c r="L135" i="22"/>
  <c r="L134" i="22"/>
  <c r="L133" i="22"/>
  <c r="L132" i="22"/>
  <c r="L131" i="22"/>
  <c r="L130" i="22"/>
  <c r="L129" i="22"/>
  <c r="L128" i="22"/>
  <c r="L127" i="22"/>
  <c r="L126" i="22"/>
  <c r="L125" i="22"/>
  <c r="L124" i="22"/>
  <c r="L123" i="22"/>
  <c r="L122" i="22"/>
  <c r="L121" i="22"/>
  <c r="L120" i="22"/>
  <c r="L119" i="22"/>
  <c r="L118" i="22"/>
  <c r="L117" i="22"/>
  <c r="L116" i="22"/>
  <c r="L115" i="22"/>
  <c r="L114" i="22"/>
  <c r="L113" i="22"/>
  <c r="L112" i="22"/>
  <c r="L111" i="22"/>
  <c r="L110" i="22"/>
  <c r="L109" i="22"/>
  <c r="L108" i="22"/>
  <c r="L107" i="22"/>
  <c r="L106" i="22"/>
  <c r="L105" i="22"/>
  <c r="L104" i="22"/>
  <c r="L103" i="22"/>
  <c r="L102" i="22"/>
  <c r="L101" i="22"/>
  <c r="L100" i="22"/>
  <c r="L99" i="22"/>
  <c r="L98" i="22"/>
  <c r="M145" i="17"/>
  <c r="M144" i="17"/>
  <c r="M143" i="17"/>
  <c r="M142" i="17"/>
  <c r="M141" i="17"/>
  <c r="M140" i="17"/>
  <c r="M139" i="17"/>
  <c r="M138" i="17"/>
  <c r="M137" i="17"/>
  <c r="M136" i="17"/>
  <c r="M135" i="17"/>
  <c r="M134" i="17"/>
  <c r="M133" i="17"/>
  <c r="M132" i="17"/>
  <c r="M131" i="17"/>
  <c r="M130" i="17"/>
  <c r="M129" i="17"/>
  <c r="M128" i="17"/>
  <c r="M127" i="17"/>
  <c r="M126" i="17"/>
  <c r="M125" i="17"/>
  <c r="M124" i="17"/>
  <c r="M123" i="17"/>
  <c r="M122" i="17"/>
  <c r="M121" i="17"/>
  <c r="M120" i="17"/>
  <c r="M119" i="17"/>
  <c r="M118" i="17"/>
  <c r="M117" i="17"/>
  <c r="M116" i="17"/>
  <c r="M115" i="17"/>
  <c r="M114" i="17"/>
  <c r="M113" i="17"/>
  <c r="M112" i="17"/>
  <c r="M111" i="17"/>
  <c r="M110" i="17"/>
  <c r="M109" i="17"/>
  <c r="M108" i="17"/>
  <c r="M107" i="17"/>
  <c r="M106" i="17"/>
  <c r="M105" i="17"/>
  <c r="M104" i="17"/>
  <c r="M103" i="17"/>
  <c r="M102" i="17"/>
  <c r="M101" i="17"/>
  <c r="M100" i="17"/>
  <c r="M99" i="17"/>
  <c r="M98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Q99" i="28" l="1"/>
  <c r="F111" i="28"/>
  <c r="E9" i="29"/>
  <c r="C40" i="32" s="1"/>
  <c r="E8" i="29"/>
  <c r="C39" i="32" s="1"/>
  <c r="E7" i="29"/>
  <c r="C38" i="32" s="1"/>
  <c r="E6" i="29"/>
  <c r="C37" i="32" s="1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  <c r="AA4" i="31" l="1"/>
  <c r="H60" i="32" s="1"/>
  <c r="V7" i="31"/>
  <c r="G63" i="32" s="1"/>
  <c r="K7" i="18"/>
  <c r="D9" i="32" s="1"/>
  <c r="AA9" i="18"/>
  <c r="AA5" i="18"/>
  <c r="F7" i="32" s="1"/>
  <c r="C9" i="18"/>
  <c r="C5" i="18"/>
  <c r="C7" i="32" s="1"/>
  <c r="K6" i="18"/>
  <c r="D8" i="32" s="1"/>
  <c r="AA8" i="18"/>
  <c r="F10" i="32" s="1"/>
  <c r="AA4" i="18"/>
  <c r="F6" i="32" s="1"/>
  <c r="C8" i="18"/>
  <c r="C10" i="32" s="1"/>
  <c r="C4" i="18"/>
  <c r="C6" i="32" s="1"/>
  <c r="K9" i="18"/>
  <c r="K5" i="18"/>
  <c r="D7" i="32" s="1"/>
  <c r="AA7" i="18"/>
  <c r="F9" i="32" s="1"/>
  <c r="C7" i="18"/>
  <c r="C9" i="32" s="1"/>
  <c r="AA6" i="18"/>
  <c r="F8" i="32" s="1"/>
  <c r="K8" i="18"/>
  <c r="D10" i="32" s="1"/>
  <c r="K4" i="18"/>
  <c r="D6" i="32" s="1"/>
  <c r="S9" i="18"/>
  <c r="C6" i="18"/>
  <c r="C8" i="32" s="1"/>
  <c r="H5" i="31"/>
  <c r="D61" i="32" s="1"/>
  <c r="H8" i="31"/>
  <c r="D64" i="32" s="1"/>
  <c r="H4" i="31"/>
  <c r="D60" i="32" s="1"/>
  <c r="H7" i="31"/>
  <c r="D63" i="32" s="1"/>
  <c r="M4" i="31"/>
  <c r="E60" i="32" s="1"/>
  <c r="H6" i="31"/>
  <c r="D62" i="32" s="1"/>
  <c r="O10" i="29"/>
  <c r="O6" i="29"/>
  <c r="E37" i="32" s="1"/>
  <c r="F37" i="32" s="1"/>
  <c r="H9" i="31"/>
  <c r="C9" i="31"/>
  <c r="C65" i="32" s="1"/>
  <c r="O9" i="29"/>
  <c r="E40" i="32" s="1"/>
  <c r="F40" i="32" s="1"/>
  <c r="O5" i="29"/>
  <c r="E36" i="32" s="1"/>
  <c r="F36" i="32" s="1"/>
  <c r="AA9" i="31"/>
  <c r="O8" i="29"/>
  <c r="E39" i="32" s="1"/>
  <c r="F39" i="32" s="1"/>
  <c r="AN9" i="18"/>
  <c r="V9" i="31"/>
  <c r="W10" i="31" s="1"/>
  <c r="M9" i="31"/>
  <c r="E65" i="32" s="1"/>
  <c r="O7" i="29"/>
  <c r="E38" i="32" s="1"/>
  <c r="F38" i="32" s="1"/>
  <c r="AI9" i="18"/>
  <c r="R9" i="31"/>
  <c r="V8" i="31"/>
  <c r="G64" i="32" s="1"/>
  <c r="C8" i="31"/>
  <c r="C64" i="32" s="1"/>
  <c r="R8" i="31"/>
  <c r="F64" i="32" s="1"/>
  <c r="V6" i="31"/>
  <c r="AA5" i="31"/>
  <c r="AI8" i="18"/>
  <c r="G10" i="32" s="1"/>
  <c r="AI4" i="18"/>
  <c r="G6" i="32" s="1"/>
  <c r="AN7" i="18"/>
  <c r="H9" i="32" s="1"/>
  <c r="AI7" i="18"/>
  <c r="G9" i="32" s="1"/>
  <c r="AN6" i="18"/>
  <c r="H8" i="32" s="1"/>
  <c r="AI6" i="18"/>
  <c r="G8" i="32" s="1"/>
  <c r="AN5" i="18"/>
  <c r="H7" i="32" s="1"/>
  <c r="AN8" i="18"/>
  <c r="H10" i="32" s="1"/>
  <c r="AN4" i="18"/>
  <c r="H6" i="32" s="1"/>
  <c r="AI5" i="18"/>
  <c r="G7" i="32" s="1"/>
  <c r="AA6" i="31"/>
  <c r="C4" i="31"/>
  <c r="C60" i="32" s="1"/>
  <c r="R4" i="31"/>
  <c r="F60" i="32" s="1"/>
  <c r="AA7" i="31"/>
  <c r="H63" i="32" s="1"/>
  <c r="C5" i="31"/>
  <c r="C61" i="32" s="1"/>
  <c r="R5" i="31"/>
  <c r="F61" i="32" s="1"/>
  <c r="AA8" i="31"/>
  <c r="H64" i="32" s="1"/>
  <c r="C6" i="31"/>
  <c r="C62" i="32" s="1"/>
  <c r="R6" i="31"/>
  <c r="F62" i="32" s="1"/>
  <c r="V4" i="31"/>
  <c r="G60" i="32" s="1"/>
  <c r="C7" i="31"/>
  <c r="R7" i="31"/>
  <c r="F63" i="32" s="1"/>
  <c r="V5" i="31"/>
  <c r="Q111" i="28"/>
  <c r="F123" i="28"/>
  <c r="W8" i="31"/>
  <c r="X8" i="31" s="1"/>
  <c r="D8" i="31" l="1"/>
  <c r="E8" i="31" s="1"/>
  <c r="C63" i="32"/>
  <c r="I60" i="32"/>
  <c r="AB5" i="31"/>
  <c r="AC5" i="31" s="1"/>
  <c r="H61" i="32"/>
  <c r="I9" i="31"/>
  <c r="J9" i="31" s="1"/>
  <c r="D65" i="32"/>
  <c r="AB6" i="31"/>
  <c r="AC6" i="31" s="1"/>
  <c r="H62" i="32"/>
  <c r="W7" i="31"/>
  <c r="X7" i="31" s="1"/>
  <c r="G62" i="32"/>
  <c r="W6" i="31"/>
  <c r="X6" i="31" s="1"/>
  <c r="G61" i="32"/>
  <c r="D5" i="31"/>
  <c r="E5" i="31" s="1"/>
  <c r="S5" i="31"/>
  <c r="S9" i="31"/>
  <c r="AJ9" i="18"/>
  <c r="M10" i="29"/>
  <c r="G11" i="32"/>
  <c r="AO9" i="18"/>
  <c r="H11" i="32"/>
  <c r="N10" i="29"/>
  <c r="E41" i="32"/>
  <c r="AB9" i="31"/>
  <c r="AC9" i="31" s="1"/>
  <c r="W9" i="31"/>
  <c r="X9" i="31" s="1"/>
  <c r="I6" i="31"/>
  <c r="J6" i="31" s="1"/>
  <c r="I7" i="31"/>
  <c r="J7" i="31" s="1"/>
  <c r="S6" i="31"/>
  <c r="I5" i="31"/>
  <c r="J5" i="31" s="1"/>
  <c r="S7" i="31"/>
  <c r="I8" i="31"/>
  <c r="J8" i="31" s="1"/>
  <c r="AB8" i="31"/>
  <c r="AC8" i="31" s="1"/>
  <c r="AB7" i="31"/>
  <c r="AC7" i="31" s="1"/>
  <c r="W5" i="31"/>
  <c r="X5" i="31" s="1"/>
  <c r="S8" i="31"/>
  <c r="D6" i="31"/>
  <c r="E6" i="31" s="1"/>
  <c r="D7" i="31"/>
  <c r="E7" i="31" s="1"/>
  <c r="S11" i="31"/>
  <c r="S12" i="31" s="1"/>
  <c r="S13" i="31" s="1"/>
  <c r="S14" i="31" s="1"/>
  <c r="S15" i="31" s="1"/>
  <c r="Q123" i="28"/>
  <c r="F135" i="28"/>
  <c r="Q135" i="28" s="1"/>
  <c r="F65" i="32"/>
  <c r="L13" i="28"/>
  <c r="W13" i="28" s="1"/>
  <c r="L12" i="28"/>
  <c r="W12" i="28" s="1"/>
  <c r="L11" i="28"/>
  <c r="W11" i="28" s="1"/>
  <c r="L10" i="28"/>
  <c r="W10" i="28" s="1"/>
  <c r="L9" i="28"/>
  <c r="W9" i="28" s="1"/>
  <c r="L8" i="28"/>
  <c r="W8" i="28" s="1"/>
  <c r="L7" i="28"/>
  <c r="W7" i="28" s="1"/>
  <c r="L6" i="28"/>
  <c r="W6" i="28" s="1"/>
  <c r="L5" i="28"/>
  <c r="W5" i="28" s="1"/>
  <c r="L4" i="28"/>
  <c r="W4" i="28" s="1"/>
  <c r="L3" i="28"/>
  <c r="W3" i="28" s="1"/>
  <c r="L2" i="28"/>
  <c r="W2" i="28" s="1"/>
  <c r="R49" i="28"/>
  <c r="R48" i="28"/>
  <c r="R46" i="28"/>
  <c r="R45" i="28"/>
  <c r="R43" i="28"/>
  <c r="R42" i="28"/>
  <c r="R41" i="28"/>
  <c r="R40" i="28"/>
  <c r="R39" i="28"/>
  <c r="R38" i="28"/>
  <c r="R37" i="28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R3" i="28"/>
  <c r="C1" i="28"/>
  <c r="H61" i="28"/>
  <c r="S61" i="28" s="1"/>
  <c r="H60" i="28"/>
  <c r="S60" i="28" s="1"/>
  <c r="H59" i="28"/>
  <c r="S59" i="28" s="1"/>
  <c r="H58" i="28"/>
  <c r="S58" i="28" s="1"/>
  <c r="H57" i="28"/>
  <c r="S57" i="28" s="1"/>
  <c r="H56" i="28"/>
  <c r="S56" i="28" s="1"/>
  <c r="H55" i="28"/>
  <c r="S55" i="28" s="1"/>
  <c r="H54" i="28"/>
  <c r="S54" i="28" s="1"/>
  <c r="H53" i="28"/>
  <c r="S53" i="28" s="1"/>
  <c r="H52" i="28"/>
  <c r="S52" i="28" s="1"/>
  <c r="H51" i="28"/>
  <c r="S51" i="28" s="1"/>
  <c r="H50" i="28"/>
  <c r="S50" i="28" s="1"/>
  <c r="H49" i="28"/>
  <c r="S49" i="28" s="1"/>
  <c r="H48" i="28"/>
  <c r="S48" i="28" s="1"/>
  <c r="H47" i="28"/>
  <c r="S47" i="28" s="1"/>
  <c r="H46" i="28"/>
  <c r="S46" i="28" s="1"/>
  <c r="H45" i="28"/>
  <c r="S45" i="28" s="1"/>
  <c r="H44" i="28"/>
  <c r="S44" i="28" s="1"/>
  <c r="H43" i="28"/>
  <c r="S43" i="28" s="1"/>
  <c r="H42" i="28"/>
  <c r="S42" i="28" s="1"/>
  <c r="H41" i="28"/>
  <c r="S41" i="28" s="1"/>
  <c r="H40" i="28"/>
  <c r="S40" i="28" s="1"/>
  <c r="H39" i="28"/>
  <c r="S39" i="28" s="1"/>
  <c r="H38" i="28"/>
  <c r="S38" i="28" s="1"/>
  <c r="H37" i="28"/>
  <c r="S37" i="28" s="1"/>
  <c r="H36" i="28"/>
  <c r="S36" i="28" s="1"/>
  <c r="H35" i="28"/>
  <c r="S35" i="28" s="1"/>
  <c r="H34" i="28"/>
  <c r="S34" i="28" s="1"/>
  <c r="H33" i="28"/>
  <c r="S33" i="28" s="1"/>
  <c r="H32" i="28"/>
  <c r="S32" i="28" s="1"/>
  <c r="H31" i="28"/>
  <c r="S31" i="28" s="1"/>
  <c r="H30" i="28"/>
  <c r="S30" i="28" s="1"/>
  <c r="H29" i="28"/>
  <c r="S29" i="28" s="1"/>
  <c r="H28" i="28"/>
  <c r="S28" i="28" s="1"/>
  <c r="H27" i="28"/>
  <c r="S27" i="28" s="1"/>
  <c r="H26" i="28"/>
  <c r="S26" i="28" s="1"/>
  <c r="H25" i="28"/>
  <c r="S25" i="28" s="1"/>
  <c r="H24" i="28"/>
  <c r="S24" i="28" s="1"/>
  <c r="H23" i="28"/>
  <c r="S23" i="28" s="1"/>
  <c r="H22" i="28"/>
  <c r="S22" i="28" s="1"/>
  <c r="H21" i="28"/>
  <c r="S21" i="28" s="1"/>
  <c r="H20" i="28"/>
  <c r="S20" i="28" s="1"/>
  <c r="H19" i="28"/>
  <c r="S19" i="28" s="1"/>
  <c r="H18" i="28"/>
  <c r="S18" i="28" s="1"/>
  <c r="H17" i="28"/>
  <c r="S17" i="28" s="1"/>
  <c r="H16" i="28"/>
  <c r="S16" i="28" s="1"/>
  <c r="H15" i="28"/>
  <c r="S15" i="28" s="1"/>
  <c r="H14" i="28"/>
  <c r="S14" i="28" s="1"/>
  <c r="H13" i="28"/>
  <c r="S13" i="28" s="1"/>
  <c r="H12" i="28"/>
  <c r="S12" i="28" s="1"/>
  <c r="H11" i="28"/>
  <c r="S11" i="28" s="1"/>
  <c r="H10" i="28"/>
  <c r="S10" i="28" s="1"/>
  <c r="H9" i="28"/>
  <c r="S9" i="28" s="1"/>
  <c r="H8" i="28"/>
  <c r="S8" i="28" s="1"/>
  <c r="H7" i="28"/>
  <c r="S7" i="28" s="1"/>
  <c r="H6" i="28"/>
  <c r="S6" i="28" s="1"/>
  <c r="H5" i="28"/>
  <c r="S5" i="28" s="1"/>
  <c r="H4" i="28"/>
  <c r="S4" i="28" s="1"/>
  <c r="H3" i="28"/>
  <c r="S3" i="28" s="1"/>
  <c r="H2" i="28"/>
  <c r="S2" i="28" s="1"/>
  <c r="R2" i="28"/>
  <c r="W1" i="28"/>
  <c r="V1" i="28"/>
  <c r="N97" i="28"/>
  <c r="N96" i="28"/>
  <c r="N95" i="28"/>
  <c r="N94" i="28"/>
  <c r="N93" i="28"/>
  <c r="N92" i="28"/>
  <c r="N91" i="28"/>
  <c r="N90" i="28"/>
  <c r="N89" i="28"/>
  <c r="N88" i="28"/>
  <c r="Q87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" i="28"/>
  <c r="N3" i="28"/>
  <c r="N2" i="28"/>
  <c r="U1" i="28"/>
  <c r="T1" i="28"/>
  <c r="S1" i="28"/>
  <c r="R1" i="28"/>
  <c r="Q1" i="28"/>
  <c r="P1" i="28"/>
  <c r="O1" i="28"/>
  <c r="N1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G85" i="28" s="1"/>
  <c r="G97" i="28" s="1"/>
  <c r="G109" i="28" s="1"/>
  <c r="G121" i="28" s="1"/>
  <c r="G133" i="28" s="1"/>
  <c r="G145" i="28" s="1"/>
  <c r="B84" i="28"/>
  <c r="G84" i="28" s="1"/>
  <c r="G96" i="28" s="1"/>
  <c r="G108" i="28" s="1"/>
  <c r="G120" i="28" s="1"/>
  <c r="G132" i="28" s="1"/>
  <c r="G144" i="28" s="1"/>
  <c r="B83" i="28"/>
  <c r="G83" i="28" s="1"/>
  <c r="G95" i="28" s="1"/>
  <c r="G107" i="28" s="1"/>
  <c r="G119" i="28" s="1"/>
  <c r="G131" i="28" s="1"/>
  <c r="G143" i="28" s="1"/>
  <c r="B82" i="28"/>
  <c r="G82" i="28" s="1"/>
  <c r="G94" i="28" s="1"/>
  <c r="G106" i="28" s="1"/>
  <c r="G118" i="28" s="1"/>
  <c r="G130" i="28" s="1"/>
  <c r="G142" i="28" s="1"/>
  <c r="B81" i="28"/>
  <c r="G81" i="28" s="1"/>
  <c r="G93" i="28" s="1"/>
  <c r="G105" i="28" s="1"/>
  <c r="G117" i="28" s="1"/>
  <c r="G129" i="28" s="1"/>
  <c r="G141" i="28" s="1"/>
  <c r="B80" i="28"/>
  <c r="G80" i="28" s="1"/>
  <c r="G92" i="28" s="1"/>
  <c r="G104" i="28" s="1"/>
  <c r="G116" i="28" s="1"/>
  <c r="G128" i="28" s="1"/>
  <c r="G140" i="28" s="1"/>
  <c r="B79" i="28"/>
  <c r="G79" i="28" s="1"/>
  <c r="G91" i="28" s="1"/>
  <c r="G103" i="28" s="1"/>
  <c r="G115" i="28" s="1"/>
  <c r="G127" i="28" s="1"/>
  <c r="G139" i="28" s="1"/>
  <c r="B78" i="28"/>
  <c r="G78" i="28" s="1"/>
  <c r="B77" i="28"/>
  <c r="G77" i="28" s="1"/>
  <c r="G89" i="28" s="1"/>
  <c r="G101" i="28" s="1"/>
  <c r="G113" i="28" s="1"/>
  <c r="G125" i="28" s="1"/>
  <c r="G137" i="28" s="1"/>
  <c r="B76" i="28"/>
  <c r="G76" i="28" s="1"/>
  <c r="G88" i="28" s="1"/>
  <c r="G100" i="28" s="1"/>
  <c r="G112" i="28" s="1"/>
  <c r="G124" i="28" s="1"/>
  <c r="G136" i="28" s="1"/>
  <c r="B75" i="28"/>
  <c r="G75" i="28" s="1"/>
  <c r="G87" i="28" s="1"/>
  <c r="G99" i="28" s="1"/>
  <c r="G111" i="28" s="1"/>
  <c r="G123" i="28" s="1"/>
  <c r="G135" i="28" s="1"/>
  <c r="B74" i="28"/>
  <c r="G74" i="28" s="1"/>
  <c r="G86" i="28" s="1"/>
  <c r="G98" i="28" s="1"/>
  <c r="G110" i="28" s="1"/>
  <c r="G122" i="28" s="1"/>
  <c r="G134" i="28" s="1"/>
  <c r="B73" i="28"/>
  <c r="B72" i="28"/>
  <c r="B71" i="28"/>
  <c r="B70" i="28"/>
  <c r="B69" i="28"/>
  <c r="B68" i="28"/>
  <c r="B67" i="28"/>
  <c r="B66" i="28"/>
  <c r="B65" i="28"/>
  <c r="B64" i="28"/>
  <c r="B63" i="28"/>
  <c r="B62" i="28"/>
  <c r="K61" i="28"/>
  <c r="V61" i="28" s="1"/>
  <c r="J61" i="28"/>
  <c r="U61" i="28" s="1"/>
  <c r="T61" i="28"/>
  <c r="F61" i="28"/>
  <c r="A61" i="28"/>
  <c r="B61" i="28" s="1"/>
  <c r="K60" i="28"/>
  <c r="V60" i="28" s="1"/>
  <c r="J60" i="28"/>
  <c r="U60" i="28" s="1"/>
  <c r="T60" i="28"/>
  <c r="R60" i="28"/>
  <c r="F60" i="28"/>
  <c r="Q60" i="28" s="1"/>
  <c r="A60" i="28"/>
  <c r="B60" i="28" s="1"/>
  <c r="K59" i="28"/>
  <c r="V59" i="28" s="1"/>
  <c r="J59" i="28"/>
  <c r="U59" i="28" s="1"/>
  <c r="T59" i="28"/>
  <c r="F59" i="28"/>
  <c r="A59" i="28"/>
  <c r="B59" i="28" s="1"/>
  <c r="K58" i="28"/>
  <c r="V58" i="28" s="1"/>
  <c r="J58" i="28"/>
  <c r="U58" i="28" s="1"/>
  <c r="T58" i="28"/>
  <c r="F58" i="28"/>
  <c r="A58" i="28"/>
  <c r="B58" i="28" s="1"/>
  <c r="K57" i="28"/>
  <c r="V57" i="28" s="1"/>
  <c r="J57" i="28"/>
  <c r="U57" i="28" s="1"/>
  <c r="T57" i="28"/>
  <c r="F57" i="28"/>
  <c r="A57" i="28"/>
  <c r="B57" i="28" s="1"/>
  <c r="K56" i="28"/>
  <c r="V56" i="28" s="1"/>
  <c r="J56" i="28"/>
  <c r="U56" i="28" s="1"/>
  <c r="T56" i="28"/>
  <c r="F56" i="28"/>
  <c r="Q56" i="28" s="1"/>
  <c r="A56" i="28"/>
  <c r="B56" i="28" s="1"/>
  <c r="K55" i="28"/>
  <c r="V55" i="28" s="1"/>
  <c r="J55" i="28"/>
  <c r="U55" i="28" s="1"/>
  <c r="T55" i="28"/>
  <c r="F55" i="28"/>
  <c r="A55" i="28"/>
  <c r="B55" i="28" s="1"/>
  <c r="K54" i="28"/>
  <c r="V54" i="28" s="1"/>
  <c r="J54" i="28"/>
  <c r="U54" i="28" s="1"/>
  <c r="T54" i="28"/>
  <c r="F54" i="28"/>
  <c r="Q54" i="28" s="1"/>
  <c r="A54" i="28"/>
  <c r="B54" i="28" s="1"/>
  <c r="K53" i="28"/>
  <c r="V53" i="28" s="1"/>
  <c r="J53" i="28"/>
  <c r="U53" i="28" s="1"/>
  <c r="T53" i="28"/>
  <c r="F53" i="28"/>
  <c r="Q53" i="28" s="1"/>
  <c r="A53" i="28"/>
  <c r="B53" i="28" s="1"/>
  <c r="K52" i="28"/>
  <c r="V52" i="28" s="1"/>
  <c r="J52" i="28"/>
  <c r="U52" i="28" s="1"/>
  <c r="T52" i="28"/>
  <c r="R52" i="28"/>
  <c r="F52" i="28"/>
  <c r="A52" i="28"/>
  <c r="B52" i="28" s="1"/>
  <c r="K51" i="28"/>
  <c r="V51" i="28" s="1"/>
  <c r="J51" i="28"/>
  <c r="U51" i="28" s="1"/>
  <c r="T51" i="28"/>
  <c r="F51" i="28"/>
  <c r="A51" i="28"/>
  <c r="B51" i="28" s="1"/>
  <c r="K50" i="28"/>
  <c r="V50" i="28" s="1"/>
  <c r="J50" i="28"/>
  <c r="U50" i="28" s="1"/>
  <c r="T50" i="28"/>
  <c r="F50" i="28"/>
  <c r="A50" i="28"/>
  <c r="B50" i="28" s="1"/>
  <c r="K49" i="28"/>
  <c r="V49" i="28" s="1"/>
  <c r="J49" i="28"/>
  <c r="U49" i="28" s="1"/>
  <c r="T49" i="28"/>
  <c r="F49" i="28"/>
  <c r="Q49" i="28" s="1"/>
  <c r="A49" i="28"/>
  <c r="B49" i="28" s="1"/>
  <c r="K48" i="28"/>
  <c r="V48" i="28" s="1"/>
  <c r="J48" i="28"/>
  <c r="U48" i="28" s="1"/>
  <c r="T48" i="28"/>
  <c r="F48" i="28"/>
  <c r="Q48" i="28" s="1"/>
  <c r="A48" i="28"/>
  <c r="B48" i="28" s="1"/>
  <c r="K47" i="28"/>
  <c r="V47" i="28" s="1"/>
  <c r="J47" i="28"/>
  <c r="U47" i="28" s="1"/>
  <c r="T47" i="28"/>
  <c r="R47" i="28"/>
  <c r="F47" i="28"/>
  <c r="Q47" i="28" s="1"/>
  <c r="A47" i="28"/>
  <c r="B47" i="28" s="1"/>
  <c r="K46" i="28"/>
  <c r="V46" i="28" s="1"/>
  <c r="J46" i="28"/>
  <c r="U46" i="28" s="1"/>
  <c r="T46" i="28"/>
  <c r="F46" i="28"/>
  <c r="Q46" i="28" s="1"/>
  <c r="A46" i="28"/>
  <c r="B46" i="28" s="1"/>
  <c r="K45" i="28"/>
  <c r="V45" i="28" s="1"/>
  <c r="J45" i="28"/>
  <c r="U45" i="28" s="1"/>
  <c r="T45" i="28"/>
  <c r="F45" i="28"/>
  <c r="Q45" i="28" s="1"/>
  <c r="A45" i="28"/>
  <c r="B45" i="28" s="1"/>
  <c r="K44" i="28"/>
  <c r="V44" i="28" s="1"/>
  <c r="J44" i="28"/>
  <c r="U44" i="28" s="1"/>
  <c r="T44" i="28"/>
  <c r="R44" i="28"/>
  <c r="F44" i="28"/>
  <c r="Q44" i="28" s="1"/>
  <c r="A44" i="28"/>
  <c r="B44" i="28" s="1"/>
  <c r="K43" i="28"/>
  <c r="V43" i="28" s="1"/>
  <c r="J43" i="28"/>
  <c r="U43" i="28" s="1"/>
  <c r="T43" i="28"/>
  <c r="F43" i="28"/>
  <c r="Q43" i="28" s="1"/>
  <c r="A43" i="28"/>
  <c r="B43" i="28" s="1"/>
  <c r="K42" i="28"/>
  <c r="V42" i="28" s="1"/>
  <c r="J42" i="28"/>
  <c r="U42" i="28" s="1"/>
  <c r="T42" i="28"/>
  <c r="F42" i="28"/>
  <c r="Q42" i="28" s="1"/>
  <c r="A42" i="28"/>
  <c r="B42" i="28" s="1"/>
  <c r="K41" i="28"/>
  <c r="V41" i="28" s="1"/>
  <c r="J41" i="28"/>
  <c r="U41" i="28" s="1"/>
  <c r="T41" i="28"/>
  <c r="F41" i="28"/>
  <c r="Q41" i="28" s="1"/>
  <c r="A41" i="28"/>
  <c r="B41" i="28" s="1"/>
  <c r="K40" i="28"/>
  <c r="V40" i="28" s="1"/>
  <c r="J40" i="28"/>
  <c r="U40" i="28" s="1"/>
  <c r="T40" i="28"/>
  <c r="F40" i="28"/>
  <c r="Q40" i="28" s="1"/>
  <c r="A40" i="28"/>
  <c r="B40" i="28" s="1"/>
  <c r="K39" i="28"/>
  <c r="V39" i="28" s="1"/>
  <c r="J39" i="28"/>
  <c r="U39" i="28" s="1"/>
  <c r="T39" i="28"/>
  <c r="F39" i="28"/>
  <c r="Q39" i="28" s="1"/>
  <c r="A39" i="28"/>
  <c r="B39" i="28" s="1"/>
  <c r="K38" i="28"/>
  <c r="V38" i="28" s="1"/>
  <c r="J38" i="28"/>
  <c r="U38" i="28" s="1"/>
  <c r="T38" i="28"/>
  <c r="F38" i="28"/>
  <c r="Q38" i="28" s="1"/>
  <c r="A38" i="28"/>
  <c r="B38" i="28" s="1"/>
  <c r="K37" i="28"/>
  <c r="V37" i="28" s="1"/>
  <c r="J37" i="28"/>
  <c r="U37" i="28" s="1"/>
  <c r="T37" i="28"/>
  <c r="F37" i="28"/>
  <c r="Q37" i="28" s="1"/>
  <c r="A37" i="28"/>
  <c r="B37" i="28" s="1"/>
  <c r="K36" i="28"/>
  <c r="V36" i="28" s="1"/>
  <c r="J36" i="28"/>
  <c r="U36" i="28" s="1"/>
  <c r="T36" i="28"/>
  <c r="R36" i="28"/>
  <c r="F36" i="28"/>
  <c r="Q36" i="28" s="1"/>
  <c r="A36" i="28"/>
  <c r="B36" i="28" s="1"/>
  <c r="K35" i="28"/>
  <c r="V35" i="28" s="1"/>
  <c r="J35" i="28"/>
  <c r="U35" i="28" s="1"/>
  <c r="T35" i="28"/>
  <c r="F35" i="28"/>
  <c r="Q35" i="28" s="1"/>
  <c r="A35" i="28"/>
  <c r="B35" i="28" s="1"/>
  <c r="K34" i="28"/>
  <c r="V34" i="28" s="1"/>
  <c r="J34" i="28"/>
  <c r="U34" i="28" s="1"/>
  <c r="T34" i="28"/>
  <c r="F34" i="28"/>
  <c r="Q34" i="28" s="1"/>
  <c r="A34" i="28"/>
  <c r="B34" i="28" s="1"/>
  <c r="K33" i="28"/>
  <c r="V33" i="28" s="1"/>
  <c r="J33" i="28"/>
  <c r="U33" i="28" s="1"/>
  <c r="T33" i="28"/>
  <c r="F33" i="28"/>
  <c r="Q33" i="28" s="1"/>
  <c r="A33" i="28"/>
  <c r="B33" i="28" s="1"/>
  <c r="K32" i="28"/>
  <c r="V32" i="28" s="1"/>
  <c r="J32" i="28"/>
  <c r="U32" i="28" s="1"/>
  <c r="T32" i="28"/>
  <c r="F32" i="28"/>
  <c r="Q32" i="28" s="1"/>
  <c r="A32" i="28"/>
  <c r="B32" i="28" s="1"/>
  <c r="K31" i="28"/>
  <c r="V31" i="28" s="1"/>
  <c r="J31" i="28"/>
  <c r="U31" i="28" s="1"/>
  <c r="T31" i="28"/>
  <c r="F31" i="28"/>
  <c r="Q31" i="28" s="1"/>
  <c r="A31" i="28"/>
  <c r="B31" i="28" s="1"/>
  <c r="K30" i="28"/>
  <c r="V30" i="28" s="1"/>
  <c r="J30" i="28"/>
  <c r="U30" i="28" s="1"/>
  <c r="T30" i="28"/>
  <c r="F30" i="28"/>
  <c r="Q30" i="28" s="1"/>
  <c r="A30" i="28"/>
  <c r="B30" i="28" s="1"/>
  <c r="K29" i="28"/>
  <c r="V29" i="28" s="1"/>
  <c r="J29" i="28"/>
  <c r="U29" i="28" s="1"/>
  <c r="T29" i="28"/>
  <c r="F29" i="28"/>
  <c r="Q29" i="28" s="1"/>
  <c r="A29" i="28"/>
  <c r="B29" i="28" s="1"/>
  <c r="K28" i="28"/>
  <c r="V28" i="28" s="1"/>
  <c r="J28" i="28"/>
  <c r="U28" i="28" s="1"/>
  <c r="T28" i="28"/>
  <c r="F28" i="28"/>
  <c r="Q28" i="28" s="1"/>
  <c r="A28" i="28"/>
  <c r="B28" i="28" s="1"/>
  <c r="K27" i="28"/>
  <c r="V27" i="28" s="1"/>
  <c r="J27" i="28"/>
  <c r="U27" i="28" s="1"/>
  <c r="T27" i="28"/>
  <c r="F27" i="28"/>
  <c r="Q27" i="28" s="1"/>
  <c r="A27" i="28"/>
  <c r="B27" i="28" s="1"/>
  <c r="K26" i="28"/>
  <c r="V26" i="28" s="1"/>
  <c r="J26" i="28"/>
  <c r="U26" i="28" s="1"/>
  <c r="T26" i="28"/>
  <c r="F26" i="28"/>
  <c r="Q26" i="28" s="1"/>
  <c r="A26" i="28"/>
  <c r="B26" i="28" s="1"/>
  <c r="K25" i="28"/>
  <c r="V25" i="28" s="1"/>
  <c r="J25" i="28"/>
  <c r="U25" i="28" s="1"/>
  <c r="T25" i="28"/>
  <c r="F25" i="28"/>
  <c r="Q25" i="28" s="1"/>
  <c r="A25" i="28"/>
  <c r="B25" i="28" s="1"/>
  <c r="K24" i="28"/>
  <c r="V24" i="28" s="1"/>
  <c r="J24" i="28"/>
  <c r="U24" i="28" s="1"/>
  <c r="T24" i="28"/>
  <c r="F24" i="28"/>
  <c r="Q24" i="28" s="1"/>
  <c r="A24" i="28"/>
  <c r="B24" i="28" s="1"/>
  <c r="K23" i="28"/>
  <c r="V23" i="28" s="1"/>
  <c r="J23" i="28"/>
  <c r="U23" i="28" s="1"/>
  <c r="T23" i="28"/>
  <c r="F23" i="28"/>
  <c r="Q23" i="28" s="1"/>
  <c r="A23" i="28"/>
  <c r="B23" i="28" s="1"/>
  <c r="K22" i="28"/>
  <c r="V22" i="28" s="1"/>
  <c r="J22" i="28"/>
  <c r="U22" i="28" s="1"/>
  <c r="T22" i="28"/>
  <c r="F22" i="28"/>
  <c r="Q22" i="28" s="1"/>
  <c r="A22" i="28"/>
  <c r="B22" i="28" s="1"/>
  <c r="K21" i="28"/>
  <c r="V21" i="28" s="1"/>
  <c r="J21" i="28"/>
  <c r="U21" i="28" s="1"/>
  <c r="T21" i="28"/>
  <c r="F21" i="28"/>
  <c r="Q21" i="28" s="1"/>
  <c r="A21" i="28"/>
  <c r="B21" i="28" s="1"/>
  <c r="K20" i="28"/>
  <c r="V20" i="28" s="1"/>
  <c r="J20" i="28"/>
  <c r="U20" i="28" s="1"/>
  <c r="T20" i="28"/>
  <c r="F20" i="28"/>
  <c r="Q20" i="28" s="1"/>
  <c r="A20" i="28"/>
  <c r="B20" i="28" s="1"/>
  <c r="K19" i="28"/>
  <c r="V19" i="28" s="1"/>
  <c r="J19" i="28"/>
  <c r="U19" i="28" s="1"/>
  <c r="T19" i="28"/>
  <c r="F19" i="28"/>
  <c r="Q19" i="28" s="1"/>
  <c r="A19" i="28"/>
  <c r="B19" i="28" s="1"/>
  <c r="K18" i="28"/>
  <c r="V18" i="28" s="1"/>
  <c r="J18" i="28"/>
  <c r="U18" i="28" s="1"/>
  <c r="T18" i="28"/>
  <c r="F18" i="28"/>
  <c r="Q18" i="28" s="1"/>
  <c r="A18" i="28"/>
  <c r="B18" i="28" s="1"/>
  <c r="K17" i="28"/>
  <c r="V17" i="28" s="1"/>
  <c r="J17" i="28"/>
  <c r="U17" i="28" s="1"/>
  <c r="T17" i="28"/>
  <c r="F17" i="28"/>
  <c r="Q17" i="28" s="1"/>
  <c r="A17" i="28"/>
  <c r="B17" i="28" s="1"/>
  <c r="K16" i="28"/>
  <c r="V16" i="28" s="1"/>
  <c r="J16" i="28"/>
  <c r="U16" i="28" s="1"/>
  <c r="T16" i="28"/>
  <c r="F16" i="28"/>
  <c r="Q16" i="28" s="1"/>
  <c r="A16" i="28"/>
  <c r="B16" i="28" s="1"/>
  <c r="K15" i="28"/>
  <c r="V15" i="28" s="1"/>
  <c r="J15" i="28"/>
  <c r="U15" i="28" s="1"/>
  <c r="T15" i="28"/>
  <c r="F15" i="28"/>
  <c r="Q15" i="28" s="1"/>
  <c r="A15" i="28"/>
  <c r="B15" i="28" s="1"/>
  <c r="K14" i="28"/>
  <c r="V14" i="28" s="1"/>
  <c r="J14" i="28"/>
  <c r="U14" i="28" s="1"/>
  <c r="T14" i="28"/>
  <c r="F14" i="28"/>
  <c r="Q14" i="28" s="1"/>
  <c r="A14" i="28"/>
  <c r="B14" i="28" s="1"/>
  <c r="K13" i="28"/>
  <c r="V13" i="28" s="1"/>
  <c r="J13" i="28"/>
  <c r="U13" i="28" s="1"/>
  <c r="T13" i="28"/>
  <c r="F13" i="28"/>
  <c r="Q13" i="28" s="1"/>
  <c r="A13" i="28"/>
  <c r="B13" i="28" s="1"/>
  <c r="K12" i="28"/>
  <c r="V12" i="28" s="1"/>
  <c r="J12" i="28"/>
  <c r="U12" i="28" s="1"/>
  <c r="T12" i="28"/>
  <c r="F12" i="28"/>
  <c r="Q12" i="28" s="1"/>
  <c r="A12" i="28"/>
  <c r="B12" i="28" s="1"/>
  <c r="K11" i="28"/>
  <c r="V11" i="28" s="1"/>
  <c r="J11" i="28"/>
  <c r="U11" i="28" s="1"/>
  <c r="T11" i="28"/>
  <c r="F11" i="28"/>
  <c r="Q11" i="28" s="1"/>
  <c r="A11" i="28"/>
  <c r="B11" i="28" s="1"/>
  <c r="K10" i="28"/>
  <c r="V10" i="28" s="1"/>
  <c r="J10" i="28"/>
  <c r="U10" i="28" s="1"/>
  <c r="T10" i="28"/>
  <c r="F10" i="28"/>
  <c r="Q10" i="28" s="1"/>
  <c r="A10" i="28"/>
  <c r="B10" i="28" s="1"/>
  <c r="K9" i="28"/>
  <c r="V9" i="28" s="1"/>
  <c r="J9" i="28"/>
  <c r="U9" i="28" s="1"/>
  <c r="T9" i="28"/>
  <c r="F9" i="28"/>
  <c r="Q9" i="28" s="1"/>
  <c r="A9" i="28"/>
  <c r="B9" i="28" s="1"/>
  <c r="K8" i="28"/>
  <c r="V8" i="28" s="1"/>
  <c r="J8" i="28"/>
  <c r="U8" i="28" s="1"/>
  <c r="T8" i="28"/>
  <c r="F8" i="28"/>
  <c r="Q8" i="28" s="1"/>
  <c r="A8" i="28"/>
  <c r="B8" i="28" s="1"/>
  <c r="K7" i="28"/>
  <c r="V7" i="28" s="1"/>
  <c r="J7" i="28"/>
  <c r="U7" i="28" s="1"/>
  <c r="T7" i="28"/>
  <c r="F7" i="28"/>
  <c r="Q7" i="28" s="1"/>
  <c r="A7" i="28"/>
  <c r="B7" i="28" s="1"/>
  <c r="K6" i="28"/>
  <c r="V6" i="28" s="1"/>
  <c r="J6" i="28"/>
  <c r="U6" i="28" s="1"/>
  <c r="T6" i="28"/>
  <c r="F6" i="28"/>
  <c r="Q6" i="28" s="1"/>
  <c r="A6" i="28"/>
  <c r="B6" i="28" s="1"/>
  <c r="K5" i="28"/>
  <c r="V5" i="28" s="1"/>
  <c r="J5" i="28"/>
  <c r="U5" i="28" s="1"/>
  <c r="T5" i="28"/>
  <c r="F5" i="28"/>
  <c r="Q5" i="28" s="1"/>
  <c r="A5" i="28"/>
  <c r="B5" i="28" s="1"/>
  <c r="K4" i="28"/>
  <c r="V4" i="28" s="1"/>
  <c r="J4" i="28"/>
  <c r="U4" i="28" s="1"/>
  <c r="T4" i="28"/>
  <c r="F4" i="28"/>
  <c r="Q4" i="28" s="1"/>
  <c r="A4" i="28"/>
  <c r="B4" i="28" s="1"/>
  <c r="K3" i="28"/>
  <c r="V3" i="28" s="1"/>
  <c r="J3" i="28"/>
  <c r="U3" i="28" s="1"/>
  <c r="T3" i="28"/>
  <c r="F3" i="28"/>
  <c r="Q3" i="28" s="1"/>
  <c r="A3" i="28"/>
  <c r="B3" i="28" s="1"/>
  <c r="K2" i="28"/>
  <c r="V2" i="28" s="1"/>
  <c r="J2" i="28"/>
  <c r="U2" i="28" s="1"/>
  <c r="T2" i="28"/>
  <c r="F2" i="28"/>
  <c r="Q2" i="28" s="1"/>
  <c r="A2" i="28"/>
  <c r="B2" i="28" s="1"/>
  <c r="A1" i="28"/>
  <c r="V61" i="27"/>
  <c r="V60" i="27"/>
  <c r="T72" i="27"/>
  <c r="U59" i="27"/>
  <c r="U58" i="27"/>
  <c r="T70" i="27"/>
  <c r="R58" i="27"/>
  <c r="V57" i="27"/>
  <c r="V56" i="27"/>
  <c r="R55" i="27"/>
  <c r="U54" i="27"/>
  <c r="T66" i="27"/>
  <c r="V53" i="27"/>
  <c r="V52" i="27"/>
  <c r="U52" i="27"/>
  <c r="U50" i="27"/>
  <c r="V49" i="27"/>
  <c r="U49" i="27"/>
  <c r="R49" i="27"/>
  <c r="V48" i="27"/>
  <c r="U48" i="27"/>
  <c r="R48" i="27"/>
  <c r="V47" i="27"/>
  <c r="U47" i="27"/>
  <c r="R47" i="27"/>
  <c r="V46" i="27"/>
  <c r="U46" i="27"/>
  <c r="R46" i="27"/>
  <c r="V45" i="27"/>
  <c r="U45" i="27"/>
  <c r="R45" i="27"/>
  <c r="V44" i="27"/>
  <c r="U44" i="27"/>
  <c r="R44" i="27"/>
  <c r="V43" i="27"/>
  <c r="U43" i="27"/>
  <c r="R43" i="27"/>
  <c r="V42" i="27"/>
  <c r="U42" i="27"/>
  <c r="R42" i="27"/>
  <c r="V41" i="27"/>
  <c r="U41" i="27"/>
  <c r="R41" i="27"/>
  <c r="V40" i="27"/>
  <c r="U40" i="27"/>
  <c r="R40" i="27"/>
  <c r="V39" i="27"/>
  <c r="U39" i="27"/>
  <c r="R39" i="27"/>
  <c r="V38" i="27"/>
  <c r="U38" i="27"/>
  <c r="R38" i="27"/>
  <c r="V37" i="27"/>
  <c r="U37" i="27"/>
  <c r="R37" i="27"/>
  <c r="V36" i="27"/>
  <c r="U36" i="27"/>
  <c r="R36" i="27"/>
  <c r="V35" i="27"/>
  <c r="U35" i="27"/>
  <c r="R35" i="27"/>
  <c r="V34" i="27"/>
  <c r="U34" i="27"/>
  <c r="R34" i="27"/>
  <c r="V33" i="27"/>
  <c r="U33" i="27"/>
  <c r="R33" i="27"/>
  <c r="V32" i="27"/>
  <c r="U32" i="27"/>
  <c r="R32" i="27"/>
  <c r="V31" i="27"/>
  <c r="U31" i="27"/>
  <c r="R31" i="27"/>
  <c r="V30" i="27"/>
  <c r="U30" i="27"/>
  <c r="R30" i="27"/>
  <c r="V29" i="27"/>
  <c r="U29" i="27"/>
  <c r="R29" i="27"/>
  <c r="V28" i="27"/>
  <c r="U28" i="27"/>
  <c r="R28" i="27"/>
  <c r="V27" i="27"/>
  <c r="U27" i="27"/>
  <c r="R27" i="27"/>
  <c r="V26" i="27"/>
  <c r="U26" i="27"/>
  <c r="R26" i="27"/>
  <c r="V25" i="27"/>
  <c r="U25" i="27"/>
  <c r="R25" i="27"/>
  <c r="V24" i="27"/>
  <c r="U24" i="27"/>
  <c r="R24" i="27"/>
  <c r="V23" i="27"/>
  <c r="U23" i="27"/>
  <c r="R23" i="27"/>
  <c r="V22" i="27"/>
  <c r="U22" i="27"/>
  <c r="R22" i="27"/>
  <c r="V21" i="27"/>
  <c r="U21" i="27"/>
  <c r="R21" i="27"/>
  <c r="V20" i="27"/>
  <c r="U20" i="27"/>
  <c r="R20" i="27"/>
  <c r="V19" i="27"/>
  <c r="U19" i="27"/>
  <c r="R19" i="27"/>
  <c r="V18" i="27"/>
  <c r="U18" i="27"/>
  <c r="R18" i="27"/>
  <c r="V17" i="27"/>
  <c r="U17" i="27"/>
  <c r="R17" i="27"/>
  <c r="V16" i="27"/>
  <c r="U16" i="27"/>
  <c r="R16" i="27"/>
  <c r="V15" i="27"/>
  <c r="U15" i="27"/>
  <c r="R15" i="27"/>
  <c r="V14" i="27"/>
  <c r="U14" i="27"/>
  <c r="R14" i="27"/>
  <c r="V13" i="27"/>
  <c r="U13" i="27"/>
  <c r="T13" i="27"/>
  <c r="S13" i="27"/>
  <c r="R13" i="27"/>
  <c r="V12" i="27"/>
  <c r="U12" i="27"/>
  <c r="T12" i="27"/>
  <c r="R12" i="27"/>
  <c r="V11" i="27"/>
  <c r="U11" i="27"/>
  <c r="T11" i="27"/>
  <c r="S11" i="27"/>
  <c r="R11" i="27"/>
  <c r="V10" i="27"/>
  <c r="U10" i="27"/>
  <c r="T10" i="27"/>
  <c r="S10" i="27"/>
  <c r="R10" i="27"/>
  <c r="V9" i="27"/>
  <c r="U9" i="27"/>
  <c r="T9" i="27"/>
  <c r="S9" i="27"/>
  <c r="V8" i="27"/>
  <c r="U8" i="27"/>
  <c r="T8" i="27"/>
  <c r="R8" i="27"/>
  <c r="V7" i="27"/>
  <c r="U7" i="27"/>
  <c r="S7" i="27"/>
  <c r="R7" i="27"/>
  <c r="V6" i="27"/>
  <c r="U6" i="27"/>
  <c r="T6" i="27"/>
  <c r="S6" i="27"/>
  <c r="R6" i="27"/>
  <c r="V5" i="27"/>
  <c r="U5" i="27"/>
  <c r="T5" i="27"/>
  <c r="S5" i="27"/>
  <c r="R5" i="27"/>
  <c r="V4" i="27"/>
  <c r="U4" i="27"/>
  <c r="T4" i="27"/>
  <c r="R4" i="27"/>
  <c r="V3" i="27"/>
  <c r="U3" i="27"/>
  <c r="S3" i="27"/>
  <c r="R3" i="27"/>
  <c r="S2" i="27"/>
  <c r="O97" i="27"/>
  <c r="O96" i="27"/>
  <c r="O95" i="27"/>
  <c r="O94" i="27"/>
  <c r="O93" i="27"/>
  <c r="O92" i="27"/>
  <c r="O91" i="27"/>
  <c r="O90" i="27"/>
  <c r="O89" i="27"/>
  <c r="O88" i="27"/>
  <c r="O87" i="27"/>
  <c r="O86" i="27"/>
  <c r="O85" i="27"/>
  <c r="O84" i="27"/>
  <c r="O83" i="27"/>
  <c r="O82" i="27"/>
  <c r="O81" i="27"/>
  <c r="O80" i="27"/>
  <c r="O79" i="27"/>
  <c r="O78" i="27"/>
  <c r="O77" i="27"/>
  <c r="O76" i="27"/>
  <c r="O75" i="27"/>
  <c r="O74" i="27"/>
  <c r="O73" i="27"/>
  <c r="O72" i="27"/>
  <c r="O71" i="27"/>
  <c r="O70" i="27"/>
  <c r="O69" i="27"/>
  <c r="O68" i="27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S12" i="27"/>
  <c r="O12" i="27"/>
  <c r="O11" i="27"/>
  <c r="O10" i="27"/>
  <c r="R9" i="27"/>
  <c r="O9" i="27"/>
  <c r="S8" i="27"/>
  <c r="O8" i="27"/>
  <c r="T7" i="27"/>
  <c r="O7" i="27"/>
  <c r="O6" i="27"/>
  <c r="O5" i="27"/>
  <c r="S4" i="27"/>
  <c r="O4" i="27"/>
  <c r="T3" i="27"/>
  <c r="O3" i="27"/>
  <c r="AC10" i="31" l="1"/>
  <c r="AB10" i="31" s="1"/>
  <c r="AA10" i="31" s="1"/>
  <c r="X10" i="31"/>
  <c r="H10" i="29"/>
  <c r="I10" i="29" s="1"/>
  <c r="I14" i="29" s="1"/>
  <c r="G90" i="28"/>
  <c r="G102" i="28" s="1"/>
  <c r="G114" i="28" s="1"/>
  <c r="G126" i="28" s="1"/>
  <c r="G138" i="28" s="1"/>
  <c r="J10" i="31"/>
  <c r="I10" i="31" s="1"/>
  <c r="H10" i="31" s="1"/>
  <c r="D66" i="32" s="1"/>
  <c r="R53" i="28"/>
  <c r="R61" i="28"/>
  <c r="R56" i="28"/>
  <c r="R57" i="28"/>
  <c r="R50" i="27"/>
  <c r="R72" i="27"/>
  <c r="R54" i="27"/>
  <c r="AB11" i="31"/>
  <c r="AB12" i="31" s="1"/>
  <c r="AB13" i="31" s="1"/>
  <c r="AB14" i="31" s="1"/>
  <c r="AB15" i="31" s="1"/>
  <c r="V51" i="27"/>
  <c r="R55" i="28"/>
  <c r="R51" i="27"/>
  <c r="R59" i="27"/>
  <c r="V59" i="27"/>
  <c r="R57" i="27"/>
  <c r="R53" i="27"/>
  <c r="R61" i="27"/>
  <c r="G17" i="32"/>
  <c r="R63" i="27"/>
  <c r="R65" i="27"/>
  <c r="R71" i="27"/>
  <c r="R73" i="27"/>
  <c r="T71" i="27"/>
  <c r="U62" i="27"/>
  <c r="U51" i="27"/>
  <c r="U60" i="27"/>
  <c r="R103" i="28"/>
  <c r="U93" i="27"/>
  <c r="R104" i="28"/>
  <c r="H9" i="29"/>
  <c r="I9" i="29" s="1"/>
  <c r="H5" i="29"/>
  <c r="I5" i="29" s="1"/>
  <c r="H8" i="29"/>
  <c r="I8" i="29" s="1"/>
  <c r="R105" i="28"/>
  <c r="U55" i="27"/>
  <c r="R67" i="27"/>
  <c r="V55" i="27"/>
  <c r="U89" i="27"/>
  <c r="U97" i="27"/>
  <c r="U56" i="27"/>
  <c r="R100" i="28"/>
  <c r="R108" i="28"/>
  <c r="R101" i="28"/>
  <c r="R109" i="28"/>
  <c r="H62" i="28"/>
  <c r="S62" i="28" s="1"/>
  <c r="I11" i="31"/>
  <c r="I12" i="31" s="1"/>
  <c r="I13" i="31" s="1"/>
  <c r="I14" i="31" s="1"/>
  <c r="I15" i="31" s="1"/>
  <c r="R10" i="31"/>
  <c r="T63" i="27"/>
  <c r="R69" i="27"/>
  <c r="U63" i="27"/>
  <c r="R66" i="27"/>
  <c r="U67" i="27"/>
  <c r="T62" i="27"/>
  <c r="R60" i="27"/>
  <c r="V50" i="27"/>
  <c r="V54" i="27"/>
  <c r="V58" i="27"/>
  <c r="U72" i="27"/>
  <c r="R56" i="27"/>
  <c r="R64" i="27"/>
  <c r="V63" i="27"/>
  <c r="T69" i="27"/>
  <c r="U53" i="27"/>
  <c r="U57" i="27"/>
  <c r="U61" i="27"/>
  <c r="U69" i="27"/>
  <c r="U77" i="27"/>
  <c r="U85" i="27"/>
  <c r="R50" i="28"/>
  <c r="R54" i="28"/>
  <c r="R58" i="28"/>
  <c r="V67" i="27"/>
  <c r="V69" i="27"/>
  <c r="R52" i="27"/>
  <c r="R62" i="27"/>
  <c r="T67" i="27"/>
  <c r="U68" i="27"/>
  <c r="V71" i="27"/>
  <c r="U65" i="27"/>
  <c r="U73" i="27"/>
  <c r="U81" i="27"/>
  <c r="R51" i="28"/>
  <c r="R59" i="28"/>
  <c r="J71" i="28"/>
  <c r="U71" i="28" s="1"/>
  <c r="F68" i="28"/>
  <c r="F80" i="28" s="1"/>
  <c r="F62" i="28"/>
  <c r="Q62" i="28" s="1"/>
  <c r="Q50" i="28"/>
  <c r="T64" i="28"/>
  <c r="T65" i="28"/>
  <c r="T66" i="28"/>
  <c r="J67" i="28"/>
  <c r="U67" i="28" s="1"/>
  <c r="K68" i="28"/>
  <c r="V68" i="28" s="1"/>
  <c r="J62" i="28"/>
  <c r="U62" i="28" s="1"/>
  <c r="J65" i="28"/>
  <c r="K65" i="28"/>
  <c r="V65" i="28" s="1"/>
  <c r="K66" i="28"/>
  <c r="V66" i="28" s="1"/>
  <c r="F71" i="28"/>
  <c r="Q71" i="28" s="1"/>
  <c r="Q59" i="28"/>
  <c r="F72" i="28"/>
  <c r="K63" i="28"/>
  <c r="V63" i="28" s="1"/>
  <c r="F69" i="28"/>
  <c r="Q69" i="28" s="1"/>
  <c r="Q57" i="28"/>
  <c r="F70" i="28"/>
  <c r="Q70" i="28" s="1"/>
  <c r="Q58" i="28"/>
  <c r="K64" i="28"/>
  <c r="V64" i="28" s="1"/>
  <c r="J69" i="28"/>
  <c r="U69" i="28" s="1"/>
  <c r="K72" i="28"/>
  <c r="V72" i="28" s="1"/>
  <c r="F73" i="28"/>
  <c r="Q73" i="28" s="1"/>
  <c r="Q61" i="28"/>
  <c r="K62" i="28"/>
  <c r="V62" i="28" s="1"/>
  <c r="T71" i="28"/>
  <c r="J72" i="28"/>
  <c r="U72" i="28" s="1"/>
  <c r="J73" i="28"/>
  <c r="J64" i="28"/>
  <c r="U64" i="28" s="1"/>
  <c r="K67" i="28"/>
  <c r="V67" i="28" s="1"/>
  <c r="F67" i="28"/>
  <c r="Q67" i="28" s="1"/>
  <c r="Q55" i="28"/>
  <c r="K73" i="28"/>
  <c r="V73" i="28" s="1"/>
  <c r="T70" i="28"/>
  <c r="F64" i="28"/>
  <c r="Q52" i="28"/>
  <c r="T68" i="28"/>
  <c r="K71" i="28"/>
  <c r="V71" i="28" s="1"/>
  <c r="J66" i="28"/>
  <c r="U66" i="28" s="1"/>
  <c r="J70" i="28"/>
  <c r="U70" i="28" s="1"/>
  <c r="F63" i="28"/>
  <c r="Q63" i="28" s="1"/>
  <c r="Q51" i="28"/>
  <c r="T67" i="28"/>
  <c r="J68" i="28"/>
  <c r="U68" i="28" s="1"/>
  <c r="K69" i="28"/>
  <c r="V69" i="28" s="1"/>
  <c r="K70" i="28"/>
  <c r="V70" i="28" s="1"/>
  <c r="T62" i="28"/>
  <c r="J63" i="28"/>
  <c r="U63" i="28" s="1"/>
  <c r="F65" i="28"/>
  <c r="Q65" i="28" s="1"/>
  <c r="T72" i="28"/>
  <c r="T63" i="28"/>
  <c r="F66" i="28"/>
  <c r="Q66" i="28" s="1"/>
  <c r="T69" i="28"/>
  <c r="T68" i="27"/>
  <c r="T64" i="27"/>
  <c r="R68" i="27"/>
  <c r="O2" i="27"/>
  <c r="V2" i="27"/>
  <c r="U2" i="27"/>
  <c r="O1" i="27"/>
  <c r="C1" i="27"/>
  <c r="A1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A61" i="27"/>
  <c r="B61" i="27" s="1"/>
  <c r="A60" i="27"/>
  <c r="B60" i="27" s="1"/>
  <c r="A59" i="27"/>
  <c r="B59" i="27" s="1"/>
  <c r="A58" i="27"/>
  <c r="B58" i="27" s="1"/>
  <c r="A57" i="27"/>
  <c r="B57" i="27" s="1"/>
  <c r="A56" i="27"/>
  <c r="B56" i="27" s="1"/>
  <c r="A55" i="27"/>
  <c r="B55" i="27" s="1"/>
  <c r="A54" i="27"/>
  <c r="B54" i="27" s="1"/>
  <c r="A53" i="27"/>
  <c r="B53" i="27" s="1"/>
  <c r="A52" i="27"/>
  <c r="B52" i="27" s="1"/>
  <c r="A51" i="27"/>
  <c r="B51" i="27" s="1"/>
  <c r="A50" i="27"/>
  <c r="B50" i="27" s="1"/>
  <c r="A49" i="27"/>
  <c r="B49" i="27" s="1"/>
  <c r="A48" i="27"/>
  <c r="B48" i="27" s="1"/>
  <c r="A47" i="27"/>
  <c r="B47" i="27" s="1"/>
  <c r="A46" i="27"/>
  <c r="B46" i="27" s="1"/>
  <c r="A45" i="27"/>
  <c r="B45" i="27" s="1"/>
  <c r="A44" i="27"/>
  <c r="B44" i="27" s="1"/>
  <c r="A43" i="27"/>
  <c r="B43" i="27" s="1"/>
  <c r="A42" i="27"/>
  <c r="B42" i="27" s="1"/>
  <c r="A41" i="27"/>
  <c r="B41" i="27" s="1"/>
  <c r="A40" i="27"/>
  <c r="B40" i="27" s="1"/>
  <c r="A39" i="27"/>
  <c r="B39" i="27" s="1"/>
  <c r="A38" i="27"/>
  <c r="B38" i="27" s="1"/>
  <c r="A37" i="27"/>
  <c r="B37" i="27" s="1"/>
  <c r="A36" i="27"/>
  <c r="B36" i="27" s="1"/>
  <c r="A35" i="27"/>
  <c r="B35" i="27" s="1"/>
  <c r="A34" i="27"/>
  <c r="B34" i="27" s="1"/>
  <c r="A33" i="27"/>
  <c r="B33" i="27" s="1"/>
  <c r="A32" i="27"/>
  <c r="B32" i="27" s="1"/>
  <c r="A31" i="27"/>
  <c r="B31" i="27" s="1"/>
  <c r="A30" i="27"/>
  <c r="B30" i="27" s="1"/>
  <c r="A29" i="27"/>
  <c r="B29" i="27" s="1"/>
  <c r="A28" i="27"/>
  <c r="B28" i="27" s="1"/>
  <c r="A27" i="27"/>
  <c r="B27" i="27" s="1"/>
  <c r="A26" i="27"/>
  <c r="B26" i="27" s="1"/>
  <c r="A25" i="27"/>
  <c r="B25" i="27" s="1"/>
  <c r="A24" i="27"/>
  <c r="B24" i="27" s="1"/>
  <c r="A23" i="27"/>
  <c r="B23" i="27" s="1"/>
  <c r="A22" i="27"/>
  <c r="B22" i="27" s="1"/>
  <c r="A21" i="27"/>
  <c r="B21" i="27" s="1"/>
  <c r="A20" i="27"/>
  <c r="B20" i="27" s="1"/>
  <c r="A19" i="27"/>
  <c r="B19" i="27" s="1"/>
  <c r="A18" i="27"/>
  <c r="B18" i="27" s="1"/>
  <c r="A17" i="27"/>
  <c r="B17" i="27" s="1"/>
  <c r="A16" i="27"/>
  <c r="B16" i="27" s="1"/>
  <c r="A15" i="27"/>
  <c r="B15" i="27" s="1"/>
  <c r="A14" i="27"/>
  <c r="B14" i="27" s="1"/>
  <c r="A13" i="27"/>
  <c r="B13" i="27" s="1"/>
  <c r="A12" i="27"/>
  <c r="B12" i="27" s="1"/>
  <c r="A11" i="27"/>
  <c r="B11" i="27" s="1"/>
  <c r="A10" i="27"/>
  <c r="B10" i="27" s="1"/>
  <c r="A9" i="27"/>
  <c r="B9" i="27" s="1"/>
  <c r="A8" i="27"/>
  <c r="B8" i="27" s="1"/>
  <c r="A7" i="27"/>
  <c r="B7" i="27" s="1"/>
  <c r="A6" i="27"/>
  <c r="B6" i="27" s="1"/>
  <c r="A5" i="27"/>
  <c r="B5" i="27" s="1"/>
  <c r="A4" i="27"/>
  <c r="B4" i="27" s="1"/>
  <c r="A3" i="27"/>
  <c r="B3" i="27" s="1"/>
  <c r="T2" i="27"/>
  <c r="R2" i="27"/>
  <c r="A2" i="27"/>
  <c r="B2" i="27" s="1"/>
  <c r="Y13" i="26"/>
  <c r="Y12" i="26"/>
  <c r="Y11" i="26"/>
  <c r="Y10" i="26"/>
  <c r="Y9" i="26"/>
  <c r="Y8" i="26"/>
  <c r="Y7" i="26"/>
  <c r="Y6" i="26"/>
  <c r="Y5" i="26"/>
  <c r="Y4" i="26"/>
  <c r="Y3" i="26"/>
  <c r="W2" i="26"/>
  <c r="L1" i="26"/>
  <c r="R2" i="26"/>
  <c r="S2" i="26"/>
  <c r="W1" i="26"/>
  <c r="V1" i="26"/>
  <c r="N2" i="26"/>
  <c r="U1" i="26"/>
  <c r="T1" i="26"/>
  <c r="S1" i="26"/>
  <c r="R1" i="26"/>
  <c r="Q1" i="26"/>
  <c r="P1" i="26"/>
  <c r="O1" i="26"/>
  <c r="N1" i="26"/>
  <c r="A61" i="26"/>
  <c r="B61" i="26" s="1"/>
  <c r="A60" i="26"/>
  <c r="B60" i="26" s="1"/>
  <c r="A59" i="26"/>
  <c r="B59" i="26" s="1"/>
  <c r="A58" i="26"/>
  <c r="B58" i="26" s="1"/>
  <c r="A57" i="26"/>
  <c r="B57" i="26" s="1"/>
  <c r="A56" i="26"/>
  <c r="B56" i="26" s="1"/>
  <c r="A55" i="26"/>
  <c r="B55" i="26" s="1"/>
  <c r="A54" i="26"/>
  <c r="B54" i="26" s="1"/>
  <c r="A53" i="26"/>
  <c r="B53" i="26" s="1"/>
  <c r="A52" i="26"/>
  <c r="B52" i="26" s="1"/>
  <c r="A51" i="26"/>
  <c r="B51" i="26" s="1"/>
  <c r="A50" i="26"/>
  <c r="B50" i="26" s="1"/>
  <c r="A49" i="26"/>
  <c r="B49" i="26" s="1"/>
  <c r="A48" i="26"/>
  <c r="B48" i="26" s="1"/>
  <c r="A47" i="26"/>
  <c r="B47" i="26" s="1"/>
  <c r="A46" i="26"/>
  <c r="B46" i="26" s="1"/>
  <c r="A45" i="26"/>
  <c r="B45" i="26" s="1"/>
  <c r="A44" i="26"/>
  <c r="B44" i="26" s="1"/>
  <c r="A43" i="26"/>
  <c r="B43" i="26" s="1"/>
  <c r="A42" i="26"/>
  <c r="B42" i="26" s="1"/>
  <c r="A41" i="26"/>
  <c r="B41" i="26" s="1"/>
  <c r="A40" i="26"/>
  <c r="B40" i="26" s="1"/>
  <c r="A39" i="26"/>
  <c r="B39" i="26" s="1"/>
  <c r="A38" i="26"/>
  <c r="B38" i="26" s="1"/>
  <c r="A37" i="26"/>
  <c r="B37" i="26" s="1"/>
  <c r="A36" i="26"/>
  <c r="B36" i="26" s="1"/>
  <c r="A35" i="26"/>
  <c r="B35" i="26" s="1"/>
  <c r="A34" i="26"/>
  <c r="B34" i="26" s="1"/>
  <c r="A33" i="26"/>
  <c r="B33" i="26" s="1"/>
  <c r="A32" i="26"/>
  <c r="B32" i="26" s="1"/>
  <c r="A31" i="26"/>
  <c r="B31" i="26" s="1"/>
  <c r="A30" i="26"/>
  <c r="B30" i="26" s="1"/>
  <c r="A29" i="26"/>
  <c r="B29" i="26" s="1"/>
  <c r="A28" i="26"/>
  <c r="B28" i="26" s="1"/>
  <c r="A27" i="26"/>
  <c r="B27" i="26" s="1"/>
  <c r="A26" i="26"/>
  <c r="B26" i="26" s="1"/>
  <c r="A25" i="26"/>
  <c r="B25" i="26" s="1"/>
  <c r="A24" i="26"/>
  <c r="B24" i="26" s="1"/>
  <c r="A23" i="26"/>
  <c r="B23" i="26" s="1"/>
  <c r="A22" i="26"/>
  <c r="B22" i="26" s="1"/>
  <c r="A21" i="26"/>
  <c r="B21" i="26" s="1"/>
  <c r="A20" i="26"/>
  <c r="B20" i="26" s="1"/>
  <c r="A19" i="26"/>
  <c r="B19" i="26" s="1"/>
  <c r="A18" i="26"/>
  <c r="B18" i="26" s="1"/>
  <c r="A17" i="26"/>
  <c r="B17" i="26" s="1"/>
  <c r="A16" i="26"/>
  <c r="B16" i="26" s="1"/>
  <c r="A15" i="26"/>
  <c r="B15" i="26" s="1"/>
  <c r="A14" i="26"/>
  <c r="B14" i="26" s="1"/>
  <c r="A13" i="26"/>
  <c r="B13" i="26" s="1"/>
  <c r="A12" i="26"/>
  <c r="B12" i="26" s="1"/>
  <c r="A11" i="26"/>
  <c r="B11" i="26" s="1"/>
  <c r="A10" i="26"/>
  <c r="B10" i="26" s="1"/>
  <c r="A9" i="26"/>
  <c r="B9" i="26" s="1"/>
  <c r="A8" i="26"/>
  <c r="B8" i="26" s="1"/>
  <c r="A7" i="26"/>
  <c r="B7" i="26" s="1"/>
  <c r="A6" i="26"/>
  <c r="B6" i="26" s="1"/>
  <c r="A5" i="26"/>
  <c r="B5" i="26" s="1"/>
  <c r="A4" i="26"/>
  <c r="B4" i="26" s="1"/>
  <c r="A3" i="26"/>
  <c r="B3" i="26" s="1"/>
  <c r="V2" i="26"/>
  <c r="U2" i="26"/>
  <c r="T2" i="26"/>
  <c r="Q2" i="26"/>
  <c r="P2" i="26"/>
  <c r="O2" i="26"/>
  <c r="A2" i="26"/>
  <c r="B2" i="26" s="1"/>
  <c r="A1" i="26"/>
  <c r="V2" i="25"/>
  <c r="U2" i="25"/>
  <c r="O1" i="25"/>
  <c r="S2" i="25"/>
  <c r="O2" i="25"/>
  <c r="T2" i="25"/>
  <c r="R2" i="25"/>
  <c r="Q2" i="25"/>
  <c r="P2" i="25"/>
  <c r="A2" i="25"/>
  <c r="B2" i="25" s="1"/>
  <c r="A1" i="25"/>
  <c r="F77" i="27" l="1"/>
  <c r="F89" i="27" s="1"/>
  <c r="F101" i="27" s="1"/>
  <c r="F113" i="27" s="1"/>
  <c r="F125" i="27" s="1"/>
  <c r="F137" i="27" s="1"/>
  <c r="F81" i="27"/>
  <c r="F93" i="27" s="1"/>
  <c r="F85" i="27"/>
  <c r="F97" i="27" s="1"/>
  <c r="F109" i="27" s="1"/>
  <c r="F121" i="27" s="1"/>
  <c r="F133" i="27" s="1"/>
  <c r="F145" i="27" s="1"/>
  <c r="F74" i="27"/>
  <c r="R74" i="27" s="1"/>
  <c r="F78" i="27"/>
  <c r="F90" i="27" s="1"/>
  <c r="F102" i="27" s="1"/>
  <c r="F114" i="27" s="1"/>
  <c r="F126" i="27" s="1"/>
  <c r="F138" i="27" s="1"/>
  <c r="F82" i="27"/>
  <c r="F94" i="27" s="1"/>
  <c r="F106" i="27" s="1"/>
  <c r="F118" i="27" s="1"/>
  <c r="F130" i="27" s="1"/>
  <c r="F142" i="27" s="1"/>
  <c r="F75" i="27"/>
  <c r="R75" i="27" s="1"/>
  <c r="F79" i="27"/>
  <c r="F91" i="27" s="1"/>
  <c r="F103" i="27" s="1"/>
  <c r="F115" i="27" s="1"/>
  <c r="F127" i="27" s="1"/>
  <c r="F139" i="27" s="1"/>
  <c r="F83" i="27"/>
  <c r="F95" i="27" s="1"/>
  <c r="F76" i="27"/>
  <c r="R76" i="27" s="1"/>
  <c r="F80" i="27"/>
  <c r="F92" i="27" s="1"/>
  <c r="F104" i="27" s="1"/>
  <c r="F116" i="27" s="1"/>
  <c r="F128" i="27" s="1"/>
  <c r="F140" i="27" s="1"/>
  <c r="F84" i="27"/>
  <c r="R84" i="27" s="1"/>
  <c r="I15" i="29"/>
  <c r="I16" i="29" s="1"/>
  <c r="I17" i="29" s="1"/>
  <c r="E11" i="32"/>
  <c r="F87" i="27"/>
  <c r="F11" i="32"/>
  <c r="M9" i="12"/>
  <c r="R7" i="12"/>
  <c r="R6" i="12"/>
  <c r="R8" i="12"/>
  <c r="R4" i="12"/>
  <c r="R9" i="12"/>
  <c r="R5" i="12"/>
  <c r="AB9" i="18"/>
  <c r="Z2" i="25"/>
  <c r="N4" i="12" s="1"/>
  <c r="K79" i="28"/>
  <c r="V79" i="28" s="1"/>
  <c r="K83" i="28"/>
  <c r="V83" i="28" s="1"/>
  <c r="J84" i="28"/>
  <c r="U84" i="28" s="1"/>
  <c r="AB5" i="18"/>
  <c r="J78" i="28"/>
  <c r="U78" i="28" s="1"/>
  <c r="U71" i="27"/>
  <c r="I80" i="28"/>
  <c r="T80" i="28" s="1"/>
  <c r="K77" i="28"/>
  <c r="V77" i="28" s="1"/>
  <c r="Q68" i="28"/>
  <c r="F75" i="28"/>
  <c r="Q75" i="28" s="1"/>
  <c r="F83" i="28"/>
  <c r="Q83" i="28" s="1"/>
  <c r="U70" i="27"/>
  <c r="J76" i="28"/>
  <c r="U76" i="28" s="1"/>
  <c r="J79" i="28"/>
  <c r="U79" i="28" s="1"/>
  <c r="F74" i="28"/>
  <c r="Q74" i="28" s="1"/>
  <c r="F79" i="28"/>
  <c r="Q79" i="28" s="1"/>
  <c r="R81" i="27"/>
  <c r="H63" i="28"/>
  <c r="S63" i="28" s="1"/>
  <c r="J80" i="28"/>
  <c r="U80" i="28" s="1"/>
  <c r="J81" i="28"/>
  <c r="U81" i="28" s="1"/>
  <c r="I83" i="28"/>
  <c r="T83" i="28" s="1"/>
  <c r="U83" i="27"/>
  <c r="F82" i="28"/>
  <c r="Q82" i="28" s="1"/>
  <c r="AB6" i="18"/>
  <c r="T65" i="27"/>
  <c r="R78" i="27"/>
  <c r="U64" i="27"/>
  <c r="H6" i="29"/>
  <c r="I6" i="29" s="1"/>
  <c r="H7" i="29"/>
  <c r="I7" i="29" s="1"/>
  <c r="R106" i="28"/>
  <c r="R11" i="31"/>
  <c r="F66" i="32"/>
  <c r="R117" i="28"/>
  <c r="R115" i="28"/>
  <c r="U109" i="27"/>
  <c r="R102" i="28"/>
  <c r="AB8" i="18"/>
  <c r="I78" i="28"/>
  <c r="T78" i="28" s="1"/>
  <c r="R116" i="28"/>
  <c r="F85" i="28"/>
  <c r="Q85" i="28" s="1"/>
  <c r="R107" i="28"/>
  <c r="G65" i="32"/>
  <c r="R121" i="28"/>
  <c r="R120" i="28"/>
  <c r="U101" i="27"/>
  <c r="U95" i="27"/>
  <c r="U105" i="27"/>
  <c r="AB7" i="18"/>
  <c r="R99" i="28"/>
  <c r="T73" i="27"/>
  <c r="R113" i="28"/>
  <c r="R112" i="28"/>
  <c r="X2" i="26"/>
  <c r="S4" i="12" s="1"/>
  <c r="Q64" i="28"/>
  <c r="F76" i="28"/>
  <c r="Q76" i="28" s="1"/>
  <c r="U73" i="28"/>
  <c r="J85" i="28"/>
  <c r="U85" i="28" s="1"/>
  <c r="U65" i="28"/>
  <c r="J77" i="28"/>
  <c r="U77" i="28" s="1"/>
  <c r="V73" i="27"/>
  <c r="U80" i="27"/>
  <c r="V65" i="27"/>
  <c r="V70" i="27"/>
  <c r="V62" i="27"/>
  <c r="K81" i="28"/>
  <c r="V81" i="28" s="1"/>
  <c r="U66" i="27"/>
  <c r="V81" i="27"/>
  <c r="U76" i="27"/>
  <c r="R62" i="28"/>
  <c r="V72" i="27"/>
  <c r="U82" i="27"/>
  <c r="T73" i="28"/>
  <c r="I85" i="28"/>
  <c r="T85" i="28" s="1"/>
  <c r="Q72" i="28"/>
  <c r="F84" i="28"/>
  <c r="Q84" i="28" s="1"/>
  <c r="J83" i="28"/>
  <c r="U83" i="28" s="1"/>
  <c r="I74" i="28"/>
  <c r="T74" i="28" s="1"/>
  <c r="V83" i="27"/>
  <c r="V64" i="27"/>
  <c r="H64" i="28"/>
  <c r="V75" i="27"/>
  <c r="V68" i="27"/>
  <c r="V66" i="27"/>
  <c r="V79" i="27"/>
  <c r="U84" i="27"/>
  <c r="R70" i="27"/>
  <c r="U79" i="27"/>
  <c r="U75" i="27"/>
  <c r="K85" i="28"/>
  <c r="V85" i="28" s="1"/>
  <c r="K82" i="28"/>
  <c r="V82" i="28" s="1"/>
  <c r="K76" i="28"/>
  <c r="V76" i="28" s="1"/>
  <c r="K80" i="28"/>
  <c r="V80" i="28" s="1"/>
  <c r="I76" i="28"/>
  <c r="T76" i="28" s="1"/>
  <c r="K75" i="28"/>
  <c r="V75" i="28" s="1"/>
  <c r="F81" i="28"/>
  <c r="Q81" i="28" s="1"/>
  <c r="F92" i="28"/>
  <c r="Q80" i="28"/>
  <c r="I79" i="28"/>
  <c r="T79" i="28" s="1"/>
  <c r="I82" i="28"/>
  <c r="T82" i="28" s="1"/>
  <c r="K78" i="28"/>
  <c r="V78" i="28" s="1"/>
  <c r="I77" i="28"/>
  <c r="T77" i="28" s="1"/>
  <c r="J74" i="28"/>
  <c r="U74" i="28" s="1"/>
  <c r="K74" i="28"/>
  <c r="V74" i="28" s="1"/>
  <c r="K84" i="28"/>
  <c r="V84" i="28" s="1"/>
  <c r="J82" i="28"/>
  <c r="U82" i="28" s="1"/>
  <c r="I75" i="28"/>
  <c r="T75" i="28" s="1"/>
  <c r="F97" i="28"/>
  <c r="R63" i="28"/>
  <c r="I84" i="28"/>
  <c r="T84" i="28" s="1"/>
  <c r="F77" i="28"/>
  <c r="Q77" i="28" s="1"/>
  <c r="J75" i="28"/>
  <c r="U75" i="28" s="1"/>
  <c r="I81" i="28"/>
  <c r="T81" i="28" s="1"/>
  <c r="F78" i="28"/>
  <c r="Q78" i="28" s="1"/>
  <c r="L97" i="22"/>
  <c r="L96" i="22"/>
  <c r="L95" i="22"/>
  <c r="L94" i="22"/>
  <c r="L93" i="22"/>
  <c r="L92" i="22"/>
  <c r="L91" i="22"/>
  <c r="L90" i="22"/>
  <c r="L89" i="22"/>
  <c r="L88" i="22"/>
  <c r="L87" i="22"/>
  <c r="L86" i="22"/>
  <c r="L85" i="22"/>
  <c r="L84" i="22"/>
  <c r="L83" i="22"/>
  <c r="L82" i="22"/>
  <c r="L81" i="22"/>
  <c r="L80" i="22"/>
  <c r="L79" i="22"/>
  <c r="L78" i="22"/>
  <c r="L77" i="22"/>
  <c r="L76" i="22"/>
  <c r="L75" i="22"/>
  <c r="L74" i="22"/>
  <c r="L73" i="22"/>
  <c r="L72" i="22"/>
  <c r="L71" i="22"/>
  <c r="L70" i="22"/>
  <c r="L69" i="22"/>
  <c r="L68" i="22"/>
  <c r="L67" i="22"/>
  <c r="L66" i="22"/>
  <c r="L65" i="22"/>
  <c r="L64" i="22"/>
  <c r="L63" i="22"/>
  <c r="L62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F85" i="22" s="1"/>
  <c r="O85" i="22" s="1"/>
  <c r="B84" i="22"/>
  <c r="F84" i="22" s="1"/>
  <c r="O84" i="22" s="1"/>
  <c r="B83" i="22"/>
  <c r="F83" i="22" s="1"/>
  <c r="O83" i="22" s="1"/>
  <c r="B82" i="22"/>
  <c r="F82" i="22" s="1"/>
  <c r="O82" i="22" s="1"/>
  <c r="B81" i="22"/>
  <c r="F81" i="22" s="1"/>
  <c r="O81" i="22" s="1"/>
  <c r="B80" i="22"/>
  <c r="F80" i="22" s="1"/>
  <c r="O80" i="22" s="1"/>
  <c r="B79" i="22"/>
  <c r="F79" i="22" s="1"/>
  <c r="O79" i="22" s="1"/>
  <c r="B78" i="22"/>
  <c r="F78" i="22" s="1"/>
  <c r="O78" i="22" s="1"/>
  <c r="B77" i="22"/>
  <c r="F77" i="22" s="1"/>
  <c r="O77" i="22" s="1"/>
  <c r="B76" i="22"/>
  <c r="F76" i="22" s="1"/>
  <c r="O76" i="22" s="1"/>
  <c r="B75" i="22"/>
  <c r="F75" i="22" s="1"/>
  <c r="O75" i="22" s="1"/>
  <c r="B74" i="22"/>
  <c r="F74" i="22" s="1"/>
  <c r="O74" i="22" s="1"/>
  <c r="B73" i="22"/>
  <c r="B72" i="22"/>
  <c r="B71" i="22"/>
  <c r="B70" i="22"/>
  <c r="B69" i="22"/>
  <c r="B68" i="22"/>
  <c r="B67" i="22"/>
  <c r="B66" i="22"/>
  <c r="B65" i="22"/>
  <c r="B64" i="22"/>
  <c r="B63" i="22"/>
  <c r="B62" i="22"/>
  <c r="L61" i="22"/>
  <c r="A61" i="22"/>
  <c r="B61" i="22" s="1"/>
  <c r="L60" i="22"/>
  <c r="A60" i="22"/>
  <c r="B60" i="22" s="1"/>
  <c r="L59" i="22"/>
  <c r="A59" i="22"/>
  <c r="B59" i="22" s="1"/>
  <c r="L58" i="22"/>
  <c r="A58" i="22"/>
  <c r="B58" i="22" s="1"/>
  <c r="L57" i="22"/>
  <c r="A57" i="22"/>
  <c r="B57" i="22" s="1"/>
  <c r="L56" i="22"/>
  <c r="A56" i="22"/>
  <c r="B56" i="22" s="1"/>
  <c r="L55" i="22"/>
  <c r="A55" i="22"/>
  <c r="B55" i="22" s="1"/>
  <c r="L54" i="22"/>
  <c r="A54" i="22"/>
  <c r="B54" i="22" s="1"/>
  <c r="L53" i="22"/>
  <c r="A53" i="22"/>
  <c r="B53" i="22" s="1"/>
  <c r="L52" i="22"/>
  <c r="A52" i="22"/>
  <c r="B52" i="22" s="1"/>
  <c r="L51" i="22"/>
  <c r="A51" i="22"/>
  <c r="B51" i="22" s="1"/>
  <c r="L50" i="22"/>
  <c r="A50" i="22"/>
  <c r="B50" i="22" s="1"/>
  <c r="L49" i="22"/>
  <c r="A49" i="22"/>
  <c r="B49" i="22" s="1"/>
  <c r="L48" i="22"/>
  <c r="A48" i="22"/>
  <c r="B48" i="22" s="1"/>
  <c r="L47" i="22"/>
  <c r="A47" i="22"/>
  <c r="B47" i="22" s="1"/>
  <c r="L46" i="22"/>
  <c r="A46" i="22"/>
  <c r="B46" i="22" s="1"/>
  <c r="L45" i="22"/>
  <c r="A45" i="22"/>
  <c r="B45" i="22" s="1"/>
  <c r="L44" i="22"/>
  <c r="A44" i="22"/>
  <c r="B44" i="22" s="1"/>
  <c r="L43" i="22"/>
  <c r="A43" i="22"/>
  <c r="B43" i="22" s="1"/>
  <c r="L42" i="22"/>
  <c r="A42" i="22"/>
  <c r="B42" i="22" s="1"/>
  <c r="L41" i="22"/>
  <c r="A41" i="22"/>
  <c r="B41" i="22" s="1"/>
  <c r="L40" i="22"/>
  <c r="A40" i="22"/>
  <c r="B40" i="22" s="1"/>
  <c r="L39" i="22"/>
  <c r="A39" i="22"/>
  <c r="B39" i="22" s="1"/>
  <c r="L38" i="22"/>
  <c r="A38" i="22"/>
  <c r="B38" i="22" s="1"/>
  <c r="L37" i="22"/>
  <c r="A37" i="22"/>
  <c r="B37" i="22" s="1"/>
  <c r="L36" i="22"/>
  <c r="A36" i="22"/>
  <c r="B36" i="22" s="1"/>
  <c r="L35" i="22"/>
  <c r="A35" i="22"/>
  <c r="B35" i="22" s="1"/>
  <c r="L34" i="22"/>
  <c r="A34" i="22"/>
  <c r="B34" i="22" s="1"/>
  <c r="L33" i="22"/>
  <c r="A33" i="22"/>
  <c r="B33" i="22" s="1"/>
  <c r="L32" i="22"/>
  <c r="A32" i="22"/>
  <c r="B32" i="22" s="1"/>
  <c r="L31" i="22"/>
  <c r="A31" i="22"/>
  <c r="B31" i="22" s="1"/>
  <c r="L30" i="22"/>
  <c r="A30" i="22"/>
  <c r="B30" i="22" s="1"/>
  <c r="L29" i="22"/>
  <c r="A29" i="22"/>
  <c r="B29" i="22" s="1"/>
  <c r="L28" i="22"/>
  <c r="A28" i="22"/>
  <c r="B28" i="22" s="1"/>
  <c r="L27" i="22"/>
  <c r="A27" i="22"/>
  <c r="B27" i="22" s="1"/>
  <c r="L26" i="22"/>
  <c r="A26" i="22"/>
  <c r="B26" i="22" s="1"/>
  <c r="L25" i="22"/>
  <c r="A25" i="22"/>
  <c r="B25" i="22" s="1"/>
  <c r="L24" i="22"/>
  <c r="A24" i="22"/>
  <c r="B24" i="22" s="1"/>
  <c r="L23" i="22"/>
  <c r="A23" i="22"/>
  <c r="B23" i="22" s="1"/>
  <c r="L22" i="22"/>
  <c r="A22" i="22"/>
  <c r="B22" i="22" s="1"/>
  <c r="L21" i="22"/>
  <c r="A21" i="22"/>
  <c r="B21" i="22" s="1"/>
  <c r="L20" i="22"/>
  <c r="A20" i="22"/>
  <c r="B20" i="22" s="1"/>
  <c r="L19" i="22"/>
  <c r="A19" i="22"/>
  <c r="B19" i="22" s="1"/>
  <c r="L18" i="22"/>
  <c r="A18" i="22"/>
  <c r="B18" i="22" s="1"/>
  <c r="L17" i="22"/>
  <c r="A17" i="22"/>
  <c r="B17" i="22" s="1"/>
  <c r="L16" i="22"/>
  <c r="A16" i="22"/>
  <c r="B16" i="22" s="1"/>
  <c r="L15" i="22"/>
  <c r="A15" i="22"/>
  <c r="B15" i="22" s="1"/>
  <c r="L14" i="22"/>
  <c r="A14" i="22"/>
  <c r="B14" i="22" s="1"/>
  <c r="L13" i="22"/>
  <c r="A13" i="22"/>
  <c r="B13" i="22" s="1"/>
  <c r="L12" i="22"/>
  <c r="A12" i="22"/>
  <c r="B12" i="22" s="1"/>
  <c r="L11" i="22"/>
  <c r="A11" i="22"/>
  <c r="B11" i="22" s="1"/>
  <c r="L10" i="22"/>
  <c r="A10" i="22"/>
  <c r="B10" i="22" s="1"/>
  <c r="L9" i="22"/>
  <c r="A9" i="22"/>
  <c r="B9" i="22" s="1"/>
  <c r="L8" i="22"/>
  <c r="A8" i="22"/>
  <c r="B8" i="22" s="1"/>
  <c r="L7" i="22"/>
  <c r="A7" i="22"/>
  <c r="B7" i="22" s="1"/>
  <c r="L6" i="22"/>
  <c r="A6" i="22"/>
  <c r="B6" i="22" s="1"/>
  <c r="L5" i="22"/>
  <c r="A5" i="22"/>
  <c r="B5" i="22" s="1"/>
  <c r="L4" i="22"/>
  <c r="A4" i="22"/>
  <c r="B4" i="22" s="1"/>
  <c r="L3" i="22"/>
  <c r="A3" i="22"/>
  <c r="B3" i="22" s="1"/>
  <c r="L2" i="22"/>
  <c r="A2" i="22"/>
  <c r="B2" i="22" s="1"/>
  <c r="C1" i="22"/>
  <c r="A1" i="22"/>
  <c r="R83" i="27" l="1"/>
  <c r="R77" i="27"/>
  <c r="F86" i="27"/>
  <c r="R92" i="27"/>
  <c r="F107" i="27"/>
  <c r="F119" i="27" s="1"/>
  <c r="F131" i="27" s="1"/>
  <c r="F143" i="27" s="1"/>
  <c r="R95" i="27"/>
  <c r="R97" i="27"/>
  <c r="R90" i="27"/>
  <c r="R80" i="27"/>
  <c r="R89" i="27"/>
  <c r="R85" i="27"/>
  <c r="F105" i="27"/>
  <c r="F117" i="27" s="1"/>
  <c r="F129" i="27" s="1"/>
  <c r="F141" i="27" s="1"/>
  <c r="R93" i="27"/>
  <c r="F96" i="27"/>
  <c r="F108" i="27" s="1"/>
  <c r="R79" i="27"/>
  <c r="F88" i="27"/>
  <c r="F100" i="27" s="1"/>
  <c r="C10" i="29"/>
  <c r="D10" i="29" s="1"/>
  <c r="D14" i="29" s="1"/>
  <c r="Y2" i="26"/>
  <c r="K95" i="28"/>
  <c r="V95" i="28" s="1"/>
  <c r="F95" i="28"/>
  <c r="F94" i="28"/>
  <c r="F106" i="28" s="1"/>
  <c r="D11" i="32"/>
  <c r="K91" i="28"/>
  <c r="V91" i="28" s="1"/>
  <c r="J96" i="28"/>
  <c r="F99" i="27"/>
  <c r="R87" i="27"/>
  <c r="G18" i="32"/>
  <c r="G27" i="32" s="1"/>
  <c r="K89" i="28"/>
  <c r="V89" i="28" s="1"/>
  <c r="K93" i="28"/>
  <c r="R74" i="28"/>
  <c r="J91" i="28"/>
  <c r="J103" i="28" s="1"/>
  <c r="J90" i="28"/>
  <c r="U90" i="28" s="1"/>
  <c r="J93" i="28"/>
  <c r="U93" i="28" s="1"/>
  <c r="J97" i="28"/>
  <c r="U97" i="28" s="1"/>
  <c r="K92" i="28"/>
  <c r="V92" i="28" s="1"/>
  <c r="I97" i="28"/>
  <c r="T97" i="28" s="1"/>
  <c r="I92" i="28"/>
  <c r="T92" i="28" s="1"/>
  <c r="U74" i="27"/>
  <c r="F88" i="28"/>
  <c r="Q88" i="28" s="1"/>
  <c r="I86" i="28"/>
  <c r="I98" i="28" s="1"/>
  <c r="F86" i="28"/>
  <c r="Q86" i="28" s="1"/>
  <c r="H65" i="32"/>
  <c r="J92" i="28"/>
  <c r="U92" i="28" s="1"/>
  <c r="J88" i="28"/>
  <c r="J100" i="28" s="1"/>
  <c r="J89" i="28"/>
  <c r="J101" i="28" s="1"/>
  <c r="I95" i="28"/>
  <c r="T95" i="28" s="1"/>
  <c r="I89" i="28"/>
  <c r="I101" i="28" s="1"/>
  <c r="F91" i="28"/>
  <c r="F103" i="28" s="1"/>
  <c r="I90" i="28"/>
  <c r="T90" i="28" s="1"/>
  <c r="J95" i="28"/>
  <c r="U95" i="28" s="1"/>
  <c r="K88" i="28"/>
  <c r="V88" i="28" s="1"/>
  <c r="I88" i="28"/>
  <c r="T88" i="28" s="1"/>
  <c r="K97" i="28"/>
  <c r="V97" i="28" s="1"/>
  <c r="K101" i="28"/>
  <c r="U96" i="27"/>
  <c r="U94" i="27"/>
  <c r="V93" i="27"/>
  <c r="R101" i="27"/>
  <c r="R12" i="31"/>
  <c r="F67" i="32"/>
  <c r="L9" i="18"/>
  <c r="Q97" i="28"/>
  <c r="F109" i="28"/>
  <c r="Q92" i="28"/>
  <c r="F104" i="28"/>
  <c r="R111" i="28"/>
  <c r="R132" i="28"/>
  <c r="R144" i="28"/>
  <c r="Q95" i="28"/>
  <c r="F107" i="28"/>
  <c r="U87" i="27"/>
  <c r="V91" i="27"/>
  <c r="V87" i="27"/>
  <c r="V95" i="27"/>
  <c r="U86" i="27"/>
  <c r="U117" i="27"/>
  <c r="R91" i="27"/>
  <c r="R109" i="27"/>
  <c r="R133" i="28"/>
  <c r="R145" i="28"/>
  <c r="R102" i="27"/>
  <c r="K107" i="28"/>
  <c r="U91" i="27"/>
  <c r="R98" i="28"/>
  <c r="U92" i="27"/>
  <c r="R136" i="28"/>
  <c r="R124" i="28"/>
  <c r="U107" i="27"/>
  <c r="R139" i="28"/>
  <c r="R127" i="28"/>
  <c r="Q94" i="28"/>
  <c r="V93" i="28"/>
  <c r="K105" i="28"/>
  <c r="U96" i="28"/>
  <c r="J108" i="28"/>
  <c r="G66" i="32"/>
  <c r="G19" i="32"/>
  <c r="G28" i="32" s="1"/>
  <c r="U88" i="27"/>
  <c r="R125" i="28"/>
  <c r="R137" i="28"/>
  <c r="R140" i="28"/>
  <c r="R128" i="28"/>
  <c r="R129" i="28"/>
  <c r="R141" i="28"/>
  <c r="U88" i="28"/>
  <c r="U113" i="27"/>
  <c r="R119" i="28"/>
  <c r="R104" i="27"/>
  <c r="R114" i="28"/>
  <c r="U121" i="27"/>
  <c r="R118" i="28"/>
  <c r="H11" i="31"/>
  <c r="D67" i="32" s="1"/>
  <c r="I18" i="29"/>
  <c r="K94" i="28"/>
  <c r="R82" i="27"/>
  <c r="V78" i="27"/>
  <c r="V74" i="27"/>
  <c r="V85" i="27"/>
  <c r="F96" i="28"/>
  <c r="V80" i="27"/>
  <c r="H65" i="28"/>
  <c r="S64" i="28"/>
  <c r="V76" i="27"/>
  <c r="V84" i="27"/>
  <c r="U78" i="27"/>
  <c r="K87" i="28"/>
  <c r="V82" i="27"/>
  <c r="V77" i="27"/>
  <c r="F93" i="28"/>
  <c r="J86" i="28"/>
  <c r="K96" i="28"/>
  <c r="I94" i="28"/>
  <c r="K86" i="28"/>
  <c r="I91" i="28"/>
  <c r="J94" i="28"/>
  <c r="K90" i="28"/>
  <c r="I93" i="28"/>
  <c r="F89" i="28"/>
  <c r="I96" i="28"/>
  <c r="J87" i="28"/>
  <c r="R64" i="28"/>
  <c r="R75" i="28"/>
  <c r="I87" i="28"/>
  <c r="R86" i="28"/>
  <c r="F90" i="28"/>
  <c r="R88" i="27" l="1"/>
  <c r="R107" i="27"/>
  <c r="R96" i="27"/>
  <c r="F98" i="27"/>
  <c r="R86" i="27"/>
  <c r="R105" i="27"/>
  <c r="U89" i="28"/>
  <c r="K103" i="28"/>
  <c r="I102" i="28"/>
  <c r="F112" i="27"/>
  <c r="R100" i="27"/>
  <c r="F120" i="27"/>
  <c r="R108" i="27"/>
  <c r="F111" i="27"/>
  <c r="R99" i="27"/>
  <c r="F94" i="22"/>
  <c r="O94" i="22" s="1"/>
  <c r="F90" i="22"/>
  <c r="O90" i="22" s="1"/>
  <c r="F86" i="22"/>
  <c r="O86" i="22" s="1"/>
  <c r="F92" i="22"/>
  <c r="O92" i="22" s="1"/>
  <c r="F88" i="22"/>
  <c r="O88" i="22" s="1"/>
  <c r="F91" i="22"/>
  <c r="O91" i="22" s="1"/>
  <c r="F97" i="22"/>
  <c r="O97" i="22" s="1"/>
  <c r="F93" i="22"/>
  <c r="O93" i="22" s="1"/>
  <c r="F89" i="22"/>
  <c r="O89" i="22" s="1"/>
  <c r="F96" i="22"/>
  <c r="O96" i="22" s="1"/>
  <c r="F95" i="22"/>
  <c r="O95" i="22" s="1"/>
  <c r="F87" i="22"/>
  <c r="O87" i="22" s="1"/>
  <c r="U91" i="28"/>
  <c r="J105" i="28"/>
  <c r="U105" i="28" s="1"/>
  <c r="T86" i="28"/>
  <c r="J109" i="28"/>
  <c r="J121" i="28" s="1"/>
  <c r="J102" i="28"/>
  <c r="U102" i="28" s="1"/>
  <c r="I109" i="28"/>
  <c r="T109" i="28" s="1"/>
  <c r="F98" i="28"/>
  <c r="F110" i="28" s="1"/>
  <c r="I104" i="28"/>
  <c r="T104" i="28" s="1"/>
  <c r="K104" i="28"/>
  <c r="K116" i="28" s="1"/>
  <c r="F100" i="28"/>
  <c r="F112" i="28" s="1"/>
  <c r="J104" i="28"/>
  <c r="J116" i="28" s="1"/>
  <c r="K109" i="28"/>
  <c r="V109" i="28" s="1"/>
  <c r="T89" i="28"/>
  <c r="I107" i="28"/>
  <c r="I119" i="28" s="1"/>
  <c r="AA11" i="31"/>
  <c r="H66" i="32"/>
  <c r="T4" i="12"/>
  <c r="J107" i="28"/>
  <c r="U107" i="28" s="1"/>
  <c r="Q91" i="28"/>
  <c r="I100" i="28"/>
  <c r="I112" i="28" s="1"/>
  <c r="L5" i="18"/>
  <c r="K100" i="28"/>
  <c r="K112" i="28" s="1"/>
  <c r="V90" i="28"/>
  <c r="K102" i="28"/>
  <c r="V86" i="27"/>
  <c r="R143" i="28"/>
  <c r="R131" i="28"/>
  <c r="U94" i="28"/>
  <c r="J106" i="28"/>
  <c r="Q93" i="28"/>
  <c r="F105" i="28"/>
  <c r="U90" i="27"/>
  <c r="V97" i="27"/>
  <c r="U103" i="27"/>
  <c r="R114" i="27"/>
  <c r="V107" i="27"/>
  <c r="F116" i="28"/>
  <c r="Q104" i="28"/>
  <c r="U106" i="27"/>
  <c r="R94" i="27"/>
  <c r="T91" i="28"/>
  <c r="I103" i="28"/>
  <c r="V94" i="28"/>
  <c r="K106" i="28"/>
  <c r="U145" i="27"/>
  <c r="U133" i="27"/>
  <c r="U137" i="27"/>
  <c r="U125" i="27"/>
  <c r="K115" i="28"/>
  <c r="V103" i="28"/>
  <c r="U129" i="27"/>
  <c r="U141" i="27"/>
  <c r="R13" i="31"/>
  <c r="F68" i="32"/>
  <c r="V86" i="28"/>
  <c r="K98" i="28"/>
  <c r="V96" i="27"/>
  <c r="V92" i="27"/>
  <c r="V104" i="28"/>
  <c r="U119" i="27"/>
  <c r="U104" i="27"/>
  <c r="V99" i="27"/>
  <c r="F121" i="28"/>
  <c r="Q109" i="28"/>
  <c r="R113" i="27"/>
  <c r="J117" i="28"/>
  <c r="U87" i="28"/>
  <c r="J99" i="28"/>
  <c r="R130" i="28"/>
  <c r="R142" i="28"/>
  <c r="G20" i="32"/>
  <c r="G29" i="32" s="1"/>
  <c r="R126" i="28"/>
  <c r="R138" i="28"/>
  <c r="K119" i="28"/>
  <c r="V107" i="28"/>
  <c r="R135" i="28"/>
  <c r="R123" i="28"/>
  <c r="L6" i="18"/>
  <c r="U108" i="27"/>
  <c r="T94" i="28"/>
  <c r="I106" i="28"/>
  <c r="Q96" i="28"/>
  <c r="F108" i="28"/>
  <c r="T96" i="28"/>
  <c r="I108" i="28"/>
  <c r="V89" i="27"/>
  <c r="J112" i="28"/>
  <c r="U100" i="28"/>
  <c r="I114" i="28"/>
  <c r="T102" i="28"/>
  <c r="K117" i="28"/>
  <c r="V105" i="28"/>
  <c r="R119" i="27"/>
  <c r="R110" i="28"/>
  <c r="U98" i="27"/>
  <c r="V103" i="27"/>
  <c r="J113" i="28"/>
  <c r="U101" i="28"/>
  <c r="T87" i="28"/>
  <c r="I99" i="28"/>
  <c r="Q89" i="28"/>
  <c r="F101" i="28"/>
  <c r="R116" i="27"/>
  <c r="U100" i="27"/>
  <c r="G67" i="32"/>
  <c r="U103" i="28"/>
  <c r="J115" i="28"/>
  <c r="R117" i="27"/>
  <c r="V101" i="28"/>
  <c r="K113" i="28"/>
  <c r="U86" i="28"/>
  <c r="J98" i="28"/>
  <c r="Q90" i="28"/>
  <c r="F102" i="28"/>
  <c r="T93" i="28"/>
  <c r="I105" i="28"/>
  <c r="V96" i="28"/>
  <c r="K108" i="28"/>
  <c r="V94" i="27"/>
  <c r="V87" i="28"/>
  <c r="K99" i="28"/>
  <c r="V88" i="27"/>
  <c r="V90" i="27"/>
  <c r="I110" i="28"/>
  <c r="T98" i="28"/>
  <c r="J120" i="28"/>
  <c r="U108" i="28"/>
  <c r="R121" i="27"/>
  <c r="R103" i="27"/>
  <c r="U99" i="27"/>
  <c r="Q107" i="28"/>
  <c r="F119" i="28"/>
  <c r="V105" i="27"/>
  <c r="Q103" i="28"/>
  <c r="F115" i="28"/>
  <c r="Q106" i="28"/>
  <c r="F118" i="28"/>
  <c r="I113" i="28"/>
  <c r="T101" i="28"/>
  <c r="L8" i="18"/>
  <c r="L7" i="18"/>
  <c r="H12" i="31"/>
  <c r="D68" i="32" s="1"/>
  <c r="I19" i="29"/>
  <c r="H66" i="28"/>
  <c r="S65" i="28"/>
  <c r="R87" i="28"/>
  <c r="R65" i="28"/>
  <c r="R76" i="28"/>
  <c r="F110" i="27" l="1"/>
  <c r="R98" i="27"/>
  <c r="T100" i="28"/>
  <c r="U109" i="28"/>
  <c r="F123" i="27"/>
  <c r="R111" i="27"/>
  <c r="F132" i="27"/>
  <c r="R120" i="27"/>
  <c r="F124" i="27"/>
  <c r="R112" i="27"/>
  <c r="F106" i="22"/>
  <c r="O106" i="22" s="1"/>
  <c r="F102" i="22"/>
  <c r="O102" i="22" s="1"/>
  <c r="F98" i="22"/>
  <c r="O98" i="22" s="1"/>
  <c r="F100" i="22"/>
  <c r="O100" i="22" s="1"/>
  <c r="F107" i="22"/>
  <c r="O107" i="22" s="1"/>
  <c r="F99" i="22"/>
  <c r="O99" i="22" s="1"/>
  <c r="F109" i="22"/>
  <c r="O109" i="22" s="1"/>
  <c r="F105" i="22"/>
  <c r="O105" i="22" s="1"/>
  <c r="F101" i="22"/>
  <c r="O101" i="22" s="1"/>
  <c r="F108" i="22"/>
  <c r="O108" i="22" s="1"/>
  <c r="F104" i="22"/>
  <c r="O104" i="22" s="1"/>
  <c r="F103" i="22"/>
  <c r="O103" i="22" s="1"/>
  <c r="I121" i="28"/>
  <c r="I133" i="28" s="1"/>
  <c r="T107" i="28"/>
  <c r="J114" i="28"/>
  <c r="U114" i="28" s="1"/>
  <c r="Q98" i="28"/>
  <c r="I116" i="28"/>
  <c r="T116" i="28" s="1"/>
  <c r="U104" i="28"/>
  <c r="K121" i="28"/>
  <c r="V121" i="28" s="1"/>
  <c r="J119" i="28"/>
  <c r="U119" i="28" s="1"/>
  <c r="Q100" i="28"/>
  <c r="V100" i="28"/>
  <c r="AA12" i="31"/>
  <c r="H67" i="32"/>
  <c r="F131" i="28"/>
  <c r="Q119" i="28"/>
  <c r="R145" i="27"/>
  <c r="R133" i="27"/>
  <c r="R143" i="27"/>
  <c r="R131" i="27"/>
  <c r="T108" i="28"/>
  <c r="I120" i="28"/>
  <c r="F120" i="28"/>
  <c r="Q108" i="28"/>
  <c r="G21" i="32"/>
  <c r="G30" i="32" s="1"/>
  <c r="R125" i="27"/>
  <c r="R137" i="27"/>
  <c r="K128" i="28"/>
  <c r="V116" i="28"/>
  <c r="R106" i="27"/>
  <c r="U118" i="27"/>
  <c r="J133" i="28"/>
  <c r="U121" i="28"/>
  <c r="I122" i="28"/>
  <c r="T110" i="28"/>
  <c r="V106" i="27"/>
  <c r="R141" i="27"/>
  <c r="R129" i="27"/>
  <c r="V115" i="27"/>
  <c r="I126" i="28"/>
  <c r="T114" i="28"/>
  <c r="I131" i="28"/>
  <c r="T119" i="28"/>
  <c r="V98" i="27"/>
  <c r="V102" i="27"/>
  <c r="F113" i="28"/>
  <c r="Q101" i="28"/>
  <c r="I118" i="28"/>
  <c r="T106" i="28"/>
  <c r="Q121" i="28"/>
  <c r="F133" i="28"/>
  <c r="Q110" i="28"/>
  <c r="F122" i="28"/>
  <c r="V106" i="28"/>
  <c r="K118" i="28"/>
  <c r="R138" i="27"/>
  <c r="R126" i="27"/>
  <c r="F117" i="28"/>
  <c r="Q105" i="28"/>
  <c r="I125" i="28"/>
  <c r="T113" i="28"/>
  <c r="U111" i="27"/>
  <c r="K120" i="28"/>
  <c r="V108" i="28"/>
  <c r="G68" i="32"/>
  <c r="T99" i="28"/>
  <c r="I111" i="28"/>
  <c r="U110" i="27"/>
  <c r="J124" i="28"/>
  <c r="U112" i="28"/>
  <c r="U99" i="28"/>
  <c r="J111" i="28"/>
  <c r="T112" i="28"/>
  <c r="I124" i="28"/>
  <c r="V98" i="28"/>
  <c r="K110" i="28"/>
  <c r="R14" i="31"/>
  <c r="F69" i="32"/>
  <c r="V115" i="28"/>
  <c r="K127" i="28"/>
  <c r="V102" i="28"/>
  <c r="K114" i="28"/>
  <c r="Q118" i="28"/>
  <c r="F130" i="28"/>
  <c r="U116" i="27"/>
  <c r="T121" i="28"/>
  <c r="I115" i="28"/>
  <c r="T103" i="28"/>
  <c r="Q116" i="28"/>
  <c r="F128" i="28"/>
  <c r="U115" i="27"/>
  <c r="F124" i="28"/>
  <c r="Q112" i="28"/>
  <c r="J118" i="28"/>
  <c r="U106" i="28"/>
  <c r="V117" i="27"/>
  <c r="V100" i="27"/>
  <c r="I117" i="28"/>
  <c r="T105" i="28"/>
  <c r="K125" i="28"/>
  <c r="V113" i="28"/>
  <c r="J127" i="28"/>
  <c r="U115" i="28"/>
  <c r="U112" i="27"/>
  <c r="V117" i="28"/>
  <c r="K129" i="28"/>
  <c r="U143" i="27"/>
  <c r="U131" i="27"/>
  <c r="V104" i="27"/>
  <c r="V109" i="27"/>
  <c r="F127" i="28"/>
  <c r="Q115" i="28"/>
  <c r="R134" i="28"/>
  <c r="R122" i="28"/>
  <c r="V101" i="27"/>
  <c r="U120" i="27"/>
  <c r="J129" i="28"/>
  <c r="U117" i="28"/>
  <c r="V111" i="27"/>
  <c r="J128" i="28"/>
  <c r="U116" i="28"/>
  <c r="V119" i="27"/>
  <c r="K124" i="28"/>
  <c r="V112" i="28"/>
  <c r="R115" i="27"/>
  <c r="J132" i="28"/>
  <c r="U120" i="28"/>
  <c r="K111" i="28"/>
  <c r="V99" i="28"/>
  <c r="F114" i="28"/>
  <c r="Q102" i="28"/>
  <c r="U98" i="28"/>
  <c r="J110" i="28"/>
  <c r="R140" i="27"/>
  <c r="R128" i="27"/>
  <c r="J125" i="28"/>
  <c r="U113" i="28"/>
  <c r="K131" i="28"/>
  <c r="V119" i="28"/>
  <c r="V108" i="27"/>
  <c r="I128" i="28"/>
  <c r="U102" i="27"/>
  <c r="H13" i="31"/>
  <c r="D69" i="32" s="1"/>
  <c r="H67" i="28"/>
  <c r="S66" i="28"/>
  <c r="R88" i="28"/>
  <c r="R66" i="28"/>
  <c r="R77" i="28"/>
  <c r="F122" i="27" l="1"/>
  <c r="R110" i="27"/>
  <c r="K133" i="28"/>
  <c r="K145" i="28" s="1"/>
  <c r="V145" i="28" s="1"/>
  <c r="J126" i="28"/>
  <c r="F136" i="27"/>
  <c r="R136" i="27" s="1"/>
  <c r="R124" i="27"/>
  <c r="F144" i="27"/>
  <c r="R144" i="27" s="1"/>
  <c r="R132" i="27"/>
  <c r="F135" i="27"/>
  <c r="R135" i="27" s="1"/>
  <c r="R123" i="27"/>
  <c r="F118" i="22"/>
  <c r="O118" i="22" s="1"/>
  <c r="F114" i="22"/>
  <c r="O114" i="22" s="1"/>
  <c r="F110" i="22"/>
  <c r="O110" i="22" s="1"/>
  <c r="F120" i="22"/>
  <c r="O120" i="22" s="1"/>
  <c r="F112" i="22"/>
  <c r="O112" i="22" s="1"/>
  <c r="F115" i="22"/>
  <c r="O115" i="22" s="1"/>
  <c r="F121" i="22"/>
  <c r="O121" i="22" s="1"/>
  <c r="F117" i="22"/>
  <c r="O117" i="22" s="1"/>
  <c r="F113" i="22"/>
  <c r="O113" i="22" s="1"/>
  <c r="F116" i="22"/>
  <c r="O116" i="22" s="1"/>
  <c r="F119" i="22"/>
  <c r="O119" i="22" s="1"/>
  <c r="F111" i="22"/>
  <c r="O111" i="22" s="1"/>
  <c r="J131" i="28"/>
  <c r="J143" i="28" s="1"/>
  <c r="U143" i="28" s="1"/>
  <c r="AA13" i="31"/>
  <c r="H68" i="32"/>
  <c r="F125" i="28"/>
  <c r="Q113" i="28"/>
  <c r="T131" i="28"/>
  <c r="I143" i="28"/>
  <c r="T143" i="28" s="1"/>
  <c r="K143" i="28"/>
  <c r="V143" i="28" s="1"/>
  <c r="V131" i="28"/>
  <c r="J144" i="28"/>
  <c r="U144" i="28" s="1"/>
  <c r="U132" i="28"/>
  <c r="J141" i="28"/>
  <c r="U141" i="28" s="1"/>
  <c r="U129" i="28"/>
  <c r="Q127" i="28"/>
  <c r="F139" i="28"/>
  <c r="Q139" i="28" s="1"/>
  <c r="K139" i="28"/>
  <c r="V139" i="28" s="1"/>
  <c r="V127" i="28"/>
  <c r="U111" i="28"/>
  <c r="J123" i="28"/>
  <c r="V118" i="27"/>
  <c r="K140" i="28"/>
  <c r="V140" i="28" s="1"/>
  <c r="V128" i="28"/>
  <c r="U127" i="28"/>
  <c r="J139" i="28"/>
  <c r="U139" i="28" s="1"/>
  <c r="J122" i="28"/>
  <c r="U110" i="28"/>
  <c r="R127" i="27"/>
  <c r="R139" i="27"/>
  <c r="V131" i="27"/>
  <c r="V143" i="27"/>
  <c r="U144" i="27"/>
  <c r="U132" i="27"/>
  <c r="V125" i="28"/>
  <c r="K137" i="28"/>
  <c r="V137" i="28" s="1"/>
  <c r="G69" i="32"/>
  <c r="U123" i="27"/>
  <c r="U135" i="27"/>
  <c r="V114" i="27"/>
  <c r="I138" i="28"/>
  <c r="T138" i="28" s="1"/>
  <c r="T126" i="28"/>
  <c r="F132" i="28"/>
  <c r="Q120" i="28"/>
  <c r="Q131" i="28"/>
  <c r="F143" i="28"/>
  <c r="Q143" i="28" s="1"/>
  <c r="V129" i="28"/>
  <c r="K141" i="28"/>
  <c r="V141" i="28" s="1"/>
  <c r="U118" i="28"/>
  <c r="J130" i="28"/>
  <c r="I127" i="28"/>
  <c r="T115" i="28"/>
  <c r="Q130" i="28"/>
  <c r="F142" i="28"/>
  <c r="Q142" i="28" s="1"/>
  <c r="K130" i="28"/>
  <c r="V118" i="28"/>
  <c r="V127" i="27"/>
  <c r="V139" i="27"/>
  <c r="J145" i="28"/>
  <c r="U145" i="28" s="1"/>
  <c r="U133" i="28"/>
  <c r="I132" i="28"/>
  <c r="T120" i="28"/>
  <c r="V120" i="27"/>
  <c r="V113" i="27"/>
  <c r="V121" i="27"/>
  <c r="I129" i="28"/>
  <c r="T117" i="28"/>
  <c r="V133" i="28"/>
  <c r="R15" i="31"/>
  <c r="F71" i="32" s="1"/>
  <c r="F70" i="32"/>
  <c r="J136" i="28"/>
  <c r="U136" i="28" s="1"/>
  <c r="U124" i="28"/>
  <c r="I137" i="28"/>
  <c r="T137" i="28" s="1"/>
  <c r="T125" i="28"/>
  <c r="I130" i="28"/>
  <c r="T118" i="28"/>
  <c r="I134" i="28"/>
  <c r="T134" i="28" s="1"/>
  <c r="T122" i="28"/>
  <c r="F140" i="28"/>
  <c r="Q140" i="28" s="1"/>
  <c r="Q128" i="28"/>
  <c r="U125" i="28"/>
  <c r="J137" i="28"/>
  <c r="U137" i="28" s="1"/>
  <c r="F126" i="28"/>
  <c r="Q114" i="28"/>
  <c r="K136" i="28"/>
  <c r="V136" i="28" s="1"/>
  <c r="V124" i="28"/>
  <c r="J140" i="28"/>
  <c r="U140" i="28" s="1"/>
  <c r="U128" i="28"/>
  <c r="U136" i="27"/>
  <c r="U124" i="27"/>
  <c r="V112" i="27"/>
  <c r="F136" i="28"/>
  <c r="Q136" i="28" s="1"/>
  <c r="Q124" i="28"/>
  <c r="V110" i="28"/>
  <c r="K122" i="28"/>
  <c r="U134" i="27"/>
  <c r="U122" i="27"/>
  <c r="F134" i="28"/>
  <c r="Q134" i="28" s="1"/>
  <c r="Q122" i="28"/>
  <c r="V110" i="27"/>
  <c r="U130" i="27"/>
  <c r="U142" i="27"/>
  <c r="U128" i="27"/>
  <c r="U140" i="27"/>
  <c r="J138" i="28"/>
  <c r="U138" i="28" s="1"/>
  <c r="U126" i="28"/>
  <c r="V135" i="27"/>
  <c r="V123" i="27"/>
  <c r="I145" i="28"/>
  <c r="T145" i="28" s="1"/>
  <c r="T133" i="28"/>
  <c r="K132" i="28"/>
  <c r="V120" i="28"/>
  <c r="Q117" i="28"/>
  <c r="F129" i="28"/>
  <c r="R118" i="27"/>
  <c r="G22" i="32"/>
  <c r="G31" i="32" s="1"/>
  <c r="I140" i="28"/>
  <c r="T140" i="28" s="1"/>
  <c r="T128" i="28"/>
  <c r="U114" i="27"/>
  <c r="K123" i="28"/>
  <c r="V111" i="28"/>
  <c r="V116" i="27"/>
  <c r="V141" i="27"/>
  <c r="V129" i="27"/>
  <c r="U139" i="27"/>
  <c r="U127" i="27"/>
  <c r="K126" i="28"/>
  <c r="V114" i="28"/>
  <c r="T124" i="28"/>
  <c r="I136" i="28"/>
  <c r="T136" i="28" s="1"/>
  <c r="I123" i="28"/>
  <c r="T111" i="28"/>
  <c r="Q133" i="28"/>
  <c r="F145" i="28"/>
  <c r="Q145" i="28" s="1"/>
  <c r="H14" i="31"/>
  <c r="D70" i="32" s="1"/>
  <c r="H68" i="28"/>
  <c r="S67" i="28"/>
  <c r="R89" i="28"/>
  <c r="R78" i="28"/>
  <c r="R67" i="28"/>
  <c r="F134" i="27" l="1"/>
  <c r="R134" i="27" s="1"/>
  <c r="R122" i="27"/>
  <c r="U131" i="28"/>
  <c r="F130" i="22"/>
  <c r="O130" i="22" s="1"/>
  <c r="F126" i="22"/>
  <c r="O126" i="22" s="1"/>
  <c r="F122" i="22"/>
  <c r="O122" i="22" s="1"/>
  <c r="F132" i="22"/>
  <c r="O132" i="22" s="1"/>
  <c r="F128" i="22"/>
  <c r="O128" i="22" s="1"/>
  <c r="F131" i="22"/>
  <c r="O131" i="22" s="1"/>
  <c r="F123" i="22"/>
  <c r="O123" i="22" s="1"/>
  <c r="F133" i="22"/>
  <c r="O133" i="22" s="1"/>
  <c r="F129" i="22"/>
  <c r="O129" i="22" s="1"/>
  <c r="F125" i="22"/>
  <c r="O125" i="22" s="1"/>
  <c r="F124" i="22"/>
  <c r="O124" i="22" s="1"/>
  <c r="F127" i="22"/>
  <c r="O127" i="22" s="1"/>
  <c r="AA14" i="31"/>
  <c r="H69" i="32"/>
  <c r="F141" i="28"/>
  <c r="Q141" i="28" s="1"/>
  <c r="Q129" i="28"/>
  <c r="I141" i="28"/>
  <c r="T141" i="28" s="1"/>
  <c r="T129" i="28"/>
  <c r="J134" i="28"/>
  <c r="U134" i="28" s="1"/>
  <c r="U122" i="28"/>
  <c r="V126" i="28"/>
  <c r="K138" i="28"/>
  <c r="V138" i="28" s="1"/>
  <c r="V145" i="27"/>
  <c r="V133" i="27"/>
  <c r="I139" i="28"/>
  <c r="T139" i="28" s="1"/>
  <c r="T127" i="28"/>
  <c r="V136" i="27"/>
  <c r="V124" i="27"/>
  <c r="U130" i="28"/>
  <c r="J142" i="28"/>
  <c r="U142" i="28" s="1"/>
  <c r="V126" i="27"/>
  <c r="V138" i="27"/>
  <c r="J135" i="28"/>
  <c r="U135" i="28" s="1"/>
  <c r="U123" i="28"/>
  <c r="K135" i="28"/>
  <c r="V135" i="28" s="1"/>
  <c r="V123" i="28"/>
  <c r="K144" i="28"/>
  <c r="V144" i="28" s="1"/>
  <c r="V132" i="28"/>
  <c r="F138" i="28"/>
  <c r="Q138" i="28" s="1"/>
  <c r="Q126" i="28"/>
  <c r="I142" i="28"/>
  <c r="T142" i="28" s="1"/>
  <c r="T130" i="28"/>
  <c r="V125" i="27"/>
  <c r="V137" i="27"/>
  <c r="I135" i="28"/>
  <c r="T135" i="28" s="1"/>
  <c r="T123" i="28"/>
  <c r="U126" i="27"/>
  <c r="U138" i="27"/>
  <c r="G23" i="32"/>
  <c r="G32" i="32" s="1"/>
  <c r="K134" i="28"/>
  <c r="V134" i="28" s="1"/>
  <c r="V122" i="28"/>
  <c r="T132" i="28"/>
  <c r="I144" i="28"/>
  <c r="T144" i="28" s="1"/>
  <c r="K142" i="28"/>
  <c r="V142" i="28" s="1"/>
  <c r="V130" i="28"/>
  <c r="F137" i="28"/>
  <c r="Q137" i="28" s="1"/>
  <c r="Q125" i="28"/>
  <c r="V144" i="27"/>
  <c r="V132" i="27"/>
  <c r="F144" i="28"/>
  <c r="Q144" i="28" s="1"/>
  <c r="Q132" i="28"/>
  <c r="G71" i="32"/>
  <c r="G70" i="32"/>
  <c r="V140" i="27"/>
  <c r="V128" i="27"/>
  <c r="R142" i="27"/>
  <c r="R130" i="27"/>
  <c r="V134" i="27"/>
  <c r="V122" i="27"/>
  <c r="V142" i="27"/>
  <c r="V130" i="27"/>
  <c r="H15" i="31"/>
  <c r="D71" i="32" s="1"/>
  <c r="H69" i="28"/>
  <c r="S68" i="28"/>
  <c r="R68" i="28"/>
  <c r="R79" i="28"/>
  <c r="R90" i="28"/>
  <c r="F142" i="22" l="1"/>
  <c r="O142" i="22" s="1"/>
  <c r="F138" i="22"/>
  <c r="O138" i="22" s="1"/>
  <c r="F134" i="22"/>
  <c r="O134" i="22" s="1"/>
  <c r="F140" i="22"/>
  <c r="O140" i="22" s="1"/>
  <c r="F139" i="22"/>
  <c r="O139" i="22" s="1"/>
  <c r="F145" i="22"/>
  <c r="O145" i="22" s="1"/>
  <c r="F141" i="22"/>
  <c r="O141" i="22" s="1"/>
  <c r="F137" i="22"/>
  <c r="O137" i="22" s="1"/>
  <c r="F144" i="22"/>
  <c r="O144" i="22" s="1"/>
  <c r="F136" i="22"/>
  <c r="O136" i="22" s="1"/>
  <c r="F143" i="22"/>
  <c r="O143" i="22" s="1"/>
  <c r="F135" i="22"/>
  <c r="O135" i="22" s="1"/>
  <c r="AA15" i="31"/>
  <c r="H71" i="32" s="1"/>
  <c r="H70" i="32"/>
  <c r="H70" i="28"/>
  <c r="S69" i="28"/>
  <c r="R69" i="28"/>
  <c r="R80" i="28"/>
  <c r="F10" i="19"/>
  <c r="G10" i="19"/>
  <c r="H10" i="19"/>
  <c r="I10" i="19"/>
  <c r="J10" i="19"/>
  <c r="K10" i="19"/>
  <c r="L10" i="19"/>
  <c r="M10" i="19"/>
  <c r="N10" i="19"/>
  <c r="O10" i="19"/>
  <c r="P10" i="19"/>
  <c r="Q10" i="19"/>
  <c r="F11" i="19"/>
  <c r="F12" i="19"/>
  <c r="F13" i="19"/>
  <c r="F14" i="19"/>
  <c r="F15" i="19"/>
  <c r="F16" i="19"/>
  <c r="F17" i="19"/>
  <c r="F18" i="19"/>
  <c r="F19" i="19"/>
  <c r="F20" i="19"/>
  <c r="F21" i="19"/>
  <c r="F29" i="19" l="1"/>
  <c r="H71" i="28"/>
  <c r="S70" i="28"/>
  <c r="R91" i="28"/>
  <c r="R70" i="28"/>
  <c r="R81" i="28"/>
  <c r="L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L3" i="21"/>
  <c r="L2" i="21"/>
  <c r="E61" i="21"/>
  <c r="N61" i="21" s="1"/>
  <c r="D61" i="21"/>
  <c r="M61" i="21" s="1"/>
  <c r="A61" i="21"/>
  <c r="B61" i="21" s="1"/>
  <c r="E60" i="21"/>
  <c r="N60" i="21" s="1"/>
  <c r="D60" i="21"/>
  <c r="M60" i="21" s="1"/>
  <c r="A60" i="21"/>
  <c r="B60" i="21" s="1"/>
  <c r="E59" i="21"/>
  <c r="N59" i="21" s="1"/>
  <c r="D59" i="21"/>
  <c r="M59" i="21" s="1"/>
  <c r="A59" i="21"/>
  <c r="B59" i="21" s="1"/>
  <c r="E58" i="21"/>
  <c r="N58" i="21" s="1"/>
  <c r="D58" i="21"/>
  <c r="M58" i="21" s="1"/>
  <c r="A58" i="21"/>
  <c r="B58" i="21" s="1"/>
  <c r="E57" i="21"/>
  <c r="N57" i="21" s="1"/>
  <c r="D57" i="21"/>
  <c r="M57" i="21" s="1"/>
  <c r="A57" i="21"/>
  <c r="B57" i="21" s="1"/>
  <c r="E56" i="21"/>
  <c r="N56" i="21" s="1"/>
  <c r="D56" i="21"/>
  <c r="M56" i="21" s="1"/>
  <c r="A56" i="21"/>
  <c r="B56" i="21" s="1"/>
  <c r="E55" i="21"/>
  <c r="N55" i="21" s="1"/>
  <c r="D55" i="21"/>
  <c r="M55" i="21" s="1"/>
  <c r="A55" i="21"/>
  <c r="B55" i="21" s="1"/>
  <c r="E54" i="21"/>
  <c r="N54" i="21" s="1"/>
  <c r="D54" i="21"/>
  <c r="M54" i="21" s="1"/>
  <c r="A54" i="21"/>
  <c r="B54" i="21" s="1"/>
  <c r="E53" i="21"/>
  <c r="N53" i="21" s="1"/>
  <c r="D53" i="21"/>
  <c r="M53" i="21" s="1"/>
  <c r="A53" i="21"/>
  <c r="B53" i="21" s="1"/>
  <c r="E52" i="21"/>
  <c r="N52" i="21" s="1"/>
  <c r="D52" i="21"/>
  <c r="M52" i="21" s="1"/>
  <c r="A52" i="21"/>
  <c r="B52" i="21" s="1"/>
  <c r="E51" i="21"/>
  <c r="N51" i="21" s="1"/>
  <c r="D51" i="21"/>
  <c r="M51" i="21" s="1"/>
  <c r="A51" i="21"/>
  <c r="B51" i="21" s="1"/>
  <c r="E50" i="21"/>
  <c r="N50" i="21" s="1"/>
  <c r="D50" i="21"/>
  <c r="M50" i="21" s="1"/>
  <c r="A50" i="21"/>
  <c r="B50" i="21" s="1"/>
  <c r="E49" i="21"/>
  <c r="N49" i="21" s="1"/>
  <c r="D49" i="21"/>
  <c r="M49" i="21" s="1"/>
  <c r="A49" i="21"/>
  <c r="B49" i="21" s="1"/>
  <c r="E48" i="21"/>
  <c r="N48" i="21" s="1"/>
  <c r="D48" i="21"/>
  <c r="M48" i="21" s="1"/>
  <c r="A48" i="21"/>
  <c r="B48" i="21" s="1"/>
  <c r="E47" i="21"/>
  <c r="N47" i="21" s="1"/>
  <c r="D47" i="21"/>
  <c r="M47" i="21" s="1"/>
  <c r="A47" i="21"/>
  <c r="B47" i="21" s="1"/>
  <c r="E46" i="21"/>
  <c r="N46" i="21" s="1"/>
  <c r="D46" i="21"/>
  <c r="M46" i="21" s="1"/>
  <c r="A46" i="21"/>
  <c r="B46" i="21" s="1"/>
  <c r="E45" i="21"/>
  <c r="N45" i="21" s="1"/>
  <c r="D45" i="21"/>
  <c r="M45" i="21" s="1"/>
  <c r="A45" i="21"/>
  <c r="B45" i="21" s="1"/>
  <c r="E44" i="21"/>
  <c r="N44" i="21" s="1"/>
  <c r="D44" i="21"/>
  <c r="M44" i="21" s="1"/>
  <c r="A44" i="21"/>
  <c r="B44" i="21" s="1"/>
  <c r="E43" i="21"/>
  <c r="N43" i="21" s="1"/>
  <c r="D43" i="21"/>
  <c r="M43" i="21" s="1"/>
  <c r="A43" i="21"/>
  <c r="B43" i="21" s="1"/>
  <c r="E42" i="21"/>
  <c r="N42" i="21" s="1"/>
  <c r="D42" i="21"/>
  <c r="M42" i="21" s="1"/>
  <c r="A42" i="21"/>
  <c r="B42" i="21" s="1"/>
  <c r="E41" i="21"/>
  <c r="N41" i="21" s="1"/>
  <c r="D41" i="21"/>
  <c r="M41" i="21" s="1"/>
  <c r="A41" i="21"/>
  <c r="B41" i="21" s="1"/>
  <c r="E40" i="21"/>
  <c r="N40" i="21" s="1"/>
  <c r="D40" i="21"/>
  <c r="M40" i="21" s="1"/>
  <c r="A40" i="21"/>
  <c r="B40" i="21" s="1"/>
  <c r="E39" i="21"/>
  <c r="N39" i="21" s="1"/>
  <c r="D39" i="21"/>
  <c r="M39" i="21" s="1"/>
  <c r="A39" i="21"/>
  <c r="B39" i="21" s="1"/>
  <c r="E38" i="21"/>
  <c r="N38" i="21" s="1"/>
  <c r="D38" i="21"/>
  <c r="M38" i="21" s="1"/>
  <c r="A38" i="21"/>
  <c r="B38" i="21" s="1"/>
  <c r="E37" i="21"/>
  <c r="N37" i="21" s="1"/>
  <c r="D37" i="21"/>
  <c r="M37" i="21" s="1"/>
  <c r="A37" i="21"/>
  <c r="B37" i="21" s="1"/>
  <c r="E36" i="21"/>
  <c r="N36" i="21" s="1"/>
  <c r="D36" i="21"/>
  <c r="M36" i="21" s="1"/>
  <c r="A36" i="21"/>
  <c r="B36" i="21" s="1"/>
  <c r="E35" i="21"/>
  <c r="N35" i="21" s="1"/>
  <c r="D35" i="21"/>
  <c r="M35" i="21" s="1"/>
  <c r="A35" i="21"/>
  <c r="B35" i="21" s="1"/>
  <c r="E34" i="21"/>
  <c r="N34" i="21" s="1"/>
  <c r="D34" i="21"/>
  <c r="M34" i="21" s="1"/>
  <c r="A34" i="21"/>
  <c r="B34" i="21" s="1"/>
  <c r="E33" i="21"/>
  <c r="N33" i="21" s="1"/>
  <c r="D33" i="21"/>
  <c r="M33" i="21" s="1"/>
  <c r="A33" i="21"/>
  <c r="B33" i="21" s="1"/>
  <c r="E32" i="21"/>
  <c r="N32" i="21" s="1"/>
  <c r="D32" i="21"/>
  <c r="M32" i="21" s="1"/>
  <c r="A32" i="21"/>
  <c r="B32" i="21" s="1"/>
  <c r="E31" i="21"/>
  <c r="N31" i="21" s="1"/>
  <c r="D31" i="21"/>
  <c r="M31" i="21" s="1"/>
  <c r="A31" i="21"/>
  <c r="B31" i="21" s="1"/>
  <c r="E30" i="21"/>
  <c r="N30" i="21" s="1"/>
  <c r="D30" i="21"/>
  <c r="M30" i="21" s="1"/>
  <c r="A30" i="21"/>
  <c r="B30" i="21" s="1"/>
  <c r="E29" i="21"/>
  <c r="N29" i="21" s="1"/>
  <c r="D29" i="21"/>
  <c r="M29" i="21" s="1"/>
  <c r="A29" i="21"/>
  <c r="B29" i="21" s="1"/>
  <c r="E28" i="21"/>
  <c r="N28" i="21" s="1"/>
  <c r="D28" i="21"/>
  <c r="M28" i="21" s="1"/>
  <c r="A28" i="21"/>
  <c r="B28" i="21" s="1"/>
  <c r="E27" i="21"/>
  <c r="N27" i="21" s="1"/>
  <c r="D27" i="21"/>
  <c r="M27" i="21" s="1"/>
  <c r="A27" i="21"/>
  <c r="B27" i="21" s="1"/>
  <c r="E26" i="21"/>
  <c r="N26" i="21" s="1"/>
  <c r="D26" i="21"/>
  <c r="M26" i="21" s="1"/>
  <c r="A26" i="21"/>
  <c r="B26" i="21" s="1"/>
  <c r="E25" i="21"/>
  <c r="N25" i="21" s="1"/>
  <c r="D25" i="21"/>
  <c r="M25" i="21" s="1"/>
  <c r="A25" i="21"/>
  <c r="B25" i="21" s="1"/>
  <c r="E24" i="21"/>
  <c r="N24" i="21" s="1"/>
  <c r="D24" i="21"/>
  <c r="M24" i="21" s="1"/>
  <c r="A24" i="21"/>
  <c r="B24" i="21" s="1"/>
  <c r="E23" i="21"/>
  <c r="N23" i="21" s="1"/>
  <c r="D23" i="21"/>
  <c r="M23" i="21" s="1"/>
  <c r="A23" i="21"/>
  <c r="B23" i="21" s="1"/>
  <c r="E22" i="21"/>
  <c r="N22" i="21" s="1"/>
  <c r="D22" i="21"/>
  <c r="M22" i="21" s="1"/>
  <c r="A22" i="21"/>
  <c r="B22" i="21" s="1"/>
  <c r="E21" i="21"/>
  <c r="N21" i="21" s="1"/>
  <c r="D21" i="21"/>
  <c r="M21" i="21" s="1"/>
  <c r="A21" i="21"/>
  <c r="B21" i="21" s="1"/>
  <c r="E20" i="21"/>
  <c r="N20" i="21" s="1"/>
  <c r="D20" i="21"/>
  <c r="M20" i="21" s="1"/>
  <c r="A20" i="21"/>
  <c r="B20" i="21" s="1"/>
  <c r="E19" i="21"/>
  <c r="N19" i="21" s="1"/>
  <c r="D19" i="21"/>
  <c r="M19" i="21" s="1"/>
  <c r="A19" i="21"/>
  <c r="B19" i="21" s="1"/>
  <c r="E18" i="21"/>
  <c r="N18" i="21" s="1"/>
  <c r="D18" i="21"/>
  <c r="M18" i="21" s="1"/>
  <c r="A18" i="21"/>
  <c r="B18" i="21" s="1"/>
  <c r="E17" i="21"/>
  <c r="N17" i="21" s="1"/>
  <c r="D17" i="21"/>
  <c r="M17" i="21" s="1"/>
  <c r="A17" i="21"/>
  <c r="B17" i="21" s="1"/>
  <c r="E16" i="21"/>
  <c r="N16" i="21" s="1"/>
  <c r="D16" i="21"/>
  <c r="M16" i="21" s="1"/>
  <c r="A16" i="21"/>
  <c r="B16" i="21" s="1"/>
  <c r="E15" i="21"/>
  <c r="N15" i="21" s="1"/>
  <c r="D15" i="21"/>
  <c r="M15" i="21" s="1"/>
  <c r="A15" i="21"/>
  <c r="B15" i="21" s="1"/>
  <c r="E14" i="21"/>
  <c r="N14" i="21" s="1"/>
  <c r="D14" i="21"/>
  <c r="M14" i="21" s="1"/>
  <c r="A14" i="21"/>
  <c r="B14" i="21" s="1"/>
  <c r="E13" i="21"/>
  <c r="N13" i="21" s="1"/>
  <c r="D13" i="21"/>
  <c r="M13" i="21" s="1"/>
  <c r="A13" i="21"/>
  <c r="B13" i="21" s="1"/>
  <c r="E12" i="21"/>
  <c r="N12" i="21" s="1"/>
  <c r="D12" i="21"/>
  <c r="M12" i="21" s="1"/>
  <c r="A12" i="21"/>
  <c r="B12" i="21" s="1"/>
  <c r="E11" i="21"/>
  <c r="N11" i="21" s="1"/>
  <c r="D11" i="21"/>
  <c r="M11" i="21" s="1"/>
  <c r="A11" i="21"/>
  <c r="B11" i="21" s="1"/>
  <c r="E10" i="21"/>
  <c r="N10" i="21" s="1"/>
  <c r="D10" i="21"/>
  <c r="M10" i="21" s="1"/>
  <c r="A10" i="21"/>
  <c r="B10" i="21" s="1"/>
  <c r="E9" i="21"/>
  <c r="N9" i="21" s="1"/>
  <c r="D9" i="21"/>
  <c r="M9" i="21" s="1"/>
  <c r="A9" i="21"/>
  <c r="B9" i="21" s="1"/>
  <c r="E8" i="21"/>
  <c r="N8" i="21" s="1"/>
  <c r="D8" i="21"/>
  <c r="M8" i="21" s="1"/>
  <c r="A8" i="21"/>
  <c r="B8" i="21" s="1"/>
  <c r="E7" i="21"/>
  <c r="N7" i="21" s="1"/>
  <c r="D7" i="21"/>
  <c r="M7" i="21" s="1"/>
  <c r="A7" i="21"/>
  <c r="B7" i="21" s="1"/>
  <c r="E6" i="21"/>
  <c r="N6" i="21" s="1"/>
  <c r="D6" i="21"/>
  <c r="M6" i="21" s="1"/>
  <c r="A6" i="21"/>
  <c r="B6" i="21" s="1"/>
  <c r="E5" i="21"/>
  <c r="N5" i="21" s="1"/>
  <c r="D5" i="21"/>
  <c r="M5" i="21" s="1"/>
  <c r="A5" i="21"/>
  <c r="B5" i="21" s="1"/>
  <c r="E4" i="21"/>
  <c r="N4" i="21" s="1"/>
  <c r="D4" i="21"/>
  <c r="M4" i="21" s="1"/>
  <c r="A4" i="21"/>
  <c r="B4" i="21" s="1"/>
  <c r="E3" i="21"/>
  <c r="N3" i="21" s="1"/>
  <c r="D3" i="21"/>
  <c r="M3" i="21" s="1"/>
  <c r="A3" i="21"/>
  <c r="B3" i="21" s="1"/>
  <c r="E2" i="21"/>
  <c r="N2" i="21" s="1"/>
  <c r="D2" i="21"/>
  <c r="M2" i="21" s="1"/>
  <c r="A2" i="21"/>
  <c r="B2" i="21" s="1"/>
  <c r="E1" i="21"/>
  <c r="N1" i="21" s="1"/>
  <c r="D1" i="21"/>
  <c r="M1" i="21" s="1"/>
  <c r="A1" i="21"/>
  <c r="F2" i="17"/>
  <c r="P2" i="17" s="1"/>
  <c r="M2" i="17"/>
  <c r="Q21" i="19"/>
  <c r="Q20" i="19"/>
  <c r="Q19" i="19"/>
  <c r="Q18" i="19"/>
  <c r="Q17" i="19"/>
  <c r="Q16" i="19"/>
  <c r="Q15" i="19"/>
  <c r="Q14" i="19"/>
  <c r="Q13" i="19"/>
  <c r="Q12" i="19"/>
  <c r="Q11" i="19"/>
  <c r="Q9" i="19"/>
  <c r="Q8" i="19"/>
  <c r="Q7" i="19"/>
  <c r="Q6" i="19"/>
  <c r="Q5" i="19"/>
  <c r="Q4" i="19"/>
  <c r="Q3" i="19"/>
  <c r="Q2" i="19"/>
  <c r="P21" i="19"/>
  <c r="O21" i="19"/>
  <c r="N21" i="19"/>
  <c r="M21" i="19"/>
  <c r="L21" i="19"/>
  <c r="K21" i="19"/>
  <c r="J21" i="19"/>
  <c r="I21" i="19"/>
  <c r="H21" i="19"/>
  <c r="G21" i="19"/>
  <c r="P20" i="19"/>
  <c r="O20" i="19"/>
  <c r="N20" i="19"/>
  <c r="M20" i="19"/>
  <c r="L20" i="19"/>
  <c r="K20" i="19"/>
  <c r="J20" i="19"/>
  <c r="I20" i="19"/>
  <c r="H20" i="19"/>
  <c r="G20" i="19"/>
  <c r="P19" i="19"/>
  <c r="O19" i="19"/>
  <c r="N19" i="19"/>
  <c r="M19" i="19"/>
  <c r="L19" i="19"/>
  <c r="K19" i="19"/>
  <c r="J19" i="19"/>
  <c r="I19" i="19"/>
  <c r="H19" i="19"/>
  <c r="G19" i="19"/>
  <c r="P18" i="19"/>
  <c r="O18" i="19"/>
  <c r="N18" i="19"/>
  <c r="M18" i="19"/>
  <c r="L18" i="19"/>
  <c r="K18" i="19"/>
  <c r="J18" i="19"/>
  <c r="I18" i="19"/>
  <c r="H18" i="19"/>
  <c r="G18" i="19"/>
  <c r="P17" i="19"/>
  <c r="O17" i="19"/>
  <c r="N17" i="19"/>
  <c r="M17" i="19"/>
  <c r="L17" i="19"/>
  <c r="K17" i="19"/>
  <c r="J17" i="19"/>
  <c r="I17" i="19"/>
  <c r="H17" i="19"/>
  <c r="G17" i="19"/>
  <c r="P16" i="19"/>
  <c r="O16" i="19"/>
  <c r="N16" i="19"/>
  <c r="M16" i="19"/>
  <c r="L16" i="19"/>
  <c r="K16" i="19"/>
  <c r="J16" i="19"/>
  <c r="I16" i="19"/>
  <c r="H16" i="19"/>
  <c r="G16" i="19"/>
  <c r="P15" i="19"/>
  <c r="O15" i="19"/>
  <c r="N15" i="19"/>
  <c r="M15" i="19"/>
  <c r="L15" i="19"/>
  <c r="K15" i="19"/>
  <c r="J15" i="19"/>
  <c r="I15" i="19"/>
  <c r="H15" i="19"/>
  <c r="G15" i="19"/>
  <c r="P14" i="19"/>
  <c r="O14" i="19"/>
  <c r="N14" i="19"/>
  <c r="M14" i="19"/>
  <c r="L14" i="19"/>
  <c r="K14" i="19"/>
  <c r="J14" i="19"/>
  <c r="I14" i="19"/>
  <c r="H14" i="19"/>
  <c r="G14" i="19"/>
  <c r="P13" i="19"/>
  <c r="O13" i="19"/>
  <c r="N13" i="19"/>
  <c r="M13" i="19"/>
  <c r="L13" i="19"/>
  <c r="K13" i="19"/>
  <c r="J13" i="19"/>
  <c r="I13" i="19"/>
  <c r="H13" i="19"/>
  <c r="G13" i="19"/>
  <c r="P12" i="19"/>
  <c r="O12" i="19"/>
  <c r="N12" i="19"/>
  <c r="M12" i="19"/>
  <c r="L12" i="19"/>
  <c r="K12" i="19"/>
  <c r="J12" i="19"/>
  <c r="I12" i="19"/>
  <c r="H12" i="19"/>
  <c r="G12" i="19"/>
  <c r="P11" i="19"/>
  <c r="O11" i="19"/>
  <c r="N11" i="19"/>
  <c r="M11" i="19"/>
  <c r="L11" i="19"/>
  <c r="K11" i="19"/>
  <c r="J11" i="19"/>
  <c r="I11" i="19"/>
  <c r="H11" i="19"/>
  <c r="G11" i="19"/>
  <c r="P9" i="19"/>
  <c r="O9" i="19"/>
  <c r="N9" i="19"/>
  <c r="M9" i="19"/>
  <c r="L9" i="19"/>
  <c r="K9" i="19"/>
  <c r="J9" i="19"/>
  <c r="I9" i="19"/>
  <c r="H9" i="19"/>
  <c r="G9" i="19"/>
  <c r="F9" i="19"/>
  <c r="P8" i="19"/>
  <c r="O8" i="19"/>
  <c r="N8" i="19"/>
  <c r="M8" i="19"/>
  <c r="L8" i="19"/>
  <c r="K8" i="19"/>
  <c r="J8" i="19"/>
  <c r="I8" i="19"/>
  <c r="H8" i="19"/>
  <c r="G8" i="19"/>
  <c r="F8" i="19"/>
  <c r="P7" i="19"/>
  <c r="O7" i="19"/>
  <c r="N7" i="19"/>
  <c r="M7" i="19"/>
  <c r="L7" i="19"/>
  <c r="K7" i="19"/>
  <c r="J7" i="19"/>
  <c r="I7" i="19"/>
  <c r="H7" i="19"/>
  <c r="G7" i="19"/>
  <c r="F7" i="19"/>
  <c r="P6" i="19"/>
  <c r="O6" i="19"/>
  <c r="N6" i="19"/>
  <c r="M6" i="19"/>
  <c r="L6" i="19"/>
  <c r="K6" i="19"/>
  <c r="J6" i="19"/>
  <c r="I6" i="19"/>
  <c r="H6" i="19"/>
  <c r="G6" i="19"/>
  <c r="F6" i="19"/>
  <c r="P5" i="19"/>
  <c r="O5" i="19"/>
  <c r="N5" i="19"/>
  <c r="M5" i="19"/>
  <c r="L5" i="19"/>
  <c r="K5" i="19"/>
  <c r="J5" i="19"/>
  <c r="I5" i="19"/>
  <c r="H5" i="19"/>
  <c r="G5" i="19"/>
  <c r="F5" i="19"/>
  <c r="P4" i="19"/>
  <c r="O4" i="19"/>
  <c r="N4" i="19"/>
  <c r="M4" i="19"/>
  <c r="L4" i="19"/>
  <c r="K4" i="19"/>
  <c r="J4" i="19"/>
  <c r="I4" i="19"/>
  <c r="H4" i="19"/>
  <c r="G4" i="19"/>
  <c r="F4" i="19"/>
  <c r="P3" i="19"/>
  <c r="O3" i="19"/>
  <c r="N3" i="19"/>
  <c r="M3" i="19"/>
  <c r="L3" i="19"/>
  <c r="K3" i="19"/>
  <c r="J3" i="19"/>
  <c r="I3" i="19"/>
  <c r="H3" i="19"/>
  <c r="G3" i="19"/>
  <c r="F3" i="19"/>
  <c r="P2" i="19"/>
  <c r="O2" i="19"/>
  <c r="N2" i="19"/>
  <c r="M2" i="19"/>
  <c r="L2" i="19"/>
  <c r="K2" i="19"/>
  <c r="J2" i="19"/>
  <c r="I2" i="19"/>
  <c r="H2" i="19"/>
  <c r="G2" i="19"/>
  <c r="F2" i="19"/>
  <c r="M97" i="17"/>
  <c r="M96" i="17"/>
  <c r="M95" i="17"/>
  <c r="M94" i="17"/>
  <c r="M93" i="17"/>
  <c r="M92" i="17"/>
  <c r="M91" i="17"/>
  <c r="M90" i="17"/>
  <c r="M89" i="17"/>
  <c r="M88" i="17"/>
  <c r="M87" i="17"/>
  <c r="M86" i="17"/>
  <c r="M85" i="17"/>
  <c r="M84" i="17"/>
  <c r="M83" i="17"/>
  <c r="M82" i="17"/>
  <c r="M81" i="17"/>
  <c r="M80" i="17"/>
  <c r="M79" i="17"/>
  <c r="M78" i="17"/>
  <c r="M77" i="17"/>
  <c r="M76" i="17"/>
  <c r="M75" i="17"/>
  <c r="M74" i="17"/>
  <c r="M73" i="17"/>
  <c r="M72" i="17"/>
  <c r="M71" i="17"/>
  <c r="M70" i="17"/>
  <c r="M69" i="17"/>
  <c r="M68" i="17"/>
  <c r="M67" i="17"/>
  <c r="M66" i="17"/>
  <c r="M65" i="17"/>
  <c r="M64" i="17"/>
  <c r="M63" i="17"/>
  <c r="M62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M61" i="17"/>
  <c r="F61" i="17"/>
  <c r="P61" i="17" s="1"/>
  <c r="A61" i="17"/>
  <c r="B61" i="17" s="1"/>
  <c r="M60" i="17"/>
  <c r="F60" i="17"/>
  <c r="P60" i="17" s="1"/>
  <c r="A60" i="17"/>
  <c r="B60" i="17" s="1"/>
  <c r="M59" i="17"/>
  <c r="F59" i="17"/>
  <c r="P59" i="17" s="1"/>
  <c r="A59" i="17"/>
  <c r="B59" i="17" s="1"/>
  <c r="M58" i="17"/>
  <c r="F58" i="17"/>
  <c r="P58" i="17" s="1"/>
  <c r="A58" i="17"/>
  <c r="B58" i="17" s="1"/>
  <c r="M57" i="17"/>
  <c r="F57" i="17"/>
  <c r="P57" i="17" s="1"/>
  <c r="A57" i="17"/>
  <c r="B57" i="17" s="1"/>
  <c r="M56" i="17"/>
  <c r="F56" i="17"/>
  <c r="P56" i="17" s="1"/>
  <c r="A56" i="17"/>
  <c r="B56" i="17" s="1"/>
  <c r="M55" i="17"/>
  <c r="F55" i="17"/>
  <c r="P55" i="17" s="1"/>
  <c r="A55" i="17"/>
  <c r="B55" i="17" s="1"/>
  <c r="M54" i="17"/>
  <c r="F54" i="17"/>
  <c r="P54" i="17" s="1"/>
  <c r="A54" i="17"/>
  <c r="B54" i="17" s="1"/>
  <c r="M53" i="17"/>
  <c r="F53" i="17"/>
  <c r="P53" i="17" s="1"/>
  <c r="A53" i="17"/>
  <c r="B53" i="17" s="1"/>
  <c r="M52" i="17"/>
  <c r="F52" i="17"/>
  <c r="P52" i="17" s="1"/>
  <c r="A52" i="17"/>
  <c r="B52" i="17" s="1"/>
  <c r="M51" i="17"/>
  <c r="F51" i="17"/>
  <c r="P51" i="17" s="1"/>
  <c r="A51" i="17"/>
  <c r="B51" i="17" s="1"/>
  <c r="M50" i="17"/>
  <c r="F50" i="17"/>
  <c r="P50" i="17" s="1"/>
  <c r="A50" i="17"/>
  <c r="B50" i="17" s="1"/>
  <c r="M49" i="17"/>
  <c r="F49" i="17"/>
  <c r="P49" i="17" s="1"/>
  <c r="A49" i="17"/>
  <c r="B49" i="17" s="1"/>
  <c r="M48" i="17"/>
  <c r="F48" i="17"/>
  <c r="P48" i="17" s="1"/>
  <c r="A48" i="17"/>
  <c r="B48" i="17" s="1"/>
  <c r="M47" i="17"/>
  <c r="F47" i="17"/>
  <c r="P47" i="17" s="1"/>
  <c r="A47" i="17"/>
  <c r="B47" i="17" s="1"/>
  <c r="M46" i="17"/>
  <c r="F46" i="17"/>
  <c r="P46" i="17" s="1"/>
  <c r="A46" i="17"/>
  <c r="B46" i="17" s="1"/>
  <c r="M45" i="17"/>
  <c r="F45" i="17"/>
  <c r="P45" i="17" s="1"/>
  <c r="A45" i="17"/>
  <c r="B45" i="17" s="1"/>
  <c r="M44" i="17"/>
  <c r="F44" i="17"/>
  <c r="P44" i="17" s="1"/>
  <c r="A44" i="17"/>
  <c r="B44" i="17" s="1"/>
  <c r="M43" i="17"/>
  <c r="F43" i="17"/>
  <c r="P43" i="17" s="1"/>
  <c r="A43" i="17"/>
  <c r="B43" i="17" s="1"/>
  <c r="M42" i="17"/>
  <c r="F42" i="17"/>
  <c r="P42" i="17" s="1"/>
  <c r="A42" i="17"/>
  <c r="B42" i="17" s="1"/>
  <c r="M41" i="17"/>
  <c r="F41" i="17"/>
  <c r="P41" i="17" s="1"/>
  <c r="A41" i="17"/>
  <c r="B41" i="17" s="1"/>
  <c r="M40" i="17"/>
  <c r="F40" i="17"/>
  <c r="P40" i="17" s="1"/>
  <c r="A40" i="17"/>
  <c r="B40" i="17" s="1"/>
  <c r="M39" i="17"/>
  <c r="F39" i="17"/>
  <c r="P39" i="17" s="1"/>
  <c r="A39" i="17"/>
  <c r="B39" i="17" s="1"/>
  <c r="M38" i="17"/>
  <c r="F38" i="17"/>
  <c r="P38" i="17" s="1"/>
  <c r="A38" i="17"/>
  <c r="B38" i="17" s="1"/>
  <c r="M37" i="17"/>
  <c r="F37" i="17"/>
  <c r="P37" i="17" s="1"/>
  <c r="A37" i="17"/>
  <c r="B37" i="17" s="1"/>
  <c r="M36" i="17"/>
  <c r="F36" i="17"/>
  <c r="P36" i="17" s="1"/>
  <c r="A36" i="17"/>
  <c r="B36" i="17" s="1"/>
  <c r="M35" i="17"/>
  <c r="F35" i="17"/>
  <c r="P35" i="17" s="1"/>
  <c r="A35" i="17"/>
  <c r="B35" i="17" s="1"/>
  <c r="M34" i="17"/>
  <c r="F34" i="17"/>
  <c r="P34" i="17" s="1"/>
  <c r="A34" i="17"/>
  <c r="B34" i="17" s="1"/>
  <c r="M33" i="17"/>
  <c r="F33" i="17"/>
  <c r="P33" i="17" s="1"/>
  <c r="A33" i="17"/>
  <c r="B33" i="17" s="1"/>
  <c r="M32" i="17"/>
  <c r="F32" i="17"/>
  <c r="P32" i="17" s="1"/>
  <c r="A32" i="17"/>
  <c r="B32" i="17" s="1"/>
  <c r="M31" i="17"/>
  <c r="F31" i="17"/>
  <c r="P31" i="17" s="1"/>
  <c r="A31" i="17"/>
  <c r="B31" i="17" s="1"/>
  <c r="M30" i="17"/>
  <c r="F30" i="17"/>
  <c r="P30" i="17" s="1"/>
  <c r="A30" i="17"/>
  <c r="B30" i="17" s="1"/>
  <c r="M29" i="17"/>
  <c r="F29" i="17"/>
  <c r="P29" i="17" s="1"/>
  <c r="A29" i="17"/>
  <c r="B29" i="17" s="1"/>
  <c r="M28" i="17"/>
  <c r="F28" i="17"/>
  <c r="P28" i="17" s="1"/>
  <c r="A28" i="17"/>
  <c r="B28" i="17" s="1"/>
  <c r="M27" i="17"/>
  <c r="F27" i="17"/>
  <c r="P27" i="17" s="1"/>
  <c r="A27" i="17"/>
  <c r="B27" i="17" s="1"/>
  <c r="M26" i="17"/>
  <c r="F26" i="17"/>
  <c r="P26" i="17" s="1"/>
  <c r="A26" i="17"/>
  <c r="B26" i="17" s="1"/>
  <c r="M25" i="17"/>
  <c r="F25" i="17"/>
  <c r="P25" i="17" s="1"/>
  <c r="A25" i="17"/>
  <c r="B25" i="17" s="1"/>
  <c r="M24" i="17"/>
  <c r="F24" i="17"/>
  <c r="P24" i="17" s="1"/>
  <c r="A24" i="17"/>
  <c r="B24" i="17" s="1"/>
  <c r="M23" i="17"/>
  <c r="F23" i="17"/>
  <c r="P23" i="17" s="1"/>
  <c r="A23" i="17"/>
  <c r="B23" i="17" s="1"/>
  <c r="M22" i="17"/>
  <c r="F22" i="17"/>
  <c r="P22" i="17" s="1"/>
  <c r="A22" i="17"/>
  <c r="B22" i="17" s="1"/>
  <c r="M21" i="17"/>
  <c r="F21" i="17"/>
  <c r="P21" i="17" s="1"/>
  <c r="A21" i="17"/>
  <c r="B21" i="17" s="1"/>
  <c r="M20" i="17"/>
  <c r="F20" i="17"/>
  <c r="P20" i="17" s="1"/>
  <c r="A20" i="17"/>
  <c r="B20" i="17" s="1"/>
  <c r="M19" i="17"/>
  <c r="F19" i="17"/>
  <c r="P19" i="17" s="1"/>
  <c r="A19" i="17"/>
  <c r="B19" i="17" s="1"/>
  <c r="M18" i="17"/>
  <c r="F18" i="17"/>
  <c r="P18" i="17" s="1"/>
  <c r="A18" i="17"/>
  <c r="B18" i="17" s="1"/>
  <c r="M17" i="17"/>
  <c r="F17" i="17"/>
  <c r="P17" i="17" s="1"/>
  <c r="A17" i="17"/>
  <c r="B17" i="17" s="1"/>
  <c r="M16" i="17"/>
  <c r="F16" i="17"/>
  <c r="P16" i="17" s="1"/>
  <c r="A16" i="17"/>
  <c r="B16" i="17" s="1"/>
  <c r="M15" i="17"/>
  <c r="F15" i="17"/>
  <c r="P15" i="17" s="1"/>
  <c r="A15" i="17"/>
  <c r="B15" i="17" s="1"/>
  <c r="M14" i="17"/>
  <c r="F14" i="17"/>
  <c r="P14" i="17" s="1"/>
  <c r="A14" i="17"/>
  <c r="B14" i="17" s="1"/>
  <c r="M13" i="17"/>
  <c r="F13" i="17"/>
  <c r="P13" i="17" s="1"/>
  <c r="A13" i="17"/>
  <c r="B13" i="17" s="1"/>
  <c r="M12" i="17"/>
  <c r="F12" i="17"/>
  <c r="P12" i="17" s="1"/>
  <c r="A12" i="17"/>
  <c r="B12" i="17" s="1"/>
  <c r="M11" i="17"/>
  <c r="F11" i="17"/>
  <c r="P11" i="17" s="1"/>
  <c r="A11" i="17"/>
  <c r="B11" i="17" s="1"/>
  <c r="M10" i="17"/>
  <c r="F10" i="17"/>
  <c r="P10" i="17" s="1"/>
  <c r="A10" i="17"/>
  <c r="B10" i="17" s="1"/>
  <c r="M9" i="17"/>
  <c r="F9" i="17"/>
  <c r="P9" i="17" s="1"/>
  <c r="A9" i="17"/>
  <c r="B9" i="17" s="1"/>
  <c r="M8" i="17"/>
  <c r="F8" i="17"/>
  <c r="P8" i="17" s="1"/>
  <c r="A8" i="17"/>
  <c r="B8" i="17" s="1"/>
  <c r="M7" i="17"/>
  <c r="F7" i="17"/>
  <c r="P7" i="17" s="1"/>
  <c r="A7" i="17"/>
  <c r="B7" i="17" s="1"/>
  <c r="M6" i="17"/>
  <c r="F6" i="17"/>
  <c r="P6" i="17" s="1"/>
  <c r="A6" i="17"/>
  <c r="B6" i="17" s="1"/>
  <c r="M5" i="17"/>
  <c r="F5" i="17"/>
  <c r="P5" i="17" s="1"/>
  <c r="A5" i="17"/>
  <c r="B5" i="17" s="1"/>
  <c r="M4" i="17"/>
  <c r="F4" i="17"/>
  <c r="P4" i="17" s="1"/>
  <c r="A4" i="17"/>
  <c r="B4" i="17" s="1"/>
  <c r="M3" i="17"/>
  <c r="F3" i="17"/>
  <c r="P3" i="17" s="1"/>
  <c r="A3" i="17"/>
  <c r="B3" i="17" s="1"/>
  <c r="A2" i="17"/>
  <c r="B2" i="17" s="1"/>
  <c r="E1" i="17"/>
  <c r="O1" i="17" s="1"/>
  <c r="D1" i="17"/>
  <c r="N1" i="17" s="1"/>
  <c r="C1" i="17"/>
  <c r="A1" i="17"/>
  <c r="M61" i="16"/>
  <c r="M60" i="16"/>
  <c r="M59" i="16"/>
  <c r="M58" i="16"/>
  <c r="M57" i="16"/>
  <c r="M56" i="16"/>
  <c r="M55" i="16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5" i="16"/>
  <c r="M4" i="16"/>
  <c r="M3" i="16"/>
  <c r="M2" i="16"/>
  <c r="F61" i="16"/>
  <c r="P61" i="16" s="1"/>
  <c r="E61" i="16"/>
  <c r="O61" i="16" s="1"/>
  <c r="D61" i="16"/>
  <c r="N61" i="16" s="1"/>
  <c r="A61" i="16"/>
  <c r="B61" i="16" s="1"/>
  <c r="F60" i="16"/>
  <c r="P60" i="16" s="1"/>
  <c r="E60" i="16"/>
  <c r="O60" i="16" s="1"/>
  <c r="D60" i="16"/>
  <c r="N60" i="16" s="1"/>
  <c r="A60" i="16"/>
  <c r="B60" i="16" s="1"/>
  <c r="F59" i="16"/>
  <c r="P59" i="16" s="1"/>
  <c r="E59" i="16"/>
  <c r="O59" i="16" s="1"/>
  <c r="D59" i="16"/>
  <c r="N59" i="16" s="1"/>
  <c r="A59" i="16"/>
  <c r="B59" i="16" s="1"/>
  <c r="F58" i="16"/>
  <c r="P58" i="16" s="1"/>
  <c r="E58" i="16"/>
  <c r="O58" i="16" s="1"/>
  <c r="D58" i="16"/>
  <c r="N58" i="16" s="1"/>
  <c r="A58" i="16"/>
  <c r="B58" i="16" s="1"/>
  <c r="F57" i="16"/>
  <c r="P57" i="16" s="1"/>
  <c r="E57" i="16"/>
  <c r="O57" i="16" s="1"/>
  <c r="D57" i="16"/>
  <c r="N57" i="16" s="1"/>
  <c r="A57" i="16"/>
  <c r="B57" i="16" s="1"/>
  <c r="F56" i="16"/>
  <c r="P56" i="16" s="1"/>
  <c r="E56" i="16"/>
  <c r="O56" i="16" s="1"/>
  <c r="D56" i="16"/>
  <c r="N56" i="16" s="1"/>
  <c r="A56" i="16"/>
  <c r="B56" i="16" s="1"/>
  <c r="F55" i="16"/>
  <c r="P55" i="16" s="1"/>
  <c r="E55" i="16"/>
  <c r="O55" i="16" s="1"/>
  <c r="D55" i="16"/>
  <c r="N55" i="16" s="1"/>
  <c r="A55" i="16"/>
  <c r="B55" i="16" s="1"/>
  <c r="F54" i="16"/>
  <c r="P54" i="16" s="1"/>
  <c r="E54" i="16"/>
  <c r="O54" i="16" s="1"/>
  <c r="D54" i="16"/>
  <c r="N54" i="16" s="1"/>
  <c r="A54" i="16"/>
  <c r="B54" i="16" s="1"/>
  <c r="F53" i="16"/>
  <c r="P53" i="16" s="1"/>
  <c r="E53" i="16"/>
  <c r="O53" i="16" s="1"/>
  <c r="D53" i="16"/>
  <c r="N53" i="16" s="1"/>
  <c r="A53" i="16"/>
  <c r="B53" i="16" s="1"/>
  <c r="F52" i="16"/>
  <c r="P52" i="16" s="1"/>
  <c r="E52" i="16"/>
  <c r="O52" i="16" s="1"/>
  <c r="D52" i="16"/>
  <c r="N52" i="16" s="1"/>
  <c r="A52" i="16"/>
  <c r="B52" i="16" s="1"/>
  <c r="F51" i="16"/>
  <c r="P51" i="16" s="1"/>
  <c r="E51" i="16"/>
  <c r="O51" i="16" s="1"/>
  <c r="D51" i="16"/>
  <c r="N51" i="16" s="1"/>
  <c r="A51" i="16"/>
  <c r="B51" i="16" s="1"/>
  <c r="F50" i="16"/>
  <c r="P50" i="16" s="1"/>
  <c r="E50" i="16"/>
  <c r="O50" i="16" s="1"/>
  <c r="D50" i="16"/>
  <c r="N50" i="16" s="1"/>
  <c r="A50" i="16"/>
  <c r="B50" i="16" s="1"/>
  <c r="F49" i="16"/>
  <c r="P49" i="16" s="1"/>
  <c r="E49" i="16"/>
  <c r="O49" i="16" s="1"/>
  <c r="D49" i="16"/>
  <c r="N49" i="16" s="1"/>
  <c r="A49" i="16"/>
  <c r="B49" i="16" s="1"/>
  <c r="F48" i="16"/>
  <c r="P48" i="16" s="1"/>
  <c r="E48" i="16"/>
  <c r="O48" i="16" s="1"/>
  <c r="D48" i="16"/>
  <c r="N48" i="16" s="1"/>
  <c r="A48" i="16"/>
  <c r="B48" i="16" s="1"/>
  <c r="F47" i="16"/>
  <c r="P47" i="16" s="1"/>
  <c r="E47" i="16"/>
  <c r="O47" i="16" s="1"/>
  <c r="D47" i="16"/>
  <c r="N47" i="16" s="1"/>
  <c r="A47" i="16"/>
  <c r="B47" i="16" s="1"/>
  <c r="F46" i="16"/>
  <c r="P46" i="16" s="1"/>
  <c r="E46" i="16"/>
  <c r="O46" i="16" s="1"/>
  <c r="D46" i="16"/>
  <c r="N46" i="16" s="1"/>
  <c r="A46" i="16"/>
  <c r="B46" i="16" s="1"/>
  <c r="F45" i="16"/>
  <c r="P45" i="16" s="1"/>
  <c r="E45" i="16"/>
  <c r="O45" i="16" s="1"/>
  <c r="D45" i="16"/>
  <c r="N45" i="16" s="1"/>
  <c r="A45" i="16"/>
  <c r="B45" i="16" s="1"/>
  <c r="F44" i="16"/>
  <c r="P44" i="16" s="1"/>
  <c r="E44" i="16"/>
  <c r="O44" i="16" s="1"/>
  <c r="D44" i="16"/>
  <c r="N44" i="16" s="1"/>
  <c r="A44" i="16"/>
  <c r="B44" i="16" s="1"/>
  <c r="F43" i="16"/>
  <c r="P43" i="16" s="1"/>
  <c r="E43" i="16"/>
  <c r="O43" i="16" s="1"/>
  <c r="D43" i="16"/>
  <c r="N43" i="16" s="1"/>
  <c r="A43" i="16"/>
  <c r="B43" i="16" s="1"/>
  <c r="F42" i="16"/>
  <c r="P42" i="16" s="1"/>
  <c r="E42" i="16"/>
  <c r="O42" i="16" s="1"/>
  <c r="D42" i="16"/>
  <c r="N42" i="16" s="1"/>
  <c r="A42" i="16"/>
  <c r="B42" i="16" s="1"/>
  <c r="F41" i="16"/>
  <c r="P41" i="16" s="1"/>
  <c r="E41" i="16"/>
  <c r="O41" i="16" s="1"/>
  <c r="D41" i="16"/>
  <c r="N41" i="16" s="1"/>
  <c r="A41" i="16"/>
  <c r="B41" i="16" s="1"/>
  <c r="F40" i="16"/>
  <c r="P40" i="16" s="1"/>
  <c r="E40" i="16"/>
  <c r="O40" i="16" s="1"/>
  <c r="D40" i="16"/>
  <c r="N40" i="16" s="1"/>
  <c r="A40" i="16"/>
  <c r="B40" i="16" s="1"/>
  <c r="F39" i="16"/>
  <c r="P39" i="16" s="1"/>
  <c r="E39" i="16"/>
  <c r="O39" i="16" s="1"/>
  <c r="D39" i="16"/>
  <c r="N39" i="16" s="1"/>
  <c r="A39" i="16"/>
  <c r="B39" i="16" s="1"/>
  <c r="F38" i="16"/>
  <c r="P38" i="16" s="1"/>
  <c r="E38" i="16"/>
  <c r="O38" i="16" s="1"/>
  <c r="D38" i="16"/>
  <c r="N38" i="16" s="1"/>
  <c r="A38" i="16"/>
  <c r="B38" i="16" s="1"/>
  <c r="F37" i="16"/>
  <c r="P37" i="16" s="1"/>
  <c r="E37" i="16"/>
  <c r="O37" i="16" s="1"/>
  <c r="D37" i="16"/>
  <c r="N37" i="16" s="1"/>
  <c r="A37" i="16"/>
  <c r="B37" i="16" s="1"/>
  <c r="F36" i="16"/>
  <c r="P36" i="16" s="1"/>
  <c r="E36" i="16"/>
  <c r="O36" i="16" s="1"/>
  <c r="D36" i="16"/>
  <c r="N36" i="16" s="1"/>
  <c r="A36" i="16"/>
  <c r="B36" i="16" s="1"/>
  <c r="F35" i="16"/>
  <c r="P35" i="16" s="1"/>
  <c r="E35" i="16"/>
  <c r="O35" i="16" s="1"/>
  <c r="D35" i="16"/>
  <c r="N35" i="16" s="1"/>
  <c r="A35" i="16"/>
  <c r="B35" i="16" s="1"/>
  <c r="F34" i="16"/>
  <c r="P34" i="16" s="1"/>
  <c r="E34" i="16"/>
  <c r="O34" i="16" s="1"/>
  <c r="D34" i="16"/>
  <c r="N34" i="16" s="1"/>
  <c r="A34" i="16"/>
  <c r="B34" i="16" s="1"/>
  <c r="F33" i="16"/>
  <c r="P33" i="16" s="1"/>
  <c r="E33" i="16"/>
  <c r="O33" i="16" s="1"/>
  <c r="D33" i="16"/>
  <c r="N33" i="16" s="1"/>
  <c r="A33" i="16"/>
  <c r="B33" i="16" s="1"/>
  <c r="F32" i="16"/>
  <c r="P32" i="16" s="1"/>
  <c r="E32" i="16"/>
  <c r="O32" i="16" s="1"/>
  <c r="D32" i="16"/>
  <c r="N32" i="16" s="1"/>
  <c r="A32" i="16"/>
  <c r="B32" i="16" s="1"/>
  <c r="F31" i="16"/>
  <c r="P31" i="16" s="1"/>
  <c r="E31" i="16"/>
  <c r="O31" i="16" s="1"/>
  <c r="D31" i="16"/>
  <c r="N31" i="16" s="1"/>
  <c r="A31" i="16"/>
  <c r="B31" i="16" s="1"/>
  <c r="F30" i="16"/>
  <c r="P30" i="16" s="1"/>
  <c r="E30" i="16"/>
  <c r="O30" i="16" s="1"/>
  <c r="D30" i="16"/>
  <c r="N30" i="16" s="1"/>
  <c r="A30" i="16"/>
  <c r="B30" i="16" s="1"/>
  <c r="F29" i="16"/>
  <c r="P29" i="16" s="1"/>
  <c r="E29" i="16"/>
  <c r="O29" i="16" s="1"/>
  <c r="D29" i="16"/>
  <c r="N29" i="16" s="1"/>
  <c r="A29" i="16"/>
  <c r="B29" i="16" s="1"/>
  <c r="F28" i="16"/>
  <c r="P28" i="16" s="1"/>
  <c r="E28" i="16"/>
  <c r="O28" i="16" s="1"/>
  <c r="D28" i="16"/>
  <c r="N28" i="16" s="1"/>
  <c r="A28" i="16"/>
  <c r="B28" i="16" s="1"/>
  <c r="F27" i="16"/>
  <c r="P27" i="16" s="1"/>
  <c r="E27" i="16"/>
  <c r="O27" i="16" s="1"/>
  <c r="D27" i="16"/>
  <c r="N27" i="16" s="1"/>
  <c r="A27" i="16"/>
  <c r="B27" i="16" s="1"/>
  <c r="F26" i="16"/>
  <c r="P26" i="16" s="1"/>
  <c r="E26" i="16"/>
  <c r="O26" i="16" s="1"/>
  <c r="D26" i="16"/>
  <c r="N26" i="16" s="1"/>
  <c r="A26" i="16"/>
  <c r="B26" i="16" s="1"/>
  <c r="F25" i="16"/>
  <c r="P25" i="16" s="1"/>
  <c r="E25" i="16"/>
  <c r="O25" i="16" s="1"/>
  <c r="D25" i="16"/>
  <c r="N25" i="16" s="1"/>
  <c r="A25" i="16"/>
  <c r="B25" i="16" s="1"/>
  <c r="F24" i="16"/>
  <c r="P24" i="16" s="1"/>
  <c r="E24" i="16"/>
  <c r="O24" i="16" s="1"/>
  <c r="D24" i="16"/>
  <c r="N24" i="16" s="1"/>
  <c r="A24" i="16"/>
  <c r="B24" i="16" s="1"/>
  <c r="F23" i="16"/>
  <c r="P23" i="16" s="1"/>
  <c r="E23" i="16"/>
  <c r="O23" i="16" s="1"/>
  <c r="D23" i="16"/>
  <c r="N23" i="16" s="1"/>
  <c r="A23" i="16"/>
  <c r="B23" i="16" s="1"/>
  <c r="F22" i="16"/>
  <c r="P22" i="16" s="1"/>
  <c r="E22" i="16"/>
  <c r="O22" i="16" s="1"/>
  <c r="D22" i="16"/>
  <c r="N22" i="16" s="1"/>
  <c r="A22" i="16"/>
  <c r="B22" i="16" s="1"/>
  <c r="F21" i="16"/>
  <c r="P21" i="16" s="1"/>
  <c r="E21" i="16"/>
  <c r="O21" i="16" s="1"/>
  <c r="D21" i="16"/>
  <c r="N21" i="16" s="1"/>
  <c r="A21" i="16"/>
  <c r="B21" i="16" s="1"/>
  <c r="F20" i="16"/>
  <c r="P20" i="16" s="1"/>
  <c r="E20" i="16"/>
  <c r="O20" i="16" s="1"/>
  <c r="D20" i="16"/>
  <c r="N20" i="16" s="1"/>
  <c r="A20" i="16"/>
  <c r="B20" i="16" s="1"/>
  <c r="F19" i="16"/>
  <c r="P19" i="16" s="1"/>
  <c r="E19" i="16"/>
  <c r="O19" i="16" s="1"/>
  <c r="D19" i="16"/>
  <c r="N19" i="16" s="1"/>
  <c r="A19" i="16"/>
  <c r="B19" i="16" s="1"/>
  <c r="F18" i="16"/>
  <c r="P18" i="16" s="1"/>
  <c r="E18" i="16"/>
  <c r="O18" i="16" s="1"/>
  <c r="D18" i="16"/>
  <c r="N18" i="16" s="1"/>
  <c r="A18" i="16"/>
  <c r="B18" i="16" s="1"/>
  <c r="F17" i="16"/>
  <c r="P17" i="16" s="1"/>
  <c r="E17" i="16"/>
  <c r="O17" i="16" s="1"/>
  <c r="D17" i="16"/>
  <c r="N17" i="16" s="1"/>
  <c r="A17" i="16"/>
  <c r="B17" i="16" s="1"/>
  <c r="F16" i="16"/>
  <c r="P16" i="16" s="1"/>
  <c r="E16" i="16"/>
  <c r="O16" i="16" s="1"/>
  <c r="D16" i="16"/>
  <c r="N16" i="16" s="1"/>
  <c r="A16" i="16"/>
  <c r="B16" i="16" s="1"/>
  <c r="F15" i="16"/>
  <c r="P15" i="16" s="1"/>
  <c r="E15" i="16"/>
  <c r="O15" i="16" s="1"/>
  <c r="D15" i="16"/>
  <c r="N15" i="16" s="1"/>
  <c r="A15" i="16"/>
  <c r="B15" i="16" s="1"/>
  <c r="F14" i="16"/>
  <c r="P14" i="16" s="1"/>
  <c r="E14" i="16"/>
  <c r="O14" i="16" s="1"/>
  <c r="D14" i="16"/>
  <c r="N14" i="16" s="1"/>
  <c r="A14" i="16"/>
  <c r="B14" i="16" s="1"/>
  <c r="F13" i="16"/>
  <c r="P13" i="16" s="1"/>
  <c r="E13" i="16"/>
  <c r="O13" i="16" s="1"/>
  <c r="D13" i="16"/>
  <c r="N13" i="16" s="1"/>
  <c r="A13" i="16"/>
  <c r="B13" i="16" s="1"/>
  <c r="F12" i="16"/>
  <c r="P12" i="16" s="1"/>
  <c r="E12" i="16"/>
  <c r="O12" i="16" s="1"/>
  <c r="D12" i="16"/>
  <c r="N12" i="16" s="1"/>
  <c r="A12" i="16"/>
  <c r="B12" i="16" s="1"/>
  <c r="F11" i="16"/>
  <c r="P11" i="16" s="1"/>
  <c r="E11" i="16"/>
  <c r="O11" i="16" s="1"/>
  <c r="D11" i="16"/>
  <c r="N11" i="16" s="1"/>
  <c r="A11" i="16"/>
  <c r="B11" i="16" s="1"/>
  <c r="F10" i="16"/>
  <c r="P10" i="16" s="1"/>
  <c r="E10" i="16"/>
  <c r="O10" i="16" s="1"/>
  <c r="D10" i="16"/>
  <c r="N10" i="16" s="1"/>
  <c r="A10" i="16"/>
  <c r="B10" i="16" s="1"/>
  <c r="F9" i="16"/>
  <c r="P9" i="16" s="1"/>
  <c r="E9" i="16"/>
  <c r="O9" i="16" s="1"/>
  <c r="D9" i="16"/>
  <c r="N9" i="16" s="1"/>
  <c r="A9" i="16"/>
  <c r="B9" i="16" s="1"/>
  <c r="F8" i="16"/>
  <c r="P8" i="16" s="1"/>
  <c r="E8" i="16"/>
  <c r="O8" i="16" s="1"/>
  <c r="D8" i="16"/>
  <c r="N8" i="16" s="1"/>
  <c r="A8" i="16"/>
  <c r="B8" i="16" s="1"/>
  <c r="F7" i="16"/>
  <c r="P7" i="16" s="1"/>
  <c r="E7" i="16"/>
  <c r="O7" i="16" s="1"/>
  <c r="D7" i="16"/>
  <c r="N7" i="16" s="1"/>
  <c r="A7" i="16"/>
  <c r="B7" i="16" s="1"/>
  <c r="F6" i="16"/>
  <c r="P6" i="16" s="1"/>
  <c r="E6" i="16"/>
  <c r="O6" i="16" s="1"/>
  <c r="D6" i="16"/>
  <c r="N6" i="16" s="1"/>
  <c r="A6" i="16"/>
  <c r="B6" i="16" s="1"/>
  <c r="F5" i="16"/>
  <c r="P5" i="16" s="1"/>
  <c r="E5" i="16"/>
  <c r="O5" i="16" s="1"/>
  <c r="D5" i="16"/>
  <c r="N5" i="16" s="1"/>
  <c r="A5" i="16"/>
  <c r="B5" i="16" s="1"/>
  <c r="F4" i="16"/>
  <c r="P4" i="16" s="1"/>
  <c r="E4" i="16"/>
  <c r="O4" i="16" s="1"/>
  <c r="D4" i="16"/>
  <c r="N4" i="16" s="1"/>
  <c r="A4" i="16"/>
  <c r="B4" i="16" s="1"/>
  <c r="F3" i="16"/>
  <c r="P3" i="16" s="1"/>
  <c r="E3" i="16"/>
  <c r="O3" i="16" s="1"/>
  <c r="D3" i="16"/>
  <c r="N3" i="16" s="1"/>
  <c r="A3" i="16"/>
  <c r="B3" i="16" s="1"/>
  <c r="F2" i="16"/>
  <c r="P2" i="16" s="1"/>
  <c r="E2" i="16"/>
  <c r="O2" i="16" s="1"/>
  <c r="D2" i="16"/>
  <c r="N2" i="16" s="1"/>
  <c r="A2" i="16"/>
  <c r="B2" i="16" s="1"/>
  <c r="F1" i="16"/>
  <c r="P1" i="16" s="1"/>
  <c r="E1" i="16"/>
  <c r="O1" i="16" s="1"/>
  <c r="D1" i="16"/>
  <c r="N1" i="16" s="1"/>
  <c r="C1" i="16"/>
  <c r="A1" i="16"/>
  <c r="V4" i="16" l="1"/>
  <c r="V8" i="16"/>
  <c r="V12" i="16"/>
  <c r="V5" i="16"/>
  <c r="W5" i="16" s="1"/>
  <c r="V9" i="16"/>
  <c r="V13" i="16"/>
  <c r="V2" i="16"/>
  <c r="V6" i="16"/>
  <c r="V10" i="16"/>
  <c r="V3" i="16"/>
  <c r="V7" i="16"/>
  <c r="W7" i="16" s="1"/>
  <c r="V11" i="16"/>
  <c r="W11" i="16" s="1"/>
  <c r="H29" i="19"/>
  <c r="P29" i="19"/>
  <c r="L29" i="19"/>
  <c r="C11" i="32"/>
  <c r="I11" i="32" s="1"/>
  <c r="Q29" i="19"/>
  <c r="I29" i="19"/>
  <c r="M29" i="19"/>
  <c r="G29" i="19"/>
  <c r="K29" i="19"/>
  <c r="O29" i="19"/>
  <c r="J29" i="19"/>
  <c r="N29" i="19"/>
  <c r="H30" i="19"/>
  <c r="L30" i="19"/>
  <c r="P30" i="19"/>
  <c r="I30" i="19"/>
  <c r="M30" i="19"/>
  <c r="J30" i="19"/>
  <c r="N30" i="19"/>
  <c r="Q30" i="19"/>
  <c r="G30" i="19"/>
  <c r="K30" i="19"/>
  <c r="O30" i="19"/>
  <c r="F30" i="19"/>
  <c r="C9" i="12"/>
  <c r="C5" i="12"/>
  <c r="C8" i="12"/>
  <c r="C6" i="12"/>
  <c r="C7" i="12"/>
  <c r="C4" i="12"/>
  <c r="T3" i="21"/>
  <c r="V3" i="21" s="1"/>
  <c r="T7" i="21"/>
  <c r="V7" i="21" s="1"/>
  <c r="T13" i="21"/>
  <c r="V13" i="21" s="1"/>
  <c r="T16" i="21"/>
  <c r="V16" i="21" s="1"/>
  <c r="T19" i="21"/>
  <c r="V19" i="21" s="1"/>
  <c r="T21" i="21"/>
  <c r="V21" i="21" s="1"/>
  <c r="T26" i="21"/>
  <c r="V26" i="21" s="1"/>
  <c r="T29" i="21"/>
  <c r="V29" i="21" s="1"/>
  <c r="T35" i="21"/>
  <c r="V35" i="21" s="1"/>
  <c r="T38" i="21"/>
  <c r="V38" i="21" s="1"/>
  <c r="T41" i="21"/>
  <c r="V41" i="21" s="1"/>
  <c r="T46" i="21"/>
  <c r="V46" i="21" s="1"/>
  <c r="T49" i="21"/>
  <c r="V49" i="21" s="1"/>
  <c r="T52" i="21"/>
  <c r="V52" i="21" s="1"/>
  <c r="T55" i="21"/>
  <c r="V55" i="21" s="1"/>
  <c r="T57" i="21"/>
  <c r="V57" i="21" s="1"/>
  <c r="T60" i="21"/>
  <c r="V60" i="21" s="1"/>
  <c r="H9" i="12"/>
  <c r="H5" i="12"/>
  <c r="H8" i="12"/>
  <c r="H4" i="12"/>
  <c r="I9" i="12"/>
  <c r="H7" i="12"/>
  <c r="H6" i="12"/>
  <c r="T4" i="21"/>
  <c r="U4" i="21" s="1"/>
  <c r="T8" i="21"/>
  <c r="V8" i="21" s="1"/>
  <c r="T10" i="21"/>
  <c r="V10" i="21" s="1"/>
  <c r="T14" i="21"/>
  <c r="U14" i="21" s="1"/>
  <c r="T17" i="21"/>
  <c r="V17" i="21" s="1"/>
  <c r="T22" i="21"/>
  <c r="V22" i="21" s="1"/>
  <c r="T25" i="21"/>
  <c r="V25" i="21" s="1"/>
  <c r="T27" i="21"/>
  <c r="U27" i="21" s="1"/>
  <c r="T30" i="21"/>
  <c r="V30" i="21" s="1"/>
  <c r="T33" i="21"/>
  <c r="V33" i="21" s="1"/>
  <c r="T39" i="21"/>
  <c r="U39" i="21" s="1"/>
  <c r="T44" i="21"/>
  <c r="V44" i="21" s="1"/>
  <c r="T47" i="21"/>
  <c r="V47" i="21" s="1"/>
  <c r="T56" i="21"/>
  <c r="V56" i="21" s="1"/>
  <c r="T5" i="21"/>
  <c r="V5" i="21" s="1"/>
  <c r="T11" i="21"/>
  <c r="V11" i="21" s="1"/>
  <c r="T20" i="21"/>
  <c r="V20" i="21" s="1"/>
  <c r="T23" i="21"/>
  <c r="V23" i="21" s="1"/>
  <c r="T31" i="21"/>
  <c r="V31" i="21" s="1"/>
  <c r="T36" i="21"/>
  <c r="V36" i="21" s="1"/>
  <c r="T40" i="21"/>
  <c r="V40" i="21" s="1"/>
  <c r="T42" i="21"/>
  <c r="V42" i="21" s="1"/>
  <c r="T48" i="21"/>
  <c r="V48" i="21" s="1"/>
  <c r="T50" i="21"/>
  <c r="V50" i="21" s="1"/>
  <c r="T53" i="21"/>
  <c r="V53" i="21" s="1"/>
  <c r="T58" i="21"/>
  <c r="V58" i="21" s="1"/>
  <c r="T61" i="21"/>
  <c r="V61" i="21" s="1"/>
  <c r="T2" i="21"/>
  <c r="V2" i="21" s="1"/>
  <c r="T6" i="21"/>
  <c r="V6" i="21" s="1"/>
  <c r="T9" i="21"/>
  <c r="V9" i="21" s="1"/>
  <c r="T12" i="21"/>
  <c r="V12" i="21" s="1"/>
  <c r="T15" i="21"/>
  <c r="V15" i="21" s="1"/>
  <c r="T18" i="21"/>
  <c r="V18" i="21" s="1"/>
  <c r="T24" i="21"/>
  <c r="V24" i="21" s="1"/>
  <c r="T28" i="21"/>
  <c r="V28" i="21" s="1"/>
  <c r="T32" i="21"/>
  <c r="V32" i="21" s="1"/>
  <c r="T34" i="21"/>
  <c r="V34" i="21" s="1"/>
  <c r="T37" i="21"/>
  <c r="V37" i="21" s="1"/>
  <c r="T43" i="21"/>
  <c r="V43" i="21" s="1"/>
  <c r="T45" i="21"/>
  <c r="V45" i="21" s="1"/>
  <c r="T51" i="21"/>
  <c r="V51" i="21" s="1"/>
  <c r="T54" i="21"/>
  <c r="T59" i="21"/>
  <c r="V59" i="21" s="1"/>
  <c r="W3" i="16"/>
  <c r="W13" i="16"/>
  <c r="W6" i="16"/>
  <c r="W8" i="16"/>
  <c r="W9" i="16"/>
  <c r="W10" i="16"/>
  <c r="G53" i="19"/>
  <c r="G59" i="19"/>
  <c r="G57" i="19"/>
  <c r="G55" i="19"/>
  <c r="M67" i="19" s="1"/>
  <c r="G58" i="19"/>
  <c r="G56" i="19"/>
  <c r="G54" i="19"/>
  <c r="O57" i="19"/>
  <c r="O55" i="19"/>
  <c r="M75" i="19" s="1"/>
  <c r="O59" i="19"/>
  <c r="O58" i="19"/>
  <c r="O56" i="19"/>
  <c r="O54" i="19"/>
  <c r="H59" i="19"/>
  <c r="H58" i="19"/>
  <c r="H57" i="19"/>
  <c r="H56" i="19"/>
  <c r="H55" i="19"/>
  <c r="M68" i="19" s="1"/>
  <c r="H54" i="19"/>
  <c r="P59" i="19"/>
  <c r="P58" i="19"/>
  <c r="P57" i="19"/>
  <c r="P56" i="19"/>
  <c r="P55" i="19"/>
  <c r="M76" i="19" s="1"/>
  <c r="P54" i="19"/>
  <c r="I59" i="19"/>
  <c r="I58" i="19"/>
  <c r="I57" i="19"/>
  <c r="I56" i="19"/>
  <c r="I55" i="19"/>
  <c r="M69" i="19" s="1"/>
  <c r="I54" i="19"/>
  <c r="M59" i="19"/>
  <c r="M58" i="19"/>
  <c r="M57" i="19"/>
  <c r="M56" i="19"/>
  <c r="M55" i="19"/>
  <c r="M73" i="19" s="1"/>
  <c r="M54" i="19"/>
  <c r="K59" i="19"/>
  <c r="K58" i="19"/>
  <c r="K56" i="19"/>
  <c r="K54" i="19"/>
  <c r="K57" i="19"/>
  <c r="K55" i="19"/>
  <c r="M71" i="19" s="1"/>
  <c r="Q59" i="19"/>
  <c r="Q58" i="19"/>
  <c r="Q57" i="19"/>
  <c r="Q56" i="19"/>
  <c r="Q55" i="19"/>
  <c r="M77" i="19" s="1"/>
  <c r="Q54" i="19"/>
  <c r="L59" i="19"/>
  <c r="L58" i="19"/>
  <c r="L57" i="19"/>
  <c r="L56" i="19"/>
  <c r="L55" i="19"/>
  <c r="M72" i="19" s="1"/>
  <c r="L54" i="19"/>
  <c r="F59" i="19"/>
  <c r="F57" i="19"/>
  <c r="F55" i="19"/>
  <c r="M66" i="19" s="1"/>
  <c r="F58" i="19"/>
  <c r="F56" i="19"/>
  <c r="F54" i="19"/>
  <c r="J58" i="19"/>
  <c r="J56" i="19"/>
  <c r="J54" i="19"/>
  <c r="J59" i="19"/>
  <c r="J57" i="19"/>
  <c r="J55" i="19"/>
  <c r="M70" i="19" s="1"/>
  <c r="N59" i="19"/>
  <c r="N57" i="19"/>
  <c r="N55" i="19"/>
  <c r="M74" i="19" s="1"/>
  <c r="N58" i="19"/>
  <c r="N56" i="19"/>
  <c r="N54" i="19"/>
  <c r="H53" i="19"/>
  <c r="F53" i="19"/>
  <c r="I28" i="19"/>
  <c r="I27" i="19"/>
  <c r="I26" i="19"/>
  <c r="I25" i="19"/>
  <c r="M28" i="19"/>
  <c r="M27" i="19"/>
  <c r="M26" i="19"/>
  <c r="M25" i="19"/>
  <c r="F27" i="19"/>
  <c r="F25" i="19"/>
  <c r="F28" i="19"/>
  <c r="F26" i="19"/>
  <c r="J28" i="19"/>
  <c r="J26" i="19"/>
  <c r="J27" i="19"/>
  <c r="J25" i="19"/>
  <c r="N27" i="19"/>
  <c r="N25" i="19"/>
  <c r="N28" i="19"/>
  <c r="N26" i="19"/>
  <c r="Q28" i="19"/>
  <c r="Q27" i="19"/>
  <c r="Q26" i="19"/>
  <c r="Q25" i="19"/>
  <c r="G27" i="19"/>
  <c r="G25" i="19"/>
  <c r="G28" i="19"/>
  <c r="G26" i="19"/>
  <c r="K28" i="19"/>
  <c r="K26" i="19"/>
  <c r="K27" i="19"/>
  <c r="K25" i="19"/>
  <c r="O27" i="19"/>
  <c r="O25" i="19"/>
  <c r="O28" i="19"/>
  <c r="O26" i="19"/>
  <c r="H28" i="19"/>
  <c r="H27" i="19"/>
  <c r="H26" i="19"/>
  <c r="H25" i="19"/>
  <c r="L28" i="19"/>
  <c r="L27" i="19"/>
  <c r="L26" i="19"/>
  <c r="L25" i="19"/>
  <c r="P28" i="19"/>
  <c r="P27" i="19"/>
  <c r="P26" i="19"/>
  <c r="P25" i="19"/>
  <c r="AO4" i="18"/>
  <c r="H12" i="32" s="1"/>
  <c r="AO8" i="18"/>
  <c r="AO5" i="18"/>
  <c r="H13" i="32" s="1"/>
  <c r="AO6" i="18"/>
  <c r="H14" i="32" s="1"/>
  <c r="AO7" i="18"/>
  <c r="H15" i="32" s="1"/>
  <c r="H72" i="28"/>
  <c r="S71" i="28"/>
  <c r="R92" i="28"/>
  <c r="R82" i="28"/>
  <c r="R71" i="28"/>
  <c r="F62" i="17"/>
  <c r="U37" i="21"/>
  <c r="U9" i="21"/>
  <c r="U41" i="21"/>
  <c r="U12" i="21"/>
  <c r="U52" i="21"/>
  <c r="U7" i="21"/>
  <c r="U31" i="21"/>
  <c r="U43" i="21"/>
  <c r="U59" i="21"/>
  <c r="U38" i="21"/>
  <c r="U54" i="21"/>
  <c r="Q24" i="19"/>
  <c r="L77" i="19" s="1"/>
  <c r="Q23" i="19"/>
  <c r="G23" i="19"/>
  <c r="K23" i="19"/>
  <c r="O23" i="19"/>
  <c r="I23" i="19"/>
  <c r="M23" i="19"/>
  <c r="G24" i="19"/>
  <c r="L67" i="19" s="1"/>
  <c r="K24" i="19"/>
  <c r="L71" i="19" s="1"/>
  <c r="O24" i="19"/>
  <c r="L75" i="19" s="1"/>
  <c r="H24" i="19"/>
  <c r="L68" i="19" s="1"/>
  <c r="L24" i="19"/>
  <c r="L72" i="19" s="1"/>
  <c r="P24" i="19"/>
  <c r="L76" i="19" s="1"/>
  <c r="H23" i="19"/>
  <c r="L23" i="19"/>
  <c r="P23" i="19"/>
  <c r="I24" i="19"/>
  <c r="L69" i="19" s="1"/>
  <c r="M24" i="19"/>
  <c r="L73" i="19" s="1"/>
  <c r="F24" i="19"/>
  <c r="L66" i="19" s="1"/>
  <c r="J24" i="19"/>
  <c r="L70" i="19" s="1"/>
  <c r="N24" i="19"/>
  <c r="L74" i="19" s="1"/>
  <c r="F23" i="19"/>
  <c r="J23" i="19"/>
  <c r="N23" i="19"/>
  <c r="W4" i="16"/>
  <c r="W12" i="16"/>
  <c r="U42" i="21" l="1"/>
  <c r="U56" i="21"/>
  <c r="U24" i="21"/>
  <c r="U21" i="21"/>
  <c r="U58" i="21"/>
  <c r="U22" i="21"/>
  <c r="U23" i="21"/>
  <c r="U8" i="21"/>
  <c r="U33" i="21"/>
  <c r="AP9" i="18"/>
  <c r="H16" i="32"/>
  <c r="U44" i="21"/>
  <c r="U19" i="21"/>
  <c r="U18" i="21"/>
  <c r="U60" i="21"/>
  <c r="U17" i="21"/>
  <c r="U11" i="21"/>
  <c r="U36" i="21"/>
  <c r="U34" i="21"/>
  <c r="U6" i="21"/>
  <c r="U35" i="21"/>
  <c r="U30" i="21"/>
  <c r="U20" i="21"/>
  <c r="U47" i="21"/>
  <c r="U3" i="21"/>
  <c r="U49" i="21"/>
  <c r="U40" i="21"/>
  <c r="U51" i="21"/>
  <c r="U53" i="21"/>
  <c r="D9" i="18"/>
  <c r="D4" i="12"/>
  <c r="U2" i="21"/>
  <c r="U46" i="21"/>
  <c r="U55" i="21"/>
  <c r="U48" i="21"/>
  <c r="U28" i="21"/>
  <c r="U16" i="21"/>
  <c r="U50" i="21"/>
  <c r="U57" i="21"/>
  <c r="U29" i="21"/>
  <c r="U32" i="21"/>
  <c r="U26" i="21"/>
  <c r="U10" i="21"/>
  <c r="U15" i="21"/>
  <c r="U61" i="21"/>
  <c r="U45" i="21"/>
  <c r="U13" i="21"/>
  <c r="U25" i="21"/>
  <c r="U5" i="21"/>
  <c r="I5" i="12"/>
  <c r="V14" i="21"/>
  <c r="I7" i="12"/>
  <c r="V39" i="21"/>
  <c r="I8" i="12"/>
  <c r="V54" i="21"/>
  <c r="I4" i="12"/>
  <c r="V4" i="21"/>
  <c r="I6" i="12"/>
  <c r="V27" i="21"/>
  <c r="H61" i="19"/>
  <c r="H68" i="19"/>
  <c r="G61" i="19"/>
  <c r="H67" i="19"/>
  <c r="H66" i="19"/>
  <c r="F61" i="19"/>
  <c r="J9" i="12"/>
  <c r="D6" i="18"/>
  <c r="D5" i="18"/>
  <c r="D8" i="18"/>
  <c r="D7" i="18"/>
  <c r="AO10" i="18"/>
  <c r="H17" i="32"/>
  <c r="G76" i="19"/>
  <c r="G75" i="19"/>
  <c r="G70" i="19"/>
  <c r="H75" i="19"/>
  <c r="H70" i="19"/>
  <c r="G72" i="19"/>
  <c r="G71" i="19"/>
  <c r="H76" i="19"/>
  <c r="H71" i="19"/>
  <c r="G73" i="19"/>
  <c r="G68" i="19"/>
  <c r="G67" i="19"/>
  <c r="H72" i="19"/>
  <c r="H73" i="19"/>
  <c r="G77" i="19"/>
  <c r="G69" i="19"/>
  <c r="G74" i="19"/>
  <c r="H74" i="19"/>
  <c r="H69" i="19"/>
  <c r="H77" i="19"/>
  <c r="G66" i="19"/>
  <c r="AP5" i="18"/>
  <c r="AP6" i="18"/>
  <c r="AJ8" i="18"/>
  <c r="M9" i="29"/>
  <c r="N9" i="29" s="1"/>
  <c r="AP7" i="18"/>
  <c r="AJ5" i="18"/>
  <c r="G13" i="32" s="1"/>
  <c r="M6" i="29"/>
  <c r="N6" i="29" s="1"/>
  <c r="AJ4" i="18"/>
  <c r="G12" i="32" s="1"/>
  <c r="M5" i="29"/>
  <c r="N5" i="29" s="1"/>
  <c r="AJ6" i="18"/>
  <c r="G14" i="32" s="1"/>
  <c r="M7" i="29"/>
  <c r="N7" i="29" s="1"/>
  <c r="AP8" i="18"/>
  <c r="AJ7" i="18"/>
  <c r="G15" i="32" s="1"/>
  <c r="M8" i="29"/>
  <c r="N8" i="29" s="1"/>
  <c r="H73" i="28"/>
  <c r="S72" i="28"/>
  <c r="R93" i="28"/>
  <c r="R72" i="28"/>
  <c r="R83" i="28"/>
  <c r="F63" i="17"/>
  <c r="P62" i="17"/>
  <c r="W2" i="16"/>
  <c r="AK9" i="18" l="1"/>
  <c r="G16" i="32"/>
  <c r="U74" i="21"/>
  <c r="J12" i="12" s="1"/>
  <c r="E5" i="27"/>
  <c r="E5" i="28"/>
  <c r="E8" i="27"/>
  <c r="E8" i="28"/>
  <c r="D8" i="27"/>
  <c r="D8" i="28"/>
  <c r="E4" i="27"/>
  <c r="E4" i="28"/>
  <c r="E6" i="27"/>
  <c r="E6" i="28"/>
  <c r="D9" i="27"/>
  <c r="D9" i="28"/>
  <c r="D6" i="27"/>
  <c r="D6" i="28"/>
  <c r="D10" i="27"/>
  <c r="D10" i="28"/>
  <c r="D5" i="27"/>
  <c r="D5" i="28"/>
  <c r="D11" i="27"/>
  <c r="D11" i="28"/>
  <c r="E10" i="27"/>
  <c r="E10" i="28"/>
  <c r="D4" i="27"/>
  <c r="D4" i="28"/>
  <c r="D13" i="27"/>
  <c r="D13" i="28"/>
  <c r="E7" i="27"/>
  <c r="E7" i="28"/>
  <c r="D12" i="27"/>
  <c r="D12" i="28"/>
  <c r="E11" i="27"/>
  <c r="E11" i="28"/>
  <c r="E9" i="27"/>
  <c r="E9" i="28"/>
  <c r="E12" i="27"/>
  <c r="E12" i="28"/>
  <c r="D3" i="27"/>
  <c r="D3" i="28"/>
  <c r="E13" i="27"/>
  <c r="E13" i="28"/>
  <c r="E3" i="27"/>
  <c r="E3" i="28"/>
  <c r="D7" i="27"/>
  <c r="D7" i="28"/>
  <c r="E2" i="27"/>
  <c r="Q2" i="27" s="1"/>
  <c r="E2" i="28"/>
  <c r="D2" i="27"/>
  <c r="D14" i="27" s="1"/>
  <c r="D2" i="28"/>
  <c r="D5" i="22"/>
  <c r="D11" i="22"/>
  <c r="E12" i="22"/>
  <c r="D13" i="22"/>
  <c r="D7" i="22"/>
  <c r="D12" i="22"/>
  <c r="E3" i="22"/>
  <c r="E5" i="22"/>
  <c r="E8" i="22"/>
  <c r="D8" i="22"/>
  <c r="E10" i="22"/>
  <c r="D3" i="22"/>
  <c r="E6" i="22"/>
  <c r="E9" i="22"/>
  <c r="E4" i="22"/>
  <c r="D4" i="22"/>
  <c r="E11" i="22"/>
  <c r="E7" i="22"/>
  <c r="E13" i="22"/>
  <c r="D10" i="22"/>
  <c r="D9" i="22"/>
  <c r="D6" i="22"/>
  <c r="D13" i="17"/>
  <c r="D25" i="17" s="1"/>
  <c r="D37" i="17" s="1"/>
  <c r="E7" i="17"/>
  <c r="E19" i="17" s="1"/>
  <c r="E31" i="17" s="1"/>
  <c r="E43" i="17" s="1"/>
  <c r="E55" i="17" s="1"/>
  <c r="E67" i="17" s="1"/>
  <c r="E79" i="17" s="1"/>
  <c r="E91" i="17" s="1"/>
  <c r="E103" i="17" s="1"/>
  <c r="E115" i="17" s="1"/>
  <c r="E127" i="17" s="1"/>
  <c r="E139" i="17" s="1"/>
  <c r="D12" i="17"/>
  <c r="D24" i="17" s="1"/>
  <c r="D36" i="17" s="1"/>
  <c r="D48" i="17" s="1"/>
  <c r="D60" i="17" s="1"/>
  <c r="D72" i="17" s="1"/>
  <c r="D84" i="17" s="1"/>
  <c r="D96" i="17" s="1"/>
  <c r="D108" i="17" s="1"/>
  <c r="D120" i="17" s="1"/>
  <c r="D132" i="17" s="1"/>
  <c r="D144" i="17" s="1"/>
  <c r="E13" i="17"/>
  <c r="E25" i="17" s="1"/>
  <c r="E37" i="17" s="1"/>
  <c r="E49" i="17" s="1"/>
  <c r="E61" i="17" s="1"/>
  <c r="E73" i="17" s="1"/>
  <c r="E85" i="17" s="1"/>
  <c r="E97" i="17" s="1"/>
  <c r="E109" i="17" s="1"/>
  <c r="E121" i="17" s="1"/>
  <c r="E133" i="17" s="1"/>
  <c r="E145" i="17" s="1"/>
  <c r="E3" i="17"/>
  <c r="E15" i="17" s="1"/>
  <c r="E27" i="17" s="1"/>
  <c r="E39" i="17" s="1"/>
  <c r="E51" i="17" s="1"/>
  <c r="E63" i="17" s="1"/>
  <c r="E75" i="17" s="1"/>
  <c r="E87" i="17" s="1"/>
  <c r="E99" i="17" s="1"/>
  <c r="E111" i="17" s="1"/>
  <c r="E123" i="17" s="1"/>
  <c r="E135" i="17" s="1"/>
  <c r="D7" i="17"/>
  <c r="D19" i="17" s="1"/>
  <c r="D31" i="17" s="1"/>
  <c r="D43" i="17" s="1"/>
  <c r="D55" i="17" s="1"/>
  <c r="D67" i="17" s="1"/>
  <c r="D79" i="17" s="1"/>
  <c r="D91" i="17" s="1"/>
  <c r="D103" i="17" s="1"/>
  <c r="D115" i="17" s="1"/>
  <c r="D127" i="17" s="1"/>
  <c r="D139" i="17" s="1"/>
  <c r="E5" i="17"/>
  <c r="E17" i="17" s="1"/>
  <c r="E29" i="17" s="1"/>
  <c r="E41" i="17" s="1"/>
  <c r="E53" i="17" s="1"/>
  <c r="E65" i="17" s="1"/>
  <c r="E77" i="17" s="1"/>
  <c r="E89" i="17" s="1"/>
  <c r="E101" i="17" s="1"/>
  <c r="E113" i="17" s="1"/>
  <c r="E125" i="17" s="1"/>
  <c r="E137" i="17" s="1"/>
  <c r="E8" i="17"/>
  <c r="E20" i="17" s="1"/>
  <c r="E32" i="17" s="1"/>
  <c r="E44" i="17" s="1"/>
  <c r="E56" i="17" s="1"/>
  <c r="E68" i="17" s="1"/>
  <c r="E80" i="17" s="1"/>
  <c r="E92" i="17" s="1"/>
  <c r="E104" i="17" s="1"/>
  <c r="E116" i="17" s="1"/>
  <c r="E128" i="17" s="1"/>
  <c r="E140" i="17" s="1"/>
  <c r="D8" i="17"/>
  <c r="D20" i="17" s="1"/>
  <c r="D32" i="17" s="1"/>
  <c r="D44" i="17" s="1"/>
  <c r="D56" i="17" s="1"/>
  <c r="D68" i="17" s="1"/>
  <c r="D80" i="17" s="1"/>
  <c r="D92" i="17" s="1"/>
  <c r="D104" i="17" s="1"/>
  <c r="D116" i="17" s="1"/>
  <c r="D128" i="17" s="1"/>
  <c r="D140" i="17" s="1"/>
  <c r="E9" i="17"/>
  <c r="E21" i="17" s="1"/>
  <c r="E33" i="17" s="1"/>
  <c r="E45" i="17" s="1"/>
  <c r="E57" i="17" s="1"/>
  <c r="E69" i="17" s="1"/>
  <c r="E81" i="17" s="1"/>
  <c r="E93" i="17" s="1"/>
  <c r="E105" i="17" s="1"/>
  <c r="E117" i="17" s="1"/>
  <c r="E129" i="17" s="1"/>
  <c r="E141" i="17" s="1"/>
  <c r="E10" i="17"/>
  <c r="E22" i="17" s="1"/>
  <c r="E34" i="17" s="1"/>
  <c r="E46" i="17" s="1"/>
  <c r="E58" i="17" s="1"/>
  <c r="E70" i="17" s="1"/>
  <c r="E82" i="17" s="1"/>
  <c r="E94" i="17" s="1"/>
  <c r="E106" i="17" s="1"/>
  <c r="E118" i="17" s="1"/>
  <c r="E130" i="17" s="1"/>
  <c r="E142" i="17" s="1"/>
  <c r="D3" i="17"/>
  <c r="D15" i="17" s="1"/>
  <c r="D27" i="17" s="1"/>
  <c r="D39" i="17" s="1"/>
  <c r="D51" i="17" s="1"/>
  <c r="D63" i="17" s="1"/>
  <c r="D75" i="17" s="1"/>
  <c r="D87" i="17" s="1"/>
  <c r="D99" i="17" s="1"/>
  <c r="D111" i="17" s="1"/>
  <c r="D123" i="17" s="1"/>
  <c r="D135" i="17" s="1"/>
  <c r="E6" i="17"/>
  <c r="E18" i="17" s="1"/>
  <c r="E30" i="17" s="1"/>
  <c r="E42" i="17" s="1"/>
  <c r="E54" i="17" s="1"/>
  <c r="E66" i="17" s="1"/>
  <c r="E78" i="17" s="1"/>
  <c r="E90" i="17" s="1"/>
  <c r="E102" i="17" s="1"/>
  <c r="E114" i="17" s="1"/>
  <c r="E126" i="17" s="1"/>
  <c r="E138" i="17" s="1"/>
  <c r="E4" i="17"/>
  <c r="E16" i="17" s="1"/>
  <c r="E28" i="17" s="1"/>
  <c r="E40" i="17" s="1"/>
  <c r="E52" i="17" s="1"/>
  <c r="E64" i="17" s="1"/>
  <c r="E76" i="17" s="1"/>
  <c r="E88" i="17" s="1"/>
  <c r="E100" i="17" s="1"/>
  <c r="E112" i="17" s="1"/>
  <c r="E124" i="17" s="1"/>
  <c r="E136" i="17" s="1"/>
  <c r="D4" i="17"/>
  <c r="D16" i="17" s="1"/>
  <c r="D28" i="17" s="1"/>
  <c r="D40" i="17" s="1"/>
  <c r="D52" i="17" s="1"/>
  <c r="D64" i="17" s="1"/>
  <c r="D76" i="17" s="1"/>
  <c r="D88" i="17" s="1"/>
  <c r="D100" i="17" s="1"/>
  <c r="D112" i="17" s="1"/>
  <c r="D124" i="17" s="1"/>
  <c r="D136" i="17" s="1"/>
  <c r="E11" i="17"/>
  <c r="E23" i="17" s="1"/>
  <c r="E35" i="17" s="1"/>
  <c r="E47" i="17" s="1"/>
  <c r="E59" i="17" s="1"/>
  <c r="E71" i="17" s="1"/>
  <c r="E83" i="17" s="1"/>
  <c r="E95" i="17" s="1"/>
  <c r="E107" i="17" s="1"/>
  <c r="E119" i="17" s="1"/>
  <c r="E131" i="17" s="1"/>
  <c r="E143" i="17" s="1"/>
  <c r="D10" i="17"/>
  <c r="D22" i="17" s="1"/>
  <c r="D34" i="17" s="1"/>
  <c r="D46" i="17" s="1"/>
  <c r="D58" i="17" s="1"/>
  <c r="D70" i="17" s="1"/>
  <c r="D82" i="17" s="1"/>
  <c r="D94" i="17" s="1"/>
  <c r="D106" i="17" s="1"/>
  <c r="D118" i="17" s="1"/>
  <c r="D130" i="17" s="1"/>
  <c r="D142" i="17" s="1"/>
  <c r="D9" i="17"/>
  <c r="D21" i="17" s="1"/>
  <c r="D33" i="17" s="1"/>
  <c r="D45" i="17" s="1"/>
  <c r="D57" i="17" s="1"/>
  <c r="D69" i="17" s="1"/>
  <c r="D81" i="17" s="1"/>
  <c r="D93" i="17" s="1"/>
  <c r="D105" i="17" s="1"/>
  <c r="D117" i="17" s="1"/>
  <c r="D129" i="17" s="1"/>
  <c r="D141" i="17" s="1"/>
  <c r="D6" i="17"/>
  <c r="D18" i="17" s="1"/>
  <c r="D30" i="17" s="1"/>
  <c r="D42" i="17" s="1"/>
  <c r="D54" i="17" s="1"/>
  <c r="D66" i="17" s="1"/>
  <c r="D78" i="17" s="1"/>
  <c r="D90" i="17" s="1"/>
  <c r="D102" i="17" s="1"/>
  <c r="D114" i="17" s="1"/>
  <c r="D126" i="17" s="1"/>
  <c r="D138" i="17" s="1"/>
  <c r="E12" i="17"/>
  <c r="E24" i="17" s="1"/>
  <c r="E36" i="17" s="1"/>
  <c r="E48" i="17" s="1"/>
  <c r="E60" i="17" s="1"/>
  <c r="E72" i="17" s="1"/>
  <c r="E84" i="17" s="1"/>
  <c r="E96" i="17" s="1"/>
  <c r="E108" i="17" s="1"/>
  <c r="E120" i="17" s="1"/>
  <c r="E132" i="17" s="1"/>
  <c r="E144" i="17" s="1"/>
  <c r="D5" i="17"/>
  <c r="D17" i="17" s="1"/>
  <c r="D29" i="17" s="1"/>
  <c r="D41" i="17" s="1"/>
  <c r="D53" i="17" s="1"/>
  <c r="D65" i="17" s="1"/>
  <c r="D77" i="17" s="1"/>
  <c r="D89" i="17" s="1"/>
  <c r="D101" i="17" s="1"/>
  <c r="D113" i="17" s="1"/>
  <c r="D125" i="17" s="1"/>
  <c r="D137" i="17" s="1"/>
  <c r="D11" i="17"/>
  <c r="D23" i="17" s="1"/>
  <c r="D35" i="17" s="1"/>
  <c r="D47" i="17" s="1"/>
  <c r="D59" i="17" s="1"/>
  <c r="D71" i="17" s="1"/>
  <c r="D83" i="17" s="1"/>
  <c r="D95" i="17" s="1"/>
  <c r="D107" i="17" s="1"/>
  <c r="D119" i="17" s="1"/>
  <c r="D131" i="17" s="1"/>
  <c r="D143" i="17" s="1"/>
  <c r="E2" i="17"/>
  <c r="O2" i="17" s="1"/>
  <c r="E2" i="22"/>
  <c r="D2" i="17"/>
  <c r="D14" i="17" s="1"/>
  <c r="D26" i="17" s="1"/>
  <c r="D38" i="17" s="1"/>
  <c r="D50" i="17" s="1"/>
  <c r="D62" i="17" s="1"/>
  <c r="D74" i="17" s="1"/>
  <c r="D86" i="17" s="1"/>
  <c r="D98" i="17" s="1"/>
  <c r="D110" i="17" s="1"/>
  <c r="D122" i="17" s="1"/>
  <c r="D134" i="17" s="1"/>
  <c r="D2" i="22"/>
  <c r="O10" i="17"/>
  <c r="AK7" i="18"/>
  <c r="AO11" i="18"/>
  <c r="H18" i="32"/>
  <c r="H27" i="32" s="1"/>
  <c r="AK8" i="18"/>
  <c r="AK6" i="18"/>
  <c r="AK5" i="18"/>
  <c r="H74" i="28"/>
  <c r="S73" i="28"/>
  <c r="R94" i="28"/>
  <c r="R73" i="28"/>
  <c r="R84" i="28"/>
  <c r="P63" i="17"/>
  <c r="F64" i="17"/>
  <c r="E14" i="27" l="1"/>
  <c r="Q14" i="27" s="1"/>
  <c r="N6" i="17"/>
  <c r="E23" i="28"/>
  <c r="P11" i="28"/>
  <c r="O4" i="28"/>
  <c r="D16" i="28"/>
  <c r="D22" i="28"/>
  <c r="O10" i="28"/>
  <c r="E16" i="28"/>
  <c r="P4" i="28"/>
  <c r="D15" i="28"/>
  <c r="O3" i="28"/>
  <c r="O12" i="28"/>
  <c r="D24" i="28"/>
  <c r="E22" i="28"/>
  <c r="P10" i="28"/>
  <c r="D18" i="28"/>
  <c r="O6" i="28"/>
  <c r="O8" i="28"/>
  <c r="D20" i="28"/>
  <c r="O7" i="28"/>
  <c r="D19" i="28"/>
  <c r="E24" i="28"/>
  <c r="P12" i="28"/>
  <c r="E19" i="28"/>
  <c r="P7" i="28"/>
  <c r="O11" i="28"/>
  <c r="D23" i="28"/>
  <c r="O9" i="28"/>
  <c r="D21" i="28"/>
  <c r="P8" i="28"/>
  <c r="E20" i="28"/>
  <c r="P2" i="27"/>
  <c r="Z2" i="27" s="1"/>
  <c r="E15" i="28"/>
  <c r="P3" i="28"/>
  <c r="E21" i="28"/>
  <c r="P9" i="28"/>
  <c r="X9" i="28" s="1"/>
  <c r="O13" i="28"/>
  <c r="D25" i="28"/>
  <c r="O5" i="28"/>
  <c r="D17" i="28"/>
  <c r="P6" i="28"/>
  <c r="E18" i="28"/>
  <c r="P5" i="28"/>
  <c r="E17" i="28"/>
  <c r="E14" i="28"/>
  <c r="P2" i="28"/>
  <c r="D14" i="28"/>
  <c r="O2" i="28"/>
  <c r="O4" i="17"/>
  <c r="N8" i="17"/>
  <c r="O12" i="17"/>
  <c r="O3" i="17"/>
  <c r="N5" i="17"/>
  <c r="O6" i="17"/>
  <c r="P10" i="27"/>
  <c r="D22" i="27"/>
  <c r="P4" i="27"/>
  <c r="D16" i="27"/>
  <c r="P3" i="27"/>
  <c r="D15" i="27"/>
  <c r="Q5" i="27"/>
  <c r="E17" i="27"/>
  <c r="P13" i="27"/>
  <c r="D25" i="27"/>
  <c r="E16" i="27"/>
  <c r="Q4" i="27"/>
  <c r="E22" i="27"/>
  <c r="Q10" i="27"/>
  <c r="E15" i="27"/>
  <c r="Q3" i="27"/>
  <c r="E24" i="27"/>
  <c r="Q12" i="27"/>
  <c r="P6" i="27"/>
  <c r="D18" i="27"/>
  <c r="E19" i="27"/>
  <c r="Q7" i="27"/>
  <c r="E21" i="27"/>
  <c r="Q9" i="27"/>
  <c r="P8" i="27"/>
  <c r="D20" i="27"/>
  <c r="P12" i="27"/>
  <c r="D24" i="27"/>
  <c r="P11" i="27"/>
  <c r="D23" i="27"/>
  <c r="P9" i="27"/>
  <c r="D21" i="27"/>
  <c r="Q11" i="27"/>
  <c r="E23" i="27"/>
  <c r="Q6" i="27"/>
  <c r="E18" i="27"/>
  <c r="E20" i="27"/>
  <c r="Q8" i="27"/>
  <c r="P7" i="27"/>
  <c r="D19" i="27"/>
  <c r="P5" i="27"/>
  <c r="D17" i="27"/>
  <c r="N13" i="17"/>
  <c r="O9" i="17"/>
  <c r="N9" i="17"/>
  <c r="N10" i="17"/>
  <c r="V10" i="17" s="1"/>
  <c r="O7" i="17"/>
  <c r="N14" i="17"/>
  <c r="N2" i="17"/>
  <c r="V2" i="17" s="1"/>
  <c r="N25" i="17"/>
  <c r="Q13" i="27"/>
  <c r="E25" i="27"/>
  <c r="O11" i="17"/>
  <c r="P14" i="27"/>
  <c r="D26" i="27"/>
  <c r="N11" i="17"/>
  <c r="N7" i="17"/>
  <c r="O5" i="17"/>
  <c r="E14" i="17"/>
  <c r="E26" i="17" s="1"/>
  <c r="E38" i="17" s="1"/>
  <c r="E50" i="17" s="1"/>
  <c r="E62" i="17" s="1"/>
  <c r="E74" i="17" s="1"/>
  <c r="E86" i="17" s="1"/>
  <c r="E98" i="17" s="1"/>
  <c r="E110" i="17" s="1"/>
  <c r="E122" i="17" s="1"/>
  <c r="E134" i="17" s="1"/>
  <c r="N4" i="17"/>
  <c r="M3" i="22"/>
  <c r="D15" i="22"/>
  <c r="N8" i="22"/>
  <c r="E20" i="22"/>
  <c r="O8" i="17"/>
  <c r="E22" i="22"/>
  <c r="N10" i="22"/>
  <c r="N5" i="22"/>
  <c r="E17" i="22"/>
  <c r="D24" i="22"/>
  <c r="M12" i="22"/>
  <c r="M4" i="22"/>
  <c r="D16" i="22"/>
  <c r="M11" i="22"/>
  <c r="D23" i="22"/>
  <c r="D21" i="22"/>
  <c r="M9" i="22"/>
  <c r="N4" i="22"/>
  <c r="E16" i="22"/>
  <c r="E21" i="22"/>
  <c r="N9" i="22"/>
  <c r="D19" i="22"/>
  <c r="M7" i="22"/>
  <c r="E19" i="22"/>
  <c r="N7" i="22"/>
  <c r="D18" i="22"/>
  <c r="M6" i="22"/>
  <c r="D17" i="22"/>
  <c r="M5" i="22"/>
  <c r="M10" i="22"/>
  <c r="D22" i="22"/>
  <c r="E18" i="22"/>
  <c r="N6" i="22"/>
  <c r="M8" i="22"/>
  <c r="D20" i="22"/>
  <c r="E15" i="22"/>
  <c r="N3" i="22"/>
  <c r="M13" i="22"/>
  <c r="D25" i="22"/>
  <c r="N3" i="17"/>
  <c r="N12" i="22"/>
  <c r="E24" i="22"/>
  <c r="N11" i="22"/>
  <c r="E23" i="22"/>
  <c r="D49" i="17"/>
  <c r="D61" i="17" s="1"/>
  <c r="N37" i="17"/>
  <c r="N2" i="22"/>
  <c r="E14" i="22"/>
  <c r="M2" i="22"/>
  <c r="D14" i="22"/>
  <c r="O24" i="17"/>
  <c r="N12" i="17"/>
  <c r="O22" i="17"/>
  <c r="O21" i="17"/>
  <c r="N21" i="17"/>
  <c r="O16" i="17"/>
  <c r="N23" i="17"/>
  <c r="N22" i="17"/>
  <c r="N20" i="17"/>
  <c r="N19" i="17"/>
  <c r="N16" i="17"/>
  <c r="O18" i="17"/>
  <c r="O20" i="17"/>
  <c r="O15" i="17"/>
  <c r="N17" i="17"/>
  <c r="O23" i="17"/>
  <c r="N15" i="17"/>
  <c r="O17" i="17"/>
  <c r="O19" i="17"/>
  <c r="N18" i="17"/>
  <c r="O13" i="17"/>
  <c r="AO12" i="18"/>
  <c r="H19" i="32"/>
  <c r="H28" i="32" s="1"/>
  <c r="M14" i="29"/>
  <c r="E42" i="32" s="1"/>
  <c r="E51" i="32" s="1"/>
  <c r="AK10" i="18"/>
  <c r="AP10" i="18"/>
  <c r="H75" i="28"/>
  <c r="S74" i="28"/>
  <c r="R95" i="28"/>
  <c r="R85" i="28"/>
  <c r="F65" i="17"/>
  <c r="P64" i="17"/>
  <c r="N26" i="17"/>
  <c r="V9" i="17" l="1"/>
  <c r="V7" i="17"/>
  <c r="V3" i="17"/>
  <c r="V5" i="17"/>
  <c r="V6" i="17"/>
  <c r="V12" i="17"/>
  <c r="V4" i="17"/>
  <c r="V11" i="17"/>
  <c r="V8" i="17"/>
  <c r="V13" i="17"/>
  <c r="E26" i="27"/>
  <c r="Q26" i="27" s="1"/>
  <c r="Z8" i="27"/>
  <c r="Z10" i="27"/>
  <c r="X5" i="28"/>
  <c r="X12" i="28"/>
  <c r="Z7" i="27"/>
  <c r="Z13" i="27"/>
  <c r="X7" i="28"/>
  <c r="X10" i="28"/>
  <c r="X4" i="28"/>
  <c r="X3" i="28"/>
  <c r="X2" i="28"/>
  <c r="P19" i="28"/>
  <c r="E31" i="28"/>
  <c r="P15" i="28"/>
  <c r="E27" i="28"/>
  <c r="X6" i="28"/>
  <c r="P20" i="28"/>
  <c r="E32" i="28"/>
  <c r="D30" i="28"/>
  <c r="O18" i="28"/>
  <c r="D37" i="28"/>
  <c r="O25" i="28"/>
  <c r="P24" i="28"/>
  <c r="E36" i="28"/>
  <c r="P22" i="28"/>
  <c r="E34" i="28"/>
  <c r="D34" i="28"/>
  <c r="O22" i="28"/>
  <c r="D29" i="28"/>
  <c r="O17" i="28"/>
  <c r="D33" i="28"/>
  <c r="O21" i="28"/>
  <c r="D31" i="28"/>
  <c r="O19" i="28"/>
  <c r="D36" i="28"/>
  <c r="O24" i="28"/>
  <c r="O16" i="28"/>
  <c r="D28" i="28"/>
  <c r="P17" i="28"/>
  <c r="E29" i="28"/>
  <c r="P16" i="28"/>
  <c r="E28" i="28"/>
  <c r="P21" i="28"/>
  <c r="E33" i="28"/>
  <c r="D35" i="28"/>
  <c r="O23" i="28"/>
  <c r="D32" i="28"/>
  <c r="O20" i="28"/>
  <c r="X11" i="28"/>
  <c r="Z12" i="27"/>
  <c r="P18" i="28"/>
  <c r="E30" i="28"/>
  <c r="X8" i="28"/>
  <c r="D27" i="28"/>
  <c r="O15" i="28"/>
  <c r="P23" i="28"/>
  <c r="E35" i="28"/>
  <c r="P13" i="28"/>
  <c r="X13" i="28" s="1"/>
  <c r="E25" i="28"/>
  <c r="P14" i="28"/>
  <c r="E26" i="28"/>
  <c r="O14" i="28"/>
  <c r="D26" i="28"/>
  <c r="Z9" i="27"/>
  <c r="Z5" i="27"/>
  <c r="Z11" i="27"/>
  <c r="Z3" i="27"/>
  <c r="Z6" i="27"/>
  <c r="Z4" i="27"/>
  <c r="T8" i="22"/>
  <c r="D31" i="27"/>
  <c r="P19" i="27"/>
  <c r="D33" i="27"/>
  <c r="P21" i="27"/>
  <c r="Q17" i="27"/>
  <c r="E29" i="27"/>
  <c r="P23" i="27"/>
  <c r="D35" i="27"/>
  <c r="P15" i="27"/>
  <c r="D27" i="27"/>
  <c r="E32" i="27"/>
  <c r="Q20" i="27"/>
  <c r="Q19" i="27"/>
  <c r="E31" i="27"/>
  <c r="Q22" i="27"/>
  <c r="E34" i="27"/>
  <c r="O14" i="17"/>
  <c r="Q18" i="27"/>
  <c r="E30" i="27"/>
  <c r="D36" i="27"/>
  <c r="P24" i="27"/>
  <c r="D30" i="27"/>
  <c r="P18" i="27"/>
  <c r="P16" i="27"/>
  <c r="D28" i="27"/>
  <c r="Q15" i="27"/>
  <c r="E27" i="27"/>
  <c r="Q16" i="27"/>
  <c r="E28" i="27"/>
  <c r="D29" i="27"/>
  <c r="P17" i="27"/>
  <c r="Q23" i="27"/>
  <c r="E35" i="27"/>
  <c r="D32" i="27"/>
  <c r="P20" i="27"/>
  <c r="D37" i="27"/>
  <c r="P25" i="27"/>
  <c r="P22" i="27"/>
  <c r="D34" i="27"/>
  <c r="Q21" i="27"/>
  <c r="E33" i="27"/>
  <c r="Q24" i="27"/>
  <c r="E36" i="27"/>
  <c r="Q25" i="27"/>
  <c r="E37" i="27"/>
  <c r="T3" i="22"/>
  <c r="P26" i="27"/>
  <c r="D38" i="27"/>
  <c r="T5" i="22"/>
  <c r="T9" i="22"/>
  <c r="T4" i="22"/>
  <c r="N49" i="17"/>
  <c r="D37" i="22"/>
  <c r="M25" i="22"/>
  <c r="D34" i="22"/>
  <c r="M22" i="22"/>
  <c r="M23" i="22"/>
  <c r="D35" i="22"/>
  <c r="T10" i="22"/>
  <c r="D73" i="17"/>
  <c r="D85" i="17" s="1"/>
  <c r="D97" i="17" s="1"/>
  <c r="D109" i="17" s="1"/>
  <c r="N61" i="17"/>
  <c r="D28" i="22"/>
  <c r="M16" i="22"/>
  <c r="D31" i="22"/>
  <c r="M19" i="22"/>
  <c r="N23" i="22"/>
  <c r="E35" i="22"/>
  <c r="E27" i="22"/>
  <c r="N15" i="22"/>
  <c r="M17" i="22"/>
  <c r="D29" i="22"/>
  <c r="E33" i="22"/>
  <c r="N21" i="22"/>
  <c r="T2" i="22"/>
  <c r="T11" i="22"/>
  <c r="D32" i="22"/>
  <c r="M20" i="22"/>
  <c r="N16" i="22"/>
  <c r="E28" i="22"/>
  <c r="T12" i="22"/>
  <c r="N20" i="22"/>
  <c r="E32" i="22"/>
  <c r="E36" i="22"/>
  <c r="N24" i="22"/>
  <c r="D30" i="22"/>
  <c r="M18" i="22"/>
  <c r="D36" i="22"/>
  <c r="M24" i="22"/>
  <c r="T6" i="22"/>
  <c r="T7" i="22"/>
  <c r="E29" i="22"/>
  <c r="N17" i="22"/>
  <c r="D27" i="22"/>
  <c r="M15" i="22"/>
  <c r="N22" i="22"/>
  <c r="E34" i="22"/>
  <c r="N18" i="22"/>
  <c r="E30" i="22"/>
  <c r="E31" i="22"/>
  <c r="N19" i="22"/>
  <c r="D33" i="22"/>
  <c r="M21" i="22"/>
  <c r="N14" i="22"/>
  <c r="E26" i="22"/>
  <c r="N13" i="22"/>
  <c r="T13" i="22" s="1"/>
  <c r="E25" i="22"/>
  <c r="D26" i="22"/>
  <c r="M14" i="22"/>
  <c r="O36" i="17"/>
  <c r="N24" i="17"/>
  <c r="O27" i="17"/>
  <c r="N27" i="17"/>
  <c r="O32" i="17"/>
  <c r="N31" i="17"/>
  <c r="N30" i="17"/>
  <c r="O35" i="17"/>
  <c r="N32" i="17"/>
  <c r="N33" i="17"/>
  <c r="O28" i="17"/>
  <c r="O30" i="17"/>
  <c r="N34" i="17"/>
  <c r="O33" i="17"/>
  <c r="O31" i="17"/>
  <c r="N29" i="17"/>
  <c r="N28" i="17"/>
  <c r="O29" i="17"/>
  <c r="N35" i="17"/>
  <c r="O34" i="17"/>
  <c r="O25" i="17"/>
  <c r="O26" i="17"/>
  <c r="AO13" i="18"/>
  <c r="H20" i="32"/>
  <c r="H29" i="32" s="1"/>
  <c r="AP11" i="18"/>
  <c r="AK12" i="18"/>
  <c r="M16" i="29"/>
  <c r="M17" i="29"/>
  <c r="M15" i="29"/>
  <c r="AK11" i="18"/>
  <c r="H76" i="28"/>
  <c r="S75" i="28"/>
  <c r="R96" i="28"/>
  <c r="P65" i="17"/>
  <c r="F66" i="17"/>
  <c r="N38" i="17"/>
  <c r="E38" i="27" l="1"/>
  <c r="Q38" i="27" s="1"/>
  <c r="AC4" i="18"/>
  <c r="AE4" i="18" s="1"/>
  <c r="O36" i="28"/>
  <c r="D48" i="28"/>
  <c r="O34" i="28"/>
  <c r="D46" i="28"/>
  <c r="O30" i="28"/>
  <c r="D42" i="28"/>
  <c r="P35" i="28"/>
  <c r="E47" i="28"/>
  <c r="O31" i="28"/>
  <c r="D43" i="28"/>
  <c r="P28" i="28"/>
  <c r="E40" i="28"/>
  <c r="P29" i="28"/>
  <c r="E41" i="28"/>
  <c r="P36" i="28"/>
  <c r="E48" i="28"/>
  <c r="P34" i="28"/>
  <c r="E46" i="28"/>
  <c r="O32" i="28"/>
  <c r="D44" i="28"/>
  <c r="O33" i="28"/>
  <c r="D45" i="28"/>
  <c r="P27" i="28"/>
  <c r="E39" i="28"/>
  <c r="O27" i="28"/>
  <c r="D39" i="28"/>
  <c r="O28" i="28"/>
  <c r="D40" i="28"/>
  <c r="O35" i="28"/>
  <c r="D47" i="28"/>
  <c r="O29" i="28"/>
  <c r="D41" i="28"/>
  <c r="O37" i="28"/>
  <c r="D49" i="28"/>
  <c r="P31" i="28"/>
  <c r="E43" i="28"/>
  <c r="P32" i="28"/>
  <c r="E44" i="28"/>
  <c r="P30" i="28"/>
  <c r="E42" i="28"/>
  <c r="P33" i="28"/>
  <c r="E45" i="28"/>
  <c r="P26" i="28"/>
  <c r="E38" i="28"/>
  <c r="P25" i="28"/>
  <c r="E37" i="28"/>
  <c r="O26" i="28"/>
  <c r="D38" i="28"/>
  <c r="E4" i="18"/>
  <c r="G4" i="18" s="1"/>
  <c r="P37" i="27"/>
  <c r="D49" i="27"/>
  <c r="Q28" i="27"/>
  <c r="E40" i="27"/>
  <c r="P30" i="27"/>
  <c r="D42" i="27"/>
  <c r="Q31" i="27"/>
  <c r="E43" i="27"/>
  <c r="U4" i="18"/>
  <c r="W4" i="18" s="1"/>
  <c r="P36" i="27"/>
  <c r="D48" i="27"/>
  <c r="Q33" i="27"/>
  <c r="E45" i="27"/>
  <c r="D44" i="27"/>
  <c r="P32" i="27"/>
  <c r="Q27" i="27"/>
  <c r="E39" i="27"/>
  <c r="Q30" i="27"/>
  <c r="E42" i="27"/>
  <c r="E44" i="27"/>
  <c r="Q32" i="27"/>
  <c r="Q29" i="27"/>
  <c r="E41" i="27"/>
  <c r="Q35" i="27"/>
  <c r="E47" i="27"/>
  <c r="P27" i="27"/>
  <c r="D39" i="27"/>
  <c r="P34" i="27"/>
  <c r="D46" i="27"/>
  <c r="P28" i="27"/>
  <c r="D40" i="27"/>
  <c r="P33" i="27"/>
  <c r="D45" i="27"/>
  <c r="Q34" i="27"/>
  <c r="E46" i="27"/>
  <c r="Q36" i="27"/>
  <c r="E48" i="27"/>
  <c r="P29" i="27"/>
  <c r="D41" i="27"/>
  <c r="P35" i="27"/>
  <c r="D47" i="27"/>
  <c r="P31" i="27"/>
  <c r="D43" i="27"/>
  <c r="M4" i="18"/>
  <c r="O4" i="18" s="1"/>
  <c r="Q37" i="27"/>
  <c r="E49" i="27"/>
  <c r="P38" i="27"/>
  <c r="D50" i="27"/>
  <c r="T17" i="22"/>
  <c r="T20" i="22"/>
  <c r="T23" i="22"/>
  <c r="T14" i="22"/>
  <c r="T19" i="22"/>
  <c r="T24" i="22"/>
  <c r="N31" i="22"/>
  <c r="E43" i="22"/>
  <c r="D44" i="22"/>
  <c r="M32" i="22"/>
  <c r="N27" i="22"/>
  <c r="E39" i="22"/>
  <c r="D121" i="17"/>
  <c r="N109" i="17"/>
  <c r="N32" i="22"/>
  <c r="E44" i="22"/>
  <c r="M35" i="22"/>
  <c r="D47" i="22"/>
  <c r="E41" i="22"/>
  <c r="N29" i="22"/>
  <c r="T21" i="22"/>
  <c r="N30" i="22"/>
  <c r="E42" i="22"/>
  <c r="E48" i="22"/>
  <c r="N36" i="22"/>
  <c r="N34" i="22"/>
  <c r="E46" i="22"/>
  <c r="E45" i="22"/>
  <c r="N33" i="22"/>
  <c r="M31" i="22"/>
  <c r="D43" i="22"/>
  <c r="T22" i="22"/>
  <c r="D48" i="22"/>
  <c r="M36" i="22"/>
  <c r="E40" i="22"/>
  <c r="N28" i="22"/>
  <c r="M29" i="22"/>
  <c r="D41" i="22"/>
  <c r="D46" i="22"/>
  <c r="M34" i="22"/>
  <c r="E47" i="22"/>
  <c r="N35" i="22"/>
  <c r="D45" i="22"/>
  <c r="M33" i="22"/>
  <c r="T18" i="22"/>
  <c r="T16" i="22"/>
  <c r="D40" i="22"/>
  <c r="M28" i="22"/>
  <c r="M27" i="22"/>
  <c r="D39" i="22"/>
  <c r="D42" i="22"/>
  <c r="M30" i="22"/>
  <c r="T15" i="22"/>
  <c r="D49" i="22"/>
  <c r="M37" i="22"/>
  <c r="E37" i="22"/>
  <c r="N25" i="22"/>
  <c r="T25" i="22" s="1"/>
  <c r="E38" i="22"/>
  <c r="N26" i="22"/>
  <c r="D38" i="22"/>
  <c r="M26" i="22"/>
  <c r="O48" i="17"/>
  <c r="N36" i="17"/>
  <c r="O46" i="17"/>
  <c r="N40" i="17"/>
  <c r="N45" i="17"/>
  <c r="N46" i="17"/>
  <c r="N44" i="17"/>
  <c r="N47" i="17"/>
  <c r="N41" i="17"/>
  <c r="O42" i="17"/>
  <c r="O44" i="17"/>
  <c r="O47" i="17"/>
  <c r="N43" i="17"/>
  <c r="O43" i="17"/>
  <c r="N39" i="17"/>
  <c r="O41" i="17"/>
  <c r="O40" i="17"/>
  <c r="O45" i="17"/>
  <c r="N42" i="17"/>
  <c r="O39" i="17"/>
  <c r="O38" i="17"/>
  <c r="O37" i="17"/>
  <c r="AO14" i="18"/>
  <c r="H21" i="32"/>
  <c r="H30" i="32" s="1"/>
  <c r="E43" i="32"/>
  <c r="E52" i="32" s="1"/>
  <c r="E44" i="32"/>
  <c r="E53" i="32" s="1"/>
  <c r="AP12" i="18"/>
  <c r="AK13" i="18"/>
  <c r="M18" i="29"/>
  <c r="H77" i="28"/>
  <c r="S76" i="28"/>
  <c r="R97" i="28"/>
  <c r="P66" i="17"/>
  <c r="F67" i="17"/>
  <c r="N50" i="17"/>
  <c r="N97" i="17"/>
  <c r="N73" i="17"/>
  <c r="D12" i="32" l="1"/>
  <c r="C12" i="32"/>
  <c r="F12" i="32"/>
  <c r="E12" i="32"/>
  <c r="E50" i="27"/>
  <c r="Q50" i="27" s="1"/>
  <c r="P42" i="28"/>
  <c r="E54" i="28"/>
  <c r="O41" i="28"/>
  <c r="D53" i="28"/>
  <c r="P39" i="28"/>
  <c r="E51" i="28"/>
  <c r="P48" i="28"/>
  <c r="E60" i="28"/>
  <c r="P47" i="28"/>
  <c r="E59" i="28"/>
  <c r="P44" i="28"/>
  <c r="E56" i="28"/>
  <c r="O47" i="28"/>
  <c r="D59" i="28"/>
  <c r="O45" i="28"/>
  <c r="D57" i="28"/>
  <c r="P41" i="28"/>
  <c r="E53" i="28"/>
  <c r="O42" i="28"/>
  <c r="D54" i="28"/>
  <c r="P43" i="28"/>
  <c r="E55" i="28"/>
  <c r="O40" i="28"/>
  <c r="D52" i="28"/>
  <c r="O44" i="28"/>
  <c r="D56" i="28"/>
  <c r="P40" i="28"/>
  <c r="E52" i="28"/>
  <c r="O46" i="28"/>
  <c r="D58" i="28"/>
  <c r="P45" i="28"/>
  <c r="E57" i="28"/>
  <c r="O49" i="28"/>
  <c r="D61" i="28"/>
  <c r="O39" i="28"/>
  <c r="D51" i="28"/>
  <c r="P46" i="28"/>
  <c r="E58" i="28"/>
  <c r="O43" i="28"/>
  <c r="D55" i="28"/>
  <c r="O48" i="28"/>
  <c r="D60" i="28"/>
  <c r="P37" i="28"/>
  <c r="E49" i="28"/>
  <c r="P38" i="28"/>
  <c r="E50" i="28"/>
  <c r="O38" i="28"/>
  <c r="D50" i="28"/>
  <c r="Q43" i="27"/>
  <c r="E55" i="27"/>
  <c r="Q47" i="27"/>
  <c r="E59" i="27"/>
  <c r="D56" i="27"/>
  <c r="P44" i="27"/>
  <c r="P42" i="27"/>
  <c r="D54" i="27"/>
  <c r="Q39" i="27"/>
  <c r="E51" i="27"/>
  <c r="P41" i="27"/>
  <c r="D53" i="27"/>
  <c r="Q48" i="27"/>
  <c r="E60" i="27"/>
  <c r="P46" i="27"/>
  <c r="D58" i="27"/>
  <c r="Q45" i="27"/>
  <c r="E57" i="27"/>
  <c r="Q44" i="27"/>
  <c r="E56" i="27"/>
  <c r="Q40" i="27"/>
  <c r="E52" i="27"/>
  <c r="P45" i="27"/>
  <c r="D57" i="27"/>
  <c r="P40" i="27"/>
  <c r="D52" i="27"/>
  <c r="P43" i="27"/>
  <c r="D55" i="27"/>
  <c r="Q46" i="27"/>
  <c r="E58" i="27"/>
  <c r="P39" i="27"/>
  <c r="D51" i="27"/>
  <c r="Q42" i="27"/>
  <c r="E54" i="27"/>
  <c r="P48" i="27"/>
  <c r="D60" i="27"/>
  <c r="P47" i="27"/>
  <c r="D59" i="27"/>
  <c r="Q41" i="27"/>
  <c r="E53" i="27"/>
  <c r="P49" i="27"/>
  <c r="D61" i="27"/>
  <c r="Q49" i="27"/>
  <c r="E61" i="27"/>
  <c r="P50" i="27"/>
  <c r="D62" i="27"/>
  <c r="M5" i="18"/>
  <c r="T35" i="22"/>
  <c r="T34" i="22"/>
  <c r="T28" i="22"/>
  <c r="T29" i="22"/>
  <c r="T33" i="22"/>
  <c r="D133" i="17"/>
  <c r="N121" i="17"/>
  <c r="D54" i="22"/>
  <c r="M42" i="22"/>
  <c r="D57" i="22"/>
  <c r="M45" i="22"/>
  <c r="N40" i="22"/>
  <c r="E52" i="22"/>
  <c r="N46" i="22"/>
  <c r="E58" i="22"/>
  <c r="E53" i="22"/>
  <c r="N41" i="22"/>
  <c r="T27" i="22"/>
  <c r="E57" i="22"/>
  <c r="N45" i="22"/>
  <c r="M39" i="22"/>
  <c r="D51" i="22"/>
  <c r="D59" i="22"/>
  <c r="M47" i="22"/>
  <c r="N39" i="22"/>
  <c r="E51" i="22"/>
  <c r="E59" i="22"/>
  <c r="N47" i="22"/>
  <c r="D60" i="22"/>
  <c r="M48" i="22"/>
  <c r="T36" i="22"/>
  <c r="D56" i="22"/>
  <c r="M44" i="22"/>
  <c r="E60" i="22"/>
  <c r="N48" i="22"/>
  <c r="E56" i="22"/>
  <c r="N44" i="22"/>
  <c r="E55" i="22"/>
  <c r="N43" i="22"/>
  <c r="T26" i="22"/>
  <c r="D52" i="22"/>
  <c r="M40" i="22"/>
  <c r="D58" i="22"/>
  <c r="M46" i="22"/>
  <c r="M43" i="22"/>
  <c r="D55" i="22"/>
  <c r="N42" i="22"/>
  <c r="E54" i="22"/>
  <c r="T32" i="22"/>
  <c r="T31" i="22"/>
  <c r="M49" i="22"/>
  <c r="D61" i="22"/>
  <c r="D53" i="22"/>
  <c r="M41" i="22"/>
  <c r="T30" i="22"/>
  <c r="N38" i="22"/>
  <c r="E50" i="22"/>
  <c r="E49" i="22"/>
  <c r="N37" i="22"/>
  <c r="T37" i="22" s="1"/>
  <c r="D50" i="22"/>
  <c r="M38" i="22"/>
  <c r="O60" i="17"/>
  <c r="N48" i="17"/>
  <c r="O51" i="17"/>
  <c r="N55" i="17"/>
  <c r="N53" i="17"/>
  <c r="O53" i="17"/>
  <c r="N54" i="17"/>
  <c r="N51" i="17"/>
  <c r="N57" i="17"/>
  <c r="O57" i="17"/>
  <c r="O59" i="17"/>
  <c r="N59" i="17"/>
  <c r="N52" i="17"/>
  <c r="O52" i="17"/>
  <c r="O56" i="17"/>
  <c r="N56" i="17"/>
  <c r="N58" i="17"/>
  <c r="O55" i="17"/>
  <c r="O54" i="17"/>
  <c r="O58" i="17"/>
  <c r="O49" i="17"/>
  <c r="O50" i="17"/>
  <c r="E46" i="32"/>
  <c r="E55" i="32" s="1"/>
  <c r="AO15" i="18"/>
  <c r="H22" i="32"/>
  <c r="H31" i="32" s="1"/>
  <c r="AK14" i="18"/>
  <c r="M19" i="29"/>
  <c r="AP13" i="18"/>
  <c r="H78" i="28"/>
  <c r="S77" i="28"/>
  <c r="F68" i="17"/>
  <c r="P67" i="17"/>
  <c r="N62" i="17"/>
  <c r="N85" i="17"/>
  <c r="I12" i="32" l="1"/>
  <c r="O5" i="18"/>
  <c r="E62" i="27"/>
  <c r="Q62" i="27" s="1"/>
  <c r="O58" i="28"/>
  <c r="D70" i="28"/>
  <c r="P51" i="28"/>
  <c r="E63" i="28"/>
  <c r="P58" i="28"/>
  <c r="E70" i="28"/>
  <c r="P55" i="28"/>
  <c r="E67" i="28"/>
  <c r="O51" i="28"/>
  <c r="D63" i="28"/>
  <c r="P52" i="28"/>
  <c r="E64" i="28"/>
  <c r="O54" i="28"/>
  <c r="D66" i="28"/>
  <c r="P56" i="28"/>
  <c r="E68" i="28"/>
  <c r="O53" i="28"/>
  <c r="D65" i="28"/>
  <c r="O59" i="28"/>
  <c r="D71" i="28"/>
  <c r="O60" i="28"/>
  <c r="D72" i="28"/>
  <c r="O61" i="28"/>
  <c r="D73" i="28"/>
  <c r="O56" i="28"/>
  <c r="D68" i="28"/>
  <c r="P53" i="28"/>
  <c r="E65" i="28"/>
  <c r="P59" i="28"/>
  <c r="E71" i="28"/>
  <c r="P54" i="28"/>
  <c r="E66" i="28"/>
  <c r="O55" i="28"/>
  <c r="D67" i="28"/>
  <c r="P57" i="28"/>
  <c r="E69" i="28"/>
  <c r="D64" i="28"/>
  <c r="O52" i="28"/>
  <c r="O57" i="28"/>
  <c r="D69" i="28"/>
  <c r="P60" i="28"/>
  <c r="E72" i="28"/>
  <c r="P50" i="28"/>
  <c r="E62" i="28"/>
  <c r="P49" i="28"/>
  <c r="E61" i="28"/>
  <c r="O50" i="28"/>
  <c r="D62" i="28"/>
  <c r="Q53" i="27"/>
  <c r="E65" i="27"/>
  <c r="P51" i="27"/>
  <c r="D63" i="27"/>
  <c r="P57" i="27"/>
  <c r="D69" i="27"/>
  <c r="P58" i="27"/>
  <c r="D70" i="27"/>
  <c r="P54" i="27"/>
  <c r="D66" i="27"/>
  <c r="P59" i="27"/>
  <c r="D71" i="27"/>
  <c r="Q58" i="27"/>
  <c r="E70" i="27"/>
  <c r="Q52" i="27"/>
  <c r="E64" i="27"/>
  <c r="Q60" i="27"/>
  <c r="E72" i="27"/>
  <c r="P56" i="27"/>
  <c r="D68" i="27"/>
  <c r="P60" i="27"/>
  <c r="D72" i="27"/>
  <c r="P55" i="27"/>
  <c r="D67" i="27"/>
  <c r="Q56" i="27"/>
  <c r="E68" i="27"/>
  <c r="P53" i="27"/>
  <c r="D65" i="27"/>
  <c r="Q59" i="27"/>
  <c r="E71" i="27"/>
  <c r="P61" i="27"/>
  <c r="D73" i="27"/>
  <c r="Q54" i="27"/>
  <c r="E66" i="27"/>
  <c r="P52" i="27"/>
  <c r="D64" i="27"/>
  <c r="Q57" i="27"/>
  <c r="E69" i="27"/>
  <c r="Q51" i="27"/>
  <c r="E63" i="27"/>
  <c r="Q55" i="27"/>
  <c r="E67" i="27"/>
  <c r="Q61" i="27"/>
  <c r="E73" i="27"/>
  <c r="P62" i="27"/>
  <c r="D74" i="27"/>
  <c r="T43" i="22"/>
  <c r="T39" i="22"/>
  <c r="T41" i="22"/>
  <c r="T42" i="22"/>
  <c r="T48" i="22"/>
  <c r="T45" i="22"/>
  <c r="D70" i="22"/>
  <c r="M58" i="22"/>
  <c r="N59" i="22"/>
  <c r="E71" i="22"/>
  <c r="N57" i="22"/>
  <c r="E69" i="22"/>
  <c r="N60" i="22"/>
  <c r="E72" i="22"/>
  <c r="E63" i="22"/>
  <c r="N51" i="22"/>
  <c r="D64" i="22"/>
  <c r="M52" i="22"/>
  <c r="E66" i="22"/>
  <c r="N54" i="22"/>
  <c r="M56" i="22"/>
  <c r="D68" i="22"/>
  <c r="E65" i="22"/>
  <c r="N53" i="22"/>
  <c r="D66" i="22"/>
  <c r="M54" i="22"/>
  <c r="M57" i="22"/>
  <c r="D69" i="22"/>
  <c r="T38" i="22"/>
  <c r="D71" i="22"/>
  <c r="M59" i="22"/>
  <c r="N58" i="22"/>
  <c r="E70" i="22"/>
  <c r="M53" i="22"/>
  <c r="D65" i="22"/>
  <c r="D67" i="22"/>
  <c r="M55" i="22"/>
  <c r="E67" i="22"/>
  <c r="N55" i="22"/>
  <c r="M51" i="22"/>
  <c r="D63" i="22"/>
  <c r="T46" i="22"/>
  <c r="D145" i="17"/>
  <c r="N145" i="17" s="1"/>
  <c r="N133" i="17"/>
  <c r="M61" i="22"/>
  <c r="D73" i="22"/>
  <c r="T44" i="22"/>
  <c r="M60" i="22"/>
  <c r="D72" i="22"/>
  <c r="N52" i="22"/>
  <c r="E64" i="22"/>
  <c r="M6" i="18"/>
  <c r="E68" i="22"/>
  <c r="N56" i="22"/>
  <c r="T47" i="22"/>
  <c r="T40" i="22"/>
  <c r="N49" i="22"/>
  <c r="T49" i="22" s="1"/>
  <c r="E61" i="22"/>
  <c r="N50" i="22"/>
  <c r="E62" i="22"/>
  <c r="D62" i="22"/>
  <c r="M50" i="22"/>
  <c r="O72" i="17"/>
  <c r="N60" i="17"/>
  <c r="O70" i="17"/>
  <c r="N69" i="17"/>
  <c r="N71" i="17"/>
  <c r="N68" i="17"/>
  <c r="O66" i="17"/>
  <c r="O68" i="17"/>
  <c r="N63" i="17"/>
  <c r="N67" i="17"/>
  <c r="O67" i="17"/>
  <c r="O71" i="17"/>
  <c r="O63" i="17"/>
  <c r="N65" i="17"/>
  <c r="O64" i="17"/>
  <c r="N66" i="17"/>
  <c r="N70" i="17"/>
  <c r="O69" i="17"/>
  <c r="O65" i="17"/>
  <c r="N64" i="17"/>
  <c r="O62" i="17"/>
  <c r="O61" i="17"/>
  <c r="H23" i="32"/>
  <c r="H32" i="32" s="1"/>
  <c r="E47" i="32"/>
  <c r="E56" i="32" s="1"/>
  <c r="AP14" i="18"/>
  <c r="AP15" i="18"/>
  <c r="AK15" i="18"/>
  <c r="H79" i="28"/>
  <c r="S78" i="28"/>
  <c r="F69" i="17"/>
  <c r="P68" i="17"/>
  <c r="N74" i="17"/>
  <c r="AQ25" i="14"/>
  <c r="AQ24" i="14"/>
  <c r="AQ23" i="14"/>
  <c r="AQ22" i="14"/>
  <c r="AQ21" i="14"/>
  <c r="AQ20" i="14"/>
  <c r="AQ19" i="14"/>
  <c r="AQ18" i="14"/>
  <c r="AQ17" i="14"/>
  <c r="AQ16" i="14"/>
  <c r="AQ15" i="14"/>
  <c r="AQ14" i="14"/>
  <c r="T58" i="22" l="1"/>
  <c r="J19" i="16"/>
  <c r="V19" i="16" s="1"/>
  <c r="W19" i="16" s="1"/>
  <c r="J19" i="17"/>
  <c r="V19" i="17" s="1"/>
  <c r="J23" i="17"/>
  <c r="V23" i="17" s="1"/>
  <c r="J23" i="16"/>
  <c r="V23" i="16" s="1"/>
  <c r="W23" i="16" s="1"/>
  <c r="J16" i="17"/>
  <c r="V16" i="17" s="1"/>
  <c r="J16" i="16"/>
  <c r="V16" i="16" s="1"/>
  <c r="W16" i="16" s="1"/>
  <c r="J20" i="17"/>
  <c r="V20" i="17" s="1"/>
  <c r="J20" i="16"/>
  <c r="V20" i="16" s="1"/>
  <c r="W20" i="16" s="1"/>
  <c r="J24" i="17"/>
  <c r="V24" i="17" s="1"/>
  <c r="J24" i="16"/>
  <c r="V24" i="16" s="1"/>
  <c r="W24" i="16" s="1"/>
  <c r="J15" i="17"/>
  <c r="V15" i="17" s="1"/>
  <c r="J15" i="16"/>
  <c r="V15" i="16" s="1"/>
  <c r="W15" i="16" s="1"/>
  <c r="J17" i="16"/>
  <c r="V17" i="16" s="1"/>
  <c r="W17" i="16" s="1"/>
  <c r="J17" i="17"/>
  <c r="V17" i="17" s="1"/>
  <c r="J21" i="17"/>
  <c r="V21" i="17" s="1"/>
  <c r="J21" i="16"/>
  <c r="V21" i="16" s="1"/>
  <c r="W21" i="16" s="1"/>
  <c r="J25" i="16"/>
  <c r="V25" i="16" s="1"/>
  <c r="W25" i="16" s="1"/>
  <c r="J25" i="17"/>
  <c r="V25" i="17" s="1"/>
  <c r="J14" i="17"/>
  <c r="V14" i="17" s="1"/>
  <c r="J14" i="16"/>
  <c r="V14" i="16" s="1"/>
  <c r="J18" i="17"/>
  <c r="V18" i="17" s="1"/>
  <c r="J18" i="16"/>
  <c r="V18" i="16" s="1"/>
  <c r="W18" i="16" s="1"/>
  <c r="J22" i="17"/>
  <c r="V22" i="17" s="1"/>
  <c r="J22" i="16"/>
  <c r="V22" i="16" s="1"/>
  <c r="W22" i="16" s="1"/>
  <c r="P5" i="18"/>
  <c r="D13" i="32"/>
  <c r="O6" i="18"/>
  <c r="T57" i="22"/>
  <c r="M16" i="27"/>
  <c r="Y16" i="27" s="1"/>
  <c r="M16" i="25"/>
  <c r="Y16" i="25" s="1"/>
  <c r="L16" i="26"/>
  <c r="W16" i="26" s="1"/>
  <c r="X16" i="26" s="1"/>
  <c r="Y16" i="26" s="1"/>
  <c r="M24" i="27"/>
  <c r="Y24" i="27" s="1"/>
  <c r="L24" i="26"/>
  <c r="W24" i="26" s="1"/>
  <c r="X24" i="26" s="1"/>
  <c r="Y24" i="26" s="1"/>
  <c r="M24" i="25"/>
  <c r="Y24" i="25" s="1"/>
  <c r="M15" i="27"/>
  <c r="Y15" i="27" s="1"/>
  <c r="L15" i="26"/>
  <c r="W15" i="26" s="1"/>
  <c r="X15" i="26" s="1"/>
  <c r="Y15" i="26" s="1"/>
  <c r="M15" i="25"/>
  <c r="Y15" i="25" s="1"/>
  <c r="M18" i="27"/>
  <c r="Y18" i="27" s="1"/>
  <c r="M18" i="25"/>
  <c r="Y18" i="25" s="1"/>
  <c r="L18" i="26"/>
  <c r="W18" i="26" s="1"/>
  <c r="X18" i="26" s="1"/>
  <c r="Y18" i="26" s="1"/>
  <c r="M23" i="27"/>
  <c r="Y23" i="27" s="1"/>
  <c r="L23" i="26"/>
  <c r="W23" i="26" s="1"/>
  <c r="X23" i="26" s="1"/>
  <c r="Y23" i="26" s="1"/>
  <c r="M23" i="25"/>
  <c r="Y23" i="25" s="1"/>
  <c r="M25" i="27"/>
  <c r="Y25" i="27" s="1"/>
  <c r="M25" i="25"/>
  <c r="Y25" i="25" s="1"/>
  <c r="L25" i="26"/>
  <c r="W25" i="26" s="1"/>
  <c r="X25" i="26" s="1"/>
  <c r="Y25" i="26" s="1"/>
  <c r="M19" i="27"/>
  <c r="Y19" i="27" s="1"/>
  <c r="M19" i="25"/>
  <c r="Y19" i="25" s="1"/>
  <c r="L19" i="26"/>
  <c r="W19" i="26" s="1"/>
  <c r="X19" i="26" s="1"/>
  <c r="Y19" i="26" s="1"/>
  <c r="M17" i="27"/>
  <c r="Y17" i="27" s="1"/>
  <c r="L17" i="26"/>
  <c r="W17" i="26" s="1"/>
  <c r="X17" i="26" s="1"/>
  <c r="Y17" i="26" s="1"/>
  <c r="M17" i="25"/>
  <c r="Y17" i="25" s="1"/>
  <c r="M20" i="27"/>
  <c r="Y20" i="27" s="1"/>
  <c r="M20" i="25"/>
  <c r="Y20" i="25" s="1"/>
  <c r="L20" i="26"/>
  <c r="W20" i="26" s="1"/>
  <c r="X20" i="26" s="1"/>
  <c r="Y20" i="26" s="1"/>
  <c r="M21" i="27"/>
  <c r="Y21" i="27" s="1"/>
  <c r="L21" i="26"/>
  <c r="W21" i="26" s="1"/>
  <c r="X21" i="26" s="1"/>
  <c r="Y21" i="26" s="1"/>
  <c r="M21" i="25"/>
  <c r="Y21" i="25" s="1"/>
  <c r="M14" i="27"/>
  <c r="Y14" i="27" s="1"/>
  <c r="M14" i="25"/>
  <c r="Y14" i="25" s="1"/>
  <c r="L14" i="26"/>
  <c r="W14" i="26" s="1"/>
  <c r="X14" i="26" s="1"/>
  <c r="M22" i="27"/>
  <c r="Y22" i="27" s="1"/>
  <c r="L22" i="26"/>
  <c r="W22" i="26" s="1"/>
  <c r="X22" i="26" s="1"/>
  <c r="Y22" i="26" s="1"/>
  <c r="M22" i="25"/>
  <c r="Y22" i="25" s="1"/>
  <c r="E74" i="27"/>
  <c r="Q74" i="27" s="1"/>
  <c r="O72" i="28"/>
  <c r="D84" i="28"/>
  <c r="P67" i="28"/>
  <c r="E79" i="28"/>
  <c r="O64" i="28"/>
  <c r="D76" i="28"/>
  <c r="P70" i="28"/>
  <c r="E82" i="28"/>
  <c r="P69" i="28"/>
  <c r="E81" i="28"/>
  <c r="P65" i="28"/>
  <c r="E77" i="28"/>
  <c r="O71" i="28"/>
  <c r="D83" i="28"/>
  <c r="P64" i="28"/>
  <c r="E76" i="28"/>
  <c r="O66" i="28"/>
  <c r="D78" i="28"/>
  <c r="P63" i="28"/>
  <c r="E75" i="28"/>
  <c r="P72" i="28"/>
  <c r="E84" i="28"/>
  <c r="O67" i="28"/>
  <c r="D79" i="28"/>
  <c r="O68" i="28"/>
  <c r="D80" i="28"/>
  <c r="O65" i="28"/>
  <c r="D77" i="28"/>
  <c r="O63" i="28"/>
  <c r="D75" i="28"/>
  <c r="P71" i="28"/>
  <c r="E83" i="28"/>
  <c r="O70" i="28"/>
  <c r="D82" i="28"/>
  <c r="O69" i="28"/>
  <c r="D81" i="28"/>
  <c r="P66" i="28"/>
  <c r="E78" i="28"/>
  <c r="O73" i="28"/>
  <c r="D85" i="28"/>
  <c r="P68" i="28"/>
  <c r="E80" i="28"/>
  <c r="P61" i="28"/>
  <c r="E73" i="28"/>
  <c r="P62" i="28"/>
  <c r="E74" i="28"/>
  <c r="O62" i="28"/>
  <c r="D74" i="28"/>
  <c r="T52" i="22"/>
  <c r="Q63" i="27"/>
  <c r="E75" i="27"/>
  <c r="P73" i="27"/>
  <c r="D85" i="27"/>
  <c r="D79" i="27"/>
  <c r="P67" i="27"/>
  <c r="Q64" i="27"/>
  <c r="E76" i="27"/>
  <c r="P70" i="27"/>
  <c r="D82" i="27"/>
  <c r="Q69" i="27"/>
  <c r="E81" i="27"/>
  <c r="Q71" i="27"/>
  <c r="E83" i="27"/>
  <c r="P72" i="27"/>
  <c r="D84" i="27"/>
  <c r="Q70" i="27"/>
  <c r="E82" i="27"/>
  <c r="P69" i="27"/>
  <c r="D81" i="27"/>
  <c r="P64" i="27"/>
  <c r="D76" i="27"/>
  <c r="P65" i="27"/>
  <c r="D77" i="27"/>
  <c r="P68" i="27"/>
  <c r="D80" i="27"/>
  <c r="P71" i="27"/>
  <c r="D83" i="27"/>
  <c r="P63" i="27"/>
  <c r="D75" i="27"/>
  <c r="Q67" i="27"/>
  <c r="E79" i="27"/>
  <c r="Q66" i="27"/>
  <c r="E78" i="27"/>
  <c r="Q68" i="27"/>
  <c r="E80" i="27"/>
  <c r="Q72" i="27"/>
  <c r="E84" i="27"/>
  <c r="P66" i="27"/>
  <c r="D78" i="27"/>
  <c r="Q65" i="27"/>
  <c r="E77" i="27"/>
  <c r="Q73" i="27"/>
  <c r="E85" i="27"/>
  <c r="P74" i="27"/>
  <c r="D86" i="27"/>
  <c r="M7" i="18"/>
  <c r="T54" i="22"/>
  <c r="T59" i="22"/>
  <c r="T60" i="22"/>
  <c r="T53" i="22"/>
  <c r="E76" i="22"/>
  <c r="N64" i="22"/>
  <c r="D81" i="22"/>
  <c r="M69" i="22"/>
  <c r="D77" i="22"/>
  <c r="M65" i="22"/>
  <c r="N66" i="22"/>
  <c r="E78" i="22"/>
  <c r="D79" i="22"/>
  <c r="M67" i="22"/>
  <c r="D84" i="22"/>
  <c r="M72" i="22"/>
  <c r="E83" i="22"/>
  <c r="N71" i="22"/>
  <c r="M63" i="22"/>
  <c r="D75" i="22"/>
  <c r="E82" i="22"/>
  <c r="N70" i="22"/>
  <c r="D78" i="22"/>
  <c r="M66" i="22"/>
  <c r="M64" i="22"/>
  <c r="D76" i="22"/>
  <c r="T50" i="22"/>
  <c r="T51" i="22"/>
  <c r="E81" i="22"/>
  <c r="N69" i="22"/>
  <c r="T56" i="22"/>
  <c r="D85" i="22"/>
  <c r="M73" i="22"/>
  <c r="T55" i="22"/>
  <c r="N65" i="22"/>
  <c r="E77" i="22"/>
  <c r="E75" i="22"/>
  <c r="N63" i="22"/>
  <c r="D82" i="22"/>
  <c r="M70" i="22"/>
  <c r="N68" i="22"/>
  <c r="E80" i="22"/>
  <c r="E79" i="22"/>
  <c r="N67" i="22"/>
  <c r="M71" i="22"/>
  <c r="D83" i="22"/>
  <c r="D80" i="22"/>
  <c r="M68" i="22"/>
  <c r="E84" i="22"/>
  <c r="N72" i="22"/>
  <c r="E74" i="22"/>
  <c r="N62" i="22"/>
  <c r="N61" i="22"/>
  <c r="T61" i="22" s="1"/>
  <c r="E73" i="22"/>
  <c r="D74" i="22"/>
  <c r="M62" i="22"/>
  <c r="O84" i="17"/>
  <c r="N72" i="17"/>
  <c r="O81" i="17"/>
  <c r="N77" i="17"/>
  <c r="N79" i="17"/>
  <c r="N75" i="17"/>
  <c r="N83" i="17"/>
  <c r="N80" i="17"/>
  <c r="N76" i="17"/>
  <c r="N78" i="17"/>
  <c r="O83" i="17"/>
  <c r="N82" i="17"/>
  <c r="O76" i="17"/>
  <c r="O80" i="17"/>
  <c r="N81" i="17"/>
  <c r="O75" i="17"/>
  <c r="O77" i="17"/>
  <c r="O79" i="17"/>
  <c r="O78" i="17"/>
  <c r="O82" i="17"/>
  <c r="O73" i="17"/>
  <c r="O74" i="17"/>
  <c r="AQ36" i="14"/>
  <c r="L24" i="28"/>
  <c r="W24" i="28" s="1"/>
  <c r="X24" i="28" s="1"/>
  <c r="AQ32" i="14"/>
  <c r="L20" i="28"/>
  <c r="W20" i="28" s="1"/>
  <c r="X20" i="28" s="1"/>
  <c r="AQ33" i="14"/>
  <c r="L21" i="28"/>
  <c r="W21" i="28" s="1"/>
  <c r="X21" i="28" s="1"/>
  <c r="AQ29" i="14"/>
  <c r="L17" i="28"/>
  <c r="W17" i="28" s="1"/>
  <c r="X17" i="28" s="1"/>
  <c r="AQ26" i="14"/>
  <c r="L14" i="28"/>
  <c r="W14" i="28" s="1"/>
  <c r="X14" i="28" s="1"/>
  <c r="AQ34" i="14"/>
  <c r="L22" i="28"/>
  <c r="W22" i="28" s="1"/>
  <c r="X22" i="28" s="1"/>
  <c r="AQ27" i="14"/>
  <c r="L15" i="28"/>
  <c r="W15" i="28" s="1"/>
  <c r="X15" i="28" s="1"/>
  <c r="AQ35" i="14"/>
  <c r="L23" i="28"/>
  <c r="W23" i="28" s="1"/>
  <c r="X23" i="28" s="1"/>
  <c r="AQ28" i="14"/>
  <c r="L16" i="28"/>
  <c r="W16" i="28" s="1"/>
  <c r="X16" i="28" s="1"/>
  <c r="AQ37" i="14"/>
  <c r="L25" i="28"/>
  <c r="W25" i="28" s="1"/>
  <c r="X25" i="28" s="1"/>
  <c r="E45" i="32"/>
  <c r="E54" i="32" s="1"/>
  <c r="AQ30" i="14"/>
  <c r="L18" i="28"/>
  <c r="W18" i="28" s="1"/>
  <c r="X18" i="28" s="1"/>
  <c r="AQ31" i="14"/>
  <c r="L19" i="28"/>
  <c r="W19" i="28" s="1"/>
  <c r="X19" i="28" s="1"/>
  <c r="N86" i="17"/>
  <c r="H80" i="28"/>
  <c r="S79" i="28"/>
  <c r="F70" i="17"/>
  <c r="P69" i="17"/>
  <c r="AD13" i="14"/>
  <c r="AD12" i="14"/>
  <c r="AD11" i="14"/>
  <c r="AD10" i="14"/>
  <c r="AD9" i="14"/>
  <c r="AD8" i="14"/>
  <c r="AD7" i="14"/>
  <c r="AD6" i="14"/>
  <c r="AD5" i="14"/>
  <c r="AD4" i="14"/>
  <c r="AD3" i="14"/>
  <c r="AD2" i="14"/>
  <c r="AF61" i="14"/>
  <c r="L61" i="14"/>
  <c r="N61" i="14" s="1"/>
  <c r="AF60" i="14"/>
  <c r="L60" i="14"/>
  <c r="N60" i="14" s="1"/>
  <c r="AF59" i="14"/>
  <c r="L59" i="14"/>
  <c r="N59" i="14" s="1"/>
  <c r="AF58" i="14"/>
  <c r="L58" i="14"/>
  <c r="N58" i="14" s="1"/>
  <c r="AF57" i="14"/>
  <c r="L57" i="14"/>
  <c r="N57" i="14" s="1"/>
  <c r="AF56" i="14"/>
  <c r="L56" i="14"/>
  <c r="N56" i="14" s="1"/>
  <c r="AF55" i="14"/>
  <c r="L55" i="14"/>
  <c r="N55" i="14" s="1"/>
  <c r="AF54" i="14"/>
  <c r="L54" i="14"/>
  <c r="N54" i="14" s="1"/>
  <c r="AF53" i="14"/>
  <c r="L53" i="14"/>
  <c r="N53" i="14" s="1"/>
  <c r="AF52" i="14"/>
  <c r="L52" i="14"/>
  <c r="N52" i="14" s="1"/>
  <c r="AF51" i="14"/>
  <c r="L51" i="14"/>
  <c r="N51" i="14" s="1"/>
  <c r="AF50" i="14"/>
  <c r="L50" i="14"/>
  <c r="AF49" i="14"/>
  <c r="L49" i="14"/>
  <c r="N49" i="14" s="1"/>
  <c r="AF48" i="14"/>
  <c r="L48" i="14"/>
  <c r="N48" i="14" s="1"/>
  <c r="AF47" i="14"/>
  <c r="L47" i="14"/>
  <c r="N47" i="14" s="1"/>
  <c r="AF46" i="14"/>
  <c r="L46" i="14"/>
  <c r="N46" i="14" s="1"/>
  <c r="AF45" i="14"/>
  <c r="L45" i="14"/>
  <c r="N45" i="14" s="1"/>
  <c r="AF44" i="14"/>
  <c r="L44" i="14"/>
  <c r="N44" i="14" s="1"/>
  <c r="AF43" i="14"/>
  <c r="L43" i="14"/>
  <c r="N43" i="14" s="1"/>
  <c r="AF42" i="14"/>
  <c r="L42" i="14"/>
  <c r="N42" i="14" s="1"/>
  <c r="AF41" i="14"/>
  <c r="L41" i="14"/>
  <c r="N41" i="14" s="1"/>
  <c r="AF40" i="14"/>
  <c r="L40" i="14"/>
  <c r="N40" i="14" s="1"/>
  <c r="AF39" i="14"/>
  <c r="L39" i="14"/>
  <c r="N39" i="14" s="1"/>
  <c r="AF38" i="14"/>
  <c r="L38" i="14"/>
  <c r="AF37" i="14"/>
  <c r="L37" i="14"/>
  <c r="N37" i="14" s="1"/>
  <c r="AF36" i="14"/>
  <c r="L36" i="14"/>
  <c r="N36" i="14" s="1"/>
  <c r="AF35" i="14"/>
  <c r="L35" i="14"/>
  <c r="N35" i="14" s="1"/>
  <c r="AF34" i="14"/>
  <c r="L34" i="14"/>
  <c r="N34" i="14" s="1"/>
  <c r="AF33" i="14"/>
  <c r="L33" i="14"/>
  <c r="N33" i="14" s="1"/>
  <c r="AF32" i="14"/>
  <c r="L32" i="14"/>
  <c r="N32" i="14" s="1"/>
  <c r="AF31" i="14"/>
  <c r="L31" i="14"/>
  <c r="N31" i="14" s="1"/>
  <c r="AF30" i="14"/>
  <c r="L30" i="14"/>
  <c r="N30" i="14" s="1"/>
  <c r="AF29" i="14"/>
  <c r="L29" i="14"/>
  <c r="N29" i="14" s="1"/>
  <c r="AF28" i="14"/>
  <c r="L28" i="14"/>
  <c r="N28" i="14" s="1"/>
  <c r="AF27" i="14"/>
  <c r="L27" i="14"/>
  <c r="N27" i="14" s="1"/>
  <c r="AF26" i="14"/>
  <c r="L26" i="14"/>
  <c r="AF25" i="14"/>
  <c r="L25" i="14"/>
  <c r="N25" i="14" s="1"/>
  <c r="AF24" i="14"/>
  <c r="L24" i="14"/>
  <c r="N24" i="14" s="1"/>
  <c r="AF23" i="14"/>
  <c r="L23" i="14"/>
  <c r="N23" i="14" s="1"/>
  <c r="AF22" i="14"/>
  <c r="L22" i="14"/>
  <c r="N22" i="14" s="1"/>
  <c r="AF21" i="14"/>
  <c r="L21" i="14"/>
  <c r="N21" i="14" s="1"/>
  <c r="AF20" i="14"/>
  <c r="L20" i="14"/>
  <c r="N20" i="14" s="1"/>
  <c r="AF19" i="14"/>
  <c r="L19" i="14"/>
  <c r="N19" i="14" s="1"/>
  <c r="AF18" i="14"/>
  <c r="L18" i="14"/>
  <c r="N18" i="14" s="1"/>
  <c r="AF17" i="14"/>
  <c r="L17" i="14"/>
  <c r="N17" i="14" s="1"/>
  <c r="AF16" i="14"/>
  <c r="L16" i="14"/>
  <c r="N16" i="14" s="1"/>
  <c r="AF15" i="14"/>
  <c r="L15" i="14"/>
  <c r="N15" i="14" s="1"/>
  <c r="AF14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N2" i="14" l="1"/>
  <c r="S4" i="18"/>
  <c r="E6" i="32" s="1"/>
  <c r="I6" i="32" s="1"/>
  <c r="N14" i="14"/>
  <c r="S5" i="18"/>
  <c r="E7" i="32" s="1"/>
  <c r="I7" i="32" s="1"/>
  <c r="C22" i="25"/>
  <c r="C22" i="27"/>
  <c r="C30" i="25"/>
  <c r="C30" i="27"/>
  <c r="N38" i="14"/>
  <c r="S7" i="18"/>
  <c r="E9" i="32" s="1"/>
  <c r="I9" i="32" s="1"/>
  <c r="C44" i="25"/>
  <c r="C44" i="27"/>
  <c r="C52" i="25"/>
  <c r="C52" i="27"/>
  <c r="C60" i="25"/>
  <c r="C60" i="27"/>
  <c r="J30" i="17"/>
  <c r="V30" i="17" s="1"/>
  <c r="J30" i="16"/>
  <c r="V30" i="16" s="1"/>
  <c r="W30" i="16" s="1"/>
  <c r="N7" i="14"/>
  <c r="N11" i="14"/>
  <c r="H14" i="27"/>
  <c r="T14" i="27" s="1"/>
  <c r="H14" i="25"/>
  <c r="T14" i="25" s="1"/>
  <c r="H16" i="27"/>
  <c r="T16" i="27" s="1"/>
  <c r="H16" i="25"/>
  <c r="T16" i="25" s="1"/>
  <c r="Z16" i="25" s="1"/>
  <c r="H18" i="27"/>
  <c r="T18" i="27" s="1"/>
  <c r="H18" i="25"/>
  <c r="T18" i="25" s="1"/>
  <c r="H20" i="27"/>
  <c r="T20" i="27" s="1"/>
  <c r="H20" i="25"/>
  <c r="T20" i="25" s="1"/>
  <c r="Z20" i="25" s="1"/>
  <c r="H22" i="27"/>
  <c r="T22" i="27" s="1"/>
  <c r="H22" i="25"/>
  <c r="T22" i="25" s="1"/>
  <c r="H24" i="27"/>
  <c r="T24" i="27" s="1"/>
  <c r="H24" i="25"/>
  <c r="T24" i="25" s="1"/>
  <c r="H26" i="27"/>
  <c r="T26" i="27" s="1"/>
  <c r="H26" i="25"/>
  <c r="T26" i="25" s="1"/>
  <c r="H28" i="27"/>
  <c r="T28" i="27" s="1"/>
  <c r="H28" i="25"/>
  <c r="T28" i="25" s="1"/>
  <c r="H30" i="27"/>
  <c r="T30" i="27" s="1"/>
  <c r="H30" i="25"/>
  <c r="T30" i="25" s="1"/>
  <c r="H32" i="27"/>
  <c r="T32" i="27" s="1"/>
  <c r="H32" i="25"/>
  <c r="T32" i="25" s="1"/>
  <c r="H34" i="27"/>
  <c r="T34" i="27" s="1"/>
  <c r="H34" i="25"/>
  <c r="T34" i="25" s="1"/>
  <c r="H36" i="27"/>
  <c r="T36" i="27" s="1"/>
  <c r="H36" i="25"/>
  <c r="T36" i="25" s="1"/>
  <c r="H38" i="27"/>
  <c r="T38" i="27" s="1"/>
  <c r="H38" i="25"/>
  <c r="T38" i="25" s="1"/>
  <c r="H40" i="27"/>
  <c r="T40" i="27" s="1"/>
  <c r="H40" i="25"/>
  <c r="T40" i="25" s="1"/>
  <c r="H42" i="27"/>
  <c r="T42" i="27" s="1"/>
  <c r="H42" i="25"/>
  <c r="T42" i="25" s="1"/>
  <c r="H44" i="27"/>
  <c r="T44" i="27" s="1"/>
  <c r="H44" i="25"/>
  <c r="T44" i="25" s="1"/>
  <c r="H46" i="27"/>
  <c r="T46" i="27" s="1"/>
  <c r="H46" i="25"/>
  <c r="T46" i="25" s="1"/>
  <c r="H48" i="27"/>
  <c r="T48" i="27" s="1"/>
  <c r="H48" i="25"/>
  <c r="T48" i="25" s="1"/>
  <c r="H50" i="27"/>
  <c r="T50" i="27" s="1"/>
  <c r="H50" i="25"/>
  <c r="T50" i="25" s="1"/>
  <c r="H52" i="27"/>
  <c r="T52" i="27" s="1"/>
  <c r="H52" i="25"/>
  <c r="T52" i="25" s="1"/>
  <c r="H54" i="27"/>
  <c r="T54" i="27" s="1"/>
  <c r="H54" i="25"/>
  <c r="T54" i="25" s="1"/>
  <c r="H56" i="27"/>
  <c r="T56" i="27" s="1"/>
  <c r="H56" i="25"/>
  <c r="T56" i="25" s="1"/>
  <c r="H58" i="27"/>
  <c r="T58" i="27" s="1"/>
  <c r="H58" i="25"/>
  <c r="T58" i="25" s="1"/>
  <c r="H60" i="27"/>
  <c r="T60" i="27" s="1"/>
  <c r="H60" i="25"/>
  <c r="T60" i="25" s="1"/>
  <c r="J28" i="17"/>
  <c r="V28" i="17" s="1"/>
  <c r="J28" i="16"/>
  <c r="V28" i="16" s="1"/>
  <c r="W28" i="16" s="1"/>
  <c r="J27" i="16"/>
  <c r="V27" i="16" s="1"/>
  <c r="W27" i="16" s="1"/>
  <c r="J27" i="17"/>
  <c r="V27" i="17" s="1"/>
  <c r="J26" i="17"/>
  <c r="V26" i="17" s="1"/>
  <c r="J26" i="16"/>
  <c r="V26" i="16" s="1"/>
  <c r="J33" i="16"/>
  <c r="V33" i="16" s="1"/>
  <c r="W33" i="16" s="1"/>
  <c r="J33" i="17"/>
  <c r="V33" i="17" s="1"/>
  <c r="J36" i="17"/>
  <c r="V36" i="17" s="1"/>
  <c r="J36" i="16"/>
  <c r="V36" i="16" s="1"/>
  <c r="W36" i="16" s="1"/>
  <c r="N10" i="14"/>
  <c r="C18" i="25"/>
  <c r="C18" i="27"/>
  <c r="N26" i="14"/>
  <c r="S6" i="18"/>
  <c r="E8" i="32" s="1"/>
  <c r="I8" i="32" s="1"/>
  <c r="C34" i="25"/>
  <c r="C34" i="27"/>
  <c r="C40" i="25"/>
  <c r="C40" i="27"/>
  <c r="C48" i="25"/>
  <c r="C48" i="27"/>
  <c r="C56" i="25"/>
  <c r="C56" i="27"/>
  <c r="N3" i="14"/>
  <c r="N8" i="14"/>
  <c r="C15" i="25"/>
  <c r="C15" i="27"/>
  <c r="C19" i="25"/>
  <c r="C19" i="27"/>
  <c r="C23" i="25"/>
  <c r="C23" i="27"/>
  <c r="C27" i="25"/>
  <c r="C27" i="27"/>
  <c r="C29" i="25"/>
  <c r="C29" i="27"/>
  <c r="C31" i="25"/>
  <c r="C31" i="27"/>
  <c r="C33" i="25"/>
  <c r="C33" i="27"/>
  <c r="C35" i="25"/>
  <c r="C35" i="27"/>
  <c r="C37" i="25"/>
  <c r="C37" i="27"/>
  <c r="C39" i="25"/>
  <c r="C39" i="27"/>
  <c r="C41" i="25"/>
  <c r="C41" i="27"/>
  <c r="C43" i="25"/>
  <c r="C43" i="27"/>
  <c r="C45" i="25"/>
  <c r="C45" i="27"/>
  <c r="C47" i="25"/>
  <c r="C47" i="27"/>
  <c r="C49" i="25"/>
  <c r="C49" i="27"/>
  <c r="C51" i="25"/>
  <c r="C51" i="27"/>
  <c r="C53" i="25"/>
  <c r="C53" i="27"/>
  <c r="C55" i="25"/>
  <c r="C55" i="27"/>
  <c r="C57" i="25"/>
  <c r="C57" i="27"/>
  <c r="C59" i="25"/>
  <c r="C59" i="27"/>
  <c r="C61" i="25"/>
  <c r="C61" i="27"/>
  <c r="J31" i="17"/>
  <c r="V31" i="17" s="1"/>
  <c r="J31" i="16"/>
  <c r="V31" i="16" s="1"/>
  <c r="W31" i="16" s="1"/>
  <c r="Z22" i="25"/>
  <c r="Z14" i="25"/>
  <c r="C16" i="25"/>
  <c r="C16" i="27"/>
  <c r="C24" i="25"/>
  <c r="C24" i="27"/>
  <c r="C32" i="25"/>
  <c r="C32" i="27"/>
  <c r="C42" i="25"/>
  <c r="C42" i="27"/>
  <c r="N50" i="14"/>
  <c r="S8" i="18"/>
  <c r="E10" i="32" s="1"/>
  <c r="I10" i="32" s="1"/>
  <c r="C58" i="25"/>
  <c r="C58" i="27"/>
  <c r="N4" i="14"/>
  <c r="N12" i="14"/>
  <c r="C17" i="25"/>
  <c r="C17" i="27"/>
  <c r="C21" i="25"/>
  <c r="C21" i="27"/>
  <c r="C25" i="25"/>
  <c r="C25" i="27"/>
  <c r="N5" i="14"/>
  <c r="N9" i="14"/>
  <c r="N13" i="14"/>
  <c r="H15" i="25"/>
  <c r="T15" i="25" s="1"/>
  <c r="Z15" i="25" s="1"/>
  <c r="H15" i="27"/>
  <c r="T15" i="27" s="1"/>
  <c r="H17" i="27"/>
  <c r="T17" i="27" s="1"/>
  <c r="H17" i="25"/>
  <c r="T17" i="25" s="1"/>
  <c r="Z17" i="25" s="1"/>
  <c r="H19" i="25"/>
  <c r="T19" i="25" s="1"/>
  <c r="Z19" i="25" s="1"/>
  <c r="H19" i="27"/>
  <c r="T19" i="27" s="1"/>
  <c r="H21" i="27"/>
  <c r="T21" i="27" s="1"/>
  <c r="H21" i="25"/>
  <c r="T21" i="25" s="1"/>
  <c r="Z21" i="25" s="1"/>
  <c r="H23" i="25"/>
  <c r="T23" i="25" s="1"/>
  <c r="H23" i="27"/>
  <c r="T23" i="27" s="1"/>
  <c r="H25" i="27"/>
  <c r="T25" i="27" s="1"/>
  <c r="H25" i="25"/>
  <c r="T25" i="25" s="1"/>
  <c r="Z25" i="25" s="1"/>
  <c r="H27" i="25"/>
  <c r="T27" i="25" s="1"/>
  <c r="H27" i="27"/>
  <c r="T27" i="27" s="1"/>
  <c r="H29" i="27"/>
  <c r="T29" i="27" s="1"/>
  <c r="H29" i="25"/>
  <c r="T29" i="25" s="1"/>
  <c r="H31" i="25"/>
  <c r="T31" i="25" s="1"/>
  <c r="H31" i="27"/>
  <c r="T31" i="27" s="1"/>
  <c r="H33" i="27"/>
  <c r="T33" i="27" s="1"/>
  <c r="H33" i="25"/>
  <c r="T33" i="25" s="1"/>
  <c r="H35" i="25"/>
  <c r="T35" i="25" s="1"/>
  <c r="H35" i="27"/>
  <c r="T35" i="27" s="1"/>
  <c r="H37" i="27"/>
  <c r="T37" i="27" s="1"/>
  <c r="H37" i="25"/>
  <c r="T37" i="25" s="1"/>
  <c r="H39" i="25"/>
  <c r="T39" i="25" s="1"/>
  <c r="H39" i="27"/>
  <c r="T39" i="27" s="1"/>
  <c r="H41" i="27"/>
  <c r="T41" i="27" s="1"/>
  <c r="H41" i="25"/>
  <c r="T41" i="25" s="1"/>
  <c r="H43" i="25"/>
  <c r="T43" i="25" s="1"/>
  <c r="H43" i="27"/>
  <c r="T43" i="27" s="1"/>
  <c r="H45" i="27"/>
  <c r="T45" i="27" s="1"/>
  <c r="H45" i="25"/>
  <c r="T45" i="25" s="1"/>
  <c r="H47" i="25"/>
  <c r="T47" i="25" s="1"/>
  <c r="H47" i="27"/>
  <c r="T47" i="27" s="1"/>
  <c r="H49" i="27"/>
  <c r="T49" i="27" s="1"/>
  <c r="H49" i="25"/>
  <c r="T49" i="25" s="1"/>
  <c r="H51" i="25"/>
  <c r="T51" i="25" s="1"/>
  <c r="H51" i="27"/>
  <c r="T51" i="27" s="1"/>
  <c r="H53" i="27"/>
  <c r="T53" i="27" s="1"/>
  <c r="H53" i="25"/>
  <c r="T53" i="25" s="1"/>
  <c r="H55" i="25"/>
  <c r="T55" i="25" s="1"/>
  <c r="H55" i="27"/>
  <c r="T55" i="27" s="1"/>
  <c r="H57" i="27"/>
  <c r="T57" i="27" s="1"/>
  <c r="H57" i="25"/>
  <c r="T57" i="25" s="1"/>
  <c r="H59" i="25"/>
  <c r="T59" i="25" s="1"/>
  <c r="H59" i="27"/>
  <c r="T59" i="27" s="1"/>
  <c r="H61" i="27"/>
  <c r="T61" i="27" s="1"/>
  <c r="H61" i="25"/>
  <c r="T61" i="25" s="1"/>
  <c r="J37" i="17"/>
  <c r="V37" i="17" s="1"/>
  <c r="J37" i="16"/>
  <c r="V37" i="16" s="1"/>
  <c r="W37" i="16" s="1"/>
  <c r="J35" i="16"/>
  <c r="V35" i="16" s="1"/>
  <c r="W35" i="16" s="1"/>
  <c r="J35" i="17"/>
  <c r="V35" i="17" s="1"/>
  <c r="J34" i="17"/>
  <c r="V34" i="17" s="1"/>
  <c r="J34" i="16"/>
  <c r="V34" i="16" s="1"/>
  <c r="W34" i="16" s="1"/>
  <c r="J29" i="17"/>
  <c r="V29" i="17" s="1"/>
  <c r="J29" i="16"/>
  <c r="V29" i="16" s="1"/>
  <c r="W29" i="16" s="1"/>
  <c r="J32" i="17"/>
  <c r="V32" i="17" s="1"/>
  <c r="J32" i="16"/>
  <c r="V32" i="16" s="1"/>
  <c r="W32" i="16" s="1"/>
  <c r="Z23" i="25"/>
  <c r="Z18" i="25"/>
  <c r="D5" i="12"/>
  <c r="E5" i="12" s="1"/>
  <c r="W14" i="16"/>
  <c r="N6" i="14"/>
  <c r="C20" i="25"/>
  <c r="C20" i="27"/>
  <c r="C28" i="25"/>
  <c r="C28" i="27"/>
  <c r="C36" i="25"/>
  <c r="C36" i="27"/>
  <c r="C46" i="25"/>
  <c r="C46" i="27"/>
  <c r="C54" i="25"/>
  <c r="C54" i="27"/>
  <c r="Z24" i="25"/>
  <c r="AA24" i="25" s="1"/>
  <c r="E5" i="18"/>
  <c r="G5" i="18" s="1"/>
  <c r="P6" i="18"/>
  <c r="D14" i="32"/>
  <c r="O7" i="18"/>
  <c r="M35" i="27"/>
  <c r="Y35" i="27" s="1"/>
  <c r="L35" i="26"/>
  <c r="W35" i="26" s="1"/>
  <c r="X35" i="26" s="1"/>
  <c r="Y35" i="26" s="1"/>
  <c r="M35" i="25"/>
  <c r="Y35" i="25" s="1"/>
  <c r="Z35" i="25" s="1"/>
  <c r="M29" i="27"/>
  <c r="Y29" i="27" s="1"/>
  <c r="L29" i="26"/>
  <c r="W29" i="26" s="1"/>
  <c r="X29" i="26" s="1"/>
  <c r="Y29" i="26" s="1"/>
  <c r="M29" i="25"/>
  <c r="Y29" i="25" s="1"/>
  <c r="AA23" i="25"/>
  <c r="M30" i="27"/>
  <c r="Y30" i="27" s="1"/>
  <c r="L30" i="26"/>
  <c r="W30" i="26" s="1"/>
  <c r="X30" i="26" s="1"/>
  <c r="Y30" i="26" s="1"/>
  <c r="M30" i="25"/>
  <c r="Y30" i="25" s="1"/>
  <c r="Z30" i="25" s="1"/>
  <c r="M27" i="27"/>
  <c r="Y27" i="27" s="1"/>
  <c r="M27" i="25"/>
  <c r="Y27" i="25" s="1"/>
  <c r="L27" i="26"/>
  <c r="W27" i="26" s="1"/>
  <c r="X27" i="26" s="1"/>
  <c r="Y27" i="26" s="1"/>
  <c r="M33" i="27"/>
  <c r="Y33" i="27" s="1"/>
  <c r="L33" i="26"/>
  <c r="W33" i="26" s="1"/>
  <c r="X33" i="26" s="1"/>
  <c r="Y33" i="26" s="1"/>
  <c r="M33" i="25"/>
  <c r="Y33" i="25" s="1"/>
  <c r="AA22" i="25"/>
  <c r="M37" i="27"/>
  <c r="Y37" i="27" s="1"/>
  <c r="M37" i="25"/>
  <c r="Y37" i="25" s="1"/>
  <c r="L37" i="26"/>
  <c r="W37" i="26" s="1"/>
  <c r="X37" i="26" s="1"/>
  <c r="Y37" i="26" s="1"/>
  <c r="M34" i="27"/>
  <c r="Y34" i="27" s="1"/>
  <c r="L34" i="26"/>
  <c r="W34" i="26" s="1"/>
  <c r="X34" i="26" s="1"/>
  <c r="Y34" i="26" s="1"/>
  <c r="M34" i="25"/>
  <c r="Y34" i="25" s="1"/>
  <c r="Z34" i="25" s="1"/>
  <c r="M32" i="27"/>
  <c r="Y32" i="27" s="1"/>
  <c r="M32" i="25"/>
  <c r="Y32" i="25" s="1"/>
  <c r="L32" i="26"/>
  <c r="W32" i="26" s="1"/>
  <c r="X32" i="26" s="1"/>
  <c r="Y32" i="26" s="1"/>
  <c r="M6" i="31"/>
  <c r="E62" i="32" s="1"/>
  <c r="I62" i="32" s="1"/>
  <c r="M7" i="31"/>
  <c r="E63" i="32" s="1"/>
  <c r="I63" i="32" s="1"/>
  <c r="M31" i="27"/>
  <c r="Y31" i="27" s="1"/>
  <c r="L31" i="26"/>
  <c r="W31" i="26" s="1"/>
  <c r="X31" i="26" s="1"/>
  <c r="Y31" i="26" s="1"/>
  <c r="M31" i="25"/>
  <c r="Y31" i="25" s="1"/>
  <c r="Z31" i="25" s="1"/>
  <c r="M5" i="31"/>
  <c r="M28" i="27"/>
  <c r="Y28" i="27" s="1"/>
  <c r="M28" i="25"/>
  <c r="Y28" i="25" s="1"/>
  <c r="L28" i="26"/>
  <c r="W28" i="26" s="1"/>
  <c r="X28" i="26" s="1"/>
  <c r="Y28" i="26" s="1"/>
  <c r="M26" i="27"/>
  <c r="Y26" i="27" s="1"/>
  <c r="M26" i="25"/>
  <c r="Y26" i="25" s="1"/>
  <c r="Z26" i="25" s="1"/>
  <c r="L26" i="26"/>
  <c r="W26" i="26" s="1"/>
  <c r="X26" i="26" s="1"/>
  <c r="M36" i="27"/>
  <c r="Y36" i="27" s="1"/>
  <c r="L36" i="26"/>
  <c r="W36" i="26" s="1"/>
  <c r="X36" i="26" s="1"/>
  <c r="Y36" i="26" s="1"/>
  <c r="M36" i="25"/>
  <c r="Y36" i="25" s="1"/>
  <c r="Y14" i="26"/>
  <c r="S5" i="12"/>
  <c r="T5" i="12" s="1"/>
  <c r="M8" i="31"/>
  <c r="E86" i="27"/>
  <c r="Q86" i="27" s="1"/>
  <c r="O85" i="28"/>
  <c r="D97" i="28"/>
  <c r="P83" i="28"/>
  <c r="E95" i="28"/>
  <c r="O79" i="28"/>
  <c r="D91" i="28"/>
  <c r="P76" i="28"/>
  <c r="E88" i="28"/>
  <c r="P82" i="28"/>
  <c r="E94" i="28"/>
  <c r="P78" i="28"/>
  <c r="E90" i="28"/>
  <c r="O75" i="28"/>
  <c r="D87" i="28"/>
  <c r="P84" i="28"/>
  <c r="E96" i="28"/>
  <c r="O83" i="28"/>
  <c r="D95" i="28"/>
  <c r="O76" i="28"/>
  <c r="D88" i="28"/>
  <c r="O81" i="28"/>
  <c r="D93" i="28"/>
  <c r="O77" i="28"/>
  <c r="D89" i="28"/>
  <c r="P75" i="28"/>
  <c r="E87" i="28"/>
  <c r="P77" i="28"/>
  <c r="E89" i="28"/>
  <c r="P79" i="28"/>
  <c r="E91" i="28"/>
  <c r="P80" i="28"/>
  <c r="E92" i="28"/>
  <c r="O82" i="28"/>
  <c r="D94" i="28"/>
  <c r="O80" i="28"/>
  <c r="D92" i="28"/>
  <c r="O78" i="28"/>
  <c r="D90" i="28"/>
  <c r="P81" i="28"/>
  <c r="E93" i="28"/>
  <c r="O84" i="28"/>
  <c r="D96" i="28"/>
  <c r="P74" i="28"/>
  <c r="E86" i="28"/>
  <c r="P73" i="28"/>
  <c r="E85" i="28"/>
  <c r="O74" i="28"/>
  <c r="D86" i="28"/>
  <c r="M8" i="18"/>
  <c r="T70" i="22"/>
  <c r="P78" i="27"/>
  <c r="D90" i="27"/>
  <c r="Q79" i="27"/>
  <c r="E91" i="27"/>
  <c r="P77" i="27"/>
  <c r="D89" i="27"/>
  <c r="P84" i="27"/>
  <c r="D96" i="27"/>
  <c r="Q76" i="27"/>
  <c r="E88" i="27"/>
  <c r="Q84" i="27"/>
  <c r="E96" i="27"/>
  <c r="P75" i="27"/>
  <c r="D87" i="27"/>
  <c r="P76" i="27"/>
  <c r="D88" i="27"/>
  <c r="Q83" i="27"/>
  <c r="E95" i="27"/>
  <c r="P79" i="27"/>
  <c r="D91" i="27"/>
  <c r="Q80" i="27"/>
  <c r="E92" i="27"/>
  <c r="P83" i="27"/>
  <c r="D95" i="27"/>
  <c r="P81" i="27"/>
  <c r="D93" i="27"/>
  <c r="Q81" i="27"/>
  <c r="E93" i="27"/>
  <c r="P85" i="27"/>
  <c r="D97" i="27"/>
  <c r="Q77" i="27"/>
  <c r="E89" i="27"/>
  <c r="Q78" i="27"/>
  <c r="E90" i="27"/>
  <c r="P80" i="27"/>
  <c r="D92" i="27"/>
  <c r="Q82" i="27"/>
  <c r="E94" i="27"/>
  <c r="P82" i="27"/>
  <c r="D94" i="27"/>
  <c r="Q75" i="27"/>
  <c r="E87" i="27"/>
  <c r="Q85" i="27"/>
  <c r="E97" i="27"/>
  <c r="P86" i="27"/>
  <c r="D98" i="27"/>
  <c r="T62" i="22"/>
  <c r="E96" i="22"/>
  <c r="N84" i="22"/>
  <c r="N80" i="22"/>
  <c r="E92" i="22"/>
  <c r="E90" i="22"/>
  <c r="N78" i="22"/>
  <c r="T68" i="22"/>
  <c r="T65" i="22"/>
  <c r="D92" i="22"/>
  <c r="M80" i="22"/>
  <c r="M85" i="22"/>
  <c r="D97" i="22"/>
  <c r="T66" i="22"/>
  <c r="E95" i="22"/>
  <c r="N83" i="22"/>
  <c r="D89" i="22"/>
  <c r="M77" i="22"/>
  <c r="M83" i="22"/>
  <c r="D95" i="22"/>
  <c r="D94" i="22"/>
  <c r="M82" i="22"/>
  <c r="D90" i="22"/>
  <c r="M78" i="22"/>
  <c r="T72" i="22"/>
  <c r="T69" i="22"/>
  <c r="T71" i="22"/>
  <c r="T63" i="22"/>
  <c r="D96" i="22"/>
  <c r="M84" i="22"/>
  <c r="D93" i="22"/>
  <c r="M81" i="22"/>
  <c r="N75" i="22"/>
  <c r="E87" i="22"/>
  <c r="E93" i="22"/>
  <c r="N81" i="22"/>
  <c r="E94" i="22"/>
  <c r="N82" i="22"/>
  <c r="T67" i="22"/>
  <c r="T64" i="22"/>
  <c r="D88" i="22"/>
  <c r="M76" i="22"/>
  <c r="E91" i="22"/>
  <c r="N79" i="22"/>
  <c r="E89" i="22"/>
  <c r="N77" i="22"/>
  <c r="M75" i="22"/>
  <c r="D87" i="22"/>
  <c r="D91" i="22"/>
  <c r="M79" i="22"/>
  <c r="E88" i="22"/>
  <c r="N76" i="22"/>
  <c r="E85" i="22"/>
  <c r="N73" i="22"/>
  <c r="T73" i="22" s="1"/>
  <c r="E86" i="22"/>
  <c r="N74" i="22"/>
  <c r="D86" i="22"/>
  <c r="M74" i="22"/>
  <c r="O96" i="17"/>
  <c r="N84" i="17"/>
  <c r="O92" i="17"/>
  <c r="N90" i="17"/>
  <c r="N87" i="17"/>
  <c r="O88" i="17"/>
  <c r="N88" i="17"/>
  <c r="N91" i="17"/>
  <c r="O94" i="17"/>
  <c r="O90" i="17"/>
  <c r="O87" i="17"/>
  <c r="N94" i="17"/>
  <c r="N92" i="17"/>
  <c r="N89" i="17"/>
  <c r="N93" i="17"/>
  <c r="O95" i="17"/>
  <c r="N95" i="17"/>
  <c r="O89" i="17"/>
  <c r="O91" i="17"/>
  <c r="O93" i="17"/>
  <c r="O86" i="17"/>
  <c r="O85" i="17"/>
  <c r="S15" i="27"/>
  <c r="S19" i="27"/>
  <c r="S23" i="27"/>
  <c r="Z23" i="27" s="1"/>
  <c r="S27" i="27"/>
  <c r="S31" i="27"/>
  <c r="S35" i="27"/>
  <c r="S39" i="27"/>
  <c r="S43" i="27"/>
  <c r="S47" i="27"/>
  <c r="S51" i="27"/>
  <c r="S55" i="27"/>
  <c r="S59" i="27"/>
  <c r="AQ40" i="14"/>
  <c r="L28" i="28"/>
  <c r="W28" i="28" s="1"/>
  <c r="X28" i="28" s="1"/>
  <c r="AQ46" i="14"/>
  <c r="L34" i="28"/>
  <c r="W34" i="28" s="1"/>
  <c r="X34" i="28" s="1"/>
  <c r="AQ41" i="14"/>
  <c r="L29" i="28"/>
  <c r="W29" i="28" s="1"/>
  <c r="X29" i="28" s="1"/>
  <c r="S16" i="27"/>
  <c r="Z16" i="27" s="1"/>
  <c r="S20" i="27"/>
  <c r="S24" i="27"/>
  <c r="S28" i="27"/>
  <c r="Z28" i="27" s="1"/>
  <c r="S32" i="27"/>
  <c r="S36" i="27"/>
  <c r="S40" i="27"/>
  <c r="S44" i="27"/>
  <c r="S48" i="27"/>
  <c r="S52" i="27"/>
  <c r="S56" i="27"/>
  <c r="S60" i="27"/>
  <c r="AQ43" i="14"/>
  <c r="L31" i="28"/>
  <c r="W31" i="28" s="1"/>
  <c r="X31" i="28" s="1"/>
  <c r="AQ47" i="14"/>
  <c r="L35" i="28"/>
  <c r="W35" i="28" s="1"/>
  <c r="X35" i="28" s="1"/>
  <c r="AC5" i="18"/>
  <c r="S17" i="27"/>
  <c r="S21" i="27"/>
  <c r="Z21" i="27" s="1"/>
  <c r="S25" i="27"/>
  <c r="Z25" i="27" s="1"/>
  <c r="S29" i="27"/>
  <c r="S33" i="27"/>
  <c r="S37" i="27"/>
  <c r="S41" i="27"/>
  <c r="S45" i="27"/>
  <c r="S49" i="27"/>
  <c r="S53" i="27"/>
  <c r="S57" i="27"/>
  <c r="S61" i="27"/>
  <c r="AQ38" i="14"/>
  <c r="L26" i="28"/>
  <c r="W26" i="28" s="1"/>
  <c r="X26" i="28" s="1"/>
  <c r="AQ45" i="14"/>
  <c r="L33" i="28"/>
  <c r="W33" i="28" s="1"/>
  <c r="X33" i="28" s="1"/>
  <c r="AQ48" i="14"/>
  <c r="L36" i="28"/>
  <c r="W36" i="28" s="1"/>
  <c r="X36" i="28" s="1"/>
  <c r="AQ49" i="14"/>
  <c r="L37" i="28"/>
  <c r="W37" i="28" s="1"/>
  <c r="X37" i="28" s="1"/>
  <c r="S14" i="27"/>
  <c r="Z14" i="27" s="1"/>
  <c r="S18" i="27"/>
  <c r="Z18" i="27" s="1"/>
  <c r="S22" i="27"/>
  <c r="Z22" i="27" s="1"/>
  <c r="S26" i="27"/>
  <c r="S30" i="27"/>
  <c r="S34" i="27"/>
  <c r="S38" i="27"/>
  <c r="S42" i="27"/>
  <c r="S46" i="27"/>
  <c r="S50" i="27"/>
  <c r="S54" i="27"/>
  <c r="S58" i="27"/>
  <c r="AQ42" i="14"/>
  <c r="L30" i="28"/>
  <c r="W30" i="28" s="1"/>
  <c r="X30" i="28" s="1"/>
  <c r="AQ39" i="14"/>
  <c r="L27" i="28"/>
  <c r="W27" i="28" s="1"/>
  <c r="X27" i="28" s="1"/>
  <c r="N98" i="17"/>
  <c r="AQ44" i="14"/>
  <c r="L32" i="28"/>
  <c r="W32" i="28" s="1"/>
  <c r="X32" i="28" s="1"/>
  <c r="H81" i="28"/>
  <c r="S80" i="28"/>
  <c r="P70" i="17"/>
  <c r="F71" i="17"/>
  <c r="J5" i="12"/>
  <c r="J7" i="12"/>
  <c r="J6" i="12"/>
  <c r="J8" i="12"/>
  <c r="E4" i="12"/>
  <c r="AA31" i="25" l="1"/>
  <c r="AA35" i="25"/>
  <c r="AA19" i="25"/>
  <c r="AA30" i="25"/>
  <c r="AA18" i="25"/>
  <c r="AA21" i="25"/>
  <c r="AA16" i="25"/>
  <c r="AA34" i="25"/>
  <c r="Z27" i="25"/>
  <c r="AA27" i="25" s="1"/>
  <c r="Z19" i="27"/>
  <c r="Z15" i="27"/>
  <c r="Z27" i="27"/>
  <c r="Z29" i="25"/>
  <c r="AA29" i="25" s="1"/>
  <c r="Z33" i="27"/>
  <c r="Z17" i="27"/>
  <c r="Z24" i="27"/>
  <c r="Z28" i="25"/>
  <c r="AA28" i="25" s="1"/>
  <c r="Z33" i="25"/>
  <c r="AA33" i="25" s="1"/>
  <c r="AA20" i="25"/>
  <c r="AA25" i="25"/>
  <c r="AA17" i="25"/>
  <c r="Z37" i="27"/>
  <c r="Z32" i="25"/>
  <c r="AA32" i="25" s="1"/>
  <c r="Z20" i="27"/>
  <c r="Z36" i="25"/>
  <c r="AA36" i="25" s="1"/>
  <c r="Z37" i="25"/>
  <c r="AA37" i="25" s="1"/>
  <c r="AA15" i="25"/>
  <c r="N5" i="12"/>
  <c r="J42" i="17"/>
  <c r="V42" i="17" s="1"/>
  <c r="J42" i="16"/>
  <c r="V42" i="16" s="1"/>
  <c r="W42" i="16" s="1"/>
  <c r="J48" i="17"/>
  <c r="V48" i="17" s="1"/>
  <c r="J48" i="16"/>
  <c r="V48" i="16" s="1"/>
  <c r="W48" i="16" s="1"/>
  <c r="J38" i="17"/>
  <c r="V38" i="17" s="1"/>
  <c r="J38" i="16"/>
  <c r="V38" i="16" s="1"/>
  <c r="C13" i="32"/>
  <c r="H5" i="18"/>
  <c r="C13" i="25"/>
  <c r="AA13" i="25" s="1"/>
  <c r="C13" i="27"/>
  <c r="C5" i="25"/>
  <c r="AA5" i="25" s="1"/>
  <c r="C5" i="27"/>
  <c r="C12" i="25"/>
  <c r="AA12" i="25" s="1"/>
  <c r="C12" i="27"/>
  <c r="C3" i="25"/>
  <c r="AA3" i="25" s="1"/>
  <c r="C3" i="27"/>
  <c r="E6" i="18"/>
  <c r="G6" i="18" s="1"/>
  <c r="C14" i="25"/>
  <c r="C14" i="27"/>
  <c r="J43" i="16"/>
  <c r="V43" i="16" s="1"/>
  <c r="W43" i="16" s="1"/>
  <c r="J43" i="17"/>
  <c r="V43" i="17" s="1"/>
  <c r="J41" i="16"/>
  <c r="V41" i="16" s="1"/>
  <c r="W41" i="16" s="1"/>
  <c r="J41" i="17"/>
  <c r="V41" i="17" s="1"/>
  <c r="J40" i="17"/>
  <c r="V40" i="17" s="1"/>
  <c r="J40" i="16"/>
  <c r="V40" i="16" s="1"/>
  <c r="W40" i="16" s="1"/>
  <c r="C11" i="25"/>
  <c r="AA11" i="25" s="1"/>
  <c r="C11" i="27"/>
  <c r="J39" i="17"/>
  <c r="V39" i="17" s="1"/>
  <c r="J39" i="16"/>
  <c r="V39" i="16" s="1"/>
  <c r="W39" i="16" s="1"/>
  <c r="J49" i="16"/>
  <c r="V49" i="16" s="1"/>
  <c r="W49" i="16" s="1"/>
  <c r="J49" i="17"/>
  <c r="V49" i="17" s="1"/>
  <c r="J45" i="17"/>
  <c r="V45" i="17" s="1"/>
  <c r="J45" i="16"/>
  <c r="V45" i="16" s="1"/>
  <c r="W45" i="16" s="1"/>
  <c r="N5" i="31"/>
  <c r="O5" i="31" s="1"/>
  <c r="E61" i="32"/>
  <c r="I61" i="32" s="1"/>
  <c r="C9" i="25"/>
  <c r="AA9" i="25" s="1"/>
  <c r="C9" i="27"/>
  <c r="C4" i="25"/>
  <c r="AA4" i="25" s="1"/>
  <c r="C4" i="27"/>
  <c r="C8" i="25"/>
  <c r="AA8" i="25" s="1"/>
  <c r="C8" i="27"/>
  <c r="C10" i="25"/>
  <c r="AA10" i="25" s="1"/>
  <c r="C10" i="27"/>
  <c r="C38" i="25"/>
  <c r="M7" i="12" s="1"/>
  <c r="C38" i="27"/>
  <c r="C2" i="25"/>
  <c r="C2" i="27"/>
  <c r="J44" i="17"/>
  <c r="V44" i="17" s="1"/>
  <c r="J44" i="16"/>
  <c r="V44" i="16" s="1"/>
  <c r="W44" i="16" s="1"/>
  <c r="J47" i="17"/>
  <c r="V47" i="17" s="1"/>
  <c r="J47" i="16"/>
  <c r="V47" i="16" s="1"/>
  <c r="W47" i="16" s="1"/>
  <c r="J46" i="17"/>
  <c r="V46" i="17" s="1"/>
  <c r="J46" i="16"/>
  <c r="V46" i="16" s="1"/>
  <c r="W46" i="16" s="1"/>
  <c r="N9" i="31"/>
  <c r="O9" i="31" s="1"/>
  <c r="E64" i="32"/>
  <c r="I64" i="32" s="1"/>
  <c r="C6" i="25"/>
  <c r="AA6" i="25" s="1"/>
  <c r="C6" i="27"/>
  <c r="C50" i="25"/>
  <c r="M8" i="12" s="1"/>
  <c r="C50" i="27"/>
  <c r="C26" i="25"/>
  <c r="M6" i="12" s="1"/>
  <c r="C26" i="27"/>
  <c r="D6" i="12"/>
  <c r="E6" i="12" s="1"/>
  <c r="W26" i="16"/>
  <c r="C7" i="25"/>
  <c r="AA7" i="25" s="1"/>
  <c r="C7" i="27"/>
  <c r="P7" i="18"/>
  <c r="D15" i="32"/>
  <c r="Z29" i="27"/>
  <c r="Z34" i="27"/>
  <c r="AE5" i="18"/>
  <c r="O8" i="18"/>
  <c r="Z36" i="27"/>
  <c r="Z35" i="27"/>
  <c r="Z30" i="27"/>
  <c r="Z26" i="27"/>
  <c r="M48" i="27"/>
  <c r="Y48" i="27" s="1"/>
  <c r="Z48" i="27" s="1"/>
  <c r="M48" i="25"/>
  <c r="Y48" i="25" s="1"/>
  <c r="Z48" i="25" s="1"/>
  <c r="AA48" i="25" s="1"/>
  <c r="L48" i="26"/>
  <c r="W48" i="26" s="1"/>
  <c r="X48" i="26" s="1"/>
  <c r="Y48" i="26" s="1"/>
  <c r="M43" i="27"/>
  <c r="Y43" i="27" s="1"/>
  <c r="M43" i="25"/>
  <c r="Y43" i="25" s="1"/>
  <c r="Z43" i="25" s="1"/>
  <c r="AA43" i="25" s="1"/>
  <c r="L43" i="26"/>
  <c r="W43" i="26" s="1"/>
  <c r="X43" i="26" s="1"/>
  <c r="Y43" i="26" s="1"/>
  <c r="M44" i="27"/>
  <c r="Y44" i="27" s="1"/>
  <c r="Z44" i="27" s="1"/>
  <c r="M44" i="25"/>
  <c r="Y44" i="25" s="1"/>
  <c r="Z44" i="25" s="1"/>
  <c r="AA44" i="25" s="1"/>
  <c r="L44" i="26"/>
  <c r="W44" i="26" s="1"/>
  <c r="X44" i="26" s="1"/>
  <c r="Y44" i="26" s="1"/>
  <c r="M45" i="27"/>
  <c r="Y45" i="27" s="1"/>
  <c r="Z45" i="27" s="1"/>
  <c r="M45" i="25"/>
  <c r="Y45" i="25" s="1"/>
  <c r="Z45" i="25" s="1"/>
  <c r="AA45" i="25" s="1"/>
  <c r="L45" i="26"/>
  <c r="W45" i="26" s="1"/>
  <c r="X45" i="26" s="1"/>
  <c r="Y45" i="26" s="1"/>
  <c r="M41" i="27"/>
  <c r="Y41" i="27" s="1"/>
  <c r="Z41" i="27" s="1"/>
  <c r="M41" i="25"/>
  <c r="Y41" i="25" s="1"/>
  <c r="Z41" i="25" s="1"/>
  <c r="AA41" i="25" s="1"/>
  <c r="L41" i="26"/>
  <c r="W41" i="26" s="1"/>
  <c r="X41" i="26" s="1"/>
  <c r="Y41" i="26" s="1"/>
  <c r="Z43" i="27"/>
  <c r="M42" i="27"/>
  <c r="Y42" i="27" s="1"/>
  <c r="Z42" i="27" s="1"/>
  <c r="L42" i="26"/>
  <c r="W42" i="26" s="1"/>
  <c r="X42" i="26" s="1"/>
  <c r="Y42" i="26" s="1"/>
  <c r="M42" i="25"/>
  <c r="Y42" i="25" s="1"/>
  <c r="Z42" i="25" s="1"/>
  <c r="AA42" i="25" s="1"/>
  <c r="M47" i="27"/>
  <c r="Y47" i="27" s="1"/>
  <c r="Z47" i="27" s="1"/>
  <c r="M47" i="25"/>
  <c r="Y47" i="25" s="1"/>
  <c r="Z47" i="25" s="1"/>
  <c r="AA47" i="25" s="1"/>
  <c r="L47" i="26"/>
  <c r="W47" i="26" s="1"/>
  <c r="X47" i="26" s="1"/>
  <c r="Y47" i="26" s="1"/>
  <c r="M38" i="27"/>
  <c r="Y38" i="27" s="1"/>
  <c r="Z38" i="27" s="1"/>
  <c r="M38" i="25"/>
  <c r="Y38" i="25" s="1"/>
  <c r="Z38" i="25" s="1"/>
  <c r="L38" i="26"/>
  <c r="W38" i="26" s="1"/>
  <c r="X38" i="26" s="1"/>
  <c r="M46" i="27"/>
  <c r="Y46" i="27" s="1"/>
  <c r="Z46" i="27" s="1"/>
  <c r="M46" i="25"/>
  <c r="Y46" i="25" s="1"/>
  <c r="Z46" i="25" s="1"/>
  <c r="AA46" i="25" s="1"/>
  <c r="L46" i="26"/>
  <c r="W46" i="26" s="1"/>
  <c r="X46" i="26" s="1"/>
  <c r="Y46" i="26" s="1"/>
  <c r="Y26" i="26"/>
  <c r="S6" i="12"/>
  <c r="T6" i="12" s="1"/>
  <c r="M39" i="27"/>
  <c r="Y39" i="27" s="1"/>
  <c r="Z39" i="27" s="1"/>
  <c r="L39" i="26"/>
  <c r="W39" i="26" s="1"/>
  <c r="X39" i="26" s="1"/>
  <c r="Y39" i="26" s="1"/>
  <c r="M39" i="25"/>
  <c r="Y39" i="25" s="1"/>
  <c r="Z39" i="25" s="1"/>
  <c r="AA39" i="25" s="1"/>
  <c r="M49" i="27"/>
  <c r="Y49" i="27" s="1"/>
  <c r="Z49" i="27" s="1"/>
  <c r="L49" i="26"/>
  <c r="W49" i="26" s="1"/>
  <c r="X49" i="26" s="1"/>
  <c r="Y49" i="26" s="1"/>
  <c r="M49" i="25"/>
  <c r="Y49" i="25" s="1"/>
  <c r="Z49" i="25" s="1"/>
  <c r="AA49" i="25" s="1"/>
  <c r="Z32" i="27"/>
  <c r="M40" i="27"/>
  <c r="Y40" i="27" s="1"/>
  <c r="Z40" i="27" s="1"/>
  <c r="M40" i="25"/>
  <c r="Y40" i="25" s="1"/>
  <c r="Z40" i="25" s="1"/>
  <c r="AA40" i="25" s="1"/>
  <c r="L40" i="26"/>
  <c r="W40" i="26" s="1"/>
  <c r="X40" i="26" s="1"/>
  <c r="Y40" i="26" s="1"/>
  <c r="Z31" i="27"/>
  <c r="E98" i="27"/>
  <c r="Q98" i="27" s="1"/>
  <c r="M9" i="18"/>
  <c r="E105" i="28"/>
  <c r="P93" i="28"/>
  <c r="P92" i="28"/>
  <c r="E104" i="28"/>
  <c r="D101" i="28"/>
  <c r="O89" i="28"/>
  <c r="P96" i="28"/>
  <c r="E108" i="28"/>
  <c r="E100" i="28"/>
  <c r="P88" i="28"/>
  <c r="O90" i="28"/>
  <c r="D102" i="28"/>
  <c r="P91" i="28"/>
  <c r="E103" i="28"/>
  <c r="O93" i="28"/>
  <c r="D105" i="28"/>
  <c r="D99" i="28"/>
  <c r="O87" i="28"/>
  <c r="O91" i="28"/>
  <c r="D103" i="28"/>
  <c r="O92" i="28"/>
  <c r="D104" i="28"/>
  <c r="E101" i="28"/>
  <c r="P89" i="28"/>
  <c r="O88" i="28"/>
  <c r="D100" i="28"/>
  <c r="E102" i="28"/>
  <c r="P90" i="28"/>
  <c r="E107" i="28"/>
  <c r="P95" i="28"/>
  <c r="O96" i="28"/>
  <c r="D108" i="28"/>
  <c r="D106" i="28"/>
  <c r="O94" i="28"/>
  <c r="P87" i="28"/>
  <c r="E99" i="28"/>
  <c r="O95" i="28"/>
  <c r="D107" i="28"/>
  <c r="P94" i="28"/>
  <c r="E106" i="28"/>
  <c r="O97" i="28"/>
  <c r="D109" i="28"/>
  <c r="P85" i="28"/>
  <c r="E97" i="28"/>
  <c r="E98" i="28"/>
  <c r="P86" i="28"/>
  <c r="O86" i="28"/>
  <c r="D98" i="28"/>
  <c r="T77" i="22"/>
  <c r="D106" i="27"/>
  <c r="P94" i="27"/>
  <c r="Q89" i="27"/>
  <c r="E101" i="27"/>
  <c r="D107" i="27"/>
  <c r="P95" i="27"/>
  <c r="D100" i="27"/>
  <c r="P88" i="27"/>
  <c r="D108" i="27"/>
  <c r="P96" i="27"/>
  <c r="Q94" i="27"/>
  <c r="E106" i="27"/>
  <c r="P97" i="27"/>
  <c r="D109" i="27"/>
  <c r="Q92" i="27"/>
  <c r="E104" i="27"/>
  <c r="P87" i="27"/>
  <c r="D99" i="27"/>
  <c r="D101" i="27"/>
  <c r="P89" i="27"/>
  <c r="D104" i="27"/>
  <c r="P92" i="27"/>
  <c r="Q93" i="27"/>
  <c r="E105" i="27"/>
  <c r="D103" i="27"/>
  <c r="P91" i="27"/>
  <c r="Q96" i="27"/>
  <c r="E108" i="27"/>
  <c r="Q91" i="27"/>
  <c r="E103" i="27"/>
  <c r="E99" i="27"/>
  <c r="Q87" i="27"/>
  <c r="Q90" i="27"/>
  <c r="E102" i="27"/>
  <c r="D105" i="27"/>
  <c r="P93" i="27"/>
  <c r="E107" i="27"/>
  <c r="Q95" i="27"/>
  <c r="E100" i="27"/>
  <c r="Q88" i="27"/>
  <c r="P90" i="27"/>
  <c r="D102" i="27"/>
  <c r="T76" i="22"/>
  <c r="Q97" i="27"/>
  <c r="E109" i="27"/>
  <c r="D110" i="27"/>
  <c r="P98" i="27"/>
  <c r="T75" i="22"/>
  <c r="M87" i="22"/>
  <c r="D99" i="22"/>
  <c r="D105" i="22"/>
  <c r="M93" i="22"/>
  <c r="E101" i="22"/>
  <c r="N89" i="22"/>
  <c r="N94" i="22"/>
  <c r="E106" i="22"/>
  <c r="D108" i="22"/>
  <c r="M96" i="22"/>
  <c r="D106" i="22"/>
  <c r="M94" i="22"/>
  <c r="M97" i="22"/>
  <c r="D109" i="22"/>
  <c r="N90" i="22"/>
  <c r="E102" i="22"/>
  <c r="D107" i="22"/>
  <c r="M95" i="22"/>
  <c r="N92" i="22"/>
  <c r="E104" i="22"/>
  <c r="N95" i="22"/>
  <c r="E107" i="22"/>
  <c r="N88" i="22"/>
  <c r="E100" i="22"/>
  <c r="N91" i="22"/>
  <c r="E103" i="22"/>
  <c r="E105" i="22"/>
  <c r="N93" i="22"/>
  <c r="T74" i="22"/>
  <c r="N87" i="22"/>
  <c r="E99" i="22"/>
  <c r="M92" i="22"/>
  <c r="D104" i="22"/>
  <c r="M90" i="22"/>
  <c r="D102" i="22"/>
  <c r="M91" i="22"/>
  <c r="D103" i="22"/>
  <c r="M88" i="22"/>
  <c r="D100" i="22"/>
  <c r="M89" i="22"/>
  <c r="D101" i="22"/>
  <c r="N96" i="22"/>
  <c r="E108" i="22"/>
  <c r="N86" i="22"/>
  <c r="E98" i="22"/>
  <c r="E97" i="22"/>
  <c r="N85" i="22"/>
  <c r="M86" i="22"/>
  <c r="D98" i="22"/>
  <c r="O108" i="17"/>
  <c r="N96" i="17"/>
  <c r="O101" i="17"/>
  <c r="O102" i="17"/>
  <c r="O100" i="17"/>
  <c r="N101" i="17"/>
  <c r="N107" i="17"/>
  <c r="N104" i="17"/>
  <c r="O106" i="17"/>
  <c r="N99" i="17"/>
  <c r="O105" i="17"/>
  <c r="O107" i="17"/>
  <c r="N106" i="17"/>
  <c r="N103" i="17"/>
  <c r="N102" i="17"/>
  <c r="O103" i="17"/>
  <c r="N105" i="17"/>
  <c r="O99" i="17"/>
  <c r="N100" i="17"/>
  <c r="O104" i="17"/>
  <c r="O97" i="17"/>
  <c r="O98" i="17"/>
  <c r="N6" i="31"/>
  <c r="O6" i="31" s="1"/>
  <c r="N7" i="31"/>
  <c r="O7" i="31" s="1"/>
  <c r="AQ52" i="14"/>
  <c r="L40" i="28"/>
  <c r="W40" i="28" s="1"/>
  <c r="X40" i="28" s="1"/>
  <c r="AQ57" i="14"/>
  <c r="L45" i="28"/>
  <c r="W45" i="28" s="1"/>
  <c r="X45" i="28" s="1"/>
  <c r="N110" i="17"/>
  <c r="AQ54" i="14"/>
  <c r="L42" i="28"/>
  <c r="W42" i="28" s="1"/>
  <c r="X42" i="28" s="1"/>
  <c r="AQ61" i="14"/>
  <c r="L49" i="28"/>
  <c r="W49" i="28" s="1"/>
  <c r="X49" i="28" s="1"/>
  <c r="AQ59" i="14"/>
  <c r="L47" i="28"/>
  <c r="W47" i="28" s="1"/>
  <c r="X47" i="28" s="1"/>
  <c r="C5" i="29"/>
  <c r="D5" i="29" s="1"/>
  <c r="AQ58" i="14"/>
  <c r="L46" i="28"/>
  <c r="W46" i="28" s="1"/>
  <c r="X46" i="28" s="1"/>
  <c r="AC6" i="18"/>
  <c r="N8" i="31"/>
  <c r="O8" i="31" s="1"/>
  <c r="AQ50" i="14"/>
  <c r="L38" i="28"/>
  <c r="W38" i="28" s="1"/>
  <c r="X38" i="28" s="1"/>
  <c r="AQ56" i="14"/>
  <c r="L44" i="28"/>
  <c r="W44" i="28" s="1"/>
  <c r="X44" i="28" s="1"/>
  <c r="AQ51" i="14"/>
  <c r="L39" i="28"/>
  <c r="W39" i="28" s="1"/>
  <c r="X39" i="28" s="1"/>
  <c r="AQ55" i="14"/>
  <c r="L43" i="28"/>
  <c r="W43" i="28" s="1"/>
  <c r="X43" i="28" s="1"/>
  <c r="AQ60" i="14"/>
  <c r="L48" i="28"/>
  <c r="W48" i="28" s="1"/>
  <c r="X48" i="28" s="1"/>
  <c r="AQ53" i="14"/>
  <c r="L41" i="28"/>
  <c r="W41" i="28" s="1"/>
  <c r="X41" i="28" s="1"/>
  <c r="H82" i="28"/>
  <c r="S81" i="28"/>
  <c r="P71" i="17"/>
  <c r="F72" i="17"/>
  <c r="T78" i="22"/>
  <c r="J4" i="12"/>
  <c r="J11" i="12" s="1"/>
  <c r="AA26" i="25" l="1"/>
  <c r="U5" i="18"/>
  <c r="W5" i="18" s="1"/>
  <c r="N6" i="12"/>
  <c r="O6" i="12" s="1"/>
  <c r="M4" i="12"/>
  <c r="O4" i="12" s="1"/>
  <c r="C14" i="32"/>
  <c r="H6" i="18"/>
  <c r="J59" i="16"/>
  <c r="V59" i="16" s="1"/>
  <c r="W59" i="16" s="1"/>
  <c r="J59" i="17"/>
  <c r="V59" i="17" s="1"/>
  <c r="J57" i="16"/>
  <c r="V57" i="16" s="1"/>
  <c r="W57" i="16" s="1"/>
  <c r="J57" i="17"/>
  <c r="V57" i="17" s="1"/>
  <c r="J53" i="17"/>
  <c r="V53" i="17" s="1"/>
  <c r="J53" i="16"/>
  <c r="V53" i="16" s="1"/>
  <c r="W53" i="16" s="1"/>
  <c r="J51" i="16"/>
  <c r="V51" i="16" s="1"/>
  <c r="W51" i="16" s="1"/>
  <c r="J51" i="17"/>
  <c r="V51" i="17" s="1"/>
  <c r="J50" i="17"/>
  <c r="V50" i="17" s="1"/>
  <c r="J50" i="16"/>
  <c r="V50" i="16" s="1"/>
  <c r="J61" i="17"/>
  <c r="V61" i="17" s="1"/>
  <c r="J61" i="16"/>
  <c r="V61" i="16" s="1"/>
  <c r="W61" i="16" s="1"/>
  <c r="J56" i="17"/>
  <c r="V56" i="17" s="1"/>
  <c r="J56" i="16"/>
  <c r="V56" i="16" s="1"/>
  <c r="W56" i="16" s="1"/>
  <c r="AA2" i="25"/>
  <c r="J58" i="17"/>
  <c r="V58" i="17" s="1"/>
  <c r="J58" i="16"/>
  <c r="V58" i="16" s="1"/>
  <c r="W58" i="16" s="1"/>
  <c r="J54" i="17"/>
  <c r="V54" i="17" s="1"/>
  <c r="J54" i="16"/>
  <c r="V54" i="16" s="1"/>
  <c r="W54" i="16" s="1"/>
  <c r="E7" i="18"/>
  <c r="G7" i="18" s="1"/>
  <c r="J55" i="17"/>
  <c r="V55" i="17" s="1"/>
  <c r="J55" i="16"/>
  <c r="V55" i="16" s="1"/>
  <c r="W55" i="16" s="1"/>
  <c r="J60" i="17"/>
  <c r="V60" i="17" s="1"/>
  <c r="J60" i="16"/>
  <c r="V60" i="16" s="1"/>
  <c r="W60" i="16" s="1"/>
  <c r="J52" i="17"/>
  <c r="V52" i="17" s="1"/>
  <c r="J52" i="16"/>
  <c r="V52" i="16" s="1"/>
  <c r="W52" i="16" s="1"/>
  <c r="AA14" i="25"/>
  <c r="M5" i="12"/>
  <c r="O5" i="12" s="1"/>
  <c r="D7" i="12"/>
  <c r="E7" i="12" s="1"/>
  <c r="W38" i="16"/>
  <c r="P8" i="18"/>
  <c r="D16" i="32"/>
  <c r="AF5" i="18"/>
  <c r="F13" i="32"/>
  <c r="AE6" i="18"/>
  <c r="O9" i="18"/>
  <c r="U6" i="18"/>
  <c r="U7" i="18"/>
  <c r="W7" i="18" s="1"/>
  <c r="AQ65" i="14"/>
  <c r="M53" i="27"/>
  <c r="Y53" i="27" s="1"/>
  <c r="Z53" i="27" s="1"/>
  <c r="M53" i="25"/>
  <c r="Y53" i="25" s="1"/>
  <c r="Z53" i="25" s="1"/>
  <c r="AA53" i="25" s="1"/>
  <c r="L53" i="26"/>
  <c r="W53" i="26" s="1"/>
  <c r="X53" i="26" s="1"/>
  <c r="Y53" i="26" s="1"/>
  <c r="AQ69" i="14"/>
  <c r="M57" i="27"/>
  <c r="Y57" i="27" s="1"/>
  <c r="Z57" i="27" s="1"/>
  <c r="M57" i="25"/>
  <c r="Y57" i="25" s="1"/>
  <c r="Z57" i="25" s="1"/>
  <c r="L57" i="26"/>
  <c r="W57" i="26" s="1"/>
  <c r="X57" i="26" s="1"/>
  <c r="Y57" i="26" s="1"/>
  <c r="AQ62" i="14"/>
  <c r="M50" i="27"/>
  <c r="Y50" i="27" s="1"/>
  <c r="Z50" i="27" s="1"/>
  <c r="L50" i="26"/>
  <c r="W50" i="26" s="1"/>
  <c r="X50" i="26" s="1"/>
  <c r="M50" i="25"/>
  <c r="Y50" i="25" s="1"/>
  <c r="Z50" i="25" s="1"/>
  <c r="AA50" i="25" s="1"/>
  <c r="AQ73" i="14"/>
  <c r="M61" i="27"/>
  <c r="Y61" i="27" s="1"/>
  <c r="Z61" i="27" s="1"/>
  <c r="M61" i="25"/>
  <c r="Y61" i="25" s="1"/>
  <c r="Z61" i="25" s="1"/>
  <c r="AA61" i="25" s="1"/>
  <c r="L61" i="26"/>
  <c r="W61" i="26" s="1"/>
  <c r="X61" i="26" s="1"/>
  <c r="Y61" i="26" s="1"/>
  <c r="AQ64" i="14"/>
  <c r="M52" i="27"/>
  <c r="Y52" i="27" s="1"/>
  <c r="Z52" i="27" s="1"/>
  <c r="M52" i="25"/>
  <c r="Y52" i="25" s="1"/>
  <c r="Z52" i="25" s="1"/>
  <c r="AA52" i="25" s="1"/>
  <c r="L52" i="26"/>
  <c r="W52" i="26" s="1"/>
  <c r="X52" i="26" s="1"/>
  <c r="Y52" i="26" s="1"/>
  <c r="AQ67" i="14"/>
  <c r="M55" i="27"/>
  <c r="Y55" i="27" s="1"/>
  <c r="Z55" i="27" s="1"/>
  <c r="M55" i="25"/>
  <c r="Y55" i="25" s="1"/>
  <c r="Z55" i="25" s="1"/>
  <c r="AA55" i="25" s="1"/>
  <c r="L55" i="26"/>
  <c r="W55" i="26" s="1"/>
  <c r="X55" i="26" s="1"/>
  <c r="Y55" i="26" s="1"/>
  <c r="AQ71" i="14"/>
  <c r="M59" i="27"/>
  <c r="Y59" i="27" s="1"/>
  <c r="Z59" i="27" s="1"/>
  <c r="M59" i="25"/>
  <c r="Y59" i="25" s="1"/>
  <c r="Z59" i="25" s="1"/>
  <c r="AA59" i="25" s="1"/>
  <c r="L59" i="26"/>
  <c r="W59" i="26" s="1"/>
  <c r="X59" i="26" s="1"/>
  <c r="Y59" i="26" s="1"/>
  <c r="AQ63" i="14"/>
  <c r="M51" i="27"/>
  <c r="Y51" i="27" s="1"/>
  <c r="Z51" i="27" s="1"/>
  <c r="M51" i="25"/>
  <c r="Y51" i="25" s="1"/>
  <c r="Z51" i="25" s="1"/>
  <c r="AA51" i="25" s="1"/>
  <c r="L51" i="26"/>
  <c r="W51" i="26" s="1"/>
  <c r="X51" i="26" s="1"/>
  <c r="Y51" i="26" s="1"/>
  <c r="AQ72" i="14"/>
  <c r="M60" i="27"/>
  <c r="Y60" i="27" s="1"/>
  <c r="Z60" i="27" s="1"/>
  <c r="M60" i="25"/>
  <c r="Y60" i="25" s="1"/>
  <c r="Z60" i="25" s="1"/>
  <c r="AA60" i="25" s="1"/>
  <c r="L60" i="26"/>
  <c r="W60" i="26" s="1"/>
  <c r="X60" i="26" s="1"/>
  <c r="Y60" i="26" s="1"/>
  <c r="AQ68" i="14"/>
  <c r="M56" i="27"/>
  <c r="Y56" i="27" s="1"/>
  <c r="Z56" i="27" s="1"/>
  <c r="M56" i="25"/>
  <c r="Y56" i="25" s="1"/>
  <c r="Z56" i="25" s="1"/>
  <c r="AA56" i="25" s="1"/>
  <c r="L56" i="26"/>
  <c r="W56" i="26" s="1"/>
  <c r="X56" i="26" s="1"/>
  <c r="Y56" i="26" s="1"/>
  <c r="AQ70" i="14"/>
  <c r="M58" i="27"/>
  <c r="Y58" i="27" s="1"/>
  <c r="Z58" i="27" s="1"/>
  <c r="M58" i="25"/>
  <c r="Y58" i="25" s="1"/>
  <c r="Z58" i="25" s="1"/>
  <c r="AA58" i="25" s="1"/>
  <c r="L58" i="26"/>
  <c r="W58" i="26" s="1"/>
  <c r="X58" i="26" s="1"/>
  <c r="Y58" i="26" s="1"/>
  <c r="Y38" i="26"/>
  <c r="S7" i="12"/>
  <c r="T7" i="12" s="1"/>
  <c r="AQ66" i="14"/>
  <c r="M54" i="27"/>
  <c r="Y54" i="27" s="1"/>
  <c r="Z54" i="27" s="1"/>
  <c r="L54" i="26"/>
  <c r="W54" i="26" s="1"/>
  <c r="X54" i="26" s="1"/>
  <c r="Y54" i="26" s="1"/>
  <c r="M54" i="25"/>
  <c r="Y54" i="25" s="1"/>
  <c r="Z54" i="25" s="1"/>
  <c r="AA54" i="25" s="1"/>
  <c r="AA38" i="25"/>
  <c r="N7" i="12"/>
  <c r="O7" i="12" s="1"/>
  <c r="M71" i="27"/>
  <c r="L71" i="26"/>
  <c r="W71" i="26" s="1"/>
  <c r="X71" i="26" s="1"/>
  <c r="Y71" i="26" s="1"/>
  <c r="M71" i="25"/>
  <c r="Y71" i="25" s="1"/>
  <c r="Z71" i="25" s="1"/>
  <c r="AA71" i="25" s="1"/>
  <c r="L70" i="26"/>
  <c r="W70" i="26" s="1"/>
  <c r="X70" i="26" s="1"/>
  <c r="Y70" i="26" s="1"/>
  <c r="M70" i="27"/>
  <c r="M70" i="25"/>
  <c r="Y70" i="25" s="1"/>
  <c r="Z70" i="25" s="1"/>
  <c r="AA70" i="25" s="1"/>
  <c r="M69" i="27"/>
  <c r="L69" i="26"/>
  <c r="W69" i="26" s="1"/>
  <c r="X69" i="26" s="1"/>
  <c r="M69" i="25"/>
  <c r="Y69" i="25" s="1"/>
  <c r="Z69" i="25" s="1"/>
  <c r="M73" i="27"/>
  <c r="L73" i="26"/>
  <c r="W73" i="26" s="1"/>
  <c r="X73" i="26" s="1"/>
  <c r="Y73" i="26" s="1"/>
  <c r="M73" i="25"/>
  <c r="Y73" i="25" s="1"/>
  <c r="Z73" i="25" s="1"/>
  <c r="AA73" i="25" s="1"/>
  <c r="C9" i="29"/>
  <c r="D9" i="29" s="1"/>
  <c r="D15" i="29" s="1"/>
  <c r="D16" i="29" s="1"/>
  <c r="D17" i="29" s="1"/>
  <c r="D18" i="29" s="1"/>
  <c r="D19" i="29" s="1"/>
  <c r="T9" i="18"/>
  <c r="L72" i="26"/>
  <c r="W72" i="26" s="1"/>
  <c r="X72" i="26" s="1"/>
  <c r="Y72" i="26" s="1"/>
  <c r="M72" i="25"/>
  <c r="Y72" i="25" s="1"/>
  <c r="Z72" i="25" s="1"/>
  <c r="AA72" i="25" s="1"/>
  <c r="M72" i="27"/>
  <c r="E110" i="27"/>
  <c r="E122" i="27" s="1"/>
  <c r="O10" i="31"/>
  <c r="N10" i="31" s="1"/>
  <c r="N11" i="31" s="1"/>
  <c r="N12" i="31" s="1"/>
  <c r="N13" i="31" s="1"/>
  <c r="N14" i="31" s="1"/>
  <c r="N15" i="31" s="1"/>
  <c r="E118" i="28"/>
  <c r="P106" i="28"/>
  <c r="O108" i="28"/>
  <c r="D120" i="28"/>
  <c r="O105" i="28"/>
  <c r="D117" i="28"/>
  <c r="P108" i="28"/>
  <c r="E120" i="28"/>
  <c r="O107" i="28"/>
  <c r="D119" i="28"/>
  <c r="O104" i="28"/>
  <c r="D116" i="28"/>
  <c r="P103" i="28"/>
  <c r="E115" i="28"/>
  <c r="P107" i="28"/>
  <c r="E119" i="28"/>
  <c r="O101" i="28"/>
  <c r="D113" i="28"/>
  <c r="E111" i="28"/>
  <c r="P99" i="28"/>
  <c r="O103" i="28"/>
  <c r="D115" i="28"/>
  <c r="O102" i="28"/>
  <c r="D114" i="28"/>
  <c r="P104" i="28"/>
  <c r="E116" i="28"/>
  <c r="E114" i="28"/>
  <c r="P102" i="28"/>
  <c r="P101" i="28"/>
  <c r="E113" i="28"/>
  <c r="D121" i="28"/>
  <c r="O109" i="28"/>
  <c r="O100" i="28"/>
  <c r="D112" i="28"/>
  <c r="O106" i="28"/>
  <c r="D118" i="28"/>
  <c r="D111" i="28"/>
  <c r="O99" i="28"/>
  <c r="E112" i="28"/>
  <c r="P100" i="28"/>
  <c r="P105" i="28"/>
  <c r="E117" i="28"/>
  <c r="E110" i="28"/>
  <c r="P98" i="28"/>
  <c r="P97" i="28"/>
  <c r="E109" i="28"/>
  <c r="O98" i="28"/>
  <c r="D110" i="28"/>
  <c r="Q99" i="27"/>
  <c r="E111" i="27"/>
  <c r="Q105" i="27"/>
  <c r="E117" i="27"/>
  <c r="Q104" i="27"/>
  <c r="E116" i="27"/>
  <c r="E112" i="27"/>
  <c r="Q100" i="27"/>
  <c r="E115" i="27"/>
  <c r="Q103" i="27"/>
  <c r="D121" i="27"/>
  <c r="P109" i="27"/>
  <c r="E119" i="27"/>
  <c r="Q107" i="27"/>
  <c r="P104" i="27"/>
  <c r="D116" i="27"/>
  <c r="D119" i="27"/>
  <c r="P107" i="27"/>
  <c r="E120" i="27"/>
  <c r="Q108" i="27"/>
  <c r="Q106" i="27"/>
  <c r="E118" i="27"/>
  <c r="Q101" i="27"/>
  <c r="E113" i="27"/>
  <c r="P105" i="27"/>
  <c r="D117" i="27"/>
  <c r="D113" i="27"/>
  <c r="P101" i="27"/>
  <c r="P100" i="27"/>
  <c r="D112" i="27"/>
  <c r="D114" i="27"/>
  <c r="P102" i="27"/>
  <c r="Q102" i="27"/>
  <c r="E114" i="27"/>
  <c r="D111" i="27"/>
  <c r="P99" i="27"/>
  <c r="D115" i="27"/>
  <c r="P103" i="27"/>
  <c r="D120" i="27"/>
  <c r="P108" i="27"/>
  <c r="D118" i="27"/>
  <c r="P106" i="27"/>
  <c r="Q109" i="27"/>
  <c r="E121" i="27"/>
  <c r="D122" i="27"/>
  <c r="P110" i="27"/>
  <c r="N100" i="22"/>
  <c r="E112" i="22"/>
  <c r="N102" i="22"/>
  <c r="E114" i="22"/>
  <c r="E118" i="22"/>
  <c r="N106" i="22"/>
  <c r="N107" i="22"/>
  <c r="E119" i="22"/>
  <c r="D121" i="22"/>
  <c r="M109" i="22"/>
  <c r="M100" i="22"/>
  <c r="D112" i="22"/>
  <c r="D115" i="22"/>
  <c r="M103" i="22"/>
  <c r="N101" i="22"/>
  <c r="E113" i="22"/>
  <c r="N99" i="22"/>
  <c r="E111" i="22"/>
  <c r="E116" i="22"/>
  <c r="N104" i="22"/>
  <c r="E120" i="22"/>
  <c r="N108" i="22"/>
  <c r="M102" i="22"/>
  <c r="D114" i="22"/>
  <c r="N105" i="22"/>
  <c r="E117" i="22"/>
  <c r="M106" i="22"/>
  <c r="D118" i="22"/>
  <c r="M105" i="22"/>
  <c r="D117" i="22"/>
  <c r="N103" i="22"/>
  <c r="E115" i="22"/>
  <c r="M99" i="22"/>
  <c r="D111" i="22"/>
  <c r="M101" i="22"/>
  <c r="D113" i="22"/>
  <c r="M104" i="22"/>
  <c r="D116" i="22"/>
  <c r="M107" i="22"/>
  <c r="D119" i="22"/>
  <c r="D120" i="22"/>
  <c r="M108" i="22"/>
  <c r="E109" i="22"/>
  <c r="N97" i="22"/>
  <c r="N98" i="22"/>
  <c r="E110" i="22"/>
  <c r="M98" i="22"/>
  <c r="D110" i="22"/>
  <c r="O120" i="17"/>
  <c r="N108" i="17"/>
  <c r="O111" i="17"/>
  <c r="N111" i="17"/>
  <c r="N113" i="17"/>
  <c r="N118" i="17"/>
  <c r="O118" i="17"/>
  <c r="O112" i="17"/>
  <c r="O116" i="17"/>
  <c r="O115" i="17"/>
  <c r="N117" i="17"/>
  <c r="O119" i="17"/>
  <c r="N116" i="17"/>
  <c r="O114" i="17"/>
  <c r="N115" i="17"/>
  <c r="N112" i="17"/>
  <c r="N114" i="17"/>
  <c r="N119" i="17"/>
  <c r="O113" i="17"/>
  <c r="O117" i="17"/>
  <c r="O110" i="17"/>
  <c r="O109" i="17"/>
  <c r="T8" i="18"/>
  <c r="T5" i="18"/>
  <c r="C6" i="29"/>
  <c r="D6" i="29" s="1"/>
  <c r="L59" i="28"/>
  <c r="L51" i="28"/>
  <c r="L57" i="28"/>
  <c r="L58" i="28"/>
  <c r="T6" i="18"/>
  <c r="C7" i="29"/>
  <c r="D7" i="29" s="1"/>
  <c r="L52" i="28"/>
  <c r="L55" i="28"/>
  <c r="AC7" i="18"/>
  <c r="AE7" i="18" s="1"/>
  <c r="L56" i="28"/>
  <c r="L50" i="28"/>
  <c r="L54" i="28"/>
  <c r="L60" i="28"/>
  <c r="L61" i="28"/>
  <c r="T7" i="18"/>
  <c r="C8" i="29"/>
  <c r="D8" i="29" s="1"/>
  <c r="N122" i="17"/>
  <c r="N134" i="17"/>
  <c r="L53" i="28"/>
  <c r="H83" i="28"/>
  <c r="S82" i="28"/>
  <c r="T79" i="22"/>
  <c r="F73" i="17"/>
  <c r="P72" i="17"/>
  <c r="F15" i="32" l="1"/>
  <c r="D17" i="32"/>
  <c r="E15" i="32"/>
  <c r="J66" i="17"/>
  <c r="J66" i="16"/>
  <c r="V66" i="16" s="1"/>
  <c r="W66" i="16" s="1"/>
  <c r="W50" i="16"/>
  <c r="D8" i="12"/>
  <c r="E8" i="12" s="1"/>
  <c r="H7" i="18"/>
  <c r="C15" i="32"/>
  <c r="E8" i="18"/>
  <c r="G8" i="18" s="1"/>
  <c r="J70" i="17"/>
  <c r="J70" i="16"/>
  <c r="V70" i="16" s="1"/>
  <c r="W70" i="16" s="1"/>
  <c r="J68" i="17"/>
  <c r="J68" i="16"/>
  <c r="V68" i="16" s="1"/>
  <c r="W68" i="16" s="1"/>
  <c r="J72" i="17"/>
  <c r="J72" i="16"/>
  <c r="V72" i="16" s="1"/>
  <c r="W72" i="16" s="1"/>
  <c r="J63" i="17"/>
  <c r="J63" i="16"/>
  <c r="V63" i="16" s="1"/>
  <c r="W63" i="16" s="1"/>
  <c r="J71" i="17"/>
  <c r="J71" i="16"/>
  <c r="V71" i="16" s="1"/>
  <c r="W71" i="16" s="1"/>
  <c r="J67" i="16"/>
  <c r="V67" i="16" s="1"/>
  <c r="W67" i="16" s="1"/>
  <c r="J67" i="17"/>
  <c r="J64" i="17"/>
  <c r="J64" i="16"/>
  <c r="V64" i="16" s="1"/>
  <c r="W64" i="16" s="1"/>
  <c r="J73" i="16"/>
  <c r="V73" i="16" s="1"/>
  <c r="W73" i="16" s="1"/>
  <c r="J73" i="17"/>
  <c r="J62" i="17"/>
  <c r="J62" i="16"/>
  <c r="V62" i="16" s="1"/>
  <c r="J69" i="17"/>
  <c r="J69" i="16"/>
  <c r="V69" i="16" s="1"/>
  <c r="W69" i="16" s="1"/>
  <c r="J65" i="16"/>
  <c r="V65" i="16" s="1"/>
  <c r="W65" i="16" s="1"/>
  <c r="J65" i="17"/>
  <c r="AF6" i="18"/>
  <c r="F14" i="32"/>
  <c r="X5" i="18"/>
  <c r="E13" i="32"/>
  <c r="I13" i="32" s="1"/>
  <c r="P9" i="18"/>
  <c r="AF7" i="18"/>
  <c r="W6" i="18"/>
  <c r="M66" i="27"/>
  <c r="L66" i="26"/>
  <c r="W66" i="26" s="1"/>
  <c r="X66" i="26" s="1"/>
  <c r="Y66" i="26" s="1"/>
  <c r="M66" i="25"/>
  <c r="Y66" i="25" s="1"/>
  <c r="Z66" i="25" s="1"/>
  <c r="AA66" i="25" s="1"/>
  <c r="N8" i="12"/>
  <c r="O8" i="12" s="1"/>
  <c r="AA57" i="25"/>
  <c r="M68" i="27"/>
  <c r="L68" i="26"/>
  <c r="W68" i="26" s="1"/>
  <c r="X68" i="26" s="1"/>
  <c r="Y68" i="26" s="1"/>
  <c r="M68" i="25"/>
  <c r="Y68" i="25" s="1"/>
  <c r="Z68" i="25" s="1"/>
  <c r="AA68" i="25" s="1"/>
  <c r="M63" i="27"/>
  <c r="M63" i="25"/>
  <c r="Y63" i="25" s="1"/>
  <c r="Z63" i="25" s="1"/>
  <c r="AA63" i="25" s="1"/>
  <c r="L63" i="26"/>
  <c r="W63" i="26" s="1"/>
  <c r="X63" i="26" s="1"/>
  <c r="Y63" i="26" s="1"/>
  <c r="M67" i="27"/>
  <c r="M67" i="25"/>
  <c r="Y67" i="25" s="1"/>
  <c r="Z67" i="25" s="1"/>
  <c r="AA67" i="25" s="1"/>
  <c r="L67" i="26"/>
  <c r="W67" i="26" s="1"/>
  <c r="X67" i="26" s="1"/>
  <c r="Y67" i="26" s="1"/>
  <c r="Y50" i="26"/>
  <c r="S8" i="12"/>
  <c r="T8" i="12" s="1"/>
  <c r="U8" i="18"/>
  <c r="M64" i="27"/>
  <c r="M64" i="25"/>
  <c r="Y64" i="25" s="1"/>
  <c r="Z64" i="25" s="1"/>
  <c r="AA64" i="25" s="1"/>
  <c r="L64" i="26"/>
  <c r="W64" i="26" s="1"/>
  <c r="X64" i="26" s="1"/>
  <c r="Y64" i="26" s="1"/>
  <c r="M62" i="27"/>
  <c r="M62" i="25"/>
  <c r="Y62" i="25" s="1"/>
  <c r="Z62" i="25" s="1"/>
  <c r="AA62" i="25" s="1"/>
  <c r="L62" i="26"/>
  <c r="W62" i="26" s="1"/>
  <c r="X62" i="26" s="1"/>
  <c r="Y62" i="26" s="1"/>
  <c r="M65" i="27"/>
  <c r="L65" i="26"/>
  <c r="W65" i="26" s="1"/>
  <c r="X65" i="26" s="1"/>
  <c r="Y65" i="26" s="1"/>
  <c r="M65" i="25"/>
  <c r="Y65" i="25" s="1"/>
  <c r="Z65" i="25" s="1"/>
  <c r="AA65" i="25" s="1"/>
  <c r="Q110" i="27"/>
  <c r="M81" i="27"/>
  <c r="Y69" i="27"/>
  <c r="M85" i="27"/>
  <c r="Y73" i="27"/>
  <c r="AA69" i="25"/>
  <c r="M82" i="27"/>
  <c r="Y70" i="27"/>
  <c r="M83" i="27"/>
  <c r="Y71" i="27"/>
  <c r="M84" i="27"/>
  <c r="Y72" i="27"/>
  <c r="Y69" i="26"/>
  <c r="D133" i="28"/>
  <c r="O121" i="28"/>
  <c r="D126" i="28"/>
  <c r="O114" i="28"/>
  <c r="P119" i="28"/>
  <c r="E131" i="28"/>
  <c r="P120" i="28"/>
  <c r="E132" i="28"/>
  <c r="E125" i="28"/>
  <c r="P113" i="28"/>
  <c r="O115" i="28"/>
  <c r="D127" i="28"/>
  <c r="E127" i="28"/>
  <c r="P115" i="28"/>
  <c r="O117" i="28"/>
  <c r="D129" i="28"/>
  <c r="D123" i="28"/>
  <c r="O111" i="28"/>
  <c r="D130" i="28"/>
  <c r="O118" i="28"/>
  <c r="D128" i="28"/>
  <c r="O116" i="28"/>
  <c r="O120" i="28"/>
  <c r="D132" i="28"/>
  <c r="E126" i="28"/>
  <c r="P114" i="28"/>
  <c r="E123" i="28"/>
  <c r="P111" i="28"/>
  <c r="E124" i="28"/>
  <c r="P112" i="28"/>
  <c r="E129" i="28"/>
  <c r="P117" i="28"/>
  <c r="D124" i="28"/>
  <c r="O112" i="28"/>
  <c r="E128" i="28"/>
  <c r="P116" i="28"/>
  <c r="O113" i="28"/>
  <c r="D125" i="28"/>
  <c r="D131" i="28"/>
  <c r="O119" i="28"/>
  <c r="E130" i="28"/>
  <c r="P118" i="28"/>
  <c r="E121" i="28"/>
  <c r="P109" i="28"/>
  <c r="E122" i="28"/>
  <c r="P110" i="28"/>
  <c r="D122" i="28"/>
  <c r="O110" i="28"/>
  <c r="E124" i="27"/>
  <c r="Q112" i="27"/>
  <c r="E125" i="27"/>
  <c r="Q113" i="27"/>
  <c r="D128" i="27"/>
  <c r="P116" i="27"/>
  <c r="D124" i="27"/>
  <c r="P112" i="27"/>
  <c r="E130" i="27"/>
  <c r="Q118" i="27"/>
  <c r="Q116" i="27"/>
  <c r="E128" i="27"/>
  <c r="P115" i="27"/>
  <c r="D127" i="27"/>
  <c r="Q119" i="27"/>
  <c r="E131" i="27"/>
  <c r="E129" i="27"/>
  <c r="Q117" i="27"/>
  <c r="D132" i="27"/>
  <c r="P120" i="27"/>
  <c r="D123" i="27"/>
  <c r="P111" i="27"/>
  <c r="P113" i="27"/>
  <c r="D125" i="27"/>
  <c r="E132" i="27"/>
  <c r="Q120" i="27"/>
  <c r="D133" i="27"/>
  <c r="P121" i="27"/>
  <c r="E126" i="27"/>
  <c r="Q114" i="27"/>
  <c r="P117" i="27"/>
  <c r="D129" i="27"/>
  <c r="E123" i="27"/>
  <c r="Q111" i="27"/>
  <c r="D126" i="27"/>
  <c r="P114" i="27"/>
  <c r="D130" i="27"/>
  <c r="P118" i="27"/>
  <c r="D131" i="27"/>
  <c r="P119" i="27"/>
  <c r="Q115" i="27"/>
  <c r="E127" i="27"/>
  <c r="Q122" i="27"/>
  <c r="E134" i="27"/>
  <c r="Q134" i="27" s="1"/>
  <c r="E133" i="27"/>
  <c r="Q121" i="27"/>
  <c r="D134" i="27"/>
  <c r="P134" i="27" s="1"/>
  <c r="P122" i="27"/>
  <c r="D131" i="22"/>
  <c r="M119" i="22"/>
  <c r="N115" i="22"/>
  <c r="E127" i="22"/>
  <c r="M114" i="22"/>
  <c r="D126" i="22"/>
  <c r="N113" i="22"/>
  <c r="E125" i="22"/>
  <c r="N119" i="22"/>
  <c r="E131" i="22"/>
  <c r="M116" i="22"/>
  <c r="D128" i="22"/>
  <c r="M117" i="22"/>
  <c r="D129" i="22"/>
  <c r="E132" i="22"/>
  <c r="N120" i="22"/>
  <c r="M115" i="22"/>
  <c r="D127" i="22"/>
  <c r="N118" i="22"/>
  <c r="E130" i="22"/>
  <c r="M113" i="22"/>
  <c r="D125" i="22"/>
  <c r="M118" i="22"/>
  <c r="D130" i="22"/>
  <c r="M112" i="22"/>
  <c r="D124" i="22"/>
  <c r="N114" i="22"/>
  <c r="E126" i="22"/>
  <c r="E128" i="22"/>
  <c r="N116" i="22"/>
  <c r="M111" i="22"/>
  <c r="D123" i="22"/>
  <c r="N117" i="22"/>
  <c r="E129" i="22"/>
  <c r="N111" i="22"/>
  <c r="E123" i="22"/>
  <c r="N112" i="22"/>
  <c r="E124" i="22"/>
  <c r="M120" i="22"/>
  <c r="D132" i="22"/>
  <c r="M121" i="22"/>
  <c r="D133" i="22"/>
  <c r="E122" i="22"/>
  <c r="N110" i="22"/>
  <c r="E121" i="22"/>
  <c r="N109" i="22"/>
  <c r="M110" i="22"/>
  <c r="D122" i="22"/>
  <c r="O144" i="17"/>
  <c r="O132" i="17"/>
  <c r="N120" i="17"/>
  <c r="N143" i="17"/>
  <c r="N131" i="17"/>
  <c r="O126" i="17"/>
  <c r="O138" i="17"/>
  <c r="O127" i="17"/>
  <c r="O139" i="17"/>
  <c r="N142" i="17"/>
  <c r="N130" i="17"/>
  <c r="N140" i="17"/>
  <c r="N128" i="17"/>
  <c r="O140" i="17"/>
  <c r="O128" i="17"/>
  <c r="N137" i="17"/>
  <c r="N125" i="17"/>
  <c r="O129" i="17"/>
  <c r="O141" i="17"/>
  <c r="N124" i="17"/>
  <c r="N136" i="17"/>
  <c r="O143" i="17"/>
  <c r="O131" i="17"/>
  <c r="O124" i="17"/>
  <c r="O136" i="17"/>
  <c r="N135" i="17"/>
  <c r="N123" i="17"/>
  <c r="O137" i="17"/>
  <c r="O125" i="17"/>
  <c r="N141" i="17"/>
  <c r="N129" i="17"/>
  <c r="O130" i="17"/>
  <c r="O142" i="17"/>
  <c r="N138" i="17"/>
  <c r="N126" i="17"/>
  <c r="N139" i="17"/>
  <c r="N127" i="17"/>
  <c r="O123" i="17"/>
  <c r="O135" i="17"/>
  <c r="O121" i="17"/>
  <c r="O134" i="17"/>
  <c r="O122" i="17"/>
  <c r="W54" i="28"/>
  <c r="X54" i="28" s="1"/>
  <c r="L66" i="28"/>
  <c r="W55" i="28"/>
  <c r="X55" i="28" s="1"/>
  <c r="L67" i="28"/>
  <c r="W50" i="28"/>
  <c r="X50" i="28" s="1"/>
  <c r="L62" i="28"/>
  <c r="W52" i="28"/>
  <c r="X52" i="28" s="1"/>
  <c r="L64" i="28"/>
  <c r="W57" i="28"/>
  <c r="X57" i="28" s="1"/>
  <c r="L69" i="28"/>
  <c r="W59" i="28"/>
  <c r="X59" i="28" s="1"/>
  <c r="L71" i="28"/>
  <c r="W53" i="28"/>
  <c r="X53" i="28" s="1"/>
  <c r="L65" i="28"/>
  <c r="W61" i="28"/>
  <c r="X61" i="28" s="1"/>
  <c r="L73" i="28"/>
  <c r="L68" i="28"/>
  <c r="W56" i="28"/>
  <c r="X56" i="28" s="1"/>
  <c r="S67" i="27"/>
  <c r="S68" i="27"/>
  <c r="S62" i="27"/>
  <c r="S64" i="27"/>
  <c r="S71" i="27"/>
  <c r="S69" i="27"/>
  <c r="Z69" i="27" s="1"/>
  <c r="S72" i="27"/>
  <c r="S70" i="27"/>
  <c r="S66" i="27"/>
  <c r="S65" i="27"/>
  <c r="S73" i="27"/>
  <c r="M10" i="31"/>
  <c r="W60" i="28"/>
  <c r="X60" i="28" s="1"/>
  <c r="L72" i="28"/>
  <c r="W58" i="28"/>
  <c r="X58" i="28" s="1"/>
  <c r="L70" i="28"/>
  <c r="W51" i="28"/>
  <c r="X51" i="28" s="1"/>
  <c r="L63" i="28"/>
  <c r="H84" i="28"/>
  <c r="S83" i="28"/>
  <c r="P73" i="17"/>
  <c r="F74" i="17"/>
  <c r="T80" i="22"/>
  <c r="I15" i="32" l="1"/>
  <c r="V69" i="17"/>
  <c r="J81" i="17"/>
  <c r="V63" i="17"/>
  <c r="J75" i="17"/>
  <c r="J80" i="17"/>
  <c r="V68" i="17"/>
  <c r="V65" i="17"/>
  <c r="J77" i="17"/>
  <c r="W62" i="16"/>
  <c r="W74" i="16" s="1"/>
  <c r="E12" i="12" s="1"/>
  <c r="D9" i="12"/>
  <c r="E9" i="12" s="1"/>
  <c r="E11" i="12" s="1"/>
  <c r="J78" i="17"/>
  <c r="V66" i="17"/>
  <c r="E66" i="32"/>
  <c r="H78" i="27"/>
  <c r="T78" i="27" s="1"/>
  <c r="H76" i="27"/>
  <c r="T76" i="27" s="1"/>
  <c r="H84" i="27"/>
  <c r="T84" i="27" s="1"/>
  <c r="H77" i="27"/>
  <c r="T77" i="27" s="1"/>
  <c r="H85" i="27"/>
  <c r="T85" i="27" s="1"/>
  <c r="H79" i="27"/>
  <c r="T79" i="27" s="1"/>
  <c r="H74" i="27"/>
  <c r="T74" i="27" s="1"/>
  <c r="H82" i="27"/>
  <c r="T82" i="27" s="1"/>
  <c r="H80" i="27"/>
  <c r="T80" i="27" s="1"/>
  <c r="H81" i="27"/>
  <c r="T81" i="27" s="1"/>
  <c r="H75" i="27"/>
  <c r="T75" i="27" s="1"/>
  <c r="H83" i="27"/>
  <c r="T83" i="27" s="1"/>
  <c r="J74" i="17"/>
  <c r="V62" i="17"/>
  <c r="J76" i="17"/>
  <c r="V64" i="17"/>
  <c r="V71" i="17"/>
  <c r="J83" i="17"/>
  <c r="J84" i="17"/>
  <c r="V72" i="17"/>
  <c r="J82" i="17"/>
  <c r="V70" i="17"/>
  <c r="H8" i="18"/>
  <c r="C16" i="32"/>
  <c r="V73" i="17"/>
  <c r="J85" i="17"/>
  <c r="V67" i="17"/>
  <c r="J79" i="17"/>
  <c r="X6" i="18"/>
  <c r="E14" i="32"/>
  <c r="I14" i="32" s="1"/>
  <c r="X7" i="18"/>
  <c r="W8" i="18"/>
  <c r="Z70" i="27"/>
  <c r="N9" i="12"/>
  <c r="O9" i="12" s="1"/>
  <c r="O11" i="12" s="1"/>
  <c r="Z73" i="27"/>
  <c r="Z72" i="27"/>
  <c r="S9" i="12"/>
  <c r="T9" i="12" s="1"/>
  <c r="T11" i="12" s="1"/>
  <c r="Z71" i="27"/>
  <c r="Y74" i="26"/>
  <c r="T12" i="12" s="1"/>
  <c r="AA74" i="25"/>
  <c r="O12" i="12" s="1"/>
  <c r="Y65" i="27"/>
  <c r="Z65" i="27" s="1"/>
  <c r="M77" i="27"/>
  <c r="M80" i="27"/>
  <c r="Y68" i="27"/>
  <c r="Z68" i="27" s="1"/>
  <c r="M74" i="27"/>
  <c r="Y62" i="27"/>
  <c r="Z62" i="27" s="1"/>
  <c r="M79" i="27"/>
  <c r="Y67" i="27"/>
  <c r="Z67" i="27" s="1"/>
  <c r="M76" i="27"/>
  <c r="Y64" i="27"/>
  <c r="Z64" i="27" s="1"/>
  <c r="M75" i="27"/>
  <c r="Y63" i="27"/>
  <c r="M78" i="27"/>
  <c r="Y66" i="27"/>
  <c r="Z66" i="27" s="1"/>
  <c r="M96" i="27"/>
  <c r="Y84" i="27"/>
  <c r="M94" i="27"/>
  <c r="Y82" i="27"/>
  <c r="M97" i="27"/>
  <c r="Y85" i="27"/>
  <c r="M93" i="27"/>
  <c r="Y81" i="27"/>
  <c r="M95" i="27"/>
  <c r="Y83" i="27"/>
  <c r="O132" i="28"/>
  <c r="D144" i="28"/>
  <c r="O144" i="28" s="1"/>
  <c r="D141" i="28"/>
  <c r="O141" i="28" s="1"/>
  <c r="O129" i="28"/>
  <c r="P132" i="28"/>
  <c r="E144" i="28"/>
  <c r="P144" i="28" s="1"/>
  <c r="P129" i="28"/>
  <c r="E141" i="28"/>
  <c r="P141" i="28" s="1"/>
  <c r="O125" i="28"/>
  <c r="D137" i="28"/>
  <c r="O137" i="28" s="1"/>
  <c r="E143" i="28"/>
  <c r="P143" i="28" s="1"/>
  <c r="P131" i="28"/>
  <c r="D143" i="28"/>
  <c r="O143" i="28" s="1"/>
  <c r="O131" i="28"/>
  <c r="E136" i="28"/>
  <c r="P136" i="28" s="1"/>
  <c r="P124" i="28"/>
  <c r="O128" i="28"/>
  <c r="D140" i="28"/>
  <c r="O140" i="28" s="1"/>
  <c r="P127" i="28"/>
  <c r="E139" i="28"/>
  <c r="P139" i="28" s="1"/>
  <c r="D139" i="28"/>
  <c r="O139" i="28" s="1"/>
  <c r="O127" i="28"/>
  <c r="P128" i="28"/>
  <c r="E140" i="28"/>
  <c r="P140" i="28" s="1"/>
  <c r="E135" i="28"/>
  <c r="P135" i="28" s="1"/>
  <c r="P123" i="28"/>
  <c r="D142" i="28"/>
  <c r="O142" i="28" s="1"/>
  <c r="O130" i="28"/>
  <c r="D138" i="28"/>
  <c r="O138" i="28" s="1"/>
  <c r="O126" i="28"/>
  <c r="E142" i="28"/>
  <c r="P142" i="28" s="1"/>
  <c r="P130" i="28"/>
  <c r="D136" i="28"/>
  <c r="O136" i="28" s="1"/>
  <c r="O124" i="28"/>
  <c r="E138" i="28"/>
  <c r="P138" i="28" s="1"/>
  <c r="P126" i="28"/>
  <c r="O123" i="28"/>
  <c r="D135" i="28"/>
  <c r="O135" i="28" s="1"/>
  <c r="P125" i="28"/>
  <c r="E137" i="28"/>
  <c r="P137" i="28" s="1"/>
  <c r="D145" i="28"/>
  <c r="O145" i="28" s="1"/>
  <c r="O133" i="28"/>
  <c r="E134" i="28"/>
  <c r="P134" i="28" s="1"/>
  <c r="P122" i="28"/>
  <c r="P121" i="28"/>
  <c r="E133" i="28"/>
  <c r="D134" i="28"/>
  <c r="O134" i="28" s="1"/>
  <c r="O122" i="28"/>
  <c r="P129" i="27"/>
  <c r="D141" i="27"/>
  <c r="P141" i="27" s="1"/>
  <c r="P125" i="27"/>
  <c r="D137" i="27"/>
  <c r="P137" i="27" s="1"/>
  <c r="E143" i="27"/>
  <c r="Q143" i="27" s="1"/>
  <c r="Q131" i="27"/>
  <c r="P127" i="27"/>
  <c r="D139" i="27"/>
  <c r="P139" i="27" s="1"/>
  <c r="D136" i="27"/>
  <c r="P136" i="27" s="1"/>
  <c r="P124" i="27"/>
  <c r="D142" i="27"/>
  <c r="P142" i="27" s="1"/>
  <c r="P130" i="27"/>
  <c r="Q126" i="27"/>
  <c r="E138" i="27"/>
  <c r="Q138" i="27" s="1"/>
  <c r="D135" i="27"/>
  <c r="P135" i="27" s="1"/>
  <c r="P123" i="27"/>
  <c r="P128" i="27"/>
  <c r="D140" i="27"/>
  <c r="P140" i="27" s="1"/>
  <c r="Q128" i="27"/>
  <c r="E140" i="27"/>
  <c r="Q140" i="27" s="1"/>
  <c r="P126" i="27"/>
  <c r="D138" i="27"/>
  <c r="P138" i="27" s="1"/>
  <c r="P133" i="27"/>
  <c r="D145" i="27"/>
  <c r="P145" i="27" s="1"/>
  <c r="D144" i="27"/>
  <c r="P144" i="27" s="1"/>
  <c r="P132" i="27"/>
  <c r="E137" i="27"/>
  <c r="Q137" i="27" s="1"/>
  <c r="Q125" i="27"/>
  <c r="E139" i="27"/>
  <c r="Q139" i="27" s="1"/>
  <c r="Q127" i="27"/>
  <c r="D143" i="27"/>
  <c r="P143" i="27" s="1"/>
  <c r="P131" i="27"/>
  <c r="E135" i="27"/>
  <c r="Q135" i="27" s="1"/>
  <c r="Q123" i="27"/>
  <c r="E144" i="27"/>
  <c r="Q144" i="27" s="1"/>
  <c r="Q132" i="27"/>
  <c r="Q129" i="27"/>
  <c r="E141" i="27"/>
  <c r="Q141" i="27" s="1"/>
  <c r="E142" i="27"/>
  <c r="Q142" i="27" s="1"/>
  <c r="Q130" i="27"/>
  <c r="E136" i="27"/>
  <c r="Q136" i="27" s="1"/>
  <c r="Q124" i="27"/>
  <c r="Q133" i="27"/>
  <c r="E145" i="27"/>
  <c r="Q145" i="27" s="1"/>
  <c r="M132" i="22"/>
  <c r="D144" i="22"/>
  <c r="M144" i="22" s="1"/>
  <c r="D135" i="22"/>
  <c r="M135" i="22" s="1"/>
  <c r="M123" i="22"/>
  <c r="D142" i="22"/>
  <c r="M142" i="22" s="1"/>
  <c r="M130" i="22"/>
  <c r="E137" i="22"/>
  <c r="N137" i="22" s="1"/>
  <c r="N125" i="22"/>
  <c r="N124" i="22"/>
  <c r="E136" i="22"/>
  <c r="N136" i="22" s="1"/>
  <c r="M125" i="22"/>
  <c r="D137" i="22"/>
  <c r="M137" i="22" s="1"/>
  <c r="M129" i="22"/>
  <c r="D141" i="22"/>
  <c r="M141" i="22" s="1"/>
  <c r="D138" i="22"/>
  <c r="M138" i="22" s="1"/>
  <c r="M126" i="22"/>
  <c r="N128" i="22"/>
  <c r="E140" i="22"/>
  <c r="N140" i="22" s="1"/>
  <c r="E135" i="22"/>
  <c r="N135" i="22" s="1"/>
  <c r="N123" i="22"/>
  <c r="E138" i="22"/>
  <c r="N138" i="22" s="1"/>
  <c r="N126" i="22"/>
  <c r="E142" i="22"/>
  <c r="N142" i="22" s="1"/>
  <c r="N130" i="22"/>
  <c r="M128" i="22"/>
  <c r="D140" i="22"/>
  <c r="M140" i="22" s="1"/>
  <c r="E139" i="22"/>
  <c r="N139" i="22" s="1"/>
  <c r="N127" i="22"/>
  <c r="D145" i="22"/>
  <c r="M145" i="22" s="1"/>
  <c r="M133" i="22"/>
  <c r="N129" i="22"/>
  <c r="E141" i="22"/>
  <c r="N141" i="22" s="1"/>
  <c r="D136" i="22"/>
  <c r="M136" i="22" s="1"/>
  <c r="M124" i="22"/>
  <c r="D139" i="22"/>
  <c r="M139" i="22" s="1"/>
  <c r="M127" i="22"/>
  <c r="E143" i="22"/>
  <c r="N143" i="22" s="1"/>
  <c r="N131" i="22"/>
  <c r="E144" i="22"/>
  <c r="N144" i="22" s="1"/>
  <c r="N132" i="22"/>
  <c r="D143" i="22"/>
  <c r="M143" i="22" s="1"/>
  <c r="M131" i="22"/>
  <c r="N121" i="22"/>
  <c r="E133" i="22"/>
  <c r="N122" i="22"/>
  <c r="E134" i="22"/>
  <c r="N134" i="22" s="1"/>
  <c r="D134" i="22"/>
  <c r="M134" i="22" s="1"/>
  <c r="M122" i="22"/>
  <c r="N144" i="17"/>
  <c r="N132" i="17"/>
  <c r="O145" i="17"/>
  <c r="O133" i="17"/>
  <c r="L80" i="28"/>
  <c r="W68" i="28"/>
  <c r="X68" i="28" s="1"/>
  <c r="W69" i="28"/>
  <c r="X69" i="28" s="1"/>
  <c r="L81" i="28"/>
  <c r="S80" i="27"/>
  <c r="S74" i="27"/>
  <c r="S78" i="27"/>
  <c r="S83" i="27"/>
  <c r="S75" i="27"/>
  <c r="S76" i="27"/>
  <c r="S84" i="27"/>
  <c r="Z84" i="27" s="1"/>
  <c r="S81" i="27"/>
  <c r="S77" i="27"/>
  <c r="S82" i="27"/>
  <c r="S79" i="27"/>
  <c r="M11" i="31"/>
  <c r="S85" i="27"/>
  <c r="W73" i="28"/>
  <c r="X73" i="28" s="1"/>
  <c r="L85" i="28"/>
  <c r="L79" i="28"/>
  <c r="W67" i="28"/>
  <c r="X67" i="28" s="1"/>
  <c r="L84" i="28"/>
  <c r="W72" i="28"/>
  <c r="X72" i="28" s="1"/>
  <c r="W63" i="28"/>
  <c r="X63" i="28" s="1"/>
  <c r="L75" i="28"/>
  <c r="W64" i="28"/>
  <c r="X64" i="28" s="1"/>
  <c r="L76" i="28"/>
  <c r="W65" i="28"/>
  <c r="X65" i="28" s="1"/>
  <c r="L77" i="28"/>
  <c r="L78" i="28"/>
  <c r="W66" i="28"/>
  <c r="X66" i="28" s="1"/>
  <c r="W70" i="28"/>
  <c r="X70" i="28" s="1"/>
  <c r="L82" i="28"/>
  <c r="W62" i="28"/>
  <c r="X62" i="28" s="1"/>
  <c r="L74" i="28"/>
  <c r="AC8" i="18"/>
  <c r="AE8" i="18" s="1"/>
  <c r="L83" i="28"/>
  <c r="W71" i="28"/>
  <c r="X71" i="28" s="1"/>
  <c r="H85" i="28"/>
  <c r="S84" i="28"/>
  <c r="T81" i="22"/>
  <c r="P74" i="17"/>
  <c r="F75" i="17"/>
  <c r="J91" i="17" l="1"/>
  <c r="J96" i="17"/>
  <c r="J88" i="17"/>
  <c r="J93" i="17"/>
  <c r="E67" i="32"/>
  <c r="H97" i="27"/>
  <c r="T97" i="27" s="1"/>
  <c r="H90" i="27"/>
  <c r="T90" i="27" s="1"/>
  <c r="H87" i="27"/>
  <c r="T87" i="27" s="1"/>
  <c r="H94" i="27"/>
  <c r="T94" i="27" s="1"/>
  <c r="H91" i="27"/>
  <c r="T91" i="27" s="1"/>
  <c r="H88" i="27"/>
  <c r="T88" i="27" s="1"/>
  <c r="H89" i="27"/>
  <c r="T89" i="27" s="1"/>
  <c r="H95" i="27"/>
  <c r="T95" i="27" s="1"/>
  <c r="H92" i="27"/>
  <c r="T92" i="27" s="1"/>
  <c r="H93" i="27"/>
  <c r="T93" i="27" s="1"/>
  <c r="H86" i="27"/>
  <c r="T86" i="27" s="1"/>
  <c r="H96" i="27"/>
  <c r="T96" i="27" s="1"/>
  <c r="J97" i="17"/>
  <c r="J95" i="17"/>
  <c r="J89" i="17"/>
  <c r="J92" i="17"/>
  <c r="J94" i="17"/>
  <c r="J86" i="17"/>
  <c r="J90" i="17"/>
  <c r="J87" i="17"/>
  <c r="X8" i="18"/>
  <c r="E16" i="32"/>
  <c r="AF8" i="18"/>
  <c r="F16" i="32"/>
  <c r="Z85" i="27"/>
  <c r="Z83" i="27"/>
  <c r="Z81" i="27"/>
  <c r="Z82" i="27"/>
  <c r="M88" i="27"/>
  <c r="Y76" i="27"/>
  <c r="Z76" i="27" s="1"/>
  <c r="M91" i="27"/>
  <c r="Y79" i="27"/>
  <c r="Z79" i="27" s="1"/>
  <c r="M86" i="27"/>
  <c r="Y74" i="27"/>
  <c r="Z74" i="27" s="1"/>
  <c r="M90" i="27"/>
  <c r="Y78" i="27"/>
  <c r="Z78" i="27" s="1"/>
  <c r="Y80" i="27"/>
  <c r="Z80" i="27" s="1"/>
  <c r="M92" i="27"/>
  <c r="M89" i="27"/>
  <c r="Y77" i="27"/>
  <c r="Z77" i="27" s="1"/>
  <c r="M87" i="27"/>
  <c r="Y75" i="27"/>
  <c r="Z75" i="27" s="1"/>
  <c r="M109" i="27"/>
  <c r="Y97" i="27"/>
  <c r="M108" i="27"/>
  <c r="Y96" i="27"/>
  <c r="M105" i="27"/>
  <c r="Y93" i="27"/>
  <c r="M106" i="27"/>
  <c r="Y94" i="27"/>
  <c r="M107" i="27"/>
  <c r="Y95" i="27"/>
  <c r="AC9" i="18"/>
  <c r="E145" i="28"/>
  <c r="P145" i="28" s="1"/>
  <c r="P133" i="28"/>
  <c r="E145" i="22"/>
  <c r="N145" i="22" s="1"/>
  <c r="N133" i="22"/>
  <c r="L95" i="28"/>
  <c r="W83" i="28"/>
  <c r="X83" i="28" s="1"/>
  <c r="L90" i="28"/>
  <c r="W78" i="28"/>
  <c r="X78" i="28" s="1"/>
  <c r="L96" i="28"/>
  <c r="W84" i="28"/>
  <c r="X84" i="28" s="1"/>
  <c r="W77" i="28"/>
  <c r="X77" i="28" s="1"/>
  <c r="L89" i="28"/>
  <c r="W79" i="28"/>
  <c r="X79" i="28" s="1"/>
  <c r="L91" i="28"/>
  <c r="L86" i="28"/>
  <c r="W74" i="28"/>
  <c r="X74" i="28" s="1"/>
  <c r="L88" i="28"/>
  <c r="W76" i="28"/>
  <c r="X76" i="28" s="1"/>
  <c r="L97" i="28"/>
  <c r="W85" i="28"/>
  <c r="L93" i="28"/>
  <c r="W81" i="28"/>
  <c r="X81" i="28" s="1"/>
  <c r="L94" i="28"/>
  <c r="W82" i="28"/>
  <c r="X82" i="28" s="1"/>
  <c r="L87" i="28"/>
  <c r="W75" i="28"/>
  <c r="X75" i="28" s="1"/>
  <c r="S86" i="27"/>
  <c r="S87" i="27"/>
  <c r="M12" i="31"/>
  <c r="S88" i="27"/>
  <c r="L92" i="28"/>
  <c r="W80" i="28"/>
  <c r="X80" i="28" s="1"/>
  <c r="H86" i="28"/>
  <c r="S85" i="28"/>
  <c r="F76" i="17"/>
  <c r="P75" i="17"/>
  <c r="T82" i="22"/>
  <c r="J102" i="17" l="1"/>
  <c r="J106" i="17"/>
  <c r="J100" i="17"/>
  <c r="J103" i="17"/>
  <c r="E68" i="32"/>
  <c r="H100" i="27"/>
  <c r="T100" i="27" s="1"/>
  <c r="H109" i="27"/>
  <c r="T109" i="27" s="1"/>
  <c r="H106" i="27"/>
  <c r="T106" i="27" s="1"/>
  <c r="H104" i="27"/>
  <c r="T104" i="27" s="1"/>
  <c r="H99" i="27"/>
  <c r="T99" i="27" s="1"/>
  <c r="H108" i="27"/>
  <c r="T108" i="27" s="1"/>
  <c r="H101" i="27"/>
  <c r="T101" i="27" s="1"/>
  <c r="H103" i="27"/>
  <c r="T103" i="27" s="1"/>
  <c r="H98" i="27"/>
  <c r="T98" i="27" s="1"/>
  <c r="H105" i="27"/>
  <c r="T105" i="27" s="1"/>
  <c r="H107" i="27"/>
  <c r="T107" i="27" s="1"/>
  <c r="H102" i="27"/>
  <c r="T102" i="27" s="1"/>
  <c r="J104" i="17"/>
  <c r="J107" i="17"/>
  <c r="J108" i="17"/>
  <c r="J99" i="17"/>
  <c r="J98" i="17"/>
  <c r="J101" i="17"/>
  <c r="J109" i="17"/>
  <c r="J105" i="17"/>
  <c r="I16" i="32"/>
  <c r="AE9" i="18"/>
  <c r="M104" i="27"/>
  <c r="Y92" i="27"/>
  <c r="M103" i="27"/>
  <c r="Y91" i="27"/>
  <c r="Y87" i="27"/>
  <c r="Z87" i="27" s="1"/>
  <c r="M99" i="27"/>
  <c r="M102" i="27"/>
  <c r="Y90" i="27"/>
  <c r="Y88" i="27"/>
  <c r="Z88" i="27" s="1"/>
  <c r="M100" i="27"/>
  <c r="M98" i="27"/>
  <c r="Y86" i="27"/>
  <c r="Z86" i="27" s="1"/>
  <c r="Y89" i="27"/>
  <c r="M101" i="27"/>
  <c r="M117" i="27"/>
  <c r="Y105" i="27"/>
  <c r="M120" i="27"/>
  <c r="Y108" i="27"/>
  <c r="M119" i="27"/>
  <c r="Y107" i="27"/>
  <c r="M118" i="27"/>
  <c r="Y106" i="27"/>
  <c r="M121" i="27"/>
  <c r="Y109" i="27"/>
  <c r="X85" i="28"/>
  <c r="AC10" i="18" s="1"/>
  <c r="W97" i="28"/>
  <c r="L109" i="28"/>
  <c r="W89" i="28"/>
  <c r="L101" i="28"/>
  <c r="W94" i="28"/>
  <c r="L106" i="28"/>
  <c r="W88" i="28"/>
  <c r="L100" i="28"/>
  <c r="W96" i="28"/>
  <c r="L108" i="28"/>
  <c r="W86" i="28"/>
  <c r="L98" i="28"/>
  <c r="W90" i="28"/>
  <c r="L102" i="28"/>
  <c r="S107" i="27"/>
  <c r="S104" i="27"/>
  <c r="M13" i="31"/>
  <c r="S109" i="27"/>
  <c r="S105" i="27"/>
  <c r="S99" i="27"/>
  <c r="S102" i="27"/>
  <c r="S108" i="27"/>
  <c r="S100" i="27"/>
  <c r="S98" i="27"/>
  <c r="S101" i="27"/>
  <c r="S106" i="27"/>
  <c r="S103" i="27"/>
  <c r="W92" i="28"/>
  <c r="L104" i="28"/>
  <c r="W93" i="28"/>
  <c r="L105" i="28"/>
  <c r="W91" i="28"/>
  <c r="L103" i="28"/>
  <c r="W87" i="28"/>
  <c r="L99" i="28"/>
  <c r="W95" i="28"/>
  <c r="L107" i="28"/>
  <c r="H87" i="28"/>
  <c r="S86" i="28"/>
  <c r="S89" i="27"/>
  <c r="T83" i="22"/>
  <c r="P76" i="17"/>
  <c r="F77" i="17"/>
  <c r="J121" i="17" l="1"/>
  <c r="J110" i="17"/>
  <c r="J115" i="17"/>
  <c r="J118" i="17"/>
  <c r="E69" i="32"/>
  <c r="H116" i="27"/>
  <c r="T116" i="27" s="1"/>
  <c r="H111" i="27"/>
  <c r="T111" i="27" s="1"/>
  <c r="H120" i="27"/>
  <c r="T120" i="27" s="1"/>
  <c r="H113" i="27"/>
  <c r="T113" i="27" s="1"/>
  <c r="H115" i="27"/>
  <c r="T115" i="27" s="1"/>
  <c r="H110" i="27"/>
  <c r="T110" i="27" s="1"/>
  <c r="H117" i="27"/>
  <c r="T117" i="27" s="1"/>
  <c r="H119" i="27"/>
  <c r="T119" i="27" s="1"/>
  <c r="H114" i="27"/>
  <c r="T114" i="27" s="1"/>
  <c r="H112" i="27"/>
  <c r="T112" i="27" s="1"/>
  <c r="H121" i="27"/>
  <c r="T121" i="27" s="1"/>
  <c r="H118" i="27"/>
  <c r="T118" i="27" s="1"/>
  <c r="J120" i="17"/>
  <c r="J116" i="17"/>
  <c r="J114" i="17"/>
  <c r="J117" i="17"/>
  <c r="J113" i="17"/>
  <c r="J111" i="17"/>
  <c r="J119" i="17"/>
  <c r="J112" i="17"/>
  <c r="AF9" i="18"/>
  <c r="F17" i="32"/>
  <c r="AE10" i="18"/>
  <c r="Z105" i="27"/>
  <c r="Z107" i="27"/>
  <c r="Z106" i="27"/>
  <c r="Z109" i="27"/>
  <c r="Z89" i="27"/>
  <c r="M110" i="27"/>
  <c r="Y98" i="27"/>
  <c r="Z98" i="27" s="1"/>
  <c r="M112" i="27"/>
  <c r="Y100" i="27"/>
  <c r="Z100" i="27" s="1"/>
  <c r="Y103" i="27"/>
  <c r="Z103" i="27" s="1"/>
  <c r="M115" i="27"/>
  <c r="X86" i="28"/>
  <c r="M114" i="27"/>
  <c r="Y102" i="27"/>
  <c r="Z102" i="27" s="1"/>
  <c r="M116" i="27"/>
  <c r="Y104" i="27"/>
  <c r="Z104" i="27" s="1"/>
  <c r="M113" i="27"/>
  <c r="Y101" i="27"/>
  <c r="Z101" i="27" s="1"/>
  <c r="Y99" i="27"/>
  <c r="Z99" i="27" s="1"/>
  <c r="M111" i="27"/>
  <c r="M130" i="27"/>
  <c r="Y118" i="27"/>
  <c r="M132" i="27"/>
  <c r="Y120" i="27"/>
  <c r="M133" i="27"/>
  <c r="Y121" i="27"/>
  <c r="M131" i="27"/>
  <c r="Y119" i="27"/>
  <c r="Z108" i="27"/>
  <c r="M129" i="27"/>
  <c r="Y117" i="27"/>
  <c r="L112" i="28"/>
  <c r="W100" i="28"/>
  <c r="L119" i="28"/>
  <c r="W107" i="28"/>
  <c r="W104" i="28"/>
  <c r="L116" i="28"/>
  <c r="L114" i="28"/>
  <c r="W102" i="28"/>
  <c r="W105" i="28"/>
  <c r="L117" i="28"/>
  <c r="W106" i="28"/>
  <c r="L118" i="28"/>
  <c r="L111" i="28"/>
  <c r="W99" i="28"/>
  <c r="L110" i="28"/>
  <c r="W98" i="28"/>
  <c r="W101" i="28"/>
  <c r="L113" i="28"/>
  <c r="L115" i="28"/>
  <c r="W103" i="28"/>
  <c r="S119" i="27"/>
  <c r="S121" i="27"/>
  <c r="S114" i="27"/>
  <c r="S115" i="27"/>
  <c r="M14" i="31"/>
  <c r="S113" i="27"/>
  <c r="S118" i="27"/>
  <c r="S117" i="27"/>
  <c r="S111" i="27"/>
  <c r="S112" i="27"/>
  <c r="S120" i="27"/>
  <c r="S116" i="27"/>
  <c r="S110" i="27"/>
  <c r="L120" i="28"/>
  <c r="W108" i="28"/>
  <c r="W109" i="28"/>
  <c r="L121" i="28"/>
  <c r="H88" i="28"/>
  <c r="S87" i="28"/>
  <c r="X87" i="28" s="1"/>
  <c r="S90" i="27"/>
  <c r="Z90" i="27" s="1"/>
  <c r="P77" i="17"/>
  <c r="F78" i="17"/>
  <c r="T84" i="22"/>
  <c r="Z117" i="27" l="1"/>
  <c r="Z121" i="27"/>
  <c r="J122" i="17"/>
  <c r="J131" i="17"/>
  <c r="J125" i="17"/>
  <c r="J126" i="17"/>
  <c r="J132" i="17"/>
  <c r="J130" i="17"/>
  <c r="E70" i="32"/>
  <c r="H132" i="27"/>
  <c r="T132" i="27" s="1"/>
  <c r="H125" i="27"/>
  <c r="T125" i="27" s="1"/>
  <c r="H127" i="27"/>
  <c r="T127" i="27" s="1"/>
  <c r="H122" i="27"/>
  <c r="T122" i="27" s="1"/>
  <c r="H129" i="27"/>
  <c r="T129" i="27" s="1"/>
  <c r="H126" i="27"/>
  <c r="T126" i="27" s="1"/>
  <c r="H124" i="27"/>
  <c r="T124" i="27" s="1"/>
  <c r="H131" i="27"/>
  <c r="T131" i="27" s="1"/>
  <c r="H130" i="27"/>
  <c r="T130" i="27" s="1"/>
  <c r="H128" i="27"/>
  <c r="T128" i="27" s="1"/>
  <c r="H133" i="27"/>
  <c r="T133" i="27" s="1"/>
  <c r="H123" i="27"/>
  <c r="T123" i="27" s="1"/>
  <c r="J124" i="17"/>
  <c r="J123" i="17"/>
  <c r="J129" i="17"/>
  <c r="J128" i="17"/>
  <c r="J127" i="17"/>
  <c r="J133" i="17"/>
  <c r="B6" i="34"/>
  <c r="D6" i="34" s="1"/>
  <c r="F18" i="32"/>
  <c r="AF10" i="18"/>
  <c r="H14" i="29"/>
  <c r="Z119" i="27"/>
  <c r="Z120" i="27"/>
  <c r="Z118" i="27"/>
  <c r="M123" i="27"/>
  <c r="Y111" i="27"/>
  <c r="Z111" i="27" s="1"/>
  <c r="M126" i="27"/>
  <c r="Y114" i="27"/>
  <c r="Z114" i="27" s="1"/>
  <c r="Y112" i="27"/>
  <c r="Z112" i="27" s="1"/>
  <c r="M124" i="27"/>
  <c r="U12" i="18"/>
  <c r="W12" i="18" s="1"/>
  <c r="M122" i="27"/>
  <c r="Y110" i="27"/>
  <c r="Z110" i="27" s="1"/>
  <c r="M125" i="27"/>
  <c r="Y113" i="27"/>
  <c r="Z113" i="27" s="1"/>
  <c r="M127" i="27"/>
  <c r="Y115" i="27"/>
  <c r="Z115" i="27" s="1"/>
  <c r="M128" i="27"/>
  <c r="Y116" i="27"/>
  <c r="Z116" i="27" s="1"/>
  <c r="M141" i="27"/>
  <c r="Y141" i="27" s="1"/>
  <c r="Y129" i="27"/>
  <c r="M143" i="27"/>
  <c r="Y143" i="27" s="1"/>
  <c r="Y131" i="27"/>
  <c r="M144" i="27"/>
  <c r="Y144" i="27" s="1"/>
  <c r="Y132" i="27"/>
  <c r="M145" i="27"/>
  <c r="Y145" i="27" s="1"/>
  <c r="Y133" i="27"/>
  <c r="M142" i="27"/>
  <c r="Y142" i="27" s="1"/>
  <c r="Y130" i="27"/>
  <c r="L128" i="28"/>
  <c r="W116" i="28"/>
  <c r="W114" i="28"/>
  <c r="L126" i="28"/>
  <c r="L123" i="28"/>
  <c r="W111" i="28"/>
  <c r="W110" i="28"/>
  <c r="L122" i="28"/>
  <c r="L132" i="28"/>
  <c r="W120" i="28"/>
  <c r="L127" i="28"/>
  <c r="W115" i="28"/>
  <c r="L130" i="28"/>
  <c r="W118" i="28"/>
  <c r="L131" i="28"/>
  <c r="W119" i="28"/>
  <c r="L133" i="28"/>
  <c r="W121" i="28"/>
  <c r="W113" i="28"/>
  <c r="L125" i="28"/>
  <c r="W117" i="28"/>
  <c r="L129" i="28"/>
  <c r="S123" i="27"/>
  <c r="S130" i="27"/>
  <c r="S132" i="27"/>
  <c r="M15" i="31"/>
  <c r="S127" i="27"/>
  <c r="S125" i="27"/>
  <c r="S126" i="27"/>
  <c r="S133" i="27"/>
  <c r="S131" i="27"/>
  <c r="S122" i="27"/>
  <c r="S124" i="27"/>
  <c r="S128" i="27"/>
  <c r="S129" i="27"/>
  <c r="W112" i="28"/>
  <c r="L124" i="28"/>
  <c r="H89" i="28"/>
  <c r="S88" i="28"/>
  <c r="X88" i="28" s="1"/>
  <c r="S91" i="27"/>
  <c r="Z91" i="27" s="1"/>
  <c r="T85" i="22"/>
  <c r="P78" i="17"/>
  <c r="F79" i="17"/>
  <c r="E20" i="32" l="1"/>
  <c r="F27" i="32"/>
  <c r="J136" i="17"/>
  <c r="J139" i="17"/>
  <c r="J141" i="17"/>
  <c r="J142" i="17"/>
  <c r="J138" i="17"/>
  <c r="J143" i="17"/>
  <c r="E71" i="32"/>
  <c r="H135" i="27"/>
  <c r="T135" i="27" s="1"/>
  <c r="H145" i="27"/>
  <c r="T145" i="27" s="1"/>
  <c r="H136" i="27"/>
  <c r="T136" i="27" s="1"/>
  <c r="H138" i="27"/>
  <c r="T138" i="27" s="1"/>
  <c r="H139" i="27"/>
  <c r="T139" i="27" s="1"/>
  <c r="H137" i="27"/>
  <c r="T137" i="27" s="1"/>
  <c r="H140" i="27"/>
  <c r="T140" i="27" s="1"/>
  <c r="H141" i="27"/>
  <c r="T141" i="27" s="1"/>
  <c r="H142" i="27"/>
  <c r="T142" i="27" s="1"/>
  <c r="H143" i="27"/>
  <c r="T143" i="27" s="1"/>
  <c r="H134" i="27"/>
  <c r="T134" i="27" s="1"/>
  <c r="H144" i="27"/>
  <c r="T144" i="27" s="1"/>
  <c r="J145" i="17"/>
  <c r="J140" i="17"/>
  <c r="J135" i="17"/>
  <c r="J144" i="17"/>
  <c r="J137" i="17"/>
  <c r="J134" i="17"/>
  <c r="B21" i="34"/>
  <c r="C16" i="29"/>
  <c r="E16" i="29" s="1"/>
  <c r="Z130" i="27"/>
  <c r="Z133" i="27"/>
  <c r="Z131" i="27"/>
  <c r="U13" i="18"/>
  <c r="B16" i="35"/>
  <c r="M136" i="27"/>
  <c r="Y136" i="27" s="1"/>
  <c r="Y124" i="27"/>
  <c r="Z124" i="27" s="1"/>
  <c r="M140" i="27"/>
  <c r="Y140" i="27" s="1"/>
  <c r="Y128" i="27"/>
  <c r="Z128" i="27" s="1"/>
  <c r="M137" i="27"/>
  <c r="Y137" i="27" s="1"/>
  <c r="Y125" i="27"/>
  <c r="Z125" i="27" s="1"/>
  <c r="M138" i="27"/>
  <c r="Y138" i="27" s="1"/>
  <c r="Y126" i="27"/>
  <c r="Z126" i="27" s="1"/>
  <c r="M139" i="27"/>
  <c r="Y139" i="27" s="1"/>
  <c r="Y127" i="27"/>
  <c r="Z127" i="27" s="1"/>
  <c r="M134" i="27"/>
  <c r="Y134" i="27" s="1"/>
  <c r="Y122" i="27"/>
  <c r="Z122" i="27" s="1"/>
  <c r="Y123" i="27"/>
  <c r="Z123" i="27" s="1"/>
  <c r="M135" i="27"/>
  <c r="Y135" i="27" s="1"/>
  <c r="Z129" i="27"/>
  <c r="Z132" i="27"/>
  <c r="W133" i="28"/>
  <c r="L145" i="28"/>
  <c r="W145" i="28" s="1"/>
  <c r="W130" i="28"/>
  <c r="L142" i="28"/>
  <c r="W142" i="28" s="1"/>
  <c r="W123" i="28"/>
  <c r="L135" i="28"/>
  <c r="W135" i="28" s="1"/>
  <c r="L139" i="28"/>
  <c r="W139" i="28" s="1"/>
  <c r="W127" i="28"/>
  <c r="W129" i="28"/>
  <c r="L141" i="28"/>
  <c r="W141" i="28" s="1"/>
  <c r="L138" i="28"/>
  <c r="W138" i="28" s="1"/>
  <c r="W126" i="28"/>
  <c r="W132" i="28"/>
  <c r="L144" i="28"/>
  <c r="W144" i="28" s="1"/>
  <c r="L136" i="28"/>
  <c r="W136" i="28" s="1"/>
  <c r="W124" i="28"/>
  <c r="W125" i="28"/>
  <c r="L137" i="28"/>
  <c r="W137" i="28" s="1"/>
  <c r="L134" i="28"/>
  <c r="W134" i="28" s="1"/>
  <c r="W122" i="28"/>
  <c r="S145" i="27"/>
  <c r="S138" i="27"/>
  <c r="S134" i="27"/>
  <c r="S136" i="27"/>
  <c r="S135" i="27"/>
  <c r="S140" i="27"/>
  <c r="S141" i="27"/>
  <c r="Z141" i="27" s="1"/>
  <c r="S142" i="27"/>
  <c r="Z142" i="27" s="1"/>
  <c r="S144" i="27"/>
  <c r="Z144" i="27" s="1"/>
  <c r="S143" i="27"/>
  <c r="S139" i="27"/>
  <c r="S137" i="27"/>
  <c r="W131" i="28"/>
  <c r="L143" i="28"/>
  <c r="W143" i="28" s="1"/>
  <c r="W128" i="28"/>
  <c r="L140" i="28"/>
  <c r="W140" i="28" s="1"/>
  <c r="H90" i="28"/>
  <c r="S89" i="28"/>
  <c r="X89" i="28" s="1"/>
  <c r="S92" i="27"/>
  <c r="Z92" i="27" s="1"/>
  <c r="P79" i="17"/>
  <c r="F80" i="17"/>
  <c r="T86" i="22"/>
  <c r="I20" i="34" l="1"/>
  <c r="Z136" i="27"/>
  <c r="Z145" i="27"/>
  <c r="Z143" i="27"/>
  <c r="Z137" i="27"/>
  <c r="Z138" i="27"/>
  <c r="W13" i="18"/>
  <c r="Z140" i="27"/>
  <c r="Z139" i="27"/>
  <c r="Z135" i="27"/>
  <c r="B26" i="35"/>
  <c r="C44" i="32"/>
  <c r="I16" i="35"/>
  <c r="U14" i="18"/>
  <c r="W14" i="18" s="1"/>
  <c r="Z134" i="27"/>
  <c r="H91" i="28"/>
  <c r="S90" i="28"/>
  <c r="X90" i="28" s="1"/>
  <c r="S93" i="27"/>
  <c r="Z93" i="27" s="1"/>
  <c r="T87" i="22"/>
  <c r="F81" i="17"/>
  <c r="P80" i="17"/>
  <c r="E22" i="32" l="1"/>
  <c r="C17" i="29"/>
  <c r="E17" i="29" s="1"/>
  <c r="E21" i="32"/>
  <c r="B37" i="34"/>
  <c r="C18" i="29"/>
  <c r="E18" i="29" s="1"/>
  <c r="X13" i="18"/>
  <c r="B29" i="34"/>
  <c r="X14" i="18"/>
  <c r="U15" i="18"/>
  <c r="B36" i="35"/>
  <c r="H92" i="28"/>
  <c r="S91" i="28"/>
  <c r="X91" i="28" s="1"/>
  <c r="S94" i="27"/>
  <c r="Z94" i="27" s="1"/>
  <c r="P81" i="17"/>
  <c r="F82" i="17"/>
  <c r="T88" i="22"/>
  <c r="C45" i="32" l="1"/>
  <c r="I27" i="34"/>
  <c r="I26" i="35"/>
  <c r="B46" i="35"/>
  <c r="W15" i="18"/>
  <c r="I36" i="34"/>
  <c r="I36" i="35"/>
  <c r="C46" i="32"/>
  <c r="H93" i="28"/>
  <c r="S92" i="28"/>
  <c r="X92" i="28" s="1"/>
  <c r="S95" i="27"/>
  <c r="Z95" i="27" s="1"/>
  <c r="T89" i="22"/>
  <c r="F83" i="17"/>
  <c r="P82" i="17"/>
  <c r="C19" i="29" l="1"/>
  <c r="E19" i="29" s="1"/>
  <c r="E23" i="32"/>
  <c r="X15" i="18"/>
  <c r="B45" i="34"/>
  <c r="H94" i="28"/>
  <c r="S93" i="28"/>
  <c r="X93" i="28" s="1"/>
  <c r="S96" i="27"/>
  <c r="Z96" i="27" s="1"/>
  <c r="S97" i="27"/>
  <c r="Z97" i="27" s="1"/>
  <c r="F84" i="17"/>
  <c r="P83" i="17"/>
  <c r="T90" i="22"/>
  <c r="I44" i="34" l="1"/>
  <c r="C47" i="32"/>
  <c r="I46" i="35"/>
  <c r="H95" i="28"/>
  <c r="S94" i="28"/>
  <c r="X94" i="28" s="1"/>
  <c r="T91" i="22"/>
  <c r="F85" i="17"/>
  <c r="P84" i="17"/>
  <c r="H96" i="28" l="1"/>
  <c r="S95" i="28"/>
  <c r="X95" i="28" s="1"/>
  <c r="F86" i="17"/>
  <c r="P85" i="17"/>
  <c r="T92" i="22"/>
  <c r="H97" i="28" l="1"/>
  <c r="S96" i="28"/>
  <c r="X96" i="28" s="1"/>
  <c r="T93" i="22"/>
  <c r="P86" i="17"/>
  <c r="F87" i="17"/>
  <c r="S97" i="28" l="1"/>
  <c r="X97" i="28" s="1"/>
  <c r="H98" i="28"/>
  <c r="P87" i="17"/>
  <c r="F88" i="17"/>
  <c r="T94" i="22"/>
  <c r="H99" i="28" l="1"/>
  <c r="S98" i="28"/>
  <c r="X98" i="28" s="1"/>
  <c r="J14" i="29"/>
  <c r="T95" i="22"/>
  <c r="P88" i="17"/>
  <c r="F89" i="17"/>
  <c r="D42" i="32" l="1"/>
  <c r="I5" i="34"/>
  <c r="K5" i="34" s="1"/>
  <c r="M5" i="34" s="1"/>
  <c r="H100" i="28"/>
  <c r="S99" i="28"/>
  <c r="X99" i="28" s="1"/>
  <c r="U10" i="18"/>
  <c r="U11" i="18"/>
  <c r="F90" i="17"/>
  <c r="P89" i="17"/>
  <c r="T96" i="22"/>
  <c r="D51" i="32" l="1"/>
  <c r="W10" i="18"/>
  <c r="B6" i="35"/>
  <c r="W11" i="18"/>
  <c r="T97" i="22"/>
  <c r="S100" i="28"/>
  <c r="X100" i="28" s="1"/>
  <c r="H101" i="28"/>
  <c r="P90" i="17"/>
  <c r="F91" i="17"/>
  <c r="E19" i="32" l="1"/>
  <c r="E18" i="32"/>
  <c r="C14" i="29"/>
  <c r="E14" i="29" s="1"/>
  <c r="B5" i="34"/>
  <c r="B13" i="34"/>
  <c r="C15" i="29"/>
  <c r="E15" i="29" s="1"/>
  <c r="X11" i="18"/>
  <c r="X12" i="18"/>
  <c r="T98" i="22"/>
  <c r="S101" i="28"/>
  <c r="X101" i="28" s="1"/>
  <c r="H102" i="28"/>
  <c r="F92" i="17"/>
  <c r="P91" i="17"/>
  <c r="I6" i="35" l="1"/>
  <c r="C42" i="32"/>
  <c r="F42" i="32" s="1"/>
  <c r="I4" i="34"/>
  <c r="K4" i="34" s="1"/>
  <c r="M4" i="34" s="1"/>
  <c r="D5" i="34"/>
  <c r="C43" i="32"/>
  <c r="I12" i="34"/>
  <c r="H103" i="28"/>
  <c r="S102" i="28"/>
  <c r="X102" i="28" s="1"/>
  <c r="T99" i="22"/>
  <c r="F93" i="17"/>
  <c r="P92" i="17"/>
  <c r="C51" i="32" l="1"/>
  <c r="E27" i="32"/>
  <c r="I6" i="34"/>
  <c r="J4" i="34" s="1"/>
  <c r="T100" i="22"/>
  <c r="H104" i="28"/>
  <c r="S103" i="28"/>
  <c r="X103" i="28" s="1"/>
  <c r="F94" i="17"/>
  <c r="P93" i="17"/>
  <c r="J5" i="34" l="1"/>
  <c r="H105" i="28"/>
  <c r="S104" i="28"/>
  <c r="X104" i="28" s="1"/>
  <c r="T101" i="22"/>
  <c r="P94" i="17"/>
  <c r="F95" i="17"/>
  <c r="T102" i="22" l="1"/>
  <c r="S105" i="28"/>
  <c r="X105" i="28" s="1"/>
  <c r="H106" i="28"/>
  <c r="P95" i="17"/>
  <c r="F96" i="17"/>
  <c r="H107" i="28" l="1"/>
  <c r="S106" i="28"/>
  <c r="X106" i="28" s="1"/>
  <c r="T103" i="22"/>
  <c r="F97" i="17"/>
  <c r="P96" i="17"/>
  <c r="P97" i="17" l="1"/>
  <c r="F98" i="17"/>
  <c r="T104" i="22"/>
  <c r="S107" i="28"/>
  <c r="X107" i="28" s="1"/>
  <c r="H108" i="28"/>
  <c r="S63" i="27"/>
  <c r="Z63" i="27" l="1"/>
  <c r="U9" i="18" s="1"/>
  <c r="T105" i="22"/>
  <c r="F99" i="17"/>
  <c r="P98" i="17"/>
  <c r="H109" i="28"/>
  <c r="S108" i="28"/>
  <c r="X108" i="28" s="1"/>
  <c r="F41" i="32"/>
  <c r="W9" i="18" l="1"/>
  <c r="S109" i="28"/>
  <c r="X109" i="28" s="1"/>
  <c r="H110" i="28"/>
  <c r="F100" i="17"/>
  <c r="P99" i="17"/>
  <c r="T106" i="22"/>
  <c r="E17" i="32" l="1"/>
  <c r="X9" i="18"/>
  <c r="X10" i="18"/>
  <c r="F101" i="17"/>
  <c r="P100" i="17"/>
  <c r="T107" i="22"/>
  <c r="H111" i="28"/>
  <c r="S110" i="28"/>
  <c r="X110" i="28" s="1"/>
  <c r="S111" i="28" l="1"/>
  <c r="X111" i="28" s="1"/>
  <c r="H112" i="28"/>
  <c r="T108" i="22"/>
  <c r="F102" i="17"/>
  <c r="P101" i="17"/>
  <c r="H113" i="28" l="1"/>
  <c r="S112" i="28"/>
  <c r="X112" i="28" s="1"/>
  <c r="F103" i="17"/>
  <c r="P102" i="17"/>
  <c r="T109" i="22"/>
  <c r="T110" i="22" l="1"/>
  <c r="F104" i="17"/>
  <c r="P103" i="17"/>
  <c r="S113" i="28"/>
  <c r="X113" i="28" s="1"/>
  <c r="H114" i="28"/>
  <c r="H115" i="28" l="1"/>
  <c r="S114" i="28"/>
  <c r="X114" i="28" s="1"/>
  <c r="F105" i="17"/>
  <c r="P104" i="17"/>
  <c r="T111" i="22"/>
  <c r="T112" i="22" l="1"/>
  <c r="F106" i="17"/>
  <c r="P105" i="17"/>
  <c r="S115" i="28"/>
  <c r="X115" i="28" s="1"/>
  <c r="H116" i="28"/>
  <c r="F107" i="17" l="1"/>
  <c r="P106" i="17"/>
  <c r="H117" i="28"/>
  <c r="S116" i="28"/>
  <c r="X116" i="28" s="1"/>
  <c r="T113" i="22"/>
  <c r="H118" i="28" l="1"/>
  <c r="S117" i="28"/>
  <c r="X117" i="28" s="1"/>
  <c r="T114" i="22"/>
  <c r="F108" i="17"/>
  <c r="P107" i="17"/>
  <c r="F109" i="17" l="1"/>
  <c r="P108" i="17"/>
  <c r="T115" i="22"/>
  <c r="H119" i="28"/>
  <c r="S118" i="28"/>
  <c r="X118" i="28" s="1"/>
  <c r="H120" i="28" l="1"/>
  <c r="S119" i="28"/>
  <c r="X119" i="28" s="1"/>
  <c r="T116" i="22"/>
  <c r="P109" i="17"/>
  <c r="F110" i="17"/>
  <c r="F111" i="17" l="1"/>
  <c r="P110" i="17"/>
  <c r="T117" i="22"/>
  <c r="S120" i="28"/>
  <c r="X120" i="28" s="1"/>
  <c r="H121" i="28"/>
  <c r="S121" i="28" l="1"/>
  <c r="X121" i="28" s="1"/>
  <c r="H122" i="28"/>
  <c r="T118" i="22"/>
  <c r="F112" i="17"/>
  <c r="P111" i="17"/>
  <c r="F113" i="17" l="1"/>
  <c r="P112" i="17"/>
  <c r="T119" i="22"/>
  <c r="H123" i="28"/>
  <c r="S122" i="28"/>
  <c r="X122" i="28" s="1"/>
  <c r="S123" i="28" l="1"/>
  <c r="X123" i="28" s="1"/>
  <c r="H124" i="28"/>
  <c r="T120" i="22"/>
  <c r="F114" i="17"/>
  <c r="P113" i="17"/>
  <c r="F115" i="17" l="1"/>
  <c r="P114" i="17"/>
  <c r="T121" i="22"/>
  <c r="H125" i="28"/>
  <c r="S124" i="28"/>
  <c r="X124" i="28" s="1"/>
  <c r="S125" i="28" l="1"/>
  <c r="X125" i="28" s="1"/>
  <c r="H126" i="28"/>
  <c r="T122" i="22"/>
  <c r="F116" i="17"/>
  <c r="P115" i="17"/>
  <c r="F117" i="17" l="1"/>
  <c r="P116" i="17"/>
  <c r="T123" i="22"/>
  <c r="S126" i="28"/>
  <c r="X126" i="28" s="1"/>
  <c r="H127" i="28"/>
  <c r="T124" i="22" l="1"/>
  <c r="H128" i="28"/>
  <c r="S127" i="28"/>
  <c r="X127" i="28" s="1"/>
  <c r="F118" i="17"/>
  <c r="P117" i="17"/>
  <c r="F119" i="17" l="1"/>
  <c r="P118" i="17"/>
  <c r="S128" i="28"/>
  <c r="X128" i="28" s="1"/>
  <c r="H129" i="28"/>
  <c r="T125" i="22"/>
  <c r="T126" i="22" l="1"/>
  <c r="H130" i="28"/>
  <c r="S129" i="28"/>
  <c r="X129" i="28" s="1"/>
  <c r="F120" i="17"/>
  <c r="P119" i="17"/>
  <c r="F121" i="17" l="1"/>
  <c r="P120" i="17"/>
  <c r="S130" i="28"/>
  <c r="X130" i="28" s="1"/>
  <c r="H131" i="28"/>
  <c r="T127" i="22"/>
  <c r="S131" i="28" l="1"/>
  <c r="X131" i="28" s="1"/>
  <c r="H132" i="28"/>
  <c r="T128" i="22"/>
  <c r="F122" i="17"/>
  <c r="P121" i="17"/>
  <c r="F123" i="17" l="1"/>
  <c r="P122" i="17"/>
  <c r="T129" i="22"/>
  <c r="H133" i="28"/>
  <c r="S132" i="28"/>
  <c r="X132" i="28" s="1"/>
  <c r="S133" i="28" l="1"/>
  <c r="X133" i="28" s="1"/>
  <c r="H134" i="28"/>
  <c r="T130" i="22"/>
  <c r="F124" i="17"/>
  <c r="P123" i="17"/>
  <c r="F125" i="17" l="1"/>
  <c r="P124" i="17"/>
  <c r="T131" i="22"/>
  <c r="H135" i="28"/>
  <c r="S134" i="28"/>
  <c r="X134" i="28" s="1"/>
  <c r="H136" i="28" l="1"/>
  <c r="S135" i="28"/>
  <c r="X135" i="28" s="1"/>
  <c r="T132" i="22"/>
  <c r="F126" i="17"/>
  <c r="P125" i="17"/>
  <c r="F127" i="17" l="1"/>
  <c r="P126" i="17"/>
  <c r="T133" i="22"/>
  <c r="S136" i="28"/>
  <c r="X136" i="28" s="1"/>
  <c r="H137" i="28"/>
  <c r="T134" i="22" l="1"/>
  <c r="H138" i="28"/>
  <c r="S137" i="28"/>
  <c r="X137" i="28" s="1"/>
  <c r="F128" i="17"/>
  <c r="P127" i="17"/>
  <c r="F129" i="17" l="1"/>
  <c r="P128" i="17"/>
  <c r="H139" i="28"/>
  <c r="S138" i="28"/>
  <c r="X138" i="28" s="1"/>
  <c r="T135" i="22"/>
  <c r="T136" i="22" l="1"/>
  <c r="H140" i="28"/>
  <c r="S139" i="28"/>
  <c r="X139" i="28" s="1"/>
  <c r="F130" i="17"/>
  <c r="P129" i="17"/>
  <c r="F131" i="17" l="1"/>
  <c r="P130" i="17"/>
  <c r="S140" i="28"/>
  <c r="X140" i="28" s="1"/>
  <c r="H141" i="28"/>
  <c r="T137" i="22"/>
  <c r="H142" i="28" l="1"/>
  <c r="S141" i="28"/>
  <c r="X141" i="28" s="1"/>
  <c r="T138" i="22"/>
  <c r="F132" i="17"/>
  <c r="P131" i="17"/>
  <c r="T139" i="22" l="1"/>
  <c r="F133" i="17"/>
  <c r="P132" i="17"/>
  <c r="H143" i="28"/>
  <c r="S142" i="28"/>
  <c r="X142" i="28" s="1"/>
  <c r="S143" i="28" l="1"/>
  <c r="X143" i="28" s="1"/>
  <c r="H144" i="28"/>
  <c r="F134" i="17"/>
  <c r="P133" i="17"/>
  <c r="T140" i="22"/>
  <c r="T141" i="22" l="1"/>
  <c r="F135" i="17"/>
  <c r="P134" i="17"/>
  <c r="S144" i="28"/>
  <c r="X144" i="28" s="1"/>
  <c r="H145" i="28"/>
  <c r="S145" i="28" s="1"/>
  <c r="X145" i="28" s="1"/>
  <c r="AC11" i="18" l="1"/>
  <c r="AC12" i="18"/>
  <c r="AC13" i="18"/>
  <c r="AC14" i="18"/>
  <c r="AC15" i="18"/>
  <c r="F136" i="17"/>
  <c r="P135" i="17"/>
  <c r="T142" i="22"/>
  <c r="B37" i="35" l="1"/>
  <c r="AE14" i="18"/>
  <c r="B27" i="35"/>
  <c r="AE13" i="18"/>
  <c r="B17" i="35"/>
  <c r="AE12" i="18"/>
  <c r="B47" i="35"/>
  <c r="AE15" i="18"/>
  <c r="B7" i="35"/>
  <c r="AE11" i="18"/>
  <c r="T143" i="22"/>
  <c r="F137" i="17"/>
  <c r="P136" i="17"/>
  <c r="F22" i="32" l="1"/>
  <c r="F23" i="32"/>
  <c r="F21" i="32"/>
  <c r="F20" i="32"/>
  <c r="H15" i="29"/>
  <c r="J15" i="29" s="1"/>
  <c r="F19" i="32"/>
  <c r="B30" i="34"/>
  <c r="H17" i="29"/>
  <c r="J17" i="29" s="1"/>
  <c r="B22" i="34"/>
  <c r="H16" i="29"/>
  <c r="J16" i="29" s="1"/>
  <c r="B38" i="34"/>
  <c r="H18" i="29"/>
  <c r="J18" i="29" s="1"/>
  <c r="B46" i="34"/>
  <c r="H19" i="29"/>
  <c r="J19" i="29" s="1"/>
  <c r="AF11" i="18"/>
  <c r="B14" i="34"/>
  <c r="AF15" i="18"/>
  <c r="AF13" i="18"/>
  <c r="AF12" i="18"/>
  <c r="AF14" i="18"/>
  <c r="F138" i="17"/>
  <c r="P137" i="17"/>
  <c r="T145" i="22"/>
  <c r="T144" i="22"/>
  <c r="I27" i="35" l="1"/>
  <c r="I28" i="35" s="1"/>
  <c r="J25" i="35" s="1"/>
  <c r="I37" i="35"/>
  <c r="I38" i="35" s="1"/>
  <c r="J37" i="35" s="1"/>
  <c r="I17" i="35"/>
  <c r="I18" i="35" s="1"/>
  <c r="J17" i="35" s="1"/>
  <c r="I47" i="35"/>
  <c r="I48" i="35" s="1"/>
  <c r="J44" i="35" s="1"/>
  <c r="I7" i="35"/>
  <c r="I8" i="35" s="1"/>
  <c r="J6" i="35" s="1"/>
  <c r="D43" i="32"/>
  <c r="F43" i="32" s="1"/>
  <c r="I13" i="34"/>
  <c r="I14" i="34" s="1"/>
  <c r="J13" i="34" s="1"/>
  <c r="I37" i="34"/>
  <c r="I38" i="34" s="1"/>
  <c r="J37" i="34" s="1"/>
  <c r="D46" i="32"/>
  <c r="F46" i="32" s="1"/>
  <c r="I45" i="34"/>
  <c r="I46" i="34" s="1"/>
  <c r="I21" i="34"/>
  <c r="I22" i="34" s="1"/>
  <c r="D47" i="32"/>
  <c r="F47" i="32" s="1"/>
  <c r="D44" i="32"/>
  <c r="F44" i="32" s="1"/>
  <c r="D45" i="32"/>
  <c r="F45" i="32" s="1"/>
  <c r="I28" i="34"/>
  <c r="I29" i="34" s="1"/>
  <c r="M10" i="18"/>
  <c r="O10" i="18" s="1"/>
  <c r="M11" i="18"/>
  <c r="M12" i="18"/>
  <c r="M13" i="18"/>
  <c r="M14" i="18"/>
  <c r="M15" i="18"/>
  <c r="F139" i="17"/>
  <c r="P138" i="17"/>
  <c r="J5" i="35" l="1"/>
  <c r="J4" i="35"/>
  <c r="J27" i="35"/>
  <c r="J26" i="35"/>
  <c r="J14" i="35"/>
  <c r="J24" i="35"/>
  <c r="J7" i="35"/>
  <c r="J34" i="35"/>
  <c r="J35" i="35"/>
  <c r="J36" i="35"/>
  <c r="J47" i="35"/>
  <c r="J46" i="35"/>
  <c r="J45" i="35"/>
  <c r="J16" i="35"/>
  <c r="J15" i="35"/>
  <c r="D18" i="32"/>
  <c r="P10" i="18"/>
  <c r="B4" i="34"/>
  <c r="B15" i="35"/>
  <c r="O12" i="18"/>
  <c r="B5" i="35"/>
  <c r="O11" i="18"/>
  <c r="B35" i="35"/>
  <c r="O14" i="18"/>
  <c r="B45" i="35"/>
  <c r="O15" i="18"/>
  <c r="B25" i="35"/>
  <c r="O13" i="18"/>
  <c r="J44" i="34"/>
  <c r="J45" i="34"/>
  <c r="J20" i="34"/>
  <c r="J21" i="34"/>
  <c r="F140" i="17"/>
  <c r="P139" i="17"/>
  <c r="J36" i="34"/>
  <c r="J12" i="34"/>
  <c r="B28" i="34" l="1"/>
  <c r="D21" i="32"/>
  <c r="B36" i="34"/>
  <c r="D22" i="32"/>
  <c r="B44" i="34"/>
  <c r="D23" i="32"/>
  <c r="B12" i="34"/>
  <c r="D19" i="32"/>
  <c r="B20" i="34"/>
  <c r="D20" i="32"/>
  <c r="D4" i="34"/>
  <c r="P11" i="18"/>
  <c r="P13" i="18"/>
  <c r="P15" i="18"/>
  <c r="P14" i="18"/>
  <c r="P12" i="18"/>
  <c r="F141" i="17"/>
  <c r="P140" i="17"/>
  <c r="D27" i="32" l="1"/>
  <c r="F142" i="17"/>
  <c r="P141" i="17"/>
  <c r="F143" i="17" l="1"/>
  <c r="P142" i="17"/>
  <c r="F144" i="17" l="1"/>
  <c r="P143" i="17"/>
  <c r="F145" i="17" l="1"/>
  <c r="P145" i="17" s="1"/>
  <c r="P144" i="17"/>
  <c r="I65" i="32" l="1"/>
  <c r="D9" i="31"/>
  <c r="E9" i="31" s="1"/>
  <c r="E10" i="31" s="1"/>
  <c r="D10" i="31" s="1"/>
  <c r="D11" i="31" l="1"/>
  <c r="D12" i="31" s="1"/>
  <c r="D13" i="31" s="1"/>
  <c r="D14" i="31" s="1"/>
  <c r="D15" i="31" s="1"/>
  <c r="C10" i="31"/>
  <c r="C66" i="32" s="1"/>
  <c r="G82" i="17" l="1"/>
  <c r="Q82" i="17" s="1"/>
  <c r="V82" i="17" s="1"/>
  <c r="G78" i="17"/>
  <c r="Q78" i="17" s="1"/>
  <c r="V78" i="17" s="1"/>
  <c r="G74" i="17"/>
  <c r="Q74" i="17" s="1"/>
  <c r="V74" i="17" s="1"/>
  <c r="G85" i="17"/>
  <c r="Q85" i="17" s="1"/>
  <c r="V85" i="17" s="1"/>
  <c r="G81" i="17"/>
  <c r="Q81" i="17" s="1"/>
  <c r="V81" i="17" s="1"/>
  <c r="G77" i="17"/>
  <c r="Q77" i="17" s="1"/>
  <c r="V77" i="17" s="1"/>
  <c r="G84" i="17"/>
  <c r="Q84" i="17" s="1"/>
  <c r="V84" i="17" s="1"/>
  <c r="G80" i="17"/>
  <c r="Q80" i="17" s="1"/>
  <c r="V80" i="17" s="1"/>
  <c r="G76" i="17"/>
  <c r="Q76" i="17" s="1"/>
  <c r="V76" i="17" s="1"/>
  <c r="G83" i="17"/>
  <c r="Q83" i="17" s="1"/>
  <c r="V83" i="17" s="1"/>
  <c r="G79" i="17"/>
  <c r="Q79" i="17" s="1"/>
  <c r="V79" i="17" s="1"/>
  <c r="G75" i="17"/>
  <c r="Q75" i="17" s="1"/>
  <c r="V75" i="17" s="1"/>
  <c r="C11" i="31"/>
  <c r="C67" i="32" s="1"/>
  <c r="I66" i="32"/>
  <c r="G94" i="17" l="1"/>
  <c r="Q94" i="17" s="1"/>
  <c r="V94" i="17" s="1"/>
  <c r="G90" i="17"/>
  <c r="Q90" i="17" s="1"/>
  <c r="V90" i="17" s="1"/>
  <c r="G86" i="17"/>
  <c r="Q86" i="17" s="1"/>
  <c r="V86" i="17" s="1"/>
  <c r="G97" i="17"/>
  <c r="Q97" i="17" s="1"/>
  <c r="V97" i="17" s="1"/>
  <c r="G93" i="17"/>
  <c r="Q93" i="17" s="1"/>
  <c r="V93" i="17" s="1"/>
  <c r="G89" i="17"/>
  <c r="Q89" i="17" s="1"/>
  <c r="V89" i="17" s="1"/>
  <c r="G96" i="17"/>
  <c r="Q96" i="17" s="1"/>
  <c r="V96" i="17" s="1"/>
  <c r="G92" i="17"/>
  <c r="Q92" i="17" s="1"/>
  <c r="V92" i="17" s="1"/>
  <c r="G88" i="17"/>
  <c r="Q88" i="17" s="1"/>
  <c r="V88" i="17" s="1"/>
  <c r="G95" i="17"/>
  <c r="Q95" i="17" s="1"/>
  <c r="V95" i="17" s="1"/>
  <c r="G91" i="17"/>
  <c r="Q91" i="17" s="1"/>
  <c r="V91" i="17" s="1"/>
  <c r="G87" i="17"/>
  <c r="Q87" i="17" s="1"/>
  <c r="V87" i="17" s="1"/>
  <c r="E10" i="18"/>
  <c r="G10" i="18" s="1"/>
  <c r="I67" i="32"/>
  <c r="C12" i="31"/>
  <c r="C68" i="32" s="1"/>
  <c r="B3" i="34" l="1"/>
  <c r="D3" i="34" s="1"/>
  <c r="C18" i="32"/>
  <c r="I18" i="32" s="1"/>
  <c r="G106" i="17"/>
  <c r="Q106" i="17" s="1"/>
  <c r="V106" i="17" s="1"/>
  <c r="G102" i="17"/>
  <c r="Q102" i="17" s="1"/>
  <c r="V102" i="17" s="1"/>
  <c r="G98" i="17"/>
  <c r="Q98" i="17" s="1"/>
  <c r="V98" i="17" s="1"/>
  <c r="G109" i="17"/>
  <c r="Q109" i="17" s="1"/>
  <c r="V109" i="17" s="1"/>
  <c r="G105" i="17"/>
  <c r="Q105" i="17" s="1"/>
  <c r="V105" i="17" s="1"/>
  <c r="G101" i="17"/>
  <c r="Q101" i="17" s="1"/>
  <c r="V101" i="17" s="1"/>
  <c r="G108" i="17"/>
  <c r="Q108" i="17" s="1"/>
  <c r="V108" i="17" s="1"/>
  <c r="G104" i="17"/>
  <c r="Q104" i="17" s="1"/>
  <c r="V104" i="17" s="1"/>
  <c r="G100" i="17"/>
  <c r="Q100" i="17" s="1"/>
  <c r="V100" i="17" s="1"/>
  <c r="G107" i="17"/>
  <c r="Q107" i="17" s="1"/>
  <c r="V107" i="17" s="1"/>
  <c r="G103" i="17"/>
  <c r="Q103" i="17" s="1"/>
  <c r="V103" i="17" s="1"/>
  <c r="G99" i="17"/>
  <c r="Q99" i="17" s="1"/>
  <c r="V99" i="17" s="1"/>
  <c r="E11" i="18"/>
  <c r="C13" i="31"/>
  <c r="C69" i="32" s="1"/>
  <c r="I68" i="32"/>
  <c r="C27" i="32" l="1"/>
  <c r="I27" i="32" s="1"/>
  <c r="B7" i="34"/>
  <c r="E7" i="34" s="1"/>
  <c r="K6" i="34"/>
  <c r="B4" i="35"/>
  <c r="B8" i="35" s="1"/>
  <c r="C4" i="35" s="1"/>
  <c r="D4" i="35" s="1"/>
  <c r="K4" i="35" s="1"/>
  <c r="G11" i="18"/>
  <c r="G118" i="17"/>
  <c r="Q118" i="17" s="1"/>
  <c r="V118" i="17" s="1"/>
  <c r="G114" i="17"/>
  <c r="Q114" i="17" s="1"/>
  <c r="V114" i="17" s="1"/>
  <c r="G110" i="17"/>
  <c r="Q110" i="17" s="1"/>
  <c r="V110" i="17" s="1"/>
  <c r="G121" i="17"/>
  <c r="Q121" i="17" s="1"/>
  <c r="V121" i="17" s="1"/>
  <c r="G117" i="17"/>
  <c r="Q117" i="17" s="1"/>
  <c r="V117" i="17" s="1"/>
  <c r="G113" i="17"/>
  <c r="Q113" i="17" s="1"/>
  <c r="V113" i="17" s="1"/>
  <c r="G120" i="17"/>
  <c r="Q120" i="17" s="1"/>
  <c r="V120" i="17" s="1"/>
  <c r="G116" i="17"/>
  <c r="Q116" i="17" s="1"/>
  <c r="V116" i="17" s="1"/>
  <c r="G112" i="17"/>
  <c r="Q112" i="17" s="1"/>
  <c r="V112" i="17" s="1"/>
  <c r="G119" i="17"/>
  <c r="Q119" i="17" s="1"/>
  <c r="V119" i="17" s="1"/>
  <c r="G115" i="17"/>
  <c r="Q115" i="17" s="1"/>
  <c r="V115" i="17" s="1"/>
  <c r="G111" i="17"/>
  <c r="Q111" i="17" s="1"/>
  <c r="V111" i="17" s="1"/>
  <c r="E12" i="18"/>
  <c r="C14" i="31"/>
  <c r="C70" i="32" s="1"/>
  <c r="I69" i="32"/>
  <c r="D7" i="34" l="1"/>
  <c r="B11" i="34"/>
  <c r="C19" i="32"/>
  <c r="I19" i="32" s="1"/>
  <c r="N6" i="34"/>
  <c r="M6" i="34"/>
  <c r="H11" i="18"/>
  <c r="B14" i="35"/>
  <c r="B18" i="35" s="1"/>
  <c r="C14" i="35" s="1"/>
  <c r="D14" i="35" s="1"/>
  <c r="G12" i="18"/>
  <c r="C6" i="35"/>
  <c r="D6" i="35" s="1"/>
  <c r="C7" i="35"/>
  <c r="D7" i="35" s="1"/>
  <c r="C5" i="35"/>
  <c r="D5" i="35" s="1"/>
  <c r="G130" i="17"/>
  <c r="Q130" i="17" s="1"/>
  <c r="V130" i="17" s="1"/>
  <c r="G126" i="17"/>
  <c r="Q126" i="17" s="1"/>
  <c r="V126" i="17" s="1"/>
  <c r="G122" i="17"/>
  <c r="Q122" i="17" s="1"/>
  <c r="V122" i="17" s="1"/>
  <c r="G133" i="17"/>
  <c r="Q133" i="17" s="1"/>
  <c r="V133" i="17" s="1"/>
  <c r="G129" i="17"/>
  <c r="Q129" i="17" s="1"/>
  <c r="V129" i="17" s="1"/>
  <c r="G125" i="17"/>
  <c r="Q125" i="17" s="1"/>
  <c r="V125" i="17" s="1"/>
  <c r="G132" i="17"/>
  <c r="Q132" i="17" s="1"/>
  <c r="V132" i="17" s="1"/>
  <c r="G128" i="17"/>
  <c r="Q128" i="17" s="1"/>
  <c r="V128" i="17" s="1"/>
  <c r="G124" i="17"/>
  <c r="Q124" i="17" s="1"/>
  <c r="V124" i="17" s="1"/>
  <c r="G131" i="17"/>
  <c r="Q131" i="17" s="1"/>
  <c r="V131" i="17" s="1"/>
  <c r="G127" i="17"/>
  <c r="Q127" i="17" s="1"/>
  <c r="V127" i="17" s="1"/>
  <c r="G123" i="17"/>
  <c r="Q123" i="17" s="1"/>
  <c r="V123" i="17" s="1"/>
  <c r="E13" i="18"/>
  <c r="C15" i="31"/>
  <c r="C71" i="32" s="1"/>
  <c r="I70" i="32"/>
  <c r="B19" i="34" l="1"/>
  <c r="B23" i="34" s="1"/>
  <c r="C20" i="32"/>
  <c r="I20" i="32" s="1"/>
  <c r="H12" i="18"/>
  <c r="B15" i="34"/>
  <c r="B24" i="35"/>
  <c r="B28" i="35" s="1"/>
  <c r="G13" i="18"/>
  <c r="K14" i="35"/>
  <c r="K7" i="35"/>
  <c r="K6" i="35"/>
  <c r="K5" i="35"/>
  <c r="C16" i="35"/>
  <c r="D16" i="35" s="1"/>
  <c r="C17" i="35"/>
  <c r="D17" i="35" s="1"/>
  <c r="C15" i="35"/>
  <c r="D15" i="35" s="1"/>
  <c r="E14" i="18"/>
  <c r="G14" i="18" s="1"/>
  <c r="I71" i="32"/>
  <c r="G142" i="17"/>
  <c r="Q142" i="17" s="1"/>
  <c r="V142" i="17" s="1"/>
  <c r="G138" i="17"/>
  <c r="Q138" i="17" s="1"/>
  <c r="V138" i="17" s="1"/>
  <c r="G134" i="17"/>
  <c r="Q134" i="17" s="1"/>
  <c r="V134" i="17" s="1"/>
  <c r="G145" i="17"/>
  <c r="Q145" i="17" s="1"/>
  <c r="G141" i="17"/>
  <c r="Q141" i="17" s="1"/>
  <c r="V141" i="17" s="1"/>
  <c r="G137" i="17"/>
  <c r="Q137" i="17" s="1"/>
  <c r="V137" i="17" s="1"/>
  <c r="G144" i="17"/>
  <c r="Q144" i="17" s="1"/>
  <c r="V144" i="17" s="1"/>
  <c r="G140" i="17"/>
  <c r="Q140" i="17" s="1"/>
  <c r="V140" i="17" s="1"/>
  <c r="G136" i="17"/>
  <c r="Q136" i="17" s="1"/>
  <c r="V136" i="17" s="1"/>
  <c r="G143" i="17"/>
  <c r="Q143" i="17" s="1"/>
  <c r="V143" i="17" s="1"/>
  <c r="G139" i="17"/>
  <c r="Q139" i="17" s="1"/>
  <c r="V139" i="17" s="1"/>
  <c r="G135" i="17"/>
  <c r="Q135" i="17" s="1"/>
  <c r="V135" i="17" s="1"/>
  <c r="D12" i="34"/>
  <c r="C22" i="32" l="1"/>
  <c r="I22" i="32" s="1"/>
  <c r="C21" i="32"/>
  <c r="I21" i="32" s="1"/>
  <c r="D28" i="32"/>
  <c r="E9" i="18"/>
  <c r="G9" i="18" s="1"/>
  <c r="V145" i="17"/>
  <c r="E15" i="18" s="1"/>
  <c r="H14" i="18"/>
  <c r="B35" i="34"/>
  <c r="B39" i="34" s="1"/>
  <c r="H13" i="18"/>
  <c r="B27" i="34"/>
  <c r="B31" i="34" s="1"/>
  <c r="K16" i="35"/>
  <c r="K8" i="35"/>
  <c r="B34" i="35"/>
  <c r="C26" i="35"/>
  <c r="D26" i="35" s="1"/>
  <c r="C27" i="35"/>
  <c r="D27" i="35" s="1"/>
  <c r="C25" i="35"/>
  <c r="D25" i="35" s="1"/>
  <c r="K17" i="35"/>
  <c r="K15" i="35"/>
  <c r="C24" i="35"/>
  <c r="D24" i="35" s="1"/>
  <c r="E15" i="34"/>
  <c r="D15" i="34"/>
  <c r="C17" i="32" l="1"/>
  <c r="I17" i="32" s="1"/>
  <c r="H9" i="18"/>
  <c r="H10" i="18"/>
  <c r="B44" i="35"/>
  <c r="B48" i="35" s="1"/>
  <c r="C44" i="35" s="1"/>
  <c r="D44" i="35" s="1"/>
  <c r="G15" i="18"/>
  <c r="K18" i="35"/>
  <c r="B38" i="35"/>
  <c r="K24" i="35"/>
  <c r="K25" i="35"/>
  <c r="K27" i="35"/>
  <c r="K26" i="35"/>
  <c r="D11" i="34"/>
  <c r="D13" i="34"/>
  <c r="K12" i="34"/>
  <c r="M12" i="34" s="1"/>
  <c r="K13" i="34"/>
  <c r="M13" i="34" s="1"/>
  <c r="D14" i="34"/>
  <c r="D52" i="32" l="1"/>
  <c r="E28" i="32"/>
  <c r="C23" i="32"/>
  <c r="I23" i="32" s="1"/>
  <c r="C52" i="32"/>
  <c r="F28" i="32"/>
  <c r="C28" i="32"/>
  <c r="H15" i="18"/>
  <c r="B43" i="34"/>
  <c r="B47" i="34" s="1"/>
  <c r="K44" i="35"/>
  <c r="C36" i="35"/>
  <c r="D36" i="35" s="1"/>
  <c r="C37" i="35"/>
  <c r="D37" i="35" s="1"/>
  <c r="C35" i="35"/>
  <c r="D35" i="35" s="1"/>
  <c r="C34" i="35"/>
  <c r="D34" i="35" s="1"/>
  <c r="K28" i="35"/>
  <c r="C46" i="35"/>
  <c r="D46" i="35" s="1"/>
  <c r="C47" i="35"/>
  <c r="D47" i="35" s="1"/>
  <c r="C45" i="35"/>
  <c r="D45" i="35" s="1"/>
  <c r="K14" i="34"/>
  <c r="I28" i="32" l="1"/>
  <c r="K46" i="35"/>
  <c r="K36" i="35"/>
  <c r="K35" i="35"/>
  <c r="K47" i="35"/>
  <c r="K37" i="35"/>
  <c r="K34" i="35"/>
  <c r="K45" i="35"/>
  <c r="M14" i="34"/>
  <c r="N14" i="34"/>
  <c r="K48" i="35" l="1"/>
  <c r="K38" i="35"/>
  <c r="D23" i="34"/>
  <c r="E23" i="34"/>
  <c r="D19" i="34" l="1"/>
  <c r="D20" i="34"/>
  <c r="D21" i="34"/>
  <c r="K20" i="34"/>
  <c r="M20" i="34" s="1"/>
  <c r="K21" i="34"/>
  <c r="M21" i="34" s="1"/>
  <c r="D22" i="34"/>
  <c r="D29" i="32" l="1"/>
  <c r="E29" i="32"/>
  <c r="F29" i="32"/>
  <c r="D53" i="32"/>
  <c r="C29" i="32"/>
  <c r="C53" i="32"/>
  <c r="K22" i="34"/>
  <c r="F53" i="32" l="1"/>
  <c r="I29" i="32"/>
  <c r="F51" i="32"/>
  <c r="F52" i="32"/>
  <c r="M22" i="34"/>
  <c r="N22" i="34"/>
  <c r="D31" i="34" l="1"/>
  <c r="E31" i="34"/>
  <c r="K28" i="34" l="1"/>
  <c r="M28" i="34" s="1"/>
  <c r="D30" i="34"/>
  <c r="D28" i="34"/>
  <c r="D27" i="34"/>
  <c r="D29" i="34"/>
  <c r="K27" i="34"/>
  <c r="D30" i="32" l="1"/>
  <c r="F30" i="32"/>
  <c r="C30" i="32"/>
  <c r="E30" i="32"/>
  <c r="D54" i="32"/>
  <c r="M27" i="34"/>
  <c r="K29" i="34"/>
  <c r="I30" i="32" l="1"/>
  <c r="C54" i="32"/>
  <c r="F54" i="32" s="1"/>
  <c r="E39" i="34"/>
  <c r="K36" i="34"/>
  <c r="M36" i="34" s="1"/>
  <c r="D37" i="34"/>
  <c r="D39" i="34"/>
  <c r="E31" i="32" l="1"/>
  <c r="C55" i="32"/>
  <c r="D36" i="34"/>
  <c r="K37" i="34"/>
  <c r="M37" i="34" s="1"/>
  <c r="D38" i="34"/>
  <c r="D35" i="34"/>
  <c r="C31" i="32" l="1"/>
  <c r="D55" i="32"/>
  <c r="F55" i="32" s="1"/>
  <c r="F31" i="32"/>
  <c r="D31" i="32"/>
  <c r="K38" i="34"/>
  <c r="I31" i="32" l="1"/>
  <c r="M38" i="34"/>
  <c r="N38" i="34"/>
  <c r="D43" i="34" l="1"/>
  <c r="D47" i="34"/>
  <c r="E47" i="34"/>
  <c r="C32" i="32" l="1"/>
  <c r="K45" i="34"/>
  <c r="M45" i="34" s="1"/>
  <c r="D46" i="34"/>
  <c r="D45" i="34"/>
  <c r="K44" i="34"/>
  <c r="M44" i="34" s="1"/>
  <c r="D44" i="34"/>
  <c r="D32" i="32" l="1"/>
  <c r="F32" i="32"/>
  <c r="D56" i="32"/>
  <c r="C56" i="32"/>
  <c r="E32" i="32"/>
  <c r="K46" i="34"/>
  <c r="M46" i="34" s="1"/>
  <c r="F56" i="32" l="1"/>
  <c r="I32" i="32"/>
  <c r="N46" i="34"/>
  <c r="N29" i="34" l="1"/>
  <c r="J28" i="34"/>
  <c r="J27" i="34"/>
  <c r="M29" i="34"/>
</calcChain>
</file>

<file path=xl/comments1.xml><?xml version="1.0" encoding="utf-8"?>
<comments xmlns="http://schemas.openxmlformats.org/spreadsheetml/2006/main">
  <authors>
    <author>tbrackenbury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tbrackenbury:</t>
        </r>
        <r>
          <rPr>
            <sz val="9"/>
            <color indexed="81"/>
            <rFont val="Tahoma"/>
            <family val="2"/>
          </rPr>
          <t xml:space="preserve">
Transposed Row 11 from "Annual CDM" and pasted in Column F</t>
        </r>
      </text>
    </comment>
    <comment ref="N4" authorId="0">
      <text>
        <r>
          <rPr>
            <b/>
            <sz val="9"/>
            <color indexed="81"/>
            <rFont val="Tahoma"/>
            <family val="2"/>
          </rPr>
          <t>tbrackenbury:</t>
        </r>
        <r>
          <rPr>
            <sz val="9"/>
            <color indexed="81"/>
            <rFont val="Tahoma"/>
            <family val="2"/>
          </rPr>
          <t xml:space="preserve">
Transposed Row 21 of "Annual CDM" and pasted in Column N</t>
        </r>
      </text>
    </comment>
    <comment ref="V4" authorId="0">
      <text>
        <r>
          <rPr>
            <b/>
            <sz val="9"/>
            <color indexed="81"/>
            <rFont val="Tahoma"/>
            <family val="2"/>
          </rPr>
          <t>tbrackenbury:</t>
        </r>
        <r>
          <rPr>
            <sz val="9"/>
            <color indexed="81"/>
            <rFont val="Tahoma"/>
            <family val="2"/>
          </rPr>
          <t xml:space="preserve">
Transposed Row 31 of "Annual CDM" and Pasted in Column V</t>
        </r>
      </text>
    </comment>
    <comment ref="AD4" authorId="0">
      <text>
        <r>
          <rPr>
            <b/>
            <sz val="9"/>
            <color indexed="81"/>
            <rFont val="Tahoma"/>
            <family val="2"/>
          </rPr>
          <t>tbrackenbury:</t>
        </r>
        <r>
          <rPr>
            <sz val="9"/>
            <color indexed="81"/>
            <rFont val="Tahoma"/>
            <family val="2"/>
          </rPr>
          <t xml:space="preserve">
Transposed Row 41 of "Annual CDM" and pasted in Column AD</t>
        </r>
      </text>
    </comment>
  </commentList>
</comments>
</file>

<file path=xl/comments2.xml><?xml version="1.0" encoding="utf-8"?>
<comments xmlns="http://schemas.openxmlformats.org/spreadsheetml/2006/main">
  <authors>
    <author>tbrackenbury</author>
  </authors>
  <commentList>
    <comment ref="M13" authorId="0">
      <text>
        <r>
          <rPr>
            <b/>
            <sz val="9"/>
            <color indexed="81"/>
            <rFont val="Tahoma"/>
            <family val="2"/>
          </rPr>
          <t>tbrackenbury:</t>
        </r>
        <r>
          <rPr>
            <sz val="9"/>
            <color indexed="81"/>
            <rFont val="Tahoma"/>
            <family val="2"/>
          </rPr>
          <t xml:space="preserve">
Streetlight kWh derived from Streetlight kW forecast based on hours of operation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tbrackenbury:</t>
        </r>
        <r>
          <rPr>
            <sz val="9"/>
            <color indexed="81"/>
            <rFont val="Tahoma"/>
            <family val="2"/>
          </rPr>
          <t xml:space="preserve">
Streetlight kW forecast supplied by Utilities Kingston</t>
        </r>
      </text>
    </comment>
  </commentList>
</comments>
</file>

<file path=xl/sharedStrings.xml><?xml version="1.0" encoding="utf-8"?>
<sst xmlns="http://schemas.openxmlformats.org/spreadsheetml/2006/main" count="811" uniqueCount="216">
  <si>
    <t>Date</t>
  </si>
  <si>
    <t>WholesalekWh</t>
  </si>
  <si>
    <t>ReskWh</t>
  </si>
  <si>
    <t>GSlt50kWh</t>
  </si>
  <si>
    <t>GSgt50NONkWh</t>
  </si>
  <si>
    <t>GSgt50IntkWh</t>
  </si>
  <si>
    <t>LUkWh</t>
  </si>
  <si>
    <t>StreetkWh</t>
  </si>
  <si>
    <t>USLkWh</t>
  </si>
  <si>
    <t>HDD</t>
  </si>
  <si>
    <t>CDD</t>
  </si>
  <si>
    <t>PeakDays</t>
  </si>
  <si>
    <t>MonthDays</t>
  </si>
  <si>
    <t>const</t>
  </si>
  <si>
    <t>p-value</t>
  </si>
  <si>
    <t>R-squared</t>
  </si>
  <si>
    <t>Adjusted R-squared</t>
  </si>
  <si>
    <t>P-value(F)</t>
  </si>
  <si>
    <t>Durbin-Watson</t>
  </si>
  <si>
    <t>Weather Normal</t>
  </si>
  <si>
    <t>Weather Actual</t>
  </si>
  <si>
    <t>GS&lt;50 Cust</t>
  </si>
  <si>
    <t>Res Cust</t>
  </si>
  <si>
    <t>LU Cust</t>
  </si>
  <si>
    <t>Street Cust</t>
  </si>
  <si>
    <t>USL Cust</t>
  </si>
  <si>
    <t>GSgt50kWh</t>
  </si>
  <si>
    <t>GS&gt;50 kWh</t>
  </si>
  <si>
    <t>GS&lt;50 kWh</t>
  </si>
  <si>
    <t>LU kWh</t>
  </si>
  <si>
    <t>DFEB</t>
  </si>
  <si>
    <t>DAPR</t>
  </si>
  <si>
    <t>DDEC</t>
  </si>
  <si>
    <t>Year</t>
  </si>
  <si>
    <t>Res kWh</t>
  </si>
  <si>
    <t>Actual</t>
  </si>
  <si>
    <t>Street_kW</t>
  </si>
  <si>
    <t>Error (%)</t>
  </si>
  <si>
    <t>Absolute</t>
  </si>
  <si>
    <t>GS&gt;50NONCust</t>
  </si>
  <si>
    <t>GS&gt;50IntCust</t>
  </si>
  <si>
    <t>Kingston HDD</t>
  </si>
  <si>
    <t>Kingston CDD</t>
  </si>
  <si>
    <t>Shoulder</t>
  </si>
  <si>
    <t>std. error</t>
  </si>
  <si>
    <t>coefficient</t>
  </si>
  <si>
    <t>t-ratio</t>
  </si>
  <si>
    <t>Mean dependent var</t>
  </si>
  <si>
    <t>S.D. dependent var</t>
  </si>
  <si>
    <t>Sum squared resid</t>
  </si>
  <si>
    <t>S.E. of regression</t>
  </si>
  <si>
    <t>Log-likelihood</t>
  </si>
  <si>
    <t>Akaike criterion</t>
  </si>
  <si>
    <t>Schwarz criterion</t>
  </si>
  <si>
    <t>Hannan-Quinn</t>
  </si>
  <si>
    <t>rho</t>
  </si>
  <si>
    <t>Predicted Value</t>
  </si>
  <si>
    <t>Absolute Error %</t>
  </si>
  <si>
    <t>Normalized Value</t>
  </si>
  <si>
    <t>Normalized</t>
  </si>
  <si>
    <t>Predicted</t>
  </si>
  <si>
    <t>Jan</t>
  </si>
  <si>
    <t>Feb</t>
  </si>
  <si>
    <t>Mar</t>
  </si>
  <si>
    <t>Apr</t>
  </si>
  <si>
    <t>May</t>
  </si>
  <si>
    <t>June</t>
  </si>
  <si>
    <t>July</t>
  </si>
  <si>
    <t>Sept</t>
  </si>
  <si>
    <t>Oct</t>
  </si>
  <si>
    <t>Nov</t>
  </si>
  <si>
    <t>Dec</t>
  </si>
  <si>
    <t>10-year</t>
  </si>
  <si>
    <t>20-year</t>
  </si>
  <si>
    <t>August</t>
  </si>
  <si>
    <t>Annual Change</t>
  </si>
  <si>
    <t>Trend</t>
  </si>
  <si>
    <t>GS&gt;50</t>
  </si>
  <si>
    <t>kWh Actual</t>
  </si>
  <si>
    <t>A</t>
  </si>
  <si>
    <t>C = B / A</t>
  </si>
  <si>
    <t>B</t>
  </si>
  <si>
    <t>Ratio</t>
  </si>
  <si>
    <t>kW Actual</t>
  </si>
  <si>
    <t>kWh Normalized</t>
  </si>
  <si>
    <t>D</t>
  </si>
  <si>
    <t>E</t>
  </si>
  <si>
    <t>F = D * E</t>
  </si>
  <si>
    <t>Large Use</t>
  </si>
  <si>
    <t>Street Light</t>
  </si>
  <si>
    <t>BMO</t>
  </si>
  <si>
    <t>Scotia</t>
  </si>
  <si>
    <t>TD</t>
  </si>
  <si>
    <t>RBC</t>
  </si>
  <si>
    <t>Average</t>
  </si>
  <si>
    <t>USL</t>
  </si>
  <si>
    <t>Residential</t>
  </si>
  <si>
    <t>GS &lt; 50</t>
  </si>
  <si>
    <t>GS &gt; 50</t>
  </si>
  <si>
    <t>GSgt50Cust</t>
  </si>
  <si>
    <t>Mean Absolute Percentage Error (Monthly)</t>
  </si>
  <si>
    <t>Mean Absolute Percentage Error (Annual)</t>
  </si>
  <si>
    <t>Customers</t>
  </si>
  <si>
    <t>Lamps / Devices</t>
  </si>
  <si>
    <t>Connections</t>
  </si>
  <si>
    <t>Total</t>
  </si>
  <si>
    <t>kWh</t>
  </si>
  <si>
    <t>CDM Load Forecast Adjustment</t>
  </si>
  <si>
    <t>C = A / B</t>
  </si>
  <si>
    <t>E = D * C</t>
  </si>
  <si>
    <t>Retail kWh</t>
  </si>
  <si>
    <t>kW</t>
  </si>
  <si>
    <t>G</t>
  </si>
  <si>
    <t>I = G / H</t>
  </si>
  <si>
    <t>J = G / A * E</t>
  </si>
  <si>
    <t>K = G - J</t>
  </si>
  <si>
    <t>H</t>
  </si>
  <si>
    <t>2014 Actual</t>
  </si>
  <si>
    <t>2015 Forecast</t>
  </si>
  <si>
    <t>2013 Actual</t>
  </si>
  <si>
    <t>2014 Normalized</t>
  </si>
  <si>
    <t>2016 Forecast</t>
  </si>
  <si>
    <t>2017 Forecast</t>
  </si>
  <si>
    <t>2018 Forecast</t>
  </si>
  <si>
    <t>2019 Forecast</t>
  </si>
  <si>
    <t>2020 Forecast</t>
  </si>
  <si>
    <t>CDM Adjusted</t>
  </si>
  <si>
    <t>Normal Forecast</t>
  </si>
  <si>
    <t>Customer Connections</t>
  </si>
  <si>
    <t>Hartington IHD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</si>
  <si>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</si>
  <si>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</si>
  <si>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</si>
  <si>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</si>
  <si>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</si>
  <si>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</si>
  <si>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</si>
  <si>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</si>
  <si>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10 Year Average</t>
  </si>
  <si>
    <t>20 Year Trend (2016)</t>
  </si>
  <si>
    <t>Spring</t>
  </si>
  <si>
    <t>Fall</t>
  </si>
  <si>
    <t>OntFTE</t>
  </si>
  <si>
    <t>Theil's U</t>
  </si>
  <si>
    <t>Reclassification</t>
  </si>
  <si>
    <t>DJAN</t>
  </si>
  <si>
    <t>DMAR</t>
  </si>
  <si>
    <t>KingstonFTE</t>
  </si>
  <si>
    <t>F(10, 61)</t>
  </si>
  <si>
    <t>F(9, 62)</t>
  </si>
  <si>
    <t>2016 CDM Adjusted Load Forecast</t>
  </si>
  <si>
    <t>2017 CDM Adjusted Load Forecast</t>
  </si>
  <si>
    <t>Weather Normalized 2016 Forecast  - Classes with CDM programs anticipated</t>
  </si>
  <si>
    <t>Weather Normalized 2017 Forecast  - Classes with CDM programs anticipated</t>
  </si>
  <si>
    <t>Weather Normalized 2020 Forecast  - Classes with CDM programs anticipated</t>
  </si>
  <si>
    <t>2020 CDM Adjusted Load Forecast</t>
  </si>
  <si>
    <t>Weather Normalized 2019 Forecast  - Classes with CDM programs anticipated</t>
  </si>
  <si>
    <t>2019 CDM Adjusted Load Forecast</t>
  </si>
  <si>
    <t>Weather Normalized 2018 Forecast  - Classes with CDM programs anticipated</t>
  </si>
  <si>
    <t>2018 CDM Adjusted Load Forecast</t>
  </si>
  <si>
    <t>PostSecondarySummer</t>
  </si>
  <si>
    <t>Employment Forecast - Ontario</t>
  </si>
  <si>
    <t>(figures in annual percentage change)</t>
  </si>
  <si>
    <t>LRAMVA (kWh)</t>
  </si>
  <si>
    <t>LRAMVA (kW)</t>
  </si>
  <si>
    <t>ResCDM</t>
  </si>
  <si>
    <t>GSlt50CDM</t>
  </si>
  <si>
    <t>GSgt50CDM</t>
  </si>
  <si>
    <t>LUCDM</t>
  </si>
  <si>
    <t>ResnoCDM</t>
  </si>
  <si>
    <t>GSlt50noCDM</t>
  </si>
  <si>
    <t>GSgt50noCDM</t>
  </si>
  <si>
    <t>LUnoCDM</t>
  </si>
  <si>
    <t>Dependent variable: ResnoCDM</t>
  </si>
  <si>
    <t>Persisting 2009-2014 CDM</t>
  </si>
  <si>
    <t>Dependent variable: GSlt50noCDM</t>
  </si>
  <si>
    <t>F(7, 64)</t>
  </si>
  <si>
    <t>Dependent variable: GSgt50noCDM</t>
  </si>
  <si>
    <t>Dependent variable: LUnoCDM</t>
  </si>
  <si>
    <t>RESIDENTIAL</t>
  </si>
  <si>
    <t>2009 program year savings</t>
  </si>
  <si>
    <t>2010 program year savings</t>
  </si>
  <si>
    <t>2011 program year savings</t>
  </si>
  <si>
    <t>2012 program year savings</t>
  </si>
  <si>
    <t>2013 program year savings</t>
  </si>
  <si>
    <t>2014 program year savings</t>
  </si>
  <si>
    <t>2015-2020 Projected persisting savings</t>
  </si>
  <si>
    <t>Total CDM Load Forecast Impact</t>
  </si>
  <si>
    <t>GS&lt;50kW</t>
  </si>
  <si>
    <t>GS&gt;50kW</t>
  </si>
  <si>
    <t>Large User</t>
  </si>
  <si>
    <t>Streetlighting</t>
  </si>
  <si>
    <t>TOTAL LOAD FORECAST CDM ANNUAL CDM kWh IMPACTS</t>
  </si>
  <si>
    <t>Weather Normalized 2015 Forecast  - Classes with CDM programs anticipated</t>
  </si>
  <si>
    <t>2015 CDM Adjusted Load Forecast</t>
  </si>
  <si>
    <t>2009 Actual</t>
  </si>
  <si>
    <t>2010 Actual</t>
  </si>
  <si>
    <t>2011 Actual</t>
  </si>
  <si>
    <t>2012 Actual</t>
  </si>
  <si>
    <t>Normalized_noCDM</t>
  </si>
  <si>
    <t>Historic CDM Adj Forecast</t>
  </si>
  <si>
    <t>2013 Normalized</t>
  </si>
  <si>
    <t>2009 Normalized</t>
  </si>
  <si>
    <t>2010 Normalized</t>
  </si>
  <si>
    <t>2011 Normalized</t>
  </si>
  <si>
    <t>2012 Normalized</t>
  </si>
  <si>
    <t>Model 7: OLS, using observations 2009:01-2014:12 (T = 72)</t>
  </si>
  <si>
    <t>ResCust</t>
  </si>
  <si>
    <t>F(8, 63)</t>
  </si>
  <si>
    <t>GS50Cust</t>
  </si>
  <si>
    <t>Model 17: OLS, using observations 2009:01-2014:12 (T = 72)</t>
  </si>
  <si>
    <t>Model 23: OLS, using observations 2009:01-2014:12 (T = 72)</t>
  </si>
  <si>
    <t>Model 27: OLS, using observations 2009:01-2014:12 (T = 72)</t>
  </si>
  <si>
    <t>F</t>
  </si>
  <si>
    <t>kW Forecast</t>
  </si>
  <si>
    <t>2016 - 2020 Load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</si>
</sst>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8">
    <numFmt numFmtId="5" formatCode="&quot;$&quot;#,##0_);\(&quot;$&quot;#,##0\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.00;[Red]\-&quot;$&quot;#,##0.00"/>
    <numFmt numFmtId="167" formatCode="_-&quot;$&quot;* #,##0_-;\-&quot;$&quot;* #,##0_-;_-&quot;$&quot;* &quot;-&quot;_-;_-@_-"/>
    <numFmt numFmtId="168" formatCode="_-* #,##0_-;\-* #,##0_-;_-* &quot;-&quot;_-;_-@_-"/>
    <numFmt numFmtId="169" formatCode="_-&quot;$&quot;* #,##0.00_-;\-&quot;$&quot;* #,##0.00_-;_-&quot;$&quot;* &quot;-&quot;??_-;_-@_-"/>
    <numFmt numFmtId="170" formatCode="_-* #,##0.00_-;\-* #,##0.00_-;_-* &quot;-&quot;??_-;_-@_-"/>
    <numFmt numFmtId="171" formatCode="_(* #,##0_);_(* \(#,##0\);_(* &quot;-&quot;??_);_(@_)"/>
    <numFmt numFmtId="172" formatCode="0.0%"/>
    <numFmt numFmtId="173" formatCode="mmm\ yy"/>
    <numFmt numFmtId="174" formatCode="_-* #,##0_-;\-* #,##0_-;_-* &quot;-&quot;??_-;_-@_-"/>
    <numFmt numFmtId="175" formatCode="_(* #,##0.0_);_(* \(#,##0.0\);_(* &quot;-&quot;??_);_(@_)"/>
    <numFmt numFmtId="176" formatCode="#,##0.0"/>
    <numFmt numFmtId="177" formatCode="mm/dd/yyyy"/>
    <numFmt numFmtId="178" formatCode="0\-0"/>
    <numFmt numFmtId="179" formatCode="##\-#"/>
    <numFmt numFmtId="180" formatCode="&quot;£ &quot;#,##0.00;[Red]\-&quot;£ &quot;#,##0.00"/>
    <numFmt numFmtId="181" formatCode="#,##0.000000"/>
    <numFmt numFmtId="182" formatCode="0.0000"/>
    <numFmt numFmtId="183" formatCode="#,##0.0_);\(#,##0.0\)"/>
    <numFmt numFmtId="184" formatCode="&quot;$&quot;_(#,##0.00_);&quot;$&quot;\(#,##0.00\)"/>
    <numFmt numFmtId="185" formatCode="_(&quot;$&quot;* #,##0.00000000000000000_);_(&quot;$&quot;* \(#,##0.00000000000000000\);_(&quot;$&quot;* &quot;-&quot;??_);_(@_)"/>
    <numFmt numFmtId="186" formatCode="_-&quot;£&quot;* #,##0.00_-;\-&quot;£&quot;* #,##0.00_-;_-&quot;£&quot;* &quot;-&quot;??_-;_-@_-"/>
    <numFmt numFmtId="187" formatCode="#,##0.0_)\x;\(#,##0.0\)\x"/>
    <numFmt numFmtId="188" formatCode="_(&quot;$&quot;* #,##0.00000000_);_(&quot;$&quot;* \(#,##0.00000000\);_(&quot;$&quot;* &quot;-&quot;??_);_(@_)"/>
    <numFmt numFmtId="189" formatCode="_(&quot;$&quot;* #,##0.00000000000_);_(&quot;$&quot;* \(#,##0.00000000000\);_(&quot;$&quot;* &quot;-&quot;??_);_(@_)"/>
    <numFmt numFmtId="190" formatCode="_(&quot;$&quot;* #,##0.000000000000_);_(&quot;$&quot;* \(#,##0.000000000000\);_(&quot;$&quot;* &quot;-&quot;??_);_(@_)"/>
    <numFmt numFmtId="191" formatCode="_-&quot;£&quot;* #,##0_-;\-&quot;£&quot;* #,##0_-;_-&quot;£&quot;* &quot;-&quot;_-;_-@_-"/>
    <numFmt numFmtId="192" formatCode="#,##0.0_)_x;\(#,##0.0\)_x"/>
    <numFmt numFmtId="193" formatCode="_(* #,##0.0_);_(* \(#,##0.0\);_(* &quot;-&quot;?_);_(@_)"/>
    <numFmt numFmtId="194" formatCode="#,##0.0_)_x;\(#,##0.0\)_x;0.0_)_x;@_)_x"/>
    <numFmt numFmtId="195" formatCode="_(&quot;$&quot;* #,##0.00000000000000_);_(&quot;$&quot;* \(#,##0.00000000000000\);_(&quot;$&quot;* &quot;-&quot;??_);_(@_)"/>
    <numFmt numFmtId="196" formatCode="0.0_)\%;\(0.0\)\%"/>
    <numFmt numFmtId="197" formatCode="_(&quot;$&quot;* #,##0.000000000000000_);_(&quot;$&quot;* \(#,##0.000000000000000\);_(&quot;$&quot;* &quot;-&quot;??_);_(@_)"/>
    <numFmt numFmtId="198" formatCode="#,##0.0_)_%;\(#,##0.0\)_%"/>
    <numFmt numFmtId="199" formatCode="_(* #,##0.000_);_(* \(#,##0.000\);_(* &quot;-&quot;??_);_(@_)"/>
    <numFmt numFmtId="200" formatCode="#,##0.0_);\(#,##0.0\);0_._0_)"/>
    <numFmt numFmtId="201" formatCode="\¥\ #,##0_);[Red]\(\¥\ #,##0\)"/>
    <numFmt numFmtId="202" formatCode="0.000000"/>
    <numFmt numFmtId="203" formatCode="[&gt;1]&quot;10Q: &quot;0&quot; qtrs&quot;;&quot;10Q: &quot;0&quot; qtr&quot;"/>
    <numFmt numFmtId="204" formatCode="0.0%;[Red]\(0.0%\)"/>
    <numFmt numFmtId="205" formatCode="#,##0.0\ \ \ _);\(#,##0.0\)\ \ "/>
    <numFmt numFmtId="206" formatCode="#,##0.00;[Red]\(#,##0.00\)"/>
    <numFmt numFmtId="207" formatCode="_-* #,##0.00\ _F_-;\-* #,##0.00\ _F_-;_-* &quot;-&quot;??\ _F_-;_-@_-"/>
    <numFmt numFmtId="208" formatCode="m\-d\-yy"/>
    <numFmt numFmtId="209" formatCode="&quot;£&quot;#,##0.00_);[Red]\(&quot;£&quot;#,##0.00\)"/>
    <numFmt numFmtId="210" formatCode="0.0_)"/>
    <numFmt numFmtId="211" formatCode="m/yy"/>
    <numFmt numFmtId="212" formatCode="#,###.0#"/>
    <numFmt numFmtId="213" formatCode="#,###.#"/>
    <numFmt numFmtId="214" formatCode="&quot;$&quot;#,##0.00"/>
    <numFmt numFmtId="215" formatCode="0000\ \-\ 0000"/>
    <numFmt numFmtId="216" formatCode="[Red][&gt;0.0000001]\+#,##0.?#;[Red][&lt;-0.0000001]\-#,##0.?#;[Green]&quot;=  &quot;"/>
    <numFmt numFmtId="217" formatCode="#.#######\x"/>
    <numFmt numFmtId="218" formatCode="0.0"/>
    <numFmt numFmtId="219" formatCode="0.00000E+00"/>
    <numFmt numFmtId="220" formatCode="_(* #,##0.0_);_(* \(#,##0.0\);_(* &quot;-&quot;_);_(@_)"/>
    <numFmt numFmtId="221" formatCode="_-* #,##0.00\ _D_M_-;\-* #,##0.00\ _D_M_-;_-* &quot;-&quot;??\ _D_M_-;_-@_-"/>
    <numFmt numFmtId="222" formatCode="#,##0_%_);\(#,##0\)_%;#,##0_%_);@_%_)"/>
    <numFmt numFmtId="223" formatCode="#,##0.00_%_);\(#,##0.00\)_%;**;@_%_)"/>
    <numFmt numFmtId="224" formatCode="0.000\x"/>
    <numFmt numFmtId="225" formatCode="&quot;$&quot;#,##0.00_);[Red]\(&quot;$&quot;#,##0.00\);&quot;--  &quot;;_(@_)"/>
    <numFmt numFmtId="226" formatCode="_(&quot;$&quot;* #,##0.0_);_(&quot;$&quot;* \(#,##0.0\);_(&quot;$&quot;* &quot;-&quot;_);_(@_)"/>
    <numFmt numFmtId="227" formatCode="_(&quot;$&quot;* #,##0_);_(&quot;$&quot;* \(#,##0\);_(&quot;$&quot;* &quot;-&quot;??_);_(@_)"/>
    <numFmt numFmtId="228" formatCode="&quot;$&quot;#,##0.00_%_);\(&quot;$&quot;#,##0.00\)_%;**;@_%_)"/>
    <numFmt numFmtId="229" formatCode="&quot;$&quot;#,##0.00_%_);\(&quot;$&quot;#,##0.00\)_%;&quot;$&quot;###0.00_%_);@_%_)"/>
    <numFmt numFmtId="230" formatCode="_(\§\ #,##0_)\ ;[Red]\(\§\ #,##0\)\ ;&quot; - &quot;;_(@\ _)"/>
    <numFmt numFmtId="231" formatCode="_(\§\ #,##0.00_);[Red]\(\§\ #,##0.00\);&quot; - &quot;_0_0;_(@_)"/>
    <numFmt numFmtId="232" formatCode="###0.00_)"/>
    <numFmt numFmtId="233" formatCode="m/d/yy_%_)"/>
    <numFmt numFmtId="234" formatCode="mmm\-dd\-yyyy"/>
    <numFmt numFmtId="235" formatCode="mmm\-d\-yyyy"/>
    <numFmt numFmtId="236" formatCode="mmm\-yyyy"/>
    <numFmt numFmtId="237" formatCode="m/d/yy_%_);;**"/>
    <numFmt numFmtId="238" formatCode="#,##0.0_);[Red]\(#,##0.0\)"/>
    <numFmt numFmtId="239" formatCode="_([$€-2]* #,##0.00_);_([$€-2]* \(#,##0.00\);_([$€-2]* &quot;-&quot;??_)"/>
    <numFmt numFmtId="240" formatCode="&quot;$&quot;#,##0.000_);[Red]\(&quot;$&quot;#,##0.000\)"/>
    <numFmt numFmtId="241" formatCode="0.0000000000000"/>
    <numFmt numFmtId="242" formatCode="0_)"/>
    <numFmt numFmtId="243" formatCode="[$-409]d\-mmm\-yy;@"/>
    <numFmt numFmtId="244" formatCode="#,##0.00_);[Red]\(#,##0.00\);\-\-\ \ \ "/>
    <numFmt numFmtId="245" formatCode="General_)"/>
    <numFmt numFmtId="246" formatCode="&quot;&quot;"/>
    <numFmt numFmtId="247" formatCode="#,##0.0\ ;\(#,##0.0\ \)"/>
    <numFmt numFmtId="248" formatCode="0.0%;0.0%;\-\ "/>
    <numFmt numFmtId="249" formatCode="0.0%\ ;\(0.0%\)"/>
    <numFmt numFmtId="250" formatCode="_ * #,##0.00_)\ _$_ ;_ * \(#,##0.00\)\ _$_ ;_ * &quot;-&quot;??_)\ _$_ ;_ @_ "/>
    <numFmt numFmtId="251" formatCode="#,##0.00000\ ;\(#,##0.00000\ \)"/>
    <numFmt numFmtId="252" formatCode="0.000000000000"/>
    <numFmt numFmtId="253" formatCode="_ * #,##0.00_)\ &quot;$&quot;_ ;_ * \(#,##0.00\)\ &quot;$&quot;_ ;_ * &quot;-&quot;??_)\ &quot;$&quot;_ ;_ @_ "/>
    <numFmt numFmtId="254" formatCode="#,##0.0000\ ;\(#,##0.0000\ \)"/>
    <numFmt numFmtId="255" formatCode="0.000%\ ;\(0.000%\)"/>
    <numFmt numFmtId="256" formatCode="#,##0.0\x_)_);\(#,##0.0\x\)_);#,##0.0\x_)_);@_%_)"/>
    <numFmt numFmtId="257" formatCode="_(* #,##0.00000_);_(* \(#,##0.00000\);_(* &quot;-&quot;?_);_(@_)"/>
    <numFmt numFmtId="258" formatCode="#,##0.0_);[Red]\(#,##0.0\);&quot;--  &quot;"/>
    <numFmt numFmtId="259" formatCode="0.00_)"/>
    <numFmt numFmtId="260" formatCode="#,##0.000_);[Red]\(#,##0.000\)"/>
    <numFmt numFmtId="261" formatCode="0_);\(0\)"/>
    <numFmt numFmtId="262" formatCode="[$-1009]d\-mmm\-yy;@"/>
    <numFmt numFmtId="263" formatCode="#,##0.00&quot;x&quot;_);[Red]\(#,##0.00&quot;x&quot;\)"/>
    <numFmt numFmtId="264" formatCode="#,##0_);\(#,##0\);&quot;-  &quot;"/>
    <numFmt numFmtId="265" formatCode="#,##0.0_);\(#,##0.0\);&quot;-  &quot;"/>
    <numFmt numFmtId="266" formatCode="#,##0.0_);\(#,##0.0\);\-_)"/>
    <numFmt numFmtId="267" formatCode="0.00000000"/>
    <numFmt numFmtId="268" formatCode="#,##0.0%_);[Red]\(#,##0.0%\)"/>
    <numFmt numFmtId="269" formatCode="#,##0.00%_);[Red]\(#,##0.00%\)"/>
    <numFmt numFmtId="270" formatCode="0.0%_);\(0.0%\);&quot;-  &quot;"/>
    <numFmt numFmtId="271" formatCode="#,##0.0\%_);\(#,##0.0\%\);#,##0.0\%_);@_%_)"/>
    <numFmt numFmtId="272" formatCode="mm/dd/yy"/>
    <numFmt numFmtId="273" formatCode="0.00\ ;\-0.00\ ;&quot;- &quot;"/>
    <numFmt numFmtId="274" formatCode="#,##0.0000"/>
    <numFmt numFmtId="275" formatCode="#,##0\ ;[Red]\(#,##0\);\ \-\ "/>
    <numFmt numFmtId="276" formatCode="#,##0.00_);\(#,##0.00\);#,##0.00_);@_)"/>
    <numFmt numFmtId="277" formatCode="[White]General"/>
    <numFmt numFmtId="278" formatCode="#,###.##"/>
    <numFmt numFmtId="279" formatCode="&quot;$&quot;#,##0.000000_);[Red]\(&quot;$&quot;#,##0.000000\)"/>
    <numFmt numFmtId="280" formatCode="&quot;Table &quot;0"/>
    <numFmt numFmtId="281" formatCode="_(General_)"/>
    <numFmt numFmtId="282" formatCode="0.00\ "/>
    <numFmt numFmtId="283" formatCode="_-&quot;L.&quot;\ * #,##0.00_-;\-&quot;L.&quot;\ * #,##0.00_-;_-&quot;L.&quot;\ * &quot;-&quot;??_-;_-@_-"/>
    <numFmt numFmtId="284" formatCode="0_%_);\(0\)_%;0_%_);@_%_)"/>
    <numFmt numFmtId="285" formatCode="0,000\x"/>
    <numFmt numFmtId="286" formatCode="yyyy&quot;A&quot;"/>
    <numFmt numFmtId="287" formatCode="_-* #,##0\ _D_M_-;\-* #,##0\ _D_M_-;_-* &quot;-&quot;\ _D_M_-;_-@_-"/>
    <numFmt numFmtId="288" formatCode="&quot;@ &quot;0.00"/>
    <numFmt numFmtId="289" formatCode="&quot;Yes&quot;_%_);&quot;Error&quot;_%_);&quot;No&quot;_%_);&quot;--&quot;_%_)"/>
  </numFmts>
  <fonts count="20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color indexed="12"/>
      <name val="Arial"/>
      <family val="2"/>
    </font>
    <font>
      <sz val="10"/>
      <name val="Geneva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0"/>
      <color indexed="9"/>
      <name val="Arial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0"/>
      <color indexed="20"/>
      <name val="Arial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0"/>
      <color indexed="52"/>
      <name val="Arial"/>
      <family val="2"/>
    </font>
    <font>
      <b/>
      <sz val="11"/>
      <color rgb="FFFA7D00"/>
      <name val="Arial"/>
      <family val="2"/>
    </font>
    <font>
      <b/>
      <sz val="10"/>
      <color indexed="9"/>
      <name val="Arial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b/>
      <sz val="10"/>
      <name val="Arial Unicode MS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i/>
      <sz val="10"/>
      <color indexed="23"/>
      <name val="Arial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0"/>
      <color indexed="17"/>
      <name val="Arial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sz val="14"/>
      <color indexed="8"/>
      <name val="Times New Roman"/>
      <family val="1"/>
    </font>
    <font>
      <b/>
      <sz val="18"/>
      <color indexed="24"/>
      <name val="Arial"/>
      <family val="2"/>
    </font>
    <font>
      <b/>
      <sz val="15"/>
      <color indexed="56"/>
      <name val="Arial"/>
      <family val="2"/>
    </font>
    <font>
      <sz val="18"/>
      <name val="Helvetica-Black"/>
    </font>
    <font>
      <b/>
      <sz val="13"/>
      <color indexed="56"/>
      <name val="Arial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11"/>
      <color indexed="56"/>
      <name val="Arial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9.35"/>
      <color theme="10"/>
      <name val="Calibri"/>
      <family val="2"/>
    </font>
    <font>
      <u/>
      <sz val="10"/>
      <color indexed="12"/>
      <name val="Times New Roman"/>
      <family val="1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color indexed="62"/>
      <name val="Arial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0"/>
      <color indexed="52"/>
      <name val="Arial"/>
      <family val="2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0"/>
      <color indexed="60"/>
      <name val="Arial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Arial Unicode MS"/>
      <family val="2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0"/>
      <color indexed="63"/>
      <name val="Arial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0"/>
      <color indexed="10"/>
      <name val="Arial"/>
      <family val="2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lightGray">
        <fgColor indexed="1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28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5781">
    <xf numFmtId="0" fontId="0" fillId="0" borderId="0"/>
    <xf numFmtId="43" fontId="7" fillId="0" borderId="0" applyFont="0" applyFill="0" applyBorder="0" applyAlignment="0" applyProtection="0"/>
    <xf numFmtId="0" fontId="8" fillId="0" borderId="0"/>
    <xf numFmtId="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50" borderId="0" applyNumberFormat="0" applyBorder="0" applyAlignment="0" applyProtection="0"/>
    <xf numFmtId="0" fontId="31" fillId="34" borderId="0" applyNumberFormat="0" applyBorder="0" applyAlignment="0" applyProtection="0"/>
    <xf numFmtId="0" fontId="32" fillId="51" borderId="10" applyNumberFormat="0" applyAlignment="0" applyProtection="0"/>
    <xf numFmtId="0" fontId="33" fillId="52" borderId="11" applyNumberFormat="0" applyAlignment="0" applyProtection="0"/>
    <xf numFmtId="169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5" borderId="0" applyNumberFormat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9" fillId="38" borderId="10" applyNumberFormat="0" applyAlignment="0" applyProtection="0"/>
    <xf numFmtId="0" fontId="40" fillId="0" borderId="15" applyNumberFormat="0" applyFill="0" applyAlignment="0" applyProtection="0"/>
    <xf numFmtId="0" fontId="41" fillId="53" borderId="0" applyNumberFormat="0" applyBorder="0" applyAlignment="0" applyProtection="0"/>
    <xf numFmtId="0" fontId="4" fillId="54" borderId="16" applyNumberFormat="0" applyFont="0" applyAlignment="0" applyProtection="0"/>
    <xf numFmtId="0" fontId="42" fillId="51" borderId="17" applyNumberFormat="0" applyAlignment="0" applyProtection="0"/>
    <xf numFmtId="0" fontId="43" fillId="0" borderId="0" applyNumberFormat="0" applyFill="0" applyBorder="0" applyAlignment="0" applyProtection="0"/>
    <xf numFmtId="0" fontId="44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1" fillId="0" borderId="1" applyNumberFormat="0" applyFill="0" applyAlignment="0" applyProtection="0"/>
    <xf numFmtId="0" fontId="3" fillId="0" borderId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5" fontId="4" fillId="0" borderId="0"/>
    <xf numFmtId="176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7" fontId="4" fillId="0" borderId="0"/>
    <xf numFmtId="178" fontId="4" fillId="0" borderId="0"/>
    <xf numFmtId="177" fontId="4" fillId="0" borderId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38" fontId="27" fillId="55" borderId="0" applyNumberFormat="0" applyBorder="0" applyAlignment="0" applyProtection="0"/>
    <xf numFmtId="10" fontId="27" fillId="58" borderId="19" applyNumberFormat="0" applyBorder="0" applyAlignment="0" applyProtection="0"/>
    <xf numFmtId="179" fontId="4" fillId="0" borderId="0"/>
    <xf numFmtId="171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80" fontId="4" fillId="0" borderId="0"/>
    <xf numFmtId="10" fontId="4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2" fillId="0" borderId="0"/>
    <xf numFmtId="170" fontId="4" fillId="0" borderId="0" applyFont="0" applyFill="0" applyBorder="0" applyAlignment="0" applyProtection="0"/>
    <xf numFmtId="0" fontId="2" fillId="0" borderId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164" fontId="4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" fillId="0" borderId="0"/>
    <xf numFmtId="9" fontId="48" fillId="0" borderId="0">
      <alignment horizontal="right"/>
    </xf>
    <xf numFmtId="0" fontId="4" fillId="0" borderId="0"/>
    <xf numFmtId="164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0" fontId="4" fillId="61" borderId="10" applyNumberFormat="0">
      <alignment horizontal="centerContinuous" vertical="center" wrapText="1"/>
    </xf>
    <xf numFmtId="0" fontId="4" fillId="61" borderId="10" applyNumberFormat="0">
      <alignment horizontal="centerContinuous" vertical="center" wrapText="1"/>
    </xf>
    <xf numFmtId="0" fontId="4" fillId="62" borderId="10" applyNumberFormat="0">
      <alignment horizontal="left" vertical="center"/>
    </xf>
    <xf numFmtId="0" fontId="4" fillId="62" borderId="10" applyNumberFormat="0">
      <alignment horizontal="left" vertical="center"/>
    </xf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1" fillId="0" borderId="0"/>
    <xf numFmtId="0" fontId="52" fillId="0" borderId="0" applyFont="0" applyFill="0" applyBorder="0" applyAlignment="0" applyProtection="0"/>
    <xf numFmtId="18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51" fillId="0" borderId="0"/>
    <xf numFmtId="0" fontId="4" fillId="0" borderId="0">
      <alignment vertical="top"/>
    </xf>
    <xf numFmtId="9" fontId="52" fillId="0" borderId="0">
      <alignment horizontal="right"/>
    </xf>
    <xf numFmtId="0" fontId="53" fillId="0" borderId="0" applyNumberFormat="0" applyFill="0">
      <alignment horizontal="left" vertical="center" wrapText="1"/>
    </xf>
    <xf numFmtId="187" fontId="4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Protection="0">
      <alignment horizontal="right"/>
    </xf>
    <xf numFmtId="195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96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97" fontId="7" fillId="0" borderId="0" applyFont="0" applyFill="0" applyBorder="0" applyAlignment="0" applyProtection="0"/>
    <xf numFmtId="19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0" fontId="4" fillId="0" borderId="0"/>
    <xf numFmtId="0" fontId="4" fillId="0" borderId="0"/>
    <xf numFmtId="0" fontId="54" fillId="0" borderId="0" applyFont="0" applyFill="0" applyBorder="0" applyAlignment="0" applyProtection="0"/>
    <xf numFmtId="201" fontId="5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55" fillId="0" borderId="0"/>
    <xf numFmtId="202" fontId="53" fillId="0" borderId="0" applyNumberFormat="0" applyFill="0">
      <alignment horizontal="left" vertical="center" wrapText="1"/>
    </xf>
    <xf numFmtId="0" fontId="53" fillId="63" borderId="0" applyFont="0" applyFill="0" applyProtection="0"/>
    <xf numFmtId="183" fontId="4" fillId="0" borderId="0"/>
    <xf numFmtId="203" fontId="56" fillId="0" borderId="0" applyFill="0" applyBorder="0" applyAlignment="0" applyProtection="0">
      <alignment horizontal="right"/>
    </xf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55" fillId="33" borderId="0" applyNumberFormat="0" applyBorder="0" applyAlignment="0" applyProtection="0"/>
    <xf numFmtId="0" fontId="57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7" fillId="10" borderId="0" applyNumberFormat="0" applyBorder="0" applyAlignment="0" applyProtection="0"/>
    <xf numFmtId="0" fontId="2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8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14" borderId="0" applyNumberFormat="0" applyBorder="0" applyAlignment="0" applyProtection="0"/>
    <xf numFmtId="0" fontId="55" fillId="34" borderId="0" applyNumberFormat="0" applyBorder="0" applyAlignment="0" applyProtection="0"/>
    <xf numFmtId="0" fontId="57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57" fillId="14" borderId="0" applyNumberFormat="0" applyBorder="0" applyAlignment="0" applyProtection="0"/>
    <xf numFmtId="0" fontId="2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8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35" borderId="0" applyNumberFormat="0" applyBorder="0" applyAlignment="0" applyProtection="0"/>
    <xf numFmtId="0" fontId="2" fillId="18" borderId="0" applyNumberFormat="0" applyBorder="0" applyAlignment="0" applyProtection="0"/>
    <xf numFmtId="0" fontId="55" fillId="35" borderId="0" applyNumberFormat="0" applyBorder="0" applyAlignment="0" applyProtection="0"/>
    <xf numFmtId="0" fontId="57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57" fillId="18" borderId="0" applyNumberFormat="0" applyBorder="0" applyAlignment="0" applyProtection="0"/>
    <xf numFmtId="0" fontId="2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8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9" fillId="36" borderId="0" applyNumberFormat="0" applyBorder="0" applyAlignment="0" applyProtection="0"/>
    <xf numFmtId="0" fontId="2" fillId="22" borderId="0" applyNumberFormat="0" applyBorder="0" applyAlignment="0" applyProtection="0"/>
    <xf numFmtId="0" fontId="55" fillId="36" borderId="0" applyNumberFormat="0" applyBorder="0" applyAlignment="0" applyProtection="0"/>
    <xf numFmtId="0" fontId="57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57" fillId="22" borderId="0" applyNumberFormat="0" applyBorder="0" applyAlignment="0" applyProtection="0"/>
    <xf numFmtId="0" fontId="2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8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9" fillId="37" borderId="0" applyNumberFormat="0" applyBorder="0" applyAlignment="0" applyProtection="0"/>
    <xf numFmtId="0" fontId="2" fillId="26" borderId="0" applyNumberFormat="0" applyBorder="0" applyAlignment="0" applyProtection="0"/>
    <xf numFmtId="0" fontId="55" fillId="37" borderId="0" applyNumberFormat="0" applyBorder="0" applyAlignment="0" applyProtection="0"/>
    <xf numFmtId="0" fontId="57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57" fillId="26" borderId="0" applyNumberFormat="0" applyBorder="0" applyAlignment="0" applyProtection="0"/>
    <xf numFmtId="0" fontId="2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8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9" fillId="38" borderId="0" applyNumberFormat="0" applyBorder="0" applyAlignment="0" applyProtection="0"/>
    <xf numFmtId="0" fontId="2" fillId="30" borderId="0" applyNumberFormat="0" applyBorder="0" applyAlignment="0" applyProtection="0"/>
    <xf numFmtId="0" fontId="55" fillId="38" borderId="0" applyNumberFormat="0" applyBorder="0" applyAlignment="0" applyProtection="0"/>
    <xf numFmtId="0" fontId="57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57" fillId="30" borderId="0" applyNumberFormat="0" applyBorder="0" applyAlignment="0" applyProtection="0"/>
    <xf numFmtId="0" fontId="2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8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36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29" fillId="39" borderId="0" applyNumberFormat="0" applyBorder="0" applyAlignment="0" applyProtection="0"/>
    <xf numFmtId="0" fontId="2" fillId="11" borderId="0" applyNumberFormat="0" applyBorder="0" applyAlignment="0" applyProtection="0"/>
    <xf numFmtId="0" fontId="55" fillId="39" borderId="0" applyNumberFormat="0" applyBorder="0" applyAlignment="0" applyProtection="0"/>
    <xf numFmtId="0" fontId="57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7" fillId="11" borderId="0" applyNumberFormat="0" applyBorder="0" applyAlignment="0" applyProtection="0"/>
    <xf numFmtId="0" fontId="2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8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9" fillId="40" borderId="0" applyNumberFormat="0" applyBorder="0" applyAlignment="0" applyProtection="0"/>
    <xf numFmtId="0" fontId="2" fillId="15" borderId="0" applyNumberFormat="0" applyBorder="0" applyAlignment="0" applyProtection="0"/>
    <xf numFmtId="0" fontId="55" fillId="40" borderId="0" applyNumberFormat="0" applyBorder="0" applyAlignment="0" applyProtection="0"/>
    <xf numFmtId="0" fontId="57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57" fillId="15" borderId="0" applyNumberFormat="0" applyBorder="0" applyAlignment="0" applyProtection="0"/>
    <xf numFmtId="0" fontId="2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8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9" fillId="41" borderId="0" applyNumberFormat="0" applyBorder="0" applyAlignment="0" applyProtection="0"/>
    <xf numFmtId="0" fontId="2" fillId="19" borderId="0" applyNumberFormat="0" applyBorder="0" applyAlignment="0" applyProtection="0"/>
    <xf numFmtId="0" fontId="55" fillId="41" borderId="0" applyNumberFormat="0" applyBorder="0" applyAlignment="0" applyProtection="0"/>
    <xf numFmtId="0" fontId="57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7" fillId="19" borderId="0" applyNumberFormat="0" applyBorder="0" applyAlignment="0" applyProtection="0"/>
    <xf numFmtId="0" fontId="2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8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9" fillId="36" borderId="0" applyNumberFormat="0" applyBorder="0" applyAlignment="0" applyProtection="0"/>
    <xf numFmtId="0" fontId="2" fillId="23" borderId="0" applyNumberFormat="0" applyBorder="0" applyAlignment="0" applyProtection="0"/>
    <xf numFmtId="0" fontId="55" fillId="36" borderId="0" applyNumberFormat="0" applyBorder="0" applyAlignment="0" applyProtection="0"/>
    <xf numFmtId="0" fontId="57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7" fillId="23" borderId="0" applyNumberFormat="0" applyBorder="0" applyAlignment="0" applyProtection="0"/>
    <xf numFmtId="0" fontId="2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8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9" fillId="39" borderId="0" applyNumberFormat="0" applyBorder="0" applyAlignment="0" applyProtection="0"/>
    <xf numFmtId="0" fontId="2" fillId="27" borderId="0" applyNumberFormat="0" applyBorder="0" applyAlignment="0" applyProtection="0"/>
    <xf numFmtId="0" fontId="55" fillId="39" borderId="0" applyNumberFormat="0" applyBorder="0" applyAlignment="0" applyProtection="0"/>
    <xf numFmtId="0" fontId="57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57" fillId="27" borderId="0" applyNumberFormat="0" applyBorder="0" applyAlignment="0" applyProtection="0"/>
    <xf numFmtId="0" fontId="2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8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9" fillId="42" borderId="0" applyNumberFormat="0" applyBorder="0" applyAlignment="0" applyProtection="0"/>
    <xf numFmtId="0" fontId="2" fillId="31" borderId="0" applyNumberFormat="0" applyBorder="0" applyAlignment="0" applyProtection="0"/>
    <xf numFmtId="0" fontId="55" fillId="42" borderId="0" applyNumberFormat="0" applyBorder="0" applyAlignment="0" applyProtection="0"/>
    <xf numFmtId="0" fontId="57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57" fillId="31" borderId="0" applyNumberFormat="0" applyBorder="0" applyAlignment="0" applyProtection="0"/>
    <xf numFmtId="0" fontId="2" fillId="31" borderId="0" applyNumberFormat="0" applyBorder="0" applyAlignment="0" applyProtection="0"/>
    <xf numFmtId="0" fontId="57" fillId="31" borderId="0" applyNumberFormat="0" applyBorder="0" applyAlignment="0" applyProtection="0"/>
    <xf numFmtId="0" fontId="57" fillId="31" borderId="0" applyNumberFormat="0" applyBorder="0" applyAlignment="0" applyProtection="0"/>
    <xf numFmtId="0" fontId="57" fillId="31" borderId="0" applyNumberFormat="0" applyBorder="0" applyAlignment="0" applyProtection="0"/>
    <xf numFmtId="0" fontId="57" fillId="31" borderId="0" applyNumberFormat="0" applyBorder="0" applyAlignment="0" applyProtection="0"/>
    <xf numFmtId="0" fontId="57" fillId="31" borderId="0" applyNumberFormat="0" applyBorder="0" applyAlignment="0" applyProtection="0"/>
    <xf numFmtId="0" fontId="58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0" fillId="43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59" fillId="43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25" fillId="12" borderId="0" applyNumberFormat="0" applyBorder="0" applyAlignment="0" applyProtection="0"/>
    <xf numFmtId="0" fontId="30" fillId="40" borderId="0" applyNumberFormat="0" applyBorder="0" applyAlignment="0" applyProtection="0"/>
    <xf numFmtId="0" fontId="59" fillId="40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25" fillId="16" borderId="0" applyNumberFormat="0" applyBorder="0" applyAlignment="0" applyProtection="0"/>
    <xf numFmtId="0" fontId="30" fillId="41" borderId="0" applyNumberFormat="0" applyBorder="0" applyAlignment="0" applyProtection="0"/>
    <xf numFmtId="0" fontId="59" fillId="41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25" fillId="20" borderId="0" applyNumberFormat="0" applyBorder="0" applyAlignment="0" applyProtection="0"/>
    <xf numFmtId="0" fontId="30" fillId="44" borderId="0" applyNumberFormat="0" applyBorder="0" applyAlignment="0" applyProtection="0"/>
    <xf numFmtId="0" fontId="59" fillId="4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0" fontId="25" fillId="24" borderId="0" applyNumberFormat="0" applyBorder="0" applyAlignment="0" applyProtection="0"/>
    <xf numFmtId="0" fontId="30" fillId="45" borderId="0" applyNumberFormat="0" applyBorder="0" applyAlignment="0" applyProtection="0"/>
    <xf numFmtId="0" fontId="59" fillId="45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25" fillId="28" borderId="0" applyNumberFormat="0" applyBorder="0" applyAlignment="0" applyProtection="0"/>
    <xf numFmtId="0" fontId="30" fillId="46" borderId="0" applyNumberFormat="0" applyBorder="0" applyAlignment="0" applyProtection="0"/>
    <xf numFmtId="0" fontId="59" fillId="46" borderId="0" applyNumberFormat="0" applyBorder="0" applyAlignment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25" fillId="32" borderId="0" applyNumberFormat="0" applyBorder="0" applyAlignment="0" applyProtection="0"/>
    <xf numFmtId="204" fontId="4" fillId="0" borderId="41">
      <alignment horizontal="right"/>
    </xf>
    <xf numFmtId="0" fontId="30" fillId="47" borderId="0" applyNumberFormat="0" applyBorder="0" applyAlignment="0" applyProtection="0"/>
    <xf numFmtId="0" fontId="59" fillId="47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25" fillId="9" borderId="0" applyNumberFormat="0" applyBorder="0" applyAlignment="0" applyProtection="0"/>
    <xf numFmtId="0" fontId="30" fillId="48" borderId="0" applyNumberFormat="0" applyBorder="0" applyAlignment="0" applyProtection="0"/>
    <xf numFmtId="0" fontId="59" fillId="48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25" fillId="13" borderId="0" applyNumberFormat="0" applyBorder="0" applyAlignment="0" applyProtection="0"/>
    <xf numFmtId="0" fontId="30" fillId="49" borderId="0" applyNumberFormat="0" applyBorder="0" applyAlignment="0" applyProtection="0"/>
    <xf numFmtId="0" fontId="59" fillId="49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25" fillId="17" borderId="0" applyNumberFormat="0" applyBorder="0" applyAlignment="0" applyProtection="0"/>
    <xf numFmtId="0" fontId="30" fillId="44" borderId="0" applyNumberFormat="0" applyBorder="0" applyAlignment="0" applyProtection="0"/>
    <xf numFmtId="0" fontId="59" fillId="44" borderId="0" applyNumberFormat="0" applyBorder="0" applyAlignment="0" applyProtection="0"/>
    <xf numFmtId="0" fontId="60" fillId="21" borderId="0" applyNumberFormat="0" applyBorder="0" applyAlignment="0" applyProtection="0"/>
    <xf numFmtId="0" fontId="60" fillId="21" borderId="0" applyNumberFormat="0" applyBorder="0" applyAlignment="0" applyProtection="0"/>
    <xf numFmtId="0" fontId="60" fillId="21" borderId="0" applyNumberFormat="0" applyBorder="0" applyAlignment="0" applyProtection="0"/>
    <xf numFmtId="0" fontId="60" fillId="21" borderId="0" applyNumberFormat="0" applyBorder="0" applyAlignment="0" applyProtection="0"/>
    <xf numFmtId="0" fontId="60" fillId="21" borderId="0" applyNumberFormat="0" applyBorder="0" applyAlignment="0" applyProtection="0"/>
    <xf numFmtId="0" fontId="60" fillId="21" borderId="0" applyNumberFormat="0" applyBorder="0" applyAlignment="0" applyProtection="0"/>
    <xf numFmtId="0" fontId="60" fillId="21" borderId="0" applyNumberFormat="0" applyBorder="0" applyAlignment="0" applyProtection="0"/>
    <xf numFmtId="0" fontId="25" fillId="21" borderId="0" applyNumberFormat="0" applyBorder="0" applyAlignment="0" applyProtection="0"/>
    <xf numFmtId="0" fontId="30" fillId="45" borderId="0" applyNumberFormat="0" applyBorder="0" applyAlignment="0" applyProtection="0"/>
    <xf numFmtId="0" fontId="59" fillId="4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25" fillId="25" borderId="0" applyNumberFormat="0" applyBorder="0" applyAlignment="0" applyProtection="0"/>
    <xf numFmtId="0" fontId="30" fillId="50" borderId="0" applyNumberFormat="0" applyBorder="0" applyAlignment="0" applyProtection="0"/>
    <xf numFmtId="0" fontId="59" fillId="50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60" fillId="29" borderId="0" applyNumberFormat="0" applyBorder="0" applyAlignment="0" applyProtection="0"/>
    <xf numFmtId="0" fontId="25" fillId="29" borderId="0" applyNumberFormat="0" applyBorder="0" applyAlignment="0" applyProtection="0"/>
    <xf numFmtId="167" fontId="61" fillId="0" borderId="0" applyFont="0"/>
    <xf numFmtId="167" fontId="61" fillId="0" borderId="0" applyFont="0"/>
    <xf numFmtId="167" fontId="61" fillId="0" borderId="42" applyFont="0"/>
    <xf numFmtId="167" fontId="61" fillId="0" borderId="42" applyFont="0"/>
    <xf numFmtId="168" fontId="61" fillId="0" borderId="0" applyFont="0"/>
    <xf numFmtId="168" fontId="61" fillId="0" borderId="0" applyFont="0"/>
    <xf numFmtId="205" fontId="62" fillId="0" borderId="41">
      <alignment horizontal="right"/>
    </xf>
    <xf numFmtId="205" fontId="62" fillId="0" borderId="41" applyFill="0">
      <alignment horizontal="right"/>
    </xf>
    <xf numFmtId="206" fontId="4" fillId="0" borderId="41">
      <alignment horizontal="right"/>
    </xf>
    <xf numFmtId="3" fontId="4" fillId="0" borderId="41" applyFill="0">
      <alignment horizontal="right"/>
    </xf>
    <xf numFmtId="207" fontId="62" fillId="0" borderId="41" applyFill="0">
      <alignment horizontal="right"/>
    </xf>
    <xf numFmtId="3" fontId="63" fillId="0" borderId="41" applyFill="0">
      <alignment horizontal="right"/>
    </xf>
    <xf numFmtId="208" fontId="5" fillId="64" borderId="43">
      <alignment horizontal="center" vertical="center"/>
    </xf>
    <xf numFmtId="0" fontId="4" fillId="0" borderId="0"/>
    <xf numFmtId="183" fontId="64" fillId="0" borderId="0"/>
    <xf numFmtId="0" fontId="4" fillId="0" borderId="0"/>
    <xf numFmtId="209" fontId="4" fillId="0" borderId="41">
      <alignment horizontal="right"/>
      <protection locked="0"/>
    </xf>
    <xf numFmtId="165" fontId="62" fillId="0" borderId="41" applyNumberFormat="0" applyFont="0" applyBorder="0" applyProtection="0">
      <alignment horizontal="right"/>
    </xf>
    <xf numFmtId="165" fontId="62" fillId="0" borderId="41" applyNumberFormat="0" applyFont="0" applyBorder="0" applyProtection="0">
      <alignment horizontal="right"/>
    </xf>
    <xf numFmtId="210" fontId="65" fillId="65" borderId="44"/>
    <xf numFmtId="210" fontId="65" fillId="65" borderId="44"/>
    <xf numFmtId="210" fontId="65" fillId="65" borderId="44"/>
    <xf numFmtId="0" fontId="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/>
    <xf numFmtId="0" fontId="45" fillId="0" borderId="0" applyNumberFormat="0" applyFill="0" applyBorder="0" applyAlignment="0" applyProtection="0"/>
    <xf numFmtId="0" fontId="31" fillId="34" borderId="0" applyNumberFormat="0" applyBorder="0" applyAlignment="0" applyProtection="0"/>
    <xf numFmtId="0" fontId="68" fillId="34" borderId="0" applyNumberFormat="0" applyBorder="0" applyAlignment="0" applyProtection="0"/>
    <xf numFmtId="0" fontId="69" fillId="3" borderId="0" applyNumberFormat="0" applyBorder="0" applyAlignment="0" applyProtection="0"/>
    <xf numFmtId="0" fontId="69" fillId="3" borderId="0" applyNumberFormat="0" applyBorder="0" applyAlignment="0" applyProtection="0"/>
    <xf numFmtId="0" fontId="69" fillId="3" borderId="0" applyNumberFormat="0" applyBorder="0" applyAlignment="0" applyProtection="0"/>
    <xf numFmtId="0" fontId="69" fillId="3" borderId="0" applyNumberFormat="0" applyBorder="0" applyAlignment="0" applyProtection="0"/>
    <xf numFmtId="0" fontId="69" fillId="3" borderId="0" applyNumberFormat="0" applyBorder="0" applyAlignment="0" applyProtection="0"/>
    <xf numFmtId="0" fontId="69" fillId="3" borderId="0" applyNumberFormat="0" applyBorder="0" applyAlignment="0" applyProtection="0"/>
    <xf numFmtId="0" fontId="69" fillId="3" borderId="0" applyNumberFormat="0" applyBorder="0" applyAlignment="0" applyProtection="0"/>
    <xf numFmtId="0" fontId="15" fillId="3" borderId="0" applyNumberFormat="0" applyBorder="0" applyAlignment="0" applyProtection="0"/>
    <xf numFmtId="1" fontId="70" fillId="66" borderId="34" applyNumberFormat="0" applyBorder="0" applyAlignment="0">
      <alignment horizontal="center" vertical="top" wrapText="1"/>
      <protection hidden="1"/>
    </xf>
    <xf numFmtId="0" fontId="71" fillId="58" borderId="0"/>
    <xf numFmtId="0" fontId="72" fillId="0" borderId="0" applyAlignment="0"/>
    <xf numFmtId="0" fontId="73" fillId="0" borderId="39" applyNumberFormat="0" applyFill="0" applyAlignment="0" applyProtection="0"/>
    <xf numFmtId="0" fontId="63" fillId="0" borderId="22" applyNumberFormat="0" applyFont="0" applyFill="0" applyAlignment="0" applyProtection="0"/>
    <xf numFmtId="0" fontId="74" fillId="0" borderId="45" applyNumberFormat="0" applyFont="0" applyFill="0" applyAlignment="0" applyProtection="0">
      <alignment horizontal="centerContinuous"/>
    </xf>
    <xf numFmtId="0" fontId="49" fillId="0" borderId="39" applyNumberFormat="0" applyFont="0" applyFill="0" applyAlignment="0" applyProtection="0"/>
    <xf numFmtId="0" fontId="49" fillId="0" borderId="34" applyNumberFormat="0" applyFont="0" applyFill="0" applyAlignment="0" applyProtection="0"/>
    <xf numFmtId="0" fontId="49" fillId="0" borderId="20" applyNumberFormat="0" applyFont="0" applyFill="0" applyAlignment="0" applyProtection="0"/>
    <xf numFmtId="0" fontId="49" fillId="0" borderId="46" applyNumberFormat="0" applyFont="0" applyFill="0" applyAlignment="0" applyProtection="0"/>
    <xf numFmtId="0" fontId="49" fillId="0" borderId="46" applyNumberFormat="0" applyFont="0" applyFill="0" applyAlignment="0" applyProtection="0"/>
    <xf numFmtId="211" fontId="4" fillId="0" borderId="0" applyFont="0" applyFill="0" applyBorder="0" applyAlignment="0" applyProtection="0"/>
    <xf numFmtId="0" fontId="7" fillId="0" borderId="0">
      <alignment horizontal="right"/>
    </xf>
    <xf numFmtId="0" fontId="54" fillId="0" borderId="0" applyFont="0" applyFill="0" applyBorder="0" applyAlignment="0" applyProtection="0"/>
    <xf numFmtId="212" fontId="7" fillId="0" borderId="0" applyFill="0" applyBorder="0" applyAlignment="0"/>
    <xf numFmtId="213" fontId="7" fillId="0" borderId="0" applyFill="0" applyBorder="0" applyAlignment="0"/>
    <xf numFmtId="214" fontId="7" fillId="0" borderId="0" applyFill="0" applyBorder="0" applyAlignment="0"/>
    <xf numFmtId="215" fontId="7" fillId="0" borderId="0" applyFill="0" applyBorder="0" applyAlignment="0"/>
    <xf numFmtId="214" fontId="4" fillId="0" borderId="0" applyFill="0" applyBorder="0" applyAlignment="0"/>
    <xf numFmtId="212" fontId="7" fillId="0" borderId="0" applyFill="0" applyBorder="0" applyAlignment="0"/>
    <xf numFmtId="215" fontId="4" fillId="0" borderId="0" applyFill="0" applyBorder="0" applyAlignment="0"/>
    <xf numFmtId="213" fontId="7" fillId="0" borderId="0" applyFill="0" applyBorder="0" applyAlignment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75" fillId="51" borderId="10" applyNumberFormat="0" applyAlignment="0" applyProtection="0"/>
    <xf numFmtId="0" fontId="32" fillId="51" borderId="10" applyNumberFormat="0" applyAlignment="0" applyProtection="0"/>
    <xf numFmtId="0" fontId="76" fillId="6" borderId="4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76" fillId="6" borderId="4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32" fillId="51" borderId="10" applyNumberFormat="0" applyAlignment="0" applyProtection="0"/>
    <xf numFmtId="0" fontId="76" fillId="6" borderId="4" applyNumberFormat="0" applyAlignment="0" applyProtection="0"/>
    <xf numFmtId="0" fontId="76" fillId="6" borderId="4" applyNumberFormat="0" applyAlignment="0" applyProtection="0"/>
    <xf numFmtId="0" fontId="32" fillId="51" borderId="10" applyNumberFormat="0" applyAlignment="0" applyProtection="0"/>
    <xf numFmtId="0" fontId="76" fillId="6" borderId="4" applyNumberFormat="0" applyAlignment="0" applyProtection="0"/>
    <xf numFmtId="0" fontId="76" fillId="6" borderId="4" applyNumberFormat="0" applyAlignment="0" applyProtection="0"/>
    <xf numFmtId="0" fontId="76" fillId="6" borderId="4" applyNumberFormat="0" applyAlignment="0" applyProtection="0"/>
    <xf numFmtId="0" fontId="19" fillId="6" borderId="4" applyNumberFormat="0" applyAlignment="0" applyProtection="0"/>
    <xf numFmtId="183" fontId="63" fillId="67" borderId="0" applyNumberFormat="0" applyFont="0" applyBorder="0" applyAlignment="0">
      <alignment horizontal="left"/>
    </xf>
    <xf numFmtId="0" fontId="40" fillId="0" borderId="15" applyNumberFormat="0" applyFill="0" applyAlignment="0" applyProtection="0"/>
    <xf numFmtId="216" fontId="4" fillId="0" borderId="0" applyFont="0" applyFill="0" applyBorder="0" applyProtection="0">
      <alignment horizontal="center" vertical="center"/>
    </xf>
    <xf numFmtId="0" fontId="33" fillId="52" borderId="11" applyNumberFormat="0" applyAlignment="0" applyProtection="0"/>
    <xf numFmtId="0" fontId="77" fillId="52" borderId="11" applyNumberFormat="0" applyAlignment="0" applyProtection="0"/>
    <xf numFmtId="0" fontId="78" fillId="7" borderId="7" applyNumberFormat="0" applyAlignment="0" applyProtection="0"/>
    <xf numFmtId="0" fontId="78" fillId="7" borderId="7" applyNumberFormat="0" applyAlignment="0" applyProtection="0"/>
    <xf numFmtId="0" fontId="78" fillId="7" borderId="7" applyNumberFormat="0" applyAlignment="0" applyProtection="0"/>
    <xf numFmtId="0" fontId="78" fillId="7" borderId="7" applyNumberFormat="0" applyAlignment="0" applyProtection="0"/>
    <xf numFmtId="0" fontId="78" fillId="7" borderId="7" applyNumberFormat="0" applyAlignment="0" applyProtection="0"/>
    <xf numFmtId="0" fontId="78" fillId="7" borderId="7" applyNumberFormat="0" applyAlignment="0" applyProtection="0"/>
    <xf numFmtId="0" fontId="78" fillId="7" borderId="7" applyNumberFormat="0" applyAlignment="0" applyProtection="0"/>
    <xf numFmtId="0" fontId="21" fillId="7" borderId="7" applyNumberFormat="0" applyAlignment="0" applyProtection="0"/>
    <xf numFmtId="217" fontId="4" fillId="0" borderId="0" applyNumberFormat="0" applyFont="0" applyFill="0" applyAlignment="0" applyProtection="0"/>
    <xf numFmtId="0" fontId="73" fillId="0" borderId="39" applyNumberFormat="0" applyFill="0" applyProtection="0">
      <alignment horizontal="left" vertical="center"/>
    </xf>
    <xf numFmtId="0" fontId="79" fillId="0" borderId="0">
      <alignment horizontal="center" wrapText="1"/>
      <protection hidden="1"/>
    </xf>
    <xf numFmtId="0" fontId="80" fillId="0" borderId="0">
      <alignment horizontal="right"/>
    </xf>
    <xf numFmtId="218" fontId="56" fillId="0" borderId="0" applyBorder="0">
      <alignment horizontal="right"/>
    </xf>
    <xf numFmtId="218" fontId="56" fillId="0" borderId="22" applyAlignment="0">
      <alignment horizontal="right"/>
    </xf>
    <xf numFmtId="219" fontId="7" fillId="0" borderId="0"/>
    <xf numFmtId="219" fontId="7" fillId="0" borderId="0"/>
    <xf numFmtId="219" fontId="7" fillId="0" borderId="0"/>
    <xf numFmtId="219" fontId="7" fillId="0" borderId="0"/>
    <xf numFmtId="219" fontId="7" fillId="0" borderId="0"/>
    <xf numFmtId="219" fontId="7" fillId="0" borderId="0"/>
    <xf numFmtId="219" fontId="7" fillId="0" borderId="0"/>
    <xf numFmtId="219" fontId="7" fillId="0" borderId="0"/>
    <xf numFmtId="168" fontId="81" fillId="0" borderId="0" applyFont="0" applyBorder="0">
      <alignment horizontal="right"/>
    </xf>
    <xf numFmtId="168" fontId="81" fillId="0" borderId="0" applyFont="0" applyBorder="0">
      <alignment horizontal="right"/>
    </xf>
    <xf numFmtId="212" fontId="7" fillId="0" borderId="0" applyFont="0" applyFill="0" applyBorder="0" applyAlignment="0" applyProtection="0"/>
    <xf numFmtId="220" fontId="4" fillId="0" borderId="0" applyFont="0"/>
    <xf numFmtId="0" fontId="82" fillId="0" borderId="0" applyFont="0" applyFill="0" applyBorder="0" applyProtection="0">
      <alignment horizontal="right"/>
    </xf>
    <xf numFmtId="0" fontId="82" fillId="0" borderId="0" applyFont="0" applyFill="0" applyBorder="0" applyProtection="0">
      <alignment horizontal="right"/>
    </xf>
    <xf numFmtId="182" fontId="4" fillId="0" borderId="0" applyFont="0" applyFill="0" applyBorder="0" applyAlignment="0" applyProtection="0">
      <alignment horizontal="right"/>
    </xf>
    <xf numFmtId="221" fontId="4" fillId="0" borderId="0" applyFont="0" applyFill="0" applyBorder="0" applyAlignment="0" applyProtection="0"/>
    <xf numFmtId="222" fontId="83" fillId="0" borderId="0" applyFont="0" applyFill="0" applyBorder="0" applyAlignment="0" applyProtection="0">
      <alignment horizontal="right"/>
    </xf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171" fontId="4" fillId="0" borderId="0" applyFont="0" applyFill="0" applyBorder="0" applyAlignment="0" applyProtection="0">
      <alignment horizontal="right"/>
    </xf>
    <xf numFmtId="171" fontId="4" fillId="0" borderId="0" applyFont="0" applyFill="0" applyBorder="0" applyAlignment="0" applyProtection="0">
      <alignment horizontal="right"/>
    </xf>
    <xf numFmtId="171" fontId="4" fillId="0" borderId="0" applyFont="0" applyFill="0" applyBorder="0" applyAlignment="0" applyProtection="0">
      <alignment horizontal="right"/>
    </xf>
    <xf numFmtId="171" fontId="4" fillId="0" borderId="0" applyFont="0" applyFill="0" applyBorder="0" applyAlignment="0" applyProtection="0">
      <alignment horizontal="right"/>
    </xf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5" fillId="0" borderId="0" applyFont="0" applyFill="0" applyBorder="0" applyAlignment="0" applyProtection="0"/>
    <xf numFmtId="171" fontId="4" fillId="0" borderId="0" applyFont="0" applyFill="0" applyBorder="0" applyAlignment="0" applyProtection="0">
      <alignment horizontal="right"/>
    </xf>
    <xf numFmtId="171" fontId="4" fillId="0" borderId="0" applyFont="0" applyFill="0" applyBorder="0" applyAlignment="0" applyProtection="0">
      <alignment horizontal="right"/>
    </xf>
    <xf numFmtId="171" fontId="4" fillId="0" borderId="0" applyFont="0" applyFill="0" applyBorder="0" applyAlignment="0" applyProtection="0">
      <alignment horizontal="right"/>
    </xf>
    <xf numFmtId="171" fontId="4" fillId="0" borderId="0" applyFont="0" applyFill="0" applyBorder="0" applyAlignment="0" applyProtection="0">
      <alignment horizontal="right"/>
    </xf>
    <xf numFmtId="170" fontId="79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23" fontId="8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8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8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8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8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7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58" fillId="0" borderId="0" applyFont="0" applyFill="0" applyBorder="0" applyAlignment="0" applyProtection="0"/>
    <xf numFmtId="3" fontId="90" fillId="0" borderId="0" applyFont="0" applyFill="0" applyBorder="0" applyAlignment="0" applyProtection="0"/>
    <xf numFmtId="183" fontId="91" fillId="0" borderId="0"/>
    <xf numFmtId="0" fontId="92" fillId="0" borderId="0"/>
    <xf numFmtId="0" fontId="4" fillId="54" borderId="16" applyNumberFormat="0" applyFont="0" applyAlignment="0" applyProtection="0"/>
    <xf numFmtId="0" fontId="4" fillId="54" borderId="16" applyNumberFormat="0" applyFont="0" applyAlignment="0" applyProtection="0"/>
    <xf numFmtId="0" fontId="4" fillId="54" borderId="16" applyNumberFormat="0" applyFont="0" applyAlignment="0" applyProtection="0"/>
    <xf numFmtId="0" fontId="4" fillId="54" borderId="16" applyNumberFormat="0" applyFont="0" applyAlignment="0" applyProtection="0"/>
    <xf numFmtId="0" fontId="4" fillId="54" borderId="16" applyNumberFormat="0" applyFont="0" applyAlignment="0" applyProtection="0"/>
    <xf numFmtId="0" fontId="4" fillId="54" borderId="16" applyNumberFormat="0" applyFont="0" applyAlignment="0" applyProtection="0"/>
    <xf numFmtId="0" fontId="4" fillId="54" borderId="16" applyNumberFormat="0" applyFont="0" applyAlignment="0" applyProtection="0"/>
    <xf numFmtId="0" fontId="4" fillId="54" borderId="16" applyNumberFormat="0" applyFont="0" applyAlignment="0" applyProtection="0"/>
    <xf numFmtId="0" fontId="93" fillId="68" borderId="0">
      <alignment horizontal="center" vertical="center" wrapText="1"/>
    </xf>
    <xf numFmtId="224" fontId="4" fillId="0" borderId="0" applyFill="0" applyBorder="0">
      <alignment horizontal="right"/>
      <protection locked="0"/>
    </xf>
    <xf numFmtId="225" fontId="27" fillId="0" borderId="47" applyFont="0" applyFill="0" applyBorder="0" applyAlignment="0" applyProtection="0"/>
    <xf numFmtId="213" fontId="7" fillId="0" borderId="0" applyFont="0" applyFill="0" applyBorder="0" applyAlignment="0" applyProtection="0"/>
    <xf numFmtId="226" fontId="94" fillId="0" borderId="0">
      <alignment horizontal="right"/>
    </xf>
    <xf numFmtId="166" fontId="95" fillId="0" borderId="48">
      <protection locked="0"/>
    </xf>
    <xf numFmtId="166" fontId="95" fillId="0" borderId="48">
      <protection locked="0"/>
    </xf>
    <xf numFmtId="166" fontId="95" fillId="0" borderId="48">
      <protection locked="0"/>
    </xf>
    <xf numFmtId="0" fontId="82" fillId="0" borderId="0" applyFont="0" applyFill="0" applyBorder="0" applyProtection="0">
      <alignment horizontal="right"/>
    </xf>
    <xf numFmtId="192" fontId="4" fillId="0" borderId="0" applyFont="0" applyFill="0" applyBorder="0" applyAlignment="0" applyProtection="0">
      <alignment horizontal="right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67" fillId="0" borderId="0" applyFont="0" applyFill="0" applyBorder="0" applyAlignment="0" applyProtection="0"/>
    <xf numFmtId="169" fontId="67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88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27" fontId="4" fillId="0" borderId="0" applyFont="0" applyFill="0" applyBorder="0" applyAlignment="0" applyProtection="0">
      <alignment horizontal="right"/>
    </xf>
    <xf numFmtId="227" fontId="4" fillId="0" borderId="0" applyFont="0" applyFill="0" applyBorder="0" applyAlignment="0" applyProtection="0">
      <alignment horizontal="right"/>
    </xf>
    <xf numFmtId="227" fontId="4" fillId="0" borderId="0" applyFont="0" applyFill="0" applyBorder="0" applyAlignment="0" applyProtection="0">
      <alignment horizontal="right"/>
    </xf>
    <xf numFmtId="227" fontId="4" fillId="0" borderId="0" applyFont="0" applyFill="0" applyBorder="0" applyAlignment="0" applyProtection="0">
      <alignment horizontal="right"/>
    </xf>
    <xf numFmtId="169" fontId="4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227" fontId="4" fillId="0" borderId="0" applyFont="0" applyFill="0" applyBorder="0" applyAlignment="0" applyProtection="0">
      <alignment horizontal="right"/>
    </xf>
    <xf numFmtId="227" fontId="4" fillId="0" borderId="0" applyFont="0" applyFill="0" applyBorder="0" applyAlignment="0" applyProtection="0">
      <alignment horizontal="right"/>
    </xf>
    <xf numFmtId="227" fontId="4" fillId="0" borderId="0" applyFont="0" applyFill="0" applyBorder="0" applyAlignment="0" applyProtection="0">
      <alignment horizontal="right"/>
    </xf>
    <xf numFmtId="227" fontId="4" fillId="0" borderId="0" applyFont="0" applyFill="0" applyBorder="0" applyAlignment="0" applyProtection="0">
      <alignment horizontal="right"/>
    </xf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28" fontId="9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8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229" fontId="7" fillId="0" borderId="0" applyFont="0" applyFill="0" applyBorder="0" applyProtection="0">
      <alignment horizontal="right"/>
    </xf>
    <xf numFmtId="230" fontId="62" fillId="0" borderId="0" applyFont="0" applyFill="0" applyBorder="0" applyAlignment="0" applyProtection="0">
      <alignment vertical="center"/>
    </xf>
    <xf numFmtId="231" fontId="62" fillId="0" borderId="0" applyFont="0" applyFill="0" applyBorder="0" applyAlignment="0" applyProtection="0">
      <alignment vertical="center"/>
    </xf>
    <xf numFmtId="0" fontId="79" fillId="0" borderId="0" applyFont="0" applyFill="0" applyBorder="0" applyAlignment="0">
      <protection locked="0"/>
    </xf>
    <xf numFmtId="0" fontId="54" fillId="0" borderId="0" applyFont="0" applyFill="0" applyBorder="0" applyAlignment="0" applyProtection="0"/>
    <xf numFmtId="232" fontId="97" fillId="0" borderId="49" applyNumberFormat="0" applyFill="0">
      <alignment horizontal="right"/>
    </xf>
    <xf numFmtId="232" fontId="97" fillId="0" borderId="49" applyNumberFormat="0" applyFill="0">
      <alignment horizontal="right"/>
    </xf>
    <xf numFmtId="1" fontId="98" fillId="0" borderId="0"/>
    <xf numFmtId="233" fontId="63" fillId="0" borderId="0" applyFont="0" applyFill="0" applyBorder="0" applyProtection="0">
      <alignment horizontal="right"/>
    </xf>
    <xf numFmtId="234" fontId="27" fillId="0" borderId="0" applyFont="0" applyFill="0" applyBorder="0" applyAlignment="0" applyProtection="0"/>
    <xf numFmtId="234" fontId="27" fillId="0" borderId="0" applyFont="0" applyFill="0" applyBorder="0" applyAlignment="0" applyProtection="0"/>
    <xf numFmtId="235" fontId="48" fillId="58" borderId="50" applyFont="0" applyFill="0" applyBorder="0" applyAlignment="0" applyProtection="0"/>
    <xf numFmtId="236" fontId="56" fillId="0" borderId="39" applyFont="0" applyFill="0" applyBorder="0" applyAlignment="0" applyProtection="0"/>
    <xf numFmtId="184" fontId="4" fillId="0" borderId="0" applyFont="0" applyFill="0" applyBorder="0" applyAlignment="0" applyProtection="0"/>
    <xf numFmtId="237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14" fontId="55" fillId="0" borderId="0" applyFill="0" applyBorder="0" applyAlignment="0"/>
    <xf numFmtId="0" fontId="4" fillId="0" borderId="0">
      <alignment horizontal="left" vertical="top"/>
    </xf>
    <xf numFmtId="167" fontId="99" fillId="0" borderId="0"/>
    <xf numFmtId="167" fontId="99" fillId="0" borderId="0"/>
    <xf numFmtId="0" fontId="27" fillId="0" borderId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00" fillId="0" borderId="0">
      <protection locked="0"/>
    </xf>
    <xf numFmtId="0" fontId="4" fillId="0" borderId="0"/>
    <xf numFmtId="167" fontId="7" fillId="0" borderId="0"/>
    <xf numFmtId="167" fontId="7" fillId="0" borderId="0"/>
    <xf numFmtId="218" fontId="4" fillId="0" borderId="51" applyNumberFormat="0" applyFont="0" applyFill="0" applyAlignment="0" applyProtection="0"/>
    <xf numFmtId="218" fontId="4" fillId="0" borderId="51" applyNumberFormat="0" applyFont="0" applyFill="0" applyAlignment="0" applyProtection="0"/>
    <xf numFmtId="218" fontId="4" fillId="0" borderId="51" applyNumberFormat="0" applyFont="0" applyFill="0" applyAlignment="0" applyProtection="0"/>
    <xf numFmtId="167" fontId="101" fillId="0" borderId="0" applyFill="0" applyBorder="0" applyAlignment="0" applyProtection="0"/>
    <xf numFmtId="167" fontId="101" fillId="0" borderId="0" applyFill="0" applyBorder="0" applyAlignment="0" applyProtection="0"/>
    <xf numFmtId="1" fontId="63" fillId="0" borderId="0"/>
    <xf numFmtId="238" fontId="102" fillId="0" borderId="0">
      <protection locked="0"/>
    </xf>
    <xf numFmtId="238" fontId="102" fillId="0" borderId="0">
      <protection locked="0"/>
    </xf>
    <xf numFmtId="212" fontId="7" fillId="0" borderId="0" applyFill="0" applyBorder="0" applyAlignment="0"/>
    <xf numFmtId="213" fontId="7" fillId="0" borderId="0" applyFill="0" applyBorder="0" applyAlignment="0"/>
    <xf numFmtId="212" fontId="7" fillId="0" borderId="0" applyFill="0" applyBorder="0" applyAlignment="0"/>
    <xf numFmtId="215" fontId="4" fillId="0" borderId="0" applyFill="0" applyBorder="0" applyAlignment="0"/>
    <xf numFmtId="213" fontId="7" fillId="0" borderId="0" applyFill="0" applyBorder="0" applyAlignment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239" fontId="5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40" fontId="79" fillId="69" borderId="34">
      <alignment horizontal="left"/>
    </xf>
    <xf numFmtId="1" fontId="105" fillId="70" borderId="35" applyNumberFormat="0" applyBorder="0" applyAlignment="0">
      <alignment horizontal="centerContinuous" vertical="center"/>
      <protection locked="0"/>
    </xf>
    <xf numFmtId="1" fontId="105" fillId="70" borderId="35" applyNumberFormat="0" applyBorder="0" applyAlignment="0">
      <alignment horizontal="centerContinuous" vertical="center"/>
      <protection locked="0"/>
    </xf>
    <xf numFmtId="241" fontId="4" fillId="0" borderId="0">
      <protection locked="0"/>
    </xf>
    <xf numFmtId="217" fontId="4" fillId="0" borderId="0">
      <protection locked="0"/>
    </xf>
    <xf numFmtId="2" fontId="90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Fill="0" applyBorder="0" applyProtection="0">
      <alignment horizontal="left"/>
    </xf>
    <xf numFmtId="0" fontId="35" fillId="35" borderId="0" applyNumberFormat="0" applyBorder="0" applyAlignment="0" applyProtection="0"/>
    <xf numFmtId="0" fontId="108" fillId="35" borderId="0" applyNumberFormat="0" applyBorder="0" applyAlignment="0" applyProtection="0"/>
    <xf numFmtId="0" fontId="109" fillId="2" borderId="0" applyNumberFormat="0" applyBorder="0" applyAlignment="0" applyProtection="0"/>
    <xf numFmtId="0" fontId="109" fillId="2" borderId="0" applyNumberFormat="0" applyBorder="0" applyAlignment="0" applyProtection="0"/>
    <xf numFmtId="0" fontId="109" fillId="2" borderId="0" applyNumberFormat="0" applyBorder="0" applyAlignment="0" applyProtection="0"/>
    <xf numFmtId="0" fontId="109" fillId="2" borderId="0" applyNumberFormat="0" applyBorder="0" applyAlignment="0" applyProtection="0"/>
    <xf numFmtId="0" fontId="109" fillId="2" borderId="0" applyNumberFormat="0" applyBorder="0" applyAlignment="0" applyProtection="0"/>
    <xf numFmtId="0" fontId="109" fillId="2" borderId="0" applyNumberFormat="0" applyBorder="0" applyAlignment="0" applyProtection="0"/>
    <xf numFmtId="0" fontId="109" fillId="2" borderId="0" applyNumberFormat="0" applyBorder="0" applyAlignment="0" applyProtection="0"/>
    <xf numFmtId="0" fontId="14" fillId="2" borderId="0" applyNumberFormat="0" applyBorder="0" applyAlignment="0" applyProtection="0"/>
    <xf numFmtId="0" fontId="110" fillId="0" borderId="0" applyNumberFormat="0">
      <alignment horizontal="right"/>
    </xf>
    <xf numFmtId="0" fontId="4" fillId="0" borderId="0"/>
    <xf numFmtId="0" fontId="4" fillId="0" borderId="0"/>
    <xf numFmtId="0" fontId="4" fillId="0" borderId="0"/>
    <xf numFmtId="0" fontId="4" fillId="0" borderId="0"/>
    <xf numFmtId="172" fontId="4" fillId="71" borderId="19" applyNumberFormat="0" applyFont="0" applyBorder="0" applyAlignment="0" applyProtection="0"/>
    <xf numFmtId="172" fontId="4" fillId="71" borderId="19" applyNumberFormat="0" applyFont="0" applyBorder="0" applyAlignment="0" applyProtection="0"/>
    <xf numFmtId="187" fontId="4" fillId="0" borderId="0" applyFont="0" applyFill="0" applyBorder="0" applyAlignment="0" applyProtection="0">
      <alignment horizontal="right"/>
    </xf>
    <xf numFmtId="183" fontId="111" fillId="71" borderId="0" applyNumberFormat="0" applyFont="0" applyAlignment="0"/>
    <xf numFmtId="0" fontId="112" fillId="0" borderId="0" applyProtection="0">
      <alignment horizontal="right"/>
    </xf>
    <xf numFmtId="0" fontId="28" fillId="0" borderId="52" applyNumberFormat="0" applyAlignment="0" applyProtection="0">
      <alignment horizontal="left" vertical="center"/>
    </xf>
    <xf numFmtId="0" fontId="28" fillId="0" borderId="53">
      <alignment horizontal="left" vertical="center"/>
    </xf>
    <xf numFmtId="0" fontId="28" fillId="0" borderId="53">
      <alignment horizontal="left" vertical="center"/>
    </xf>
    <xf numFmtId="49" fontId="113" fillId="0" borderId="0">
      <alignment horizontal="centerContinuous"/>
    </xf>
    <xf numFmtId="0" fontId="36" fillId="0" borderId="12" applyNumberFormat="0" applyFill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15" fillId="0" borderId="12" applyNumberFormat="0" applyFill="0" applyAlignment="0" applyProtection="0"/>
    <xf numFmtId="0" fontId="114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116" fillId="0" borderId="0" applyProtection="0">
      <alignment horizontal="left"/>
    </xf>
    <xf numFmtId="0" fontId="116" fillId="0" borderId="0" applyProtection="0">
      <alignment horizontal="left"/>
    </xf>
    <xf numFmtId="0" fontId="116" fillId="0" borderId="0" applyProtection="0">
      <alignment horizontal="left"/>
    </xf>
    <xf numFmtId="0" fontId="116" fillId="0" borderId="0" applyProtection="0">
      <alignment horizontal="left"/>
    </xf>
    <xf numFmtId="0" fontId="12" fillId="0" borderId="2" applyNumberFormat="0" applyFill="0" applyAlignment="0" applyProtection="0"/>
    <xf numFmtId="0" fontId="117" fillId="0" borderId="13" applyNumberFormat="0" applyFill="0" applyAlignment="0" applyProtection="0"/>
    <xf numFmtId="0" fontId="116" fillId="0" borderId="0" applyProtection="0">
      <alignment horizontal="left"/>
    </xf>
    <xf numFmtId="0" fontId="38" fillId="0" borderId="14" applyNumberFormat="0" applyFill="0" applyAlignment="0" applyProtection="0"/>
    <xf numFmtId="0" fontId="118" fillId="0" borderId="0" applyProtection="0">
      <alignment horizontal="left"/>
    </xf>
    <xf numFmtId="0" fontId="118" fillId="0" borderId="0" applyProtection="0">
      <alignment horizontal="left"/>
    </xf>
    <xf numFmtId="0" fontId="118" fillId="0" borderId="0" applyProtection="0">
      <alignment horizontal="left"/>
    </xf>
    <xf numFmtId="0" fontId="118" fillId="0" borderId="0" applyProtection="0">
      <alignment horizontal="left"/>
    </xf>
    <xf numFmtId="0" fontId="119" fillId="0" borderId="3" applyNumberFormat="0" applyFill="0" applyAlignment="0" applyProtection="0"/>
    <xf numFmtId="0" fontId="13" fillId="0" borderId="3" applyNumberFormat="0" applyFill="0" applyAlignment="0" applyProtection="0"/>
    <xf numFmtId="0" fontId="120" fillId="0" borderId="14" applyNumberFormat="0" applyFill="0" applyAlignment="0" applyProtection="0"/>
    <xf numFmtId="0" fontId="118" fillId="0" borderId="0" applyProtection="0">
      <alignment horizontal="left"/>
    </xf>
    <xf numFmtId="0" fontId="3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/>
    <xf numFmtId="0" fontId="67" fillId="0" borderId="0"/>
    <xf numFmtId="242" fontId="61" fillId="0" borderId="0">
      <alignment horizontal="centerContinuous"/>
    </xf>
    <xf numFmtId="0" fontId="122" fillId="0" borderId="54" applyNumberFormat="0" applyFill="0" applyBorder="0" applyAlignment="0" applyProtection="0">
      <alignment horizontal="left"/>
    </xf>
    <xf numFmtId="242" fontId="61" fillId="0" borderId="55">
      <alignment horizontal="center"/>
    </xf>
    <xf numFmtId="0" fontId="4" fillId="0" borderId="0" applyNumberFormat="0" applyFill="0" applyBorder="0" applyProtection="0">
      <alignment wrapText="1"/>
    </xf>
    <xf numFmtId="0" fontId="4" fillId="0" borderId="0" applyNumberFormat="0" applyFill="0" applyBorder="0" applyProtection="0">
      <alignment horizontal="justify" vertical="top" wrapText="1"/>
    </xf>
    <xf numFmtId="0" fontId="123" fillId="0" borderId="56">
      <alignment horizontal="left" vertical="center"/>
    </xf>
    <xf numFmtId="0" fontId="123" fillId="72" borderId="0">
      <alignment horizontal="centerContinuous" wrapText="1"/>
    </xf>
    <xf numFmtId="0" fontId="1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243" fontId="2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>
      <alignment horizontal="right"/>
    </xf>
    <xf numFmtId="10" fontId="27" fillId="58" borderId="19" applyNumberFormat="0" applyBorder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130" fillId="38" borderId="10" applyNumberFormat="0" applyAlignment="0" applyProtection="0"/>
    <xf numFmtId="0" fontId="39" fillId="38" borderId="10" applyNumberFormat="0" applyAlignment="0" applyProtection="0"/>
    <xf numFmtId="0" fontId="131" fillId="5" borderId="4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131" fillId="5" borderId="4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131" fillId="5" borderId="4" applyNumberFormat="0" applyAlignment="0" applyProtection="0"/>
    <xf numFmtId="0" fontId="131" fillId="5" borderId="4" applyNumberFormat="0" applyAlignment="0" applyProtection="0"/>
    <xf numFmtId="0" fontId="39" fillId="38" borderId="10" applyNumberFormat="0" applyAlignment="0" applyProtection="0"/>
    <xf numFmtId="0" fontId="131" fillId="5" borderId="4" applyNumberFormat="0" applyAlignment="0" applyProtection="0"/>
    <xf numFmtId="0" fontId="131" fillId="5" borderId="4" applyNumberFormat="0" applyAlignment="0" applyProtection="0"/>
    <xf numFmtId="0" fontId="131" fillId="5" borderId="4" applyNumberFormat="0" applyAlignment="0" applyProtection="0"/>
    <xf numFmtId="0" fontId="17" fillId="5" borderId="4" applyNumberFormat="0" applyAlignment="0" applyProtection="0"/>
    <xf numFmtId="244" fontId="79" fillId="0" borderId="0" applyNumberFormat="0" applyFill="0" applyBorder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39" fillId="38" borderId="10" applyNumberFormat="0" applyAlignment="0" applyProtection="0"/>
    <xf numFmtId="0" fontId="4" fillId="0" borderId="0" applyNumberFormat="0" applyFill="0" applyBorder="0" applyAlignment="0">
      <protection locked="0"/>
    </xf>
    <xf numFmtId="0" fontId="132" fillId="58" borderId="0" applyNumberFormat="0" applyFont="0" applyBorder="0" applyAlignment="0">
      <alignment horizontal="right"/>
      <protection locked="0"/>
    </xf>
    <xf numFmtId="0" fontId="133" fillId="53" borderId="0" applyNumberFormat="0" applyFont="0" applyBorder="0" applyAlignment="0">
      <alignment horizontal="right" vertical="top"/>
      <protection locked="0"/>
    </xf>
    <xf numFmtId="245" fontId="4" fillId="58" borderId="57" applyNumberFormat="0" applyFont="0" applyBorder="0" applyAlignment="0">
      <alignment horizontal="right" vertical="center"/>
      <protection locked="0"/>
    </xf>
    <xf numFmtId="0" fontId="133" fillId="53" borderId="0" applyNumberFormat="0" applyFont="0" applyBorder="0" applyAlignment="0">
      <alignment horizontal="right" vertical="top"/>
      <protection locked="0"/>
    </xf>
    <xf numFmtId="0" fontId="79" fillId="0" borderId="0" applyFill="0" applyBorder="0">
      <alignment horizontal="right"/>
      <protection locked="0"/>
    </xf>
    <xf numFmtId="246" fontId="134" fillId="0" borderId="58" applyFont="0" applyFill="0" applyBorder="0" applyAlignment="0" applyProtection="0"/>
    <xf numFmtId="247" fontId="4" fillId="0" borderId="0" applyFill="0" applyBorder="0">
      <alignment horizontal="right"/>
      <protection locked="0"/>
    </xf>
    <xf numFmtId="0" fontId="135" fillId="0" borderId="0" applyFill="0" applyBorder="0"/>
    <xf numFmtId="0" fontId="136" fillId="73" borderId="59">
      <alignment horizontal="left" vertical="center" wrapText="1"/>
    </xf>
    <xf numFmtId="0" fontId="136" fillId="73" borderId="59">
      <alignment horizontal="left" vertical="center" wrapText="1"/>
    </xf>
    <xf numFmtId="0" fontId="54" fillId="0" borderId="0" applyNumberFormat="0" applyFill="0" applyBorder="0" applyProtection="0">
      <alignment horizontal="left"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7" fillId="74" borderId="0" applyNumberFormat="0" applyFont="0" applyBorder="0" applyProtection="0"/>
    <xf numFmtId="2" fontId="138" fillId="0" borderId="39"/>
    <xf numFmtId="212" fontId="7" fillId="0" borderId="0" applyFill="0" applyBorder="0" applyAlignment="0"/>
    <xf numFmtId="213" fontId="7" fillId="0" borderId="0" applyFill="0" applyBorder="0" applyAlignment="0"/>
    <xf numFmtId="212" fontId="7" fillId="0" borderId="0" applyFill="0" applyBorder="0" applyAlignment="0"/>
    <xf numFmtId="215" fontId="4" fillId="0" borderId="0" applyFill="0" applyBorder="0" applyAlignment="0"/>
    <xf numFmtId="213" fontId="7" fillId="0" borderId="0" applyFill="0" applyBorder="0" applyAlignment="0"/>
    <xf numFmtId="0" fontId="40" fillId="0" borderId="15" applyNumberFormat="0" applyFill="0" applyAlignment="0" applyProtection="0"/>
    <xf numFmtId="0" fontId="139" fillId="0" borderId="15" applyNumberFormat="0" applyFill="0" applyAlignment="0" applyProtection="0"/>
    <xf numFmtId="0" fontId="140" fillId="0" borderId="6" applyNumberFormat="0" applyFill="0" applyAlignment="0" applyProtection="0"/>
    <xf numFmtId="0" fontId="140" fillId="0" borderId="6" applyNumberFormat="0" applyFill="0" applyAlignment="0" applyProtection="0"/>
    <xf numFmtId="0" fontId="140" fillId="0" borderId="6" applyNumberFormat="0" applyFill="0" applyAlignment="0" applyProtection="0"/>
    <xf numFmtId="0" fontId="140" fillId="0" borderId="6" applyNumberFormat="0" applyFill="0" applyAlignment="0" applyProtection="0"/>
    <xf numFmtId="0" fontId="140" fillId="0" borderId="6" applyNumberFormat="0" applyFill="0" applyAlignment="0" applyProtection="0"/>
    <xf numFmtId="0" fontId="140" fillId="0" borderId="6" applyNumberFormat="0" applyFill="0" applyAlignment="0" applyProtection="0"/>
    <xf numFmtId="0" fontId="140" fillId="0" borderId="6" applyNumberFormat="0" applyFill="0" applyAlignment="0" applyProtection="0"/>
    <xf numFmtId="0" fontId="20" fillId="0" borderId="6" applyNumberFormat="0" applyFill="0" applyAlignment="0" applyProtection="0"/>
    <xf numFmtId="14" fontId="56" fillId="0" borderId="39" applyFont="0" applyFill="0" applyBorder="0" applyAlignment="0" applyProtection="0"/>
    <xf numFmtId="3" fontId="4" fillId="0" borderId="0"/>
    <xf numFmtId="1" fontId="141" fillId="0" borderId="0"/>
    <xf numFmtId="248" fontId="142" fillId="75" borderId="0" applyBorder="0" applyAlignment="0">
      <alignment horizontal="right"/>
    </xf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49" fontId="4" fillId="0" borderId="0" applyFont="0" applyFill="0" applyBorder="0" applyAlignment="0" applyProtection="0"/>
    <xf numFmtId="250" fontId="2" fillId="0" borderId="0" applyFont="0" applyFill="0" applyBorder="0" applyAlignment="0" applyProtection="0"/>
    <xf numFmtId="251" fontId="4" fillId="0" borderId="0" applyFont="0" applyFill="0" applyBorder="0" applyAlignment="0" applyProtection="0"/>
    <xf numFmtId="14" fontId="49" fillId="0" borderId="0" applyFont="0" applyFill="0" applyBorder="0" applyAlignment="0" applyProtection="0"/>
    <xf numFmtId="3" fontId="54" fillId="0" borderId="0"/>
    <xf numFmtId="3" fontId="5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52" fontId="4" fillId="0" borderId="0" applyFont="0" applyFill="0" applyBorder="0" applyAlignment="0" applyProtection="0"/>
    <xf numFmtId="253" fontId="2" fillId="0" borderId="0" applyFont="0" applyFill="0" applyBorder="0" applyAlignment="0" applyProtection="0"/>
    <xf numFmtId="254" fontId="4" fillId="0" borderId="0" applyFont="0" applyFill="0" applyBorder="0" applyAlignment="0" applyProtection="0"/>
    <xf numFmtId="255" fontId="4" fillId="0" borderId="0">
      <protection locked="0"/>
    </xf>
    <xf numFmtId="236" fontId="27" fillId="58" borderId="0">
      <alignment horizontal="center"/>
    </xf>
    <xf numFmtId="256" fontId="83" fillId="0" borderId="0" applyFont="0" applyFill="0" applyBorder="0" applyProtection="0">
      <alignment horizontal="right"/>
    </xf>
    <xf numFmtId="25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82" fillId="0" borderId="0" applyFont="0" applyFill="0" applyBorder="0" applyProtection="0">
      <alignment horizontal="right"/>
    </xf>
    <xf numFmtId="0" fontId="82" fillId="0" borderId="0" applyFont="0" applyFill="0" applyBorder="0" applyProtection="0">
      <alignment horizontal="right"/>
    </xf>
    <xf numFmtId="0" fontId="82" fillId="0" borderId="0" applyFont="0" applyFill="0" applyBorder="0" applyProtection="0">
      <alignment horizontal="right"/>
    </xf>
    <xf numFmtId="0" fontId="4" fillId="0" borderId="0" applyFont="0" applyFill="0" applyBorder="0" applyProtection="0">
      <alignment horizontal="right"/>
    </xf>
    <xf numFmtId="218" fontId="4" fillId="0" borderId="0" applyFont="0" applyFill="0" applyBorder="0" applyProtection="0">
      <alignment horizontal="right"/>
    </xf>
    <xf numFmtId="0" fontId="4" fillId="0" borderId="60" applyBorder="0" applyAlignment="0" applyProtection="0">
      <alignment horizontal="center"/>
    </xf>
    <xf numFmtId="0" fontId="41" fillId="53" borderId="0" applyNumberFormat="0" applyBorder="0" applyAlignment="0" applyProtection="0"/>
    <xf numFmtId="0" fontId="143" fillId="53" borderId="0" applyNumberFormat="0" applyBorder="0" applyAlignment="0" applyProtection="0"/>
    <xf numFmtId="0" fontId="144" fillId="4" borderId="0" applyNumberFormat="0" applyBorder="0" applyAlignment="0" applyProtection="0"/>
    <xf numFmtId="0" fontId="144" fillId="4" borderId="0" applyNumberFormat="0" applyBorder="0" applyAlignment="0" applyProtection="0"/>
    <xf numFmtId="0" fontId="144" fillId="4" borderId="0" applyNumberFormat="0" applyBorder="0" applyAlignment="0" applyProtection="0"/>
    <xf numFmtId="0" fontId="144" fillId="4" borderId="0" applyNumberFormat="0" applyBorder="0" applyAlignment="0" applyProtection="0"/>
    <xf numFmtId="0" fontId="144" fillId="4" borderId="0" applyNumberFormat="0" applyBorder="0" applyAlignment="0" applyProtection="0"/>
    <xf numFmtId="0" fontId="144" fillId="4" borderId="0" applyNumberFormat="0" applyBorder="0" applyAlignment="0" applyProtection="0"/>
    <xf numFmtId="0" fontId="144" fillId="4" borderId="0" applyNumberFormat="0" applyBorder="0" applyAlignment="0" applyProtection="0"/>
    <xf numFmtId="0" fontId="16" fillId="4" borderId="0" applyNumberFormat="0" applyBorder="0" applyAlignment="0" applyProtection="0"/>
    <xf numFmtId="0" fontId="72" fillId="0" borderId="0"/>
    <xf numFmtId="245" fontId="62" fillId="0" borderId="0" applyNumberFormat="0" applyFont="0" applyFill="0" applyBorder="0" applyAlignment="0" applyProtection="0">
      <alignment vertical="center"/>
    </xf>
    <xf numFmtId="37" fontId="145" fillId="0" borderId="0"/>
    <xf numFmtId="0" fontId="146" fillId="0" borderId="0"/>
    <xf numFmtId="0" fontId="94" fillId="76" borderId="0" applyNumberFormat="0" applyBorder="0" applyAlignment="0">
      <alignment horizontal="right"/>
      <protection hidden="1"/>
    </xf>
    <xf numFmtId="245" fontId="147" fillId="0" borderId="0" applyNumberFormat="0" applyFill="0" applyBorder="0" applyAlignment="0" applyProtection="0">
      <alignment vertical="center"/>
    </xf>
    <xf numFmtId="1" fontId="54" fillId="0" borderId="0"/>
    <xf numFmtId="258" fontId="27" fillId="0" borderId="0" applyFont="0" applyFill="0" applyBorder="0" applyAlignment="0" applyProtection="0">
      <alignment horizontal="right"/>
    </xf>
    <xf numFmtId="259" fontId="148" fillId="0" borderId="0"/>
    <xf numFmtId="37" fontId="48" fillId="77" borderId="0" applyFont="0" applyFill="0" applyBorder="0" applyAlignment="0" applyProtection="0"/>
    <xf numFmtId="238" fontId="4" fillId="0" borderId="0" applyFont="0" applyFill="0" applyBorder="0" applyAlignment="0"/>
    <xf numFmtId="260" fontId="27" fillId="0" borderId="0" applyFont="0" applyFill="0" applyBorder="0" applyAlignment="0"/>
    <xf numFmtId="261" fontId="27" fillId="0" borderId="0" applyFont="0" applyFill="0" applyBorder="0" applyAlignment="0"/>
    <xf numFmtId="260" fontId="27" fillId="0" borderId="0" applyFont="0" applyFill="0" applyBorder="0" applyAlignment="0"/>
    <xf numFmtId="0" fontId="29" fillId="0" borderId="0"/>
    <xf numFmtId="0" fontId="4" fillId="0" borderId="0"/>
    <xf numFmtId="0" fontId="4" fillId="0" borderId="19"/>
    <xf numFmtId="0" fontId="4" fillId="0" borderId="19"/>
    <xf numFmtId="0" fontId="4" fillId="0" borderId="0"/>
    <xf numFmtId="0" fontId="4" fillId="0" borderId="0"/>
    <xf numFmtId="0" fontId="4" fillId="0" borderId="0"/>
    <xf numFmtId="0" fontId="79" fillId="0" borderId="0"/>
    <xf numFmtId="0" fontId="2" fillId="0" borderId="0"/>
    <xf numFmtId="0" fontId="89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55" fillId="0" borderId="0">
      <alignment vertical="top"/>
    </xf>
    <xf numFmtId="0" fontId="4" fillId="0" borderId="19"/>
    <xf numFmtId="0" fontId="4" fillId="0" borderId="19"/>
    <xf numFmtId="0" fontId="55" fillId="0" borderId="0">
      <alignment vertical="top"/>
    </xf>
    <xf numFmtId="0" fontId="4" fillId="0" borderId="19"/>
    <xf numFmtId="0" fontId="79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9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79" fillId="0" borderId="0"/>
    <xf numFmtId="262" fontId="4" fillId="0" borderId="0"/>
    <xf numFmtId="258" fontId="27" fillId="0" borderId="0" applyFont="0" applyFill="0" applyBorder="0" applyAlignment="0" applyProtection="0">
      <alignment horizontal="right"/>
    </xf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55" fillId="0" borderId="0"/>
    <xf numFmtId="0" fontId="79" fillId="0" borderId="0"/>
    <xf numFmtId="0" fontId="47" fillId="0" borderId="0"/>
    <xf numFmtId="0" fontId="4" fillId="0" borderId="0"/>
    <xf numFmtId="0" fontId="4" fillId="0" borderId="0"/>
    <xf numFmtId="0" fontId="47" fillId="0" borderId="0"/>
    <xf numFmtId="0" fontId="79" fillId="0" borderId="0"/>
    <xf numFmtId="0" fontId="4" fillId="0" borderId="0"/>
    <xf numFmtId="0" fontId="4" fillId="0" borderId="0"/>
    <xf numFmtId="0" fontId="79" fillId="0" borderId="0"/>
    <xf numFmtId="0" fontId="79" fillId="0" borderId="0"/>
    <xf numFmtId="243" fontId="4" fillId="0" borderId="0"/>
    <xf numFmtId="0" fontId="47" fillId="0" borderId="0"/>
    <xf numFmtId="243" fontId="4" fillId="0" borderId="0"/>
    <xf numFmtId="0" fontId="66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66" fillId="0" borderId="0"/>
    <xf numFmtId="243" fontId="4" fillId="0" borderId="0"/>
    <xf numFmtId="0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3" fontId="4" fillId="0" borderId="0"/>
    <xf numFmtId="0" fontId="4" fillId="0" borderId="0"/>
    <xf numFmtId="0" fontId="7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110" fillId="0" borderId="0"/>
    <xf numFmtId="243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79" fillId="0" borderId="0"/>
    <xf numFmtId="243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2" fillId="0" borderId="0"/>
    <xf numFmtId="258" fontId="27" fillId="0" borderId="0" applyFont="0" applyFill="0" applyBorder="0" applyAlignment="0" applyProtection="0">
      <alignment horizontal="right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" fillId="0" borderId="0"/>
    <xf numFmtId="0" fontId="110" fillId="0" borderId="0"/>
    <xf numFmtId="0" fontId="4" fillId="0" borderId="0"/>
    <xf numFmtId="0" fontId="86" fillId="0" borderId="0"/>
    <xf numFmtId="0" fontId="86" fillId="0" borderId="0"/>
    <xf numFmtId="0" fontId="2" fillId="0" borderId="0"/>
    <xf numFmtId="0" fontId="79" fillId="0" borderId="0"/>
    <xf numFmtId="0" fontId="79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6" fillId="0" borderId="0"/>
    <xf numFmtId="0" fontId="79" fillId="0" borderId="0"/>
    <xf numFmtId="0" fontId="86" fillId="0" borderId="0"/>
    <xf numFmtId="0" fontId="86" fillId="0" borderId="0"/>
    <xf numFmtId="0" fontId="79" fillId="0" borderId="0"/>
    <xf numFmtId="0" fontId="7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6" fillId="0" borderId="0"/>
    <xf numFmtId="0" fontId="4" fillId="0" borderId="0"/>
    <xf numFmtId="0" fontId="79" fillId="0" borderId="0"/>
    <xf numFmtId="0" fontId="4" fillId="0" borderId="0"/>
    <xf numFmtId="0" fontId="86" fillId="0" borderId="0"/>
    <xf numFmtId="0" fontId="4" fillId="0" borderId="0"/>
    <xf numFmtId="0" fontId="4" fillId="0" borderId="0"/>
    <xf numFmtId="0" fontId="8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6" fillId="0" borderId="0"/>
    <xf numFmtId="0" fontId="110" fillId="0" borderId="0"/>
    <xf numFmtId="0" fontId="79" fillId="0" borderId="0"/>
    <xf numFmtId="0" fontId="86" fillId="0" borderId="0"/>
    <xf numFmtId="0" fontId="4" fillId="0" borderId="0"/>
    <xf numFmtId="0" fontId="4" fillId="0" borderId="0"/>
    <xf numFmtId="0" fontId="66" fillId="0" borderId="0"/>
    <xf numFmtId="0" fontId="4" fillId="0" borderId="0"/>
    <xf numFmtId="0" fontId="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0" fontId="79" fillId="0" borderId="0"/>
    <xf numFmtId="0" fontId="79" fillId="0" borderId="0"/>
    <xf numFmtId="0" fontId="4" fillId="0" borderId="0"/>
    <xf numFmtId="258" fontId="27" fillId="0" borderId="0" applyFont="0" applyFill="0" applyBorder="0" applyAlignment="0" applyProtection="0">
      <alignment horizontal="right"/>
    </xf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243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9" fillId="0" borderId="0"/>
    <xf numFmtId="0" fontId="149" fillId="0" borderId="0"/>
    <xf numFmtId="0" fontId="79" fillId="0" borderId="0"/>
    <xf numFmtId="243" fontId="4" fillId="0" borderId="0"/>
    <xf numFmtId="0" fontId="66" fillId="0" borderId="0"/>
    <xf numFmtId="0" fontId="2" fillId="0" borderId="0"/>
    <xf numFmtId="0" fontId="2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88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243" fontId="4" fillId="0" borderId="0"/>
    <xf numFmtId="0" fontId="86" fillId="0" borderId="0"/>
    <xf numFmtId="0" fontId="2" fillId="0" borderId="0"/>
    <xf numFmtId="0" fontId="86" fillId="0" borderId="0"/>
    <xf numFmtId="0" fontId="79" fillId="0" borderId="0"/>
    <xf numFmtId="243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243" fontId="4" fillId="0" borderId="0"/>
    <xf numFmtId="0" fontId="79" fillId="0" borderId="0"/>
    <xf numFmtId="0" fontId="2" fillId="0" borderId="0"/>
    <xf numFmtId="243" fontId="4" fillId="0" borderId="0"/>
    <xf numFmtId="0" fontId="79" fillId="0" borderId="0"/>
    <xf numFmtId="243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3" fontId="4" fillId="0" borderId="0"/>
    <xf numFmtId="0" fontId="4" fillId="0" borderId="0"/>
    <xf numFmtId="0" fontId="79" fillId="0" borderId="0"/>
    <xf numFmtId="0" fontId="4" fillId="0" borderId="0"/>
    <xf numFmtId="243" fontId="4" fillId="0" borderId="0"/>
    <xf numFmtId="0" fontId="4" fillId="0" borderId="0"/>
    <xf numFmtId="243" fontId="4" fillId="0" borderId="0"/>
    <xf numFmtId="0" fontId="4" fillId="0" borderId="0"/>
    <xf numFmtId="243" fontId="4" fillId="0" borderId="0"/>
    <xf numFmtId="0" fontId="2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4" fillId="0" borderId="0"/>
    <xf numFmtId="243" fontId="4" fillId="0" borderId="0"/>
    <xf numFmtId="0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258" fontId="27" fillId="0" borderId="0" applyFont="0" applyFill="0" applyBorder="0" applyAlignment="0" applyProtection="0">
      <alignment horizontal="right"/>
    </xf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0" fontId="47" fillId="0" borderId="0"/>
    <xf numFmtId="0" fontId="4" fillId="0" borderId="0">
      <alignment wrapText="1"/>
    </xf>
    <xf numFmtId="0" fontId="4" fillId="0" borderId="0">
      <alignment wrapText="1"/>
    </xf>
    <xf numFmtId="0" fontId="66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4" fillId="0" borderId="0"/>
    <xf numFmtId="243" fontId="4" fillId="0" borderId="0"/>
    <xf numFmtId="0" fontId="2" fillId="0" borderId="0"/>
    <xf numFmtId="0" fontId="4" fillId="0" borderId="0"/>
    <xf numFmtId="0" fontId="2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4" fillId="0" borderId="0"/>
    <xf numFmtId="243" fontId="4" fillId="0" borderId="0"/>
    <xf numFmtId="0" fontId="4" fillId="0" borderId="0"/>
    <xf numFmtId="243" fontId="4" fillId="0" borderId="0"/>
    <xf numFmtId="0" fontId="4" fillId="0" borderId="0"/>
    <xf numFmtId="243" fontId="4" fillId="0" borderId="0"/>
    <xf numFmtId="0" fontId="4" fillId="0" borderId="0"/>
    <xf numFmtId="243" fontId="4" fillId="0" borderId="0"/>
    <xf numFmtId="0" fontId="4" fillId="0" borderId="0"/>
    <xf numFmtId="243" fontId="4" fillId="0" borderId="0"/>
    <xf numFmtId="0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258" fontId="27" fillId="0" borderId="0" applyFont="0" applyFill="0" applyBorder="0" applyAlignment="0" applyProtection="0">
      <alignment horizontal="right"/>
    </xf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0" fontId="4" fillId="0" borderId="0">
      <alignment wrapText="1"/>
    </xf>
    <xf numFmtId="0" fontId="57" fillId="0" borderId="0"/>
    <xf numFmtId="0" fontId="57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7" fillId="0" borderId="0"/>
    <xf numFmtId="0" fontId="57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2" fillId="0" borderId="0"/>
    <xf numFmtId="243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wrapText="1"/>
    </xf>
    <xf numFmtId="0" fontId="79" fillId="0" borderId="0"/>
    <xf numFmtId="0" fontId="4" fillId="0" borderId="0">
      <alignment wrapText="1"/>
    </xf>
    <xf numFmtId="0" fontId="79" fillId="0" borderId="0"/>
    <xf numFmtId="243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243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79" fillId="0" borderId="0"/>
    <xf numFmtId="243" fontId="4" fillId="0" borderId="0"/>
    <xf numFmtId="0" fontId="4" fillId="0" borderId="0">
      <alignment wrapText="1"/>
    </xf>
    <xf numFmtId="243" fontId="4" fillId="0" borderId="0"/>
    <xf numFmtId="0" fontId="4" fillId="0" borderId="0">
      <alignment wrapText="1"/>
    </xf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79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243" fontId="4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8" fontId="27" fillId="0" borderId="0" applyFont="0" applyFill="0" applyBorder="0" applyAlignment="0" applyProtection="0">
      <alignment horizontal="right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" fillId="0" borderId="0"/>
    <xf numFmtId="0" fontId="4" fillId="0" borderId="0"/>
    <xf numFmtId="0" fontId="47" fillId="0" borderId="0"/>
    <xf numFmtId="0" fontId="5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243" fontId="4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86" fillId="0" borderId="0"/>
    <xf numFmtId="0" fontId="4" fillId="0" borderId="0"/>
    <xf numFmtId="0" fontId="4" fillId="0" borderId="0"/>
    <xf numFmtId="0" fontId="4" fillId="0" borderId="0"/>
    <xf numFmtId="258" fontId="27" fillId="0" borderId="0" applyFont="0" applyFill="0" applyBorder="0" applyAlignment="0" applyProtection="0">
      <alignment horizontal="right"/>
    </xf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" fillId="0" borderId="0"/>
    <xf numFmtId="0" fontId="4" fillId="0" borderId="0"/>
    <xf numFmtId="0" fontId="150" fillId="0" borderId="0"/>
    <xf numFmtId="0" fontId="15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79" fillId="0" borderId="0"/>
    <xf numFmtId="0" fontId="151" fillId="0" borderId="0"/>
    <xf numFmtId="0" fontId="4" fillId="0" borderId="0"/>
    <xf numFmtId="0" fontId="152" fillId="0" borderId="0"/>
    <xf numFmtId="263" fontId="27" fillId="0" borderId="0" applyFont="0" applyFill="0" applyBorder="0" applyAlignment="0" applyProtection="0"/>
    <xf numFmtId="0" fontId="29" fillId="54" borderId="16" applyNumberFormat="0" applyFont="0" applyAlignment="0" applyProtection="0"/>
    <xf numFmtId="0" fontId="58" fillId="8" borderId="8" applyNumberFormat="0" applyFont="0" applyAlignment="0" applyProtection="0"/>
    <xf numFmtId="0" fontId="2" fillId="8" borderId="8" applyNumberFormat="0" applyFont="0" applyAlignment="0" applyProtection="0"/>
    <xf numFmtId="0" fontId="29" fillId="54" borderId="16" applyNumberFormat="0" applyFont="0" applyAlignment="0" applyProtection="0"/>
    <xf numFmtId="0" fontId="4" fillId="54" borderId="16" applyNumberFormat="0" applyFont="0" applyAlignment="0" applyProtection="0"/>
    <xf numFmtId="0" fontId="29" fillId="54" borderId="16" applyNumberFormat="0" applyFont="0" applyAlignment="0" applyProtection="0"/>
    <xf numFmtId="0" fontId="153" fillId="8" borderId="8" applyNumberFormat="0" applyFont="0" applyAlignment="0" applyProtection="0"/>
    <xf numFmtId="0" fontId="57" fillId="8" borderId="8" applyNumberFormat="0" applyFont="0" applyAlignment="0" applyProtection="0"/>
    <xf numFmtId="0" fontId="29" fillId="54" borderId="16" applyNumberFormat="0" applyFont="0" applyAlignment="0" applyProtection="0"/>
    <xf numFmtId="0" fontId="2" fillId="8" borderId="8" applyNumberFormat="0" applyFont="0" applyAlignment="0" applyProtection="0"/>
    <xf numFmtId="0" fontId="57" fillId="8" borderId="8" applyNumberFormat="0" applyFont="0" applyAlignment="0" applyProtection="0"/>
    <xf numFmtId="0" fontId="29" fillId="54" borderId="16" applyNumberFormat="0" applyFont="0" applyAlignment="0" applyProtection="0"/>
    <xf numFmtId="0" fontId="2" fillId="8" borderId="8" applyNumberFormat="0" applyFont="0" applyAlignment="0" applyProtection="0"/>
    <xf numFmtId="0" fontId="29" fillId="54" borderId="16" applyNumberFormat="0" applyFont="0" applyAlignment="0" applyProtection="0"/>
    <xf numFmtId="0" fontId="153" fillId="8" borderId="8" applyNumberFormat="0" applyFont="0" applyAlignment="0" applyProtection="0"/>
    <xf numFmtId="0" fontId="2" fillId="8" borderId="8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153" fillId="8" borderId="8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29" fillId="54" borderId="16" applyNumberFormat="0" applyFont="0" applyAlignment="0" applyProtection="0"/>
    <xf numFmtId="0" fontId="153" fillId="8" borderId="8" applyNumberFormat="0" applyFont="0" applyAlignment="0" applyProtection="0"/>
    <xf numFmtId="0" fontId="29" fillId="54" borderId="16" applyNumberFormat="0" applyFont="0" applyAlignment="0" applyProtection="0"/>
    <xf numFmtId="0" fontId="153" fillId="8" borderId="8" applyNumberFormat="0" applyFont="0" applyAlignment="0" applyProtection="0"/>
    <xf numFmtId="0" fontId="153" fillId="8" borderId="8" applyNumberFormat="0" applyFont="0" applyAlignment="0" applyProtection="0"/>
    <xf numFmtId="0" fontId="153" fillId="8" borderId="8" applyNumberFormat="0" applyFont="0" applyAlignment="0" applyProtection="0"/>
    <xf numFmtId="0" fontId="153" fillId="8" borderId="8" applyNumberFormat="0" applyFont="0" applyAlignment="0" applyProtection="0"/>
    <xf numFmtId="0" fontId="58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58" fillId="8" borderId="8" applyNumberFormat="0" applyFont="0" applyAlignment="0" applyProtection="0"/>
    <xf numFmtId="0" fontId="2" fillId="8" borderId="8" applyNumberFormat="0" applyFont="0" applyAlignment="0" applyProtection="0"/>
    <xf numFmtId="0" fontId="58" fillId="8" borderId="8" applyNumberFormat="0" applyFont="0" applyAlignment="0" applyProtection="0"/>
    <xf numFmtId="0" fontId="2" fillId="8" borderId="8" applyNumberFormat="0" applyFont="0" applyAlignment="0" applyProtection="0"/>
    <xf numFmtId="0" fontId="58" fillId="8" borderId="8" applyNumberFormat="0" applyFont="0" applyAlignment="0" applyProtection="0"/>
    <xf numFmtId="0" fontId="2" fillId="8" borderId="8" applyNumberFormat="0" applyFont="0" applyAlignment="0" applyProtection="0"/>
    <xf numFmtId="0" fontId="58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264" fontId="154" fillId="0" borderId="0" applyBorder="0" applyProtection="0">
      <alignment horizontal="right"/>
    </xf>
    <xf numFmtId="264" fontId="155" fillId="78" borderId="0" applyBorder="0" applyProtection="0">
      <alignment horizontal="right"/>
    </xf>
    <xf numFmtId="264" fontId="156" fillId="0" borderId="53" applyBorder="0"/>
    <xf numFmtId="264" fontId="156" fillId="0" borderId="53" applyBorder="0"/>
    <xf numFmtId="264" fontId="157" fillId="0" borderId="0" applyBorder="0" applyProtection="0">
      <alignment horizontal="right"/>
    </xf>
    <xf numFmtId="265" fontId="157" fillId="0" borderId="0" applyBorder="0" applyProtection="0">
      <alignment horizontal="right"/>
    </xf>
    <xf numFmtId="265" fontId="158" fillId="78" borderId="0" applyProtection="0">
      <alignment horizontal="right"/>
    </xf>
    <xf numFmtId="37" fontId="53" fillId="0" borderId="0" applyFill="0" applyBorder="0" applyProtection="0">
      <alignment horizontal="right"/>
    </xf>
    <xf numFmtId="193" fontId="48" fillId="0" borderId="0" applyFont="0" applyFill="0" applyBorder="0" applyProtection="0">
      <alignment horizontal="right"/>
    </xf>
    <xf numFmtId="266" fontId="154" fillId="0" borderId="0" applyFill="0" applyBorder="0" applyProtection="0"/>
    <xf numFmtId="0" fontId="71" fillId="58" borderId="0">
      <alignment horizontal="right"/>
    </xf>
    <xf numFmtId="0" fontId="4" fillId="0" borderId="0">
      <alignment horizontal="right"/>
    </xf>
    <xf numFmtId="0" fontId="42" fillId="51" borderId="17" applyNumberFormat="0" applyAlignment="0" applyProtection="0"/>
    <xf numFmtId="0" fontId="42" fillId="51" borderId="17" applyNumberFormat="0" applyAlignment="0" applyProtection="0"/>
    <xf numFmtId="0" fontId="159" fillId="51" borderId="17" applyNumberFormat="0" applyAlignment="0" applyProtection="0"/>
    <xf numFmtId="0" fontId="42" fillId="51" borderId="17" applyNumberFormat="0" applyAlignment="0" applyProtection="0"/>
    <xf numFmtId="0" fontId="160" fillId="6" borderId="5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160" fillId="6" borderId="5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160" fillId="6" borderId="5" applyNumberFormat="0" applyAlignment="0" applyProtection="0"/>
    <xf numFmtId="0" fontId="160" fillId="6" borderId="5" applyNumberFormat="0" applyAlignment="0" applyProtection="0"/>
    <xf numFmtId="0" fontId="42" fillId="51" borderId="17" applyNumberFormat="0" applyAlignment="0" applyProtection="0"/>
    <xf numFmtId="0" fontId="160" fillId="6" borderId="5" applyNumberFormat="0" applyAlignment="0" applyProtection="0"/>
    <xf numFmtId="0" fontId="160" fillId="6" borderId="5" applyNumberFormat="0" applyAlignment="0" applyProtection="0"/>
    <xf numFmtId="0" fontId="160" fillId="6" borderId="5" applyNumberFormat="0" applyAlignment="0" applyProtection="0"/>
    <xf numFmtId="0" fontId="18" fillId="6" borderId="5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42" fillId="51" borderId="17" applyNumberFormat="0" applyAlignment="0" applyProtection="0"/>
    <xf numFmtId="0" fontId="161" fillId="0" borderId="0" applyProtection="0">
      <alignment horizontal="left"/>
    </xf>
    <xf numFmtId="0" fontId="161" fillId="0" borderId="0" applyFill="0" applyBorder="0" applyProtection="0">
      <alignment horizontal="left"/>
    </xf>
    <xf numFmtId="0" fontId="162" fillId="0" borderId="0" applyFill="0" applyBorder="0" applyProtection="0">
      <alignment horizontal="left"/>
    </xf>
    <xf numFmtId="1" fontId="163" fillId="0" borderId="0" applyProtection="0">
      <alignment horizontal="right" vertical="center"/>
    </xf>
    <xf numFmtId="245" fontId="164" fillId="0" borderId="39">
      <alignment vertical="center"/>
    </xf>
    <xf numFmtId="2" fontId="63" fillId="0" borderId="0"/>
    <xf numFmtId="172" fontId="165" fillId="0" borderId="0" applyFill="0" applyBorder="0" applyAlignment="0" applyProtection="0"/>
    <xf numFmtId="214" fontId="4" fillId="0" borderId="0" applyFont="0" applyFill="0" applyBorder="0" applyAlignment="0" applyProtection="0"/>
    <xf numFmtId="267" fontId="7" fillId="0" borderId="0" applyFont="0" applyFill="0" applyBorder="0" applyAlignment="0" applyProtection="0"/>
    <xf numFmtId="268" fontId="166" fillId="58" borderId="19" applyFill="0" applyBorder="0" applyAlignment="0" applyProtection="0">
      <alignment horizontal="right"/>
      <protection locked="0"/>
    </xf>
    <xf numFmtId="268" fontId="166" fillId="58" borderId="19" applyFill="0" applyBorder="0" applyAlignment="0" applyProtection="0">
      <alignment horizontal="right"/>
      <protection locked="0"/>
    </xf>
    <xf numFmtId="269" fontId="166" fillId="55" borderId="0" applyFill="0" applyBorder="0" applyAlignment="0" applyProtection="0">
      <protection hidden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270" fontId="154" fillId="0" borderId="0" applyBorder="0" applyProtection="0">
      <alignment horizontal="right"/>
    </xf>
    <xf numFmtId="270" fontId="155" fillId="78" borderId="0" applyProtection="0">
      <alignment horizontal="right"/>
    </xf>
    <xf numFmtId="270" fontId="157" fillId="0" borderId="0" applyFont="0" applyBorder="0" applyProtection="0">
      <alignment horizontal="right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71" fontId="63" fillId="0" borderId="0" applyFont="0" applyFill="0" applyBorder="0" applyProtection="0">
      <alignment horizontal="right"/>
    </xf>
    <xf numFmtId="9" fontId="4" fillId="0" borderId="0"/>
    <xf numFmtId="272" fontId="4" fillId="0" borderId="0" applyFill="0" applyBorder="0">
      <alignment horizontal="right"/>
      <protection locked="0"/>
    </xf>
    <xf numFmtId="1" fontId="54" fillId="0" borderId="0"/>
    <xf numFmtId="255" fontId="4" fillId="0" borderId="0">
      <protection locked="0"/>
    </xf>
    <xf numFmtId="172" fontId="4" fillId="0" borderId="0" applyFont="0" applyFill="0" applyBorder="0" applyAlignment="0" applyProtection="0"/>
    <xf numFmtId="212" fontId="7" fillId="0" borderId="0" applyFill="0" applyBorder="0" applyAlignment="0"/>
    <xf numFmtId="213" fontId="7" fillId="0" borderId="0" applyFill="0" applyBorder="0" applyAlignment="0"/>
    <xf numFmtId="212" fontId="7" fillId="0" borderId="0" applyFill="0" applyBorder="0" applyAlignment="0"/>
    <xf numFmtId="215" fontId="4" fillId="0" borderId="0" applyFill="0" applyBorder="0" applyAlignment="0"/>
    <xf numFmtId="213" fontId="7" fillId="0" borderId="0" applyFill="0" applyBorder="0" applyAlignment="0"/>
    <xf numFmtId="10" fontId="63" fillId="0" borderId="0"/>
    <xf numFmtId="10" fontId="63" fillId="73" borderId="0"/>
    <xf numFmtId="9" fontId="63" fillId="0" borderId="0" applyFont="0" applyFill="0" applyBorder="0" applyAlignment="0" applyProtection="0"/>
    <xf numFmtId="218" fontId="55" fillId="0" borderId="0"/>
    <xf numFmtId="273" fontId="167" fillId="55" borderId="0" applyBorder="0" applyAlignment="0">
      <protection hidden="1"/>
    </xf>
    <xf numFmtId="1" fontId="167" fillId="55" borderId="0">
      <alignment horizontal="center"/>
    </xf>
    <xf numFmtId="0" fontId="79" fillId="0" borderId="0" applyNumberFormat="0" applyFont="0" applyFill="0" applyBorder="0" applyAlignment="0" applyProtection="0">
      <alignment horizontal="left"/>
    </xf>
    <xf numFmtId="15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0" fontId="136" fillId="0" borderId="22">
      <alignment horizontal="center"/>
    </xf>
    <xf numFmtId="3" fontId="79" fillId="0" borderId="0" applyFont="0" applyFill="0" applyBorder="0" applyAlignment="0" applyProtection="0"/>
    <xf numFmtId="0" fontId="79" fillId="79" borderId="0" applyNumberFormat="0" applyFont="0" applyBorder="0" applyAlignment="0" applyProtection="0"/>
    <xf numFmtId="0" fontId="79" fillId="0" borderId="0">
      <alignment horizontal="right"/>
      <protection locked="0"/>
    </xf>
    <xf numFmtId="238" fontId="168" fillId="0" borderId="0" applyNumberFormat="0" applyFill="0" applyBorder="0" applyAlignment="0" applyProtection="0">
      <alignment horizontal="left"/>
    </xf>
    <xf numFmtId="0" fontId="169" fillId="69" borderId="0"/>
    <xf numFmtId="0" fontId="54" fillId="0" borderId="0" applyNumberFormat="0" applyFill="0" applyBorder="0" applyProtection="0">
      <alignment horizontal="right" vertical="center"/>
    </xf>
    <xf numFmtId="0" fontId="170" fillId="0" borderId="61">
      <alignment vertical="center"/>
    </xf>
    <xf numFmtId="274" fontId="4" fillId="0" borderId="0" applyFill="0" applyBorder="0">
      <alignment horizontal="right"/>
      <protection hidden="1"/>
    </xf>
    <xf numFmtId="0" fontId="171" fillId="68" borderId="19">
      <alignment horizontal="center" vertical="center" wrapText="1"/>
      <protection hidden="1"/>
    </xf>
    <xf numFmtId="0" fontId="171" fillId="68" borderId="19">
      <alignment horizontal="center" vertical="center" wrapText="1"/>
      <protection hidden="1"/>
    </xf>
    <xf numFmtId="0" fontId="79" fillId="80" borderId="62"/>
    <xf numFmtId="0" fontId="7" fillId="81" borderId="0" applyNumberFormat="0" applyFont="0" applyBorder="0" applyAlignment="0" applyProtection="0"/>
    <xf numFmtId="167" fontId="172" fillId="0" borderId="0" applyFill="0" applyBorder="0" applyAlignment="0" applyProtection="0"/>
    <xf numFmtId="167" fontId="172" fillId="0" borderId="0" applyFill="0" applyBorder="0" applyAlignment="0" applyProtection="0"/>
    <xf numFmtId="168" fontId="173" fillId="0" borderId="0"/>
    <xf numFmtId="168" fontId="173" fillId="0" borderId="0"/>
    <xf numFmtId="0" fontId="27" fillId="0" borderId="0"/>
    <xf numFmtId="0" fontId="174" fillId="0" borderId="0">
      <alignment horizontal="right"/>
    </xf>
    <xf numFmtId="0" fontId="98" fillId="0" borderId="0">
      <alignment horizontal="left"/>
    </xf>
    <xf numFmtId="172" fontId="175" fillId="0" borderId="55"/>
    <xf numFmtId="275" fontId="62" fillId="75" borderId="0" applyFont="0" applyBorder="0"/>
    <xf numFmtId="202" fontId="53" fillId="0" borderId="0" applyNumberFormat="0" applyFill="0">
      <alignment horizontal="left" vertical="center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9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7" fillId="0" borderId="0">
      <alignment vertical="top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76" fillId="81" borderId="19" applyNumberFormat="0" applyProtection="0">
      <alignment horizontal="center" vertical="center"/>
    </xf>
    <xf numFmtId="0" fontId="7" fillId="0" borderId="0">
      <alignment vertical="top"/>
    </xf>
    <xf numFmtId="0" fontId="176" fillId="81" borderId="19" applyNumberFormat="0" applyProtection="0">
      <alignment horizontal="center" vertical="center"/>
    </xf>
    <xf numFmtId="0" fontId="176" fillId="81" borderId="19" applyNumberFormat="0" applyProtection="0">
      <alignment horizontal="center" vertical="center"/>
    </xf>
    <xf numFmtId="0" fontId="176" fillId="81" borderId="19" applyNumberFormat="0" applyProtection="0">
      <alignment horizontal="center" vertical="center"/>
    </xf>
    <xf numFmtId="0" fontId="176" fillId="81" borderId="19" applyNumberFormat="0" applyProtection="0">
      <alignment horizontal="center" vertical="center"/>
    </xf>
    <xf numFmtId="0" fontId="5" fillId="81" borderId="19" applyNumberFormat="0" applyProtection="0">
      <alignment horizontal="center" vertical="center"/>
    </xf>
    <xf numFmtId="0" fontId="7" fillId="0" borderId="0">
      <alignment vertical="top"/>
    </xf>
    <xf numFmtId="0" fontId="5" fillId="81" borderId="19" applyNumberFormat="0" applyProtection="0">
      <alignment horizontal="center" vertical="center"/>
    </xf>
    <xf numFmtId="0" fontId="5" fillId="81" borderId="19" applyNumberFormat="0" applyProtection="0">
      <alignment horizontal="center" vertical="center"/>
    </xf>
    <xf numFmtId="0" fontId="5" fillId="81" borderId="19" applyNumberFormat="0" applyProtection="0">
      <alignment horizontal="center" vertical="center"/>
    </xf>
    <xf numFmtId="0" fontId="5" fillId="81" borderId="19" applyNumberFormat="0" applyProtection="0">
      <alignment horizontal="center" vertical="center"/>
    </xf>
    <xf numFmtId="0" fontId="5" fillId="81" borderId="19" applyNumberFormat="0" applyProtection="0">
      <alignment horizontal="center" vertical="center"/>
    </xf>
    <xf numFmtId="0" fontId="7" fillId="0" borderId="0">
      <alignment vertical="top"/>
    </xf>
    <xf numFmtId="0" fontId="5" fillId="81" borderId="19" applyNumberFormat="0" applyProtection="0">
      <alignment horizontal="center" vertical="center" wrapText="1"/>
    </xf>
    <xf numFmtId="0" fontId="5" fillId="81" borderId="19" applyNumberFormat="0" applyProtection="0">
      <alignment horizontal="center" vertical="center" wrapText="1"/>
    </xf>
    <xf numFmtId="0" fontId="5" fillId="81" borderId="19" applyNumberFormat="0" applyProtection="0">
      <alignment horizontal="center" vertical="center" wrapText="1"/>
    </xf>
    <xf numFmtId="0" fontId="5" fillId="81" borderId="19" applyNumberFormat="0" applyProtection="0">
      <alignment horizontal="center" vertical="center" wrapText="1"/>
    </xf>
    <xf numFmtId="0" fontId="5" fillId="81" borderId="19" applyNumberFormat="0" applyProtection="0">
      <alignment horizontal="center" vertical="center" wrapText="1"/>
    </xf>
    <xf numFmtId="0" fontId="177" fillId="0" borderId="0" applyNumberFormat="0" applyFill="0" applyBorder="0" applyAlignment="0" applyProtection="0"/>
    <xf numFmtId="0" fontId="5" fillId="81" borderId="19" applyNumberFormat="0" applyProtection="0">
      <alignment horizontal="center" vertical="center" wrapText="1"/>
    </xf>
    <xf numFmtId="0" fontId="5" fillId="81" borderId="19" applyNumberFormat="0" applyProtection="0">
      <alignment horizontal="center" vertical="center" wrapText="1"/>
    </xf>
    <xf numFmtId="0" fontId="5" fillId="81" borderId="19" applyNumberFormat="0" applyProtection="0">
      <alignment horizontal="center" vertical="center"/>
    </xf>
    <xf numFmtId="0" fontId="5" fillId="81" borderId="19" applyNumberFormat="0" applyProtection="0">
      <alignment horizontal="center" vertical="center" wrapText="1"/>
    </xf>
    <xf numFmtId="0" fontId="4" fillId="63" borderId="19" applyNumberFormat="0" applyProtection="0">
      <alignment horizontal="left" vertical="center"/>
    </xf>
    <xf numFmtId="0" fontId="4" fillId="63" borderId="19" applyNumberFormat="0" applyProtection="0">
      <alignment horizontal="left" vertical="center"/>
    </xf>
    <xf numFmtId="0" fontId="4" fillId="63" borderId="19" applyNumberFormat="0" applyProtection="0">
      <alignment horizontal="left" vertical="center"/>
    </xf>
    <xf numFmtId="0" fontId="4" fillId="63" borderId="19" applyNumberFormat="0" applyProtection="0">
      <alignment horizontal="left" vertical="center"/>
    </xf>
    <xf numFmtId="0" fontId="4" fillId="63" borderId="19" applyNumberFormat="0" applyProtection="0">
      <alignment horizontal="left" vertical="center"/>
    </xf>
    <xf numFmtId="0" fontId="4" fillId="63" borderId="19" applyNumberFormat="0" applyProtection="0">
      <alignment horizontal="left" vertical="center"/>
    </xf>
    <xf numFmtId="0" fontId="4" fillId="63" borderId="19" applyNumberFormat="0" applyProtection="0">
      <alignment horizontal="left" vertical="center"/>
    </xf>
    <xf numFmtId="0" fontId="7" fillId="0" borderId="0">
      <alignment vertical="top"/>
    </xf>
    <xf numFmtId="0" fontId="4" fillId="63" borderId="19" applyNumberFormat="0" applyProtection="0">
      <alignment horizontal="left" vertical="center"/>
    </xf>
    <xf numFmtId="0" fontId="4" fillId="63" borderId="19" applyNumberFormat="0" applyProtection="0">
      <alignment horizontal="left" vertical="center"/>
    </xf>
    <xf numFmtId="0" fontId="4" fillId="63" borderId="19" applyNumberFormat="0" applyProtection="0">
      <alignment horizontal="left" vertical="center"/>
    </xf>
    <xf numFmtId="0" fontId="4" fillId="63" borderId="19" applyNumberFormat="0" applyProtection="0">
      <alignment horizontal="left" vertical="center"/>
    </xf>
    <xf numFmtId="0" fontId="5" fillId="61" borderId="19" applyNumberFormat="0" applyProtection="0">
      <alignment horizontal="left" vertical="center" wrapText="1"/>
    </xf>
    <xf numFmtId="0" fontId="7" fillId="0" borderId="0">
      <alignment vertical="top"/>
    </xf>
    <xf numFmtId="0" fontId="5" fillId="61" borderId="19" applyNumberFormat="0" applyProtection="0">
      <alignment horizontal="left" vertical="center" wrapText="1"/>
    </xf>
    <xf numFmtId="0" fontId="5" fillId="61" borderId="19" applyNumberFormat="0" applyProtection="0">
      <alignment horizontal="left" vertical="center" wrapText="1"/>
    </xf>
    <xf numFmtId="0" fontId="7" fillId="0" borderId="0">
      <alignment vertical="top"/>
    </xf>
    <xf numFmtId="0" fontId="28" fillId="0" borderId="0" applyNumberFormat="0" applyFill="0" applyBorder="0" applyAlignment="0" applyProtection="0"/>
    <xf numFmtId="0" fontId="5" fillId="61" borderId="19" applyNumberFormat="0" applyProtection="0">
      <alignment horizontal="left" vertical="center" wrapText="1"/>
    </xf>
    <xf numFmtId="0" fontId="4" fillId="63" borderId="19" applyNumberFormat="0" applyProtection="0">
      <alignment horizontal="left" vertical="center" wrapText="1"/>
    </xf>
    <xf numFmtId="0" fontId="4" fillId="63" borderId="19" applyNumberFormat="0" applyProtection="0">
      <alignment horizontal="left" vertical="center" wrapText="1"/>
    </xf>
    <xf numFmtId="0" fontId="4" fillId="63" borderId="19" applyNumberFormat="0" applyProtection="0">
      <alignment horizontal="left" vertical="center" wrapText="1"/>
    </xf>
    <xf numFmtId="0" fontId="4" fillId="63" borderId="19" applyNumberFormat="0" applyProtection="0">
      <alignment horizontal="left" vertical="center" wrapText="1"/>
    </xf>
    <xf numFmtId="0" fontId="4" fillId="63" borderId="19" applyNumberFormat="0" applyProtection="0">
      <alignment horizontal="left" vertical="center" wrapText="1"/>
    </xf>
    <xf numFmtId="0" fontId="4" fillId="63" borderId="19" applyNumberFormat="0" applyProtection="0">
      <alignment horizontal="left" vertical="center" wrapText="1"/>
    </xf>
    <xf numFmtId="0" fontId="4" fillId="63" borderId="19" applyNumberFormat="0" applyProtection="0">
      <alignment horizontal="left" vertical="center" wrapText="1"/>
    </xf>
    <xf numFmtId="0" fontId="7" fillId="0" borderId="0">
      <alignment vertical="top"/>
    </xf>
    <xf numFmtId="0" fontId="4" fillId="63" borderId="19" applyNumberFormat="0" applyProtection="0">
      <alignment horizontal="left" vertical="center" wrapText="1"/>
    </xf>
    <xf numFmtId="0" fontId="4" fillId="63" borderId="19" applyNumberFormat="0" applyProtection="0">
      <alignment horizontal="left" vertical="center" wrapText="1"/>
    </xf>
    <xf numFmtId="0" fontId="4" fillId="63" borderId="19" applyNumberFormat="0" applyProtection="0">
      <alignment horizontal="left" vertical="center" wrapText="1"/>
    </xf>
    <xf numFmtId="0" fontId="4" fillId="63" borderId="19" applyNumberFormat="0" applyProtection="0">
      <alignment horizontal="left" vertical="center" wrapText="1"/>
    </xf>
    <xf numFmtId="0" fontId="5" fillId="61" borderId="19" applyNumberFormat="0" applyProtection="0">
      <alignment horizontal="left" vertical="center" wrapText="1"/>
    </xf>
    <xf numFmtId="0" fontId="7" fillId="0" borderId="0">
      <alignment vertical="top"/>
    </xf>
    <xf numFmtId="0" fontId="5" fillId="61" borderId="19" applyNumberFormat="0" applyProtection="0">
      <alignment horizontal="left" vertical="center" wrapText="1"/>
    </xf>
    <xf numFmtId="0" fontId="5" fillId="61" borderId="19" applyNumberFormat="0" applyProtection="0">
      <alignment horizontal="left" vertical="center" wrapText="1"/>
    </xf>
    <xf numFmtId="0" fontId="7" fillId="0" borderId="0">
      <alignment vertical="top"/>
    </xf>
    <xf numFmtId="0" fontId="77" fillId="82" borderId="0" applyNumberFormat="0" applyBorder="0" applyAlignment="0" applyProtection="0"/>
    <xf numFmtId="0" fontId="5" fillId="61" borderId="19" applyNumberFormat="0" applyProtection="0">
      <alignment horizontal="left" vertical="center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70" fontId="52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86" fontId="4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276" fontId="63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276" fontId="63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5" fillId="0" borderId="0" applyNumberFormat="0" applyBorder="0" applyAlignment="0"/>
    <xf numFmtId="0" fontId="178" fillId="0" borderId="0" applyNumberFormat="0" applyBorder="0" applyAlignment="0"/>
    <xf numFmtId="0" fontId="179" fillId="0" borderId="0" applyNumberFormat="0" applyBorder="0" applyAlignment="0"/>
    <xf numFmtId="0" fontId="73" fillId="0" borderId="0" applyNumberFormat="0" applyFill="0" applyBorder="0" applyProtection="0">
      <alignment horizontal="left" vertical="center"/>
    </xf>
    <xf numFmtId="0" fontId="73" fillId="0" borderId="53" applyNumberFormat="0" applyFill="0" applyProtection="0">
      <alignment horizontal="left" vertical="center"/>
    </xf>
    <xf numFmtId="277" fontId="62" fillId="83" borderId="0" applyNumberFormat="0" applyFont="0" applyBorder="0">
      <alignment horizontal="center" vertical="center"/>
      <protection locked="0"/>
    </xf>
    <xf numFmtId="9" fontId="4" fillId="0" borderId="0"/>
    <xf numFmtId="0" fontId="74" fillId="0" borderId="0" applyFill="0" applyBorder="0" applyProtection="0">
      <alignment horizontal="center" vertical="center"/>
    </xf>
    <xf numFmtId="0" fontId="180" fillId="0" borderId="0" applyBorder="0" applyProtection="0">
      <alignment vertical="center"/>
    </xf>
    <xf numFmtId="218" fontId="4" fillId="0" borderId="39" applyBorder="0" applyProtection="0">
      <alignment horizontal="right" vertical="center"/>
    </xf>
    <xf numFmtId="0" fontId="181" fillId="84" borderId="0" applyBorder="0" applyProtection="0">
      <alignment horizontal="centerContinuous" vertical="center"/>
    </xf>
    <xf numFmtId="0" fontId="181" fillId="82" borderId="39" applyBorder="0" applyProtection="0">
      <alignment horizontal="centerContinuous" vertical="center"/>
    </xf>
    <xf numFmtId="0" fontId="182" fillId="0" borderId="0"/>
    <xf numFmtId="0" fontId="74" fillId="0" borderId="0" applyFill="0" applyBorder="0" applyProtection="0"/>
    <xf numFmtId="0" fontId="152" fillId="0" borderId="0"/>
    <xf numFmtId="0" fontId="183" fillId="0" borderId="0" applyFill="0" applyBorder="0" applyProtection="0">
      <alignment horizontal="left"/>
    </xf>
    <xf numFmtId="0" fontId="184" fillId="0" borderId="0" applyFill="0" applyBorder="0" applyProtection="0">
      <alignment horizontal="left" vertical="top"/>
    </xf>
    <xf numFmtId="0" fontId="185" fillId="0" borderId="0">
      <alignment horizontal="centerContinuous"/>
    </xf>
    <xf numFmtId="245" fontId="4" fillId="63" borderId="63" applyNumberFormat="0" applyAlignment="0">
      <alignment vertical="center"/>
    </xf>
    <xf numFmtId="245" fontId="186" fillId="85" borderId="64" applyNumberFormat="0" applyBorder="0" applyAlignment="0" applyProtection="0">
      <alignment vertical="center"/>
    </xf>
    <xf numFmtId="245" fontId="186" fillId="85" borderId="64" applyNumberFormat="0" applyBorder="0" applyAlignment="0" applyProtection="0">
      <alignment vertical="center"/>
    </xf>
    <xf numFmtId="245" fontId="4" fillId="63" borderId="63" applyNumberFormat="0" applyProtection="0">
      <alignment horizontal="centerContinuous" vertical="center"/>
    </xf>
    <xf numFmtId="245" fontId="187" fillId="86" borderId="0" applyNumberFormat="0" applyBorder="0" applyAlignment="0" applyProtection="0">
      <alignment vertical="center"/>
    </xf>
    <xf numFmtId="245" fontId="4" fillId="85" borderId="0" applyBorder="0" applyAlignment="0" applyProtection="0">
      <alignment vertical="center"/>
    </xf>
    <xf numFmtId="49" fontId="53" fillId="0" borderId="39">
      <alignment vertical="center"/>
    </xf>
    <xf numFmtId="0" fontId="188" fillId="0" borderId="0"/>
    <xf numFmtId="0" fontId="189" fillId="0" borderId="0"/>
    <xf numFmtId="49" fontId="55" fillId="0" borderId="0" applyFill="0" applyBorder="0" applyAlignment="0"/>
    <xf numFmtId="278" fontId="7" fillId="0" borderId="0" applyFill="0" applyBorder="0" applyAlignment="0"/>
    <xf numFmtId="279" fontId="7" fillId="0" borderId="0" applyFill="0" applyBorder="0" applyAlignment="0"/>
    <xf numFmtId="0" fontId="49" fillId="0" borderId="0" applyNumberFormat="0" applyFont="0" applyFill="0" applyBorder="0" applyProtection="0">
      <alignment horizontal="left" vertical="top" wrapText="1"/>
    </xf>
    <xf numFmtId="18" fontId="27" fillId="0" borderId="0" applyFill="0" applyBorder="0" applyAlignment="0" applyProtection="0"/>
    <xf numFmtId="0" fontId="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40" fontId="190" fillId="0" borderId="0"/>
    <xf numFmtId="0" fontId="43" fillId="0" borderId="0" applyNumberFormat="0" applyFill="0" applyBorder="0" applyAlignment="0" applyProtection="0"/>
    <xf numFmtId="0" fontId="191" fillId="0" borderId="0" applyNumberFormat="0" applyBorder="0" applyAlignment="0" applyProtection="0"/>
    <xf numFmtId="0" fontId="191" fillId="0" borderId="0" applyNumberFormat="0" applyBorder="0" applyAlignment="0" applyProtection="0"/>
    <xf numFmtId="280" fontId="192" fillId="82" borderId="0" applyNumberFormat="0" applyProtection="0">
      <alignment horizontal="left" vertical="center"/>
    </xf>
    <xf numFmtId="0" fontId="193" fillId="0" borderId="0" applyNumberFormat="0" applyProtection="0">
      <alignment horizontal="left" vertical="center"/>
    </xf>
    <xf numFmtId="0" fontId="194" fillId="0" borderId="0">
      <alignment horizontal="left"/>
    </xf>
    <xf numFmtId="0" fontId="79" fillId="0" borderId="0" applyBorder="0"/>
    <xf numFmtId="1" fontId="7" fillId="72" borderId="0" applyNumberFormat="0" applyFont="0" applyBorder="0" applyProtection="0">
      <alignment horizontal="left"/>
    </xf>
    <xf numFmtId="281" fontId="4" fillId="0" borderId="0" applyNumberFormat="0" applyFill="0" applyBorder="0" applyProtection="0">
      <alignment vertical="top"/>
    </xf>
    <xf numFmtId="0" fontId="44" fillId="0" borderId="18" applyNumberFormat="0" applyFill="0" applyAlignment="0" applyProtection="0"/>
    <xf numFmtId="0" fontId="24" fillId="0" borderId="9" applyNumberFormat="0" applyFill="0" applyAlignment="0" applyProtection="0"/>
    <xf numFmtId="0" fontId="44" fillId="0" borderId="18" applyNumberFormat="0" applyFill="0" applyAlignment="0" applyProtection="0"/>
    <xf numFmtId="0" fontId="178" fillId="0" borderId="18" applyNumberFormat="0" applyFill="0" applyAlignment="0" applyProtection="0"/>
    <xf numFmtId="0" fontId="44" fillId="0" borderId="18" applyNumberFormat="0" applyFill="0" applyAlignment="0" applyProtection="0"/>
    <xf numFmtId="0" fontId="195" fillId="0" borderId="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195" fillId="0" borderId="9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195" fillId="0" borderId="9" applyNumberFormat="0" applyFill="0" applyAlignment="0" applyProtection="0"/>
    <xf numFmtId="0" fontId="195" fillId="0" borderId="9" applyNumberFormat="0" applyFill="0" applyAlignment="0" applyProtection="0"/>
    <xf numFmtId="0" fontId="44" fillId="0" borderId="18" applyNumberFormat="0" applyFill="0" applyAlignment="0" applyProtection="0"/>
    <xf numFmtId="0" fontId="195" fillId="0" borderId="9" applyNumberFormat="0" applyFill="0" applyAlignment="0" applyProtection="0"/>
    <xf numFmtId="0" fontId="195" fillId="0" borderId="9" applyNumberFormat="0" applyFill="0" applyAlignment="0" applyProtection="0"/>
    <xf numFmtId="0" fontId="195" fillId="0" borderId="9" applyNumberFormat="0" applyFill="0" applyAlignment="0" applyProtection="0"/>
    <xf numFmtId="0" fontId="196" fillId="0" borderId="9" applyNumberFormat="0" applyFill="0" applyAlignment="0" applyProtection="0"/>
    <xf numFmtId="39" fontId="4" fillId="0" borderId="42">
      <protection locked="0"/>
    </xf>
    <xf numFmtId="165" fontId="185" fillId="0" borderId="42" applyFill="0" applyAlignment="0" applyProtection="0"/>
    <xf numFmtId="165" fontId="185" fillId="0" borderId="42" applyFill="0" applyAlignment="0" applyProtection="0"/>
    <xf numFmtId="218" fontId="56" fillId="0" borderId="65"/>
    <xf numFmtId="218" fontId="56" fillId="0" borderId="65"/>
    <xf numFmtId="0" fontId="197" fillId="0" borderId="0">
      <alignment horizontal="fill"/>
    </xf>
    <xf numFmtId="282" fontId="167" fillId="55" borderId="34" applyBorder="0">
      <alignment horizontal="right" vertical="center"/>
      <protection locked="0"/>
    </xf>
    <xf numFmtId="167" fontId="4" fillId="0" borderId="0" applyFont="0" applyFill="0" applyBorder="0" applyAlignment="0" applyProtection="0"/>
    <xf numFmtId="28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81" fontId="198" fillId="85" borderId="0" applyNumberFormat="0" applyBorder="0" applyProtection="0">
      <alignment horizontal="centerContinuous" vertical="center"/>
    </xf>
    <xf numFmtId="0" fontId="45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1" fillId="0" borderId="0"/>
    <xf numFmtId="1" fontId="201" fillId="0" borderId="0"/>
    <xf numFmtId="284" fontId="63" fillId="0" borderId="0" applyFont="0" applyFill="0" applyBorder="0" applyProtection="0">
      <alignment horizontal="right"/>
    </xf>
    <xf numFmtId="285" fontId="4" fillId="0" borderId="0"/>
    <xf numFmtId="286" fontId="154" fillId="0" borderId="0" applyFill="0" applyBorder="0" applyProtection="0"/>
    <xf numFmtId="0" fontId="4" fillId="0" borderId="0">
      <alignment horizontal="center"/>
    </xf>
    <xf numFmtId="287" fontId="53" fillId="0" borderId="39">
      <alignment horizontal="right"/>
    </xf>
    <xf numFmtId="288" fontId="4" fillId="0" borderId="0" applyFont="0" applyFill="0" applyBorder="0" applyAlignment="0" applyProtection="0"/>
    <xf numFmtId="289" fontId="65" fillId="0" borderId="0" applyFont="0" applyFill="0" applyBorder="0" applyProtection="0">
      <alignment horizontal="right"/>
    </xf>
    <xf numFmtId="0" fontId="4" fillId="0" borderId="0"/>
    <xf numFmtId="262" fontId="4" fillId="0" borderId="0"/>
    <xf numFmtId="0" fontId="20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4" fillId="0" borderId="0" applyFont="0" applyFill="0" applyBorder="0" applyAlignment="0" applyProtection="0"/>
    <xf numFmtId="0" fontId="2" fillId="0" borderId="0"/>
    <xf numFmtId="170" fontId="4" fillId="0" borderId="0" applyFont="0" applyFill="0" applyBorder="0" applyAlignment="0" applyProtection="0"/>
    <xf numFmtId="0" fontId="2" fillId="0" borderId="0"/>
    <xf numFmtId="170" fontId="4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17" fontId="0" fillId="0" borderId="0" xfId="0" applyNumberFormat="1"/>
    <xf numFmtId="0" fontId="0" fillId="0" borderId="0" xfId="0" applyAlignment="1">
      <alignment horizontal="right"/>
    </xf>
    <xf numFmtId="171" fontId="0" fillId="0" borderId="0" xfId="0" applyNumberFormat="1"/>
    <xf numFmtId="3" fontId="0" fillId="0" borderId="0" xfId="0" applyNumberFormat="1"/>
    <xf numFmtId="11" fontId="0" fillId="0" borderId="0" xfId="0" applyNumberFormat="1"/>
    <xf numFmtId="0" fontId="0" fillId="0" borderId="0" xfId="0" applyNumberFormat="1"/>
    <xf numFmtId="0" fontId="5" fillId="0" borderId="0" xfId="0" applyFont="1" applyAlignment="1">
      <alignment horizontal="right"/>
    </xf>
    <xf numFmtId="172" fontId="0" fillId="0" borderId="0" xfId="3" applyNumberFormat="1" applyFont="1"/>
    <xf numFmtId="0" fontId="0" fillId="0" borderId="0" xfId="0" applyFill="1"/>
    <xf numFmtId="172" fontId="0" fillId="0" borderId="0" xfId="0" applyNumberFormat="1"/>
    <xf numFmtId="173" fontId="0" fillId="0" borderId="0" xfId="0" applyNumberFormat="1"/>
    <xf numFmtId="0" fontId="6" fillId="0" borderId="0" xfId="0" applyFont="1"/>
    <xf numFmtId="10" fontId="0" fillId="0" borderId="0" xfId="3" applyNumberFormat="1" applyFont="1"/>
    <xf numFmtId="10" fontId="0" fillId="0" borderId="0" xfId="0" applyNumberFormat="1"/>
    <xf numFmtId="173" fontId="6" fillId="0" borderId="0" xfId="0" applyNumberFormat="1" applyFont="1"/>
    <xf numFmtId="0" fontId="6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NumberFormat="1" applyAlignment="1">
      <alignment horizontal="right"/>
    </xf>
    <xf numFmtId="0" fontId="9" fillId="0" borderId="0" xfId="0" applyFont="1"/>
    <xf numFmtId="3" fontId="9" fillId="0" borderId="0" xfId="0" applyNumberFormat="1" applyFont="1"/>
    <xf numFmtId="172" fontId="9" fillId="0" borderId="0" xfId="3" applyNumberFormat="1" applyFont="1"/>
    <xf numFmtId="174" fontId="0" fillId="0" borderId="0" xfId="4" applyNumberFormat="1" applyFont="1"/>
    <xf numFmtId="174" fontId="9" fillId="0" borderId="0" xfId="4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74" fontId="5" fillId="0" borderId="0" xfId="4" applyNumberFormat="1" applyFont="1" applyAlignment="1">
      <alignment horizontal="center"/>
    </xf>
    <xf numFmtId="10" fontId="9" fillId="0" borderId="0" xfId="3" applyNumberFormat="1" applyFont="1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0" applyNumberFormat="1"/>
    <xf numFmtId="9" fontId="0" fillId="0" borderId="0" xfId="3" applyFont="1"/>
    <xf numFmtId="3" fontId="0" fillId="0" borderId="33" xfId="0" applyNumberFormat="1" applyBorder="1"/>
    <xf numFmtId="0" fontId="4" fillId="0" borderId="0" xfId="0" applyFont="1" applyAlignment="1">
      <alignment horizontal="center" wrapText="1"/>
    </xf>
    <xf numFmtId="174" fontId="0" fillId="0" borderId="33" xfId="4" applyNumberFormat="1" applyFont="1" applyBorder="1"/>
    <xf numFmtId="3" fontId="0" fillId="0" borderId="0" xfId="0" applyNumberFormat="1" applyBorder="1"/>
    <xf numFmtId="3" fontId="0" fillId="0" borderId="22" xfId="0" applyNumberFormat="1" applyBorder="1"/>
    <xf numFmtId="3" fontId="0" fillId="0" borderId="34" xfId="0" applyNumberFormat="1" applyBorder="1"/>
    <xf numFmtId="3" fontId="0" fillId="0" borderId="30" xfId="0" applyNumberFormat="1" applyBorder="1"/>
    <xf numFmtId="3" fontId="0" fillId="0" borderId="20" xfId="0" applyNumberFormat="1" applyBorder="1"/>
    <xf numFmtId="3" fontId="0" fillId="0" borderId="24" xfId="0" applyNumberFormat="1" applyBorder="1"/>
    <xf numFmtId="0" fontId="5" fillId="59" borderId="25" xfId="0" applyFont="1" applyFill="1" applyBorder="1" applyAlignment="1">
      <alignment horizontal="center"/>
    </xf>
    <xf numFmtId="3" fontId="0" fillId="59" borderId="21" xfId="0" applyNumberFormat="1" applyFill="1" applyBorder="1"/>
    <xf numFmtId="3" fontId="0" fillId="59" borderId="23" xfId="0" applyNumberFormat="1" applyFill="1" applyBorder="1"/>
    <xf numFmtId="0" fontId="5" fillId="59" borderId="29" xfId="0" applyFont="1" applyFill="1" applyBorder="1"/>
    <xf numFmtId="0" fontId="5" fillId="59" borderId="27" xfId="0" applyFont="1" applyFill="1" applyBorder="1"/>
    <xf numFmtId="0" fontId="5" fillId="59" borderId="26" xfId="0" applyFont="1" applyFill="1" applyBorder="1"/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8" fillId="0" borderId="0" xfId="0" applyFont="1"/>
    <xf numFmtId="0" fontId="46" fillId="0" borderId="0" xfId="0" applyFont="1"/>
    <xf numFmtId="2" fontId="0" fillId="0" borderId="0" xfId="0" applyNumberFormat="1"/>
    <xf numFmtId="0" fontId="4" fillId="0" borderId="0" xfId="0" applyFont="1" applyAlignment="1">
      <alignment horizontal="right"/>
    </xf>
    <xf numFmtId="174" fontId="6" fillId="0" borderId="0" xfId="4" applyNumberFormat="1" applyFont="1"/>
    <xf numFmtId="0" fontId="0" fillId="0" borderId="0" xfId="0" applyAlignment="1">
      <alignment horizontal="center" wrapText="1"/>
    </xf>
    <xf numFmtId="1" fontId="0" fillId="0" borderId="0" xfId="0" applyNumberFormat="1"/>
    <xf numFmtId="15" fontId="0" fillId="0" borderId="0" xfId="0" applyNumberFormat="1"/>
    <xf numFmtId="170" fontId="0" fillId="0" borderId="0" xfId="4" applyFont="1"/>
    <xf numFmtId="170" fontId="6" fillId="0" borderId="0" xfId="4" applyFont="1"/>
    <xf numFmtId="172" fontId="9" fillId="0" borderId="0" xfId="0" applyNumberFormat="1" applyFont="1"/>
    <xf numFmtId="181" fontId="9" fillId="0" borderId="0" xfId="0" applyNumberFormat="1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27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182" fontId="0" fillId="0" borderId="0" xfId="0" applyNumberFormat="1"/>
    <xf numFmtId="0" fontId="4" fillId="0" borderId="0" xfId="0" applyFont="1" applyAlignment="1">
      <alignment horizontal="center" wrapText="1"/>
    </xf>
    <xf numFmtId="4" fontId="0" fillId="0" borderId="0" xfId="0" applyNumberFormat="1" applyAlignment="1">
      <alignment horizontal="center"/>
    </xf>
    <xf numFmtId="0" fontId="0" fillId="56" borderId="0" xfId="0" applyFill="1" applyAlignment="1">
      <alignment horizontal="center"/>
    </xf>
    <xf numFmtId="0" fontId="0" fillId="57" borderId="0" xfId="0" applyFill="1" applyAlignment="1">
      <alignment horizontal="right"/>
    </xf>
    <xf numFmtId="4" fontId="0" fillId="0" borderId="0" xfId="0" applyNumberFormat="1"/>
    <xf numFmtId="0" fontId="0" fillId="56" borderId="0" xfId="0" applyFill="1"/>
    <xf numFmtId="0" fontId="0" fillId="56" borderId="0" xfId="0" applyFill="1" applyAlignment="1">
      <alignment horizontal="right"/>
    </xf>
    <xf numFmtId="4" fontId="0" fillId="56" borderId="0" xfId="0" applyNumberFormat="1" applyFill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174" fontId="0" fillId="0" borderId="0" xfId="4" applyNumberFormat="1" applyFont="1" applyAlignment="1">
      <alignment horizontal="right"/>
    </xf>
    <xf numFmtId="174" fontId="4" fillId="0" borderId="0" xfId="4" applyNumberFormat="1" applyFont="1" applyAlignment="1">
      <alignment horizontal="right"/>
    </xf>
    <xf numFmtId="3" fontId="0" fillId="0" borderId="34" xfId="0" applyNumberFormat="1" applyFill="1" applyBorder="1"/>
    <xf numFmtId="3" fontId="0" fillId="0" borderId="0" xfId="0" applyNumberFormat="1" applyFill="1" applyBorder="1"/>
    <xf numFmtId="3" fontId="0" fillId="0" borderId="20" xfId="0" applyNumberFormat="1" applyFill="1" applyBorder="1"/>
    <xf numFmtId="0" fontId="5" fillId="60" borderId="27" xfId="0" applyFont="1" applyFill="1" applyBorder="1"/>
    <xf numFmtId="0" fontId="5" fillId="60" borderId="29" xfId="0" applyFont="1" applyFill="1" applyBorder="1"/>
    <xf numFmtId="3" fontId="0" fillId="0" borderId="35" xfId="0" applyNumberFormat="1" applyFill="1" applyBorder="1"/>
    <xf numFmtId="3" fontId="0" fillId="0" borderId="36" xfId="0" applyNumberFormat="1" applyFill="1" applyBorder="1"/>
    <xf numFmtId="3" fontId="0" fillId="0" borderId="37" xfId="0" applyNumberFormat="1" applyFill="1" applyBorder="1"/>
    <xf numFmtId="4" fontId="2" fillId="0" borderId="0" xfId="167" applyNumberFormat="1" applyAlignment="1">
      <alignment horizontal="center"/>
    </xf>
    <xf numFmtId="0" fontId="0" fillId="0" borderId="0" xfId="0"/>
    <xf numFmtId="171" fontId="0" fillId="0" borderId="0" xfId="0" applyNumberFormat="1"/>
    <xf numFmtId="11" fontId="0" fillId="0" borderId="0" xfId="0" applyNumberFormat="1"/>
    <xf numFmtId="1" fontId="0" fillId="0" borderId="0" xfId="0" applyNumberFormat="1"/>
    <xf numFmtId="0" fontId="2" fillId="0" borderId="0" xfId="167"/>
    <xf numFmtId="4" fontId="2" fillId="0" borderId="0" xfId="167" applyNumberFormat="1"/>
    <xf numFmtId="0" fontId="0" fillId="0" borderId="0" xfId="0" applyAlignment="1">
      <alignment horizontal="center"/>
    </xf>
    <xf numFmtId="3" fontId="0" fillId="87" borderId="0" xfId="0" applyNumberFormat="1" applyFill="1"/>
    <xf numFmtId="3" fontId="9" fillId="87" borderId="0" xfId="0" applyNumberFormat="1" applyFont="1" applyFill="1"/>
    <xf numFmtId="0" fontId="5" fillId="87" borderId="0" xfId="0" applyFont="1" applyFill="1" applyAlignment="1">
      <alignment horizontal="center"/>
    </xf>
    <xf numFmtId="0" fontId="0" fillId="87" borderId="0" xfId="0" applyFill="1"/>
    <xf numFmtId="174" fontId="5" fillId="87" borderId="0" xfId="4" applyNumberFormat="1" applyFont="1" applyFill="1" applyAlignment="1">
      <alignment horizontal="center"/>
    </xf>
    <xf numFmtId="174" fontId="9" fillId="87" borderId="0" xfId="4" applyNumberFormat="1" applyFont="1" applyFill="1"/>
    <xf numFmtId="174" fontId="4" fillId="87" borderId="0" xfId="4" applyNumberFormat="1" applyFont="1" applyFill="1"/>
    <xf numFmtId="0" fontId="9" fillId="87" borderId="0" xfId="0" applyFont="1" applyFill="1"/>
    <xf numFmtId="174" fontId="4" fillId="0" borderId="0" xfId="4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8" fillId="0" borderId="22" xfId="0" applyFont="1" applyBorder="1"/>
  </cellXfs>
  <cellStyles count="5781">
    <cellStyle name="-" xfId="168"/>
    <cellStyle name=" 3]_x000d__x000a_Zoomed=1_x000d__x000a_Row=0_x000d__x000a_Column=0_x000d__x000a_Height=300_x000d__x000a_Width=300_x000d__x000a_FontName=細明體_x000d__x000a_FontStyle=0_x000d__x000a_FontSize=9_x000d__x000a_PrtFontName=Co" xfId="169"/>
    <cellStyle name="$" xfId="101"/>
    <cellStyle name="$ &amp; ¢" xfId="171"/>
    <cellStyle name="$ &amp; ¢ 2" xfId="172"/>
    <cellStyle name="$ 2" xfId="173"/>
    <cellStyle name="$ 3" xfId="170"/>
    <cellStyle name="$.00" xfId="102"/>
    <cellStyle name="$_9. Rev2Cost_GDPIPI" xfId="103"/>
    <cellStyle name="$_lists" xfId="104"/>
    <cellStyle name="$_lists_4. Current Monthly Fixed Charge" xfId="105"/>
    <cellStyle name="$_Sheet4" xfId="106"/>
    <cellStyle name="$M" xfId="107"/>
    <cellStyle name="$M.00" xfId="108"/>
    <cellStyle name="$M_9. Rev2Cost_GDPIPI" xfId="109"/>
    <cellStyle name="%" xfId="174"/>
    <cellStyle name="%.00" xfId="175"/>
    <cellStyle name="(Heading)" xfId="176"/>
    <cellStyle name="(Heading) 2" xfId="177"/>
    <cellStyle name="(Lefting)" xfId="178"/>
    <cellStyle name="(Lefting) 2" xfId="179"/>
    <cellStyle name="(z*¯_x000f_°(”,¯?À(¢,¯?Ð(°,¯?à(Â,¯?ð(Ô,¯?" xfId="180"/>
    <cellStyle name="(z*¯_x000f_°(”,¯?À(¢,¯?Ð(°,¯?à(Â,¯?ð(Ô,¯? 2" xfId="181"/>
    <cellStyle name="******************************************" xfId="182"/>
    <cellStyle name="_CNMD_Valuation Model_20081212_v2" xfId="183"/>
    <cellStyle name="_Comma" xfId="184"/>
    <cellStyle name="_Comps 4" xfId="185"/>
    <cellStyle name="_Cont Analysis" xfId="186"/>
    <cellStyle name="_Currency" xfId="187"/>
    <cellStyle name="_Currency_Analysis" xfId="188"/>
    <cellStyle name="_Currency_Smartportfolio model" xfId="189"/>
    <cellStyle name="_Currency_Smartportfolio model_DB-merged files" xfId="190"/>
    <cellStyle name="_CurrencySpace" xfId="191"/>
    <cellStyle name="_Gamma Valuation - 8" xfId="192"/>
    <cellStyle name="_ITRN" xfId="193"/>
    <cellStyle name="-_Merger Model 17 Nov 04" xfId="194"/>
    <cellStyle name="_Merger Model_KN&amp;Fzio_v2.30 - Street" xfId="195"/>
    <cellStyle name="_Multiple" xfId="196"/>
    <cellStyle name="_Multiple_Analysis" xfId="197"/>
    <cellStyle name="_Multiple_Analysis_DB-merged files" xfId="198"/>
    <cellStyle name="_Multiple_Smartportfolio model" xfId="199"/>
    <cellStyle name="_Multiple_Smartportfolio model_DB-merged files" xfId="200"/>
    <cellStyle name="_MultipleSpace" xfId="201"/>
    <cellStyle name="_MultipleSpace_Analysis" xfId="202"/>
    <cellStyle name="_MultipleSpace_csc" xfId="203"/>
    <cellStyle name="_MultipleSpace_Smartportfolio model" xfId="204"/>
    <cellStyle name="_MultipleSpace_Smartportfolio model_DB-merged files" xfId="205"/>
    <cellStyle name="_Percent" xfId="206"/>
    <cellStyle name="_Percent_Analysis" xfId="207"/>
    <cellStyle name="_Percent_Smartportfolio model" xfId="208"/>
    <cellStyle name="_Percent_Smartportfolio model_DB-merged files" xfId="209"/>
    <cellStyle name="_PercentSpace" xfId="210"/>
    <cellStyle name="_PercentSpace_Analysis" xfId="211"/>
    <cellStyle name="_PercentSpace_Smartportfolio model" xfId="212"/>
    <cellStyle name="_Sepracor Riders_Clean" xfId="213"/>
    <cellStyle name="_SIAL_Model_5.22.09 v71" xfId="214"/>
    <cellStyle name="£ BP" xfId="215"/>
    <cellStyle name="¥ JY" xfId="216"/>
    <cellStyle name="&lt;9#_x000f_¾Èƒé1ƒÃ_x0002_;M_x0014_}$‹E_x0010_‹_x0004_ˆ…Àt_x001b_Pÿ_x0015_ x¦" xfId="217"/>
    <cellStyle name="=C:\WINNT\SYSTEM32\COMMAND.COM" xfId="218"/>
    <cellStyle name="=C:\WINNT35\SYSTEM32\COMMAND.COM" xfId="219"/>
    <cellStyle name="0752-93035" xfId="220"/>
    <cellStyle name="1,comma" xfId="221"/>
    <cellStyle name="10Q" xfId="222"/>
    <cellStyle name="20 % - Accent1" xfId="223"/>
    <cellStyle name="20 % - Accent2" xfId="224"/>
    <cellStyle name="20 % - Accent3" xfId="225"/>
    <cellStyle name="20 % - Accent4" xfId="226"/>
    <cellStyle name="20 % - Accent5" xfId="227"/>
    <cellStyle name="20 % - Accent6" xfId="228"/>
    <cellStyle name="20% - Accent1 2" xfId="68"/>
    <cellStyle name="20% - Accent1 2 10" xfId="230"/>
    <cellStyle name="20% - Accent1 2 11" xfId="231"/>
    <cellStyle name="20% - Accent1 2 12" xfId="229"/>
    <cellStyle name="20% - Accent1 2 13" xfId="138"/>
    <cellStyle name="20% - Accent1 2 14" xfId="5753"/>
    <cellStyle name="20% - Accent1 2 2" xfId="232"/>
    <cellStyle name="20% - Accent1 2 2 2" xfId="233"/>
    <cellStyle name="20% - Accent1 2 2 3" xfId="234"/>
    <cellStyle name="20% - Accent1 2 3" xfId="235"/>
    <cellStyle name="20% - Accent1 2 3 2" xfId="236"/>
    <cellStyle name="20% - Accent1 2 4" xfId="237"/>
    <cellStyle name="20% - Accent1 2 5" xfId="238"/>
    <cellStyle name="20% - Accent1 2 6" xfId="239"/>
    <cellStyle name="20% - Accent1 2 7" xfId="240"/>
    <cellStyle name="20% - Accent1 2 8" xfId="241"/>
    <cellStyle name="20% - Accent1 2 9" xfId="242"/>
    <cellStyle name="20% - Accent1 3" xfId="5"/>
    <cellStyle name="20% - Accent1 3 2" xfId="244"/>
    <cellStyle name="20% - Accent1 3 2 2" xfId="245"/>
    <cellStyle name="20% - Accent1 3 2 2 2" xfId="246"/>
    <cellStyle name="20% - Accent1 3 2 2 2 2" xfId="247"/>
    <cellStyle name="20% - Accent1 3 2 2 3" xfId="248"/>
    <cellStyle name="20% - Accent1 3 2 3" xfId="249"/>
    <cellStyle name="20% - Accent1 3 2 3 2" xfId="250"/>
    <cellStyle name="20% - Accent1 3 2 4" xfId="251"/>
    <cellStyle name="20% - Accent1 3 3" xfId="252"/>
    <cellStyle name="20% - Accent1 3 3 2" xfId="253"/>
    <cellStyle name="20% - Accent1 3 3 2 2" xfId="254"/>
    <cellStyle name="20% - Accent1 3 3 2 2 2" xfId="255"/>
    <cellStyle name="20% - Accent1 3 3 2 3" xfId="256"/>
    <cellStyle name="20% - Accent1 3 3 3" xfId="257"/>
    <cellStyle name="20% - Accent1 3 3 3 2" xfId="258"/>
    <cellStyle name="20% - Accent1 3 3 4" xfId="259"/>
    <cellStyle name="20% - Accent1 3 4" xfId="260"/>
    <cellStyle name="20% - Accent1 3 4 2" xfId="261"/>
    <cellStyle name="20% - Accent1 3 4 2 2" xfId="262"/>
    <cellStyle name="20% - Accent1 3 4 3" xfId="263"/>
    <cellStyle name="20% - Accent1 3 5" xfId="264"/>
    <cellStyle name="20% - Accent1 3 5 2" xfId="265"/>
    <cellStyle name="20% - Accent1 3 6" xfId="266"/>
    <cellStyle name="20% - Accent1 3 7" xfId="243"/>
    <cellStyle name="20% - Accent1 4" xfId="267"/>
    <cellStyle name="20% - Accent1 5" xfId="268"/>
    <cellStyle name="20% - Accent1 6" xfId="269"/>
    <cellStyle name="20% - Accent1 7" xfId="270"/>
    <cellStyle name="20% - Accent1 8" xfId="271"/>
    <cellStyle name="20% - Accent2 2" xfId="72"/>
    <cellStyle name="20% - Accent2 2 10" xfId="273"/>
    <cellStyle name="20% - Accent2 2 11" xfId="274"/>
    <cellStyle name="20% - Accent2 2 12" xfId="272"/>
    <cellStyle name="20% - Accent2 2 13" xfId="140"/>
    <cellStyle name="20% - Accent2 2 14" xfId="5755"/>
    <cellStyle name="20% - Accent2 2 2" xfId="275"/>
    <cellStyle name="20% - Accent2 2 2 2" xfId="276"/>
    <cellStyle name="20% - Accent2 2 2 3" xfId="277"/>
    <cellStyle name="20% - Accent2 2 3" xfId="278"/>
    <cellStyle name="20% - Accent2 2 3 2" xfId="279"/>
    <cellStyle name="20% - Accent2 2 4" xfId="280"/>
    <cellStyle name="20% - Accent2 2 5" xfId="281"/>
    <cellStyle name="20% - Accent2 2 6" xfId="282"/>
    <cellStyle name="20% - Accent2 2 7" xfId="283"/>
    <cellStyle name="20% - Accent2 2 8" xfId="284"/>
    <cellStyle name="20% - Accent2 2 9" xfId="285"/>
    <cellStyle name="20% - Accent2 3" xfId="6"/>
    <cellStyle name="20% - Accent2 3 2" xfId="287"/>
    <cellStyle name="20% - Accent2 3 2 2" xfId="288"/>
    <cellStyle name="20% - Accent2 3 2 2 2" xfId="289"/>
    <cellStyle name="20% - Accent2 3 2 2 2 2" xfId="290"/>
    <cellStyle name="20% - Accent2 3 2 2 3" xfId="291"/>
    <cellStyle name="20% - Accent2 3 2 3" xfId="292"/>
    <cellStyle name="20% - Accent2 3 2 3 2" xfId="293"/>
    <cellStyle name="20% - Accent2 3 2 4" xfId="294"/>
    <cellStyle name="20% - Accent2 3 3" xfId="295"/>
    <cellStyle name="20% - Accent2 3 3 2" xfId="296"/>
    <cellStyle name="20% - Accent2 3 3 2 2" xfId="297"/>
    <cellStyle name="20% - Accent2 3 3 2 2 2" xfId="298"/>
    <cellStyle name="20% - Accent2 3 3 2 3" xfId="299"/>
    <cellStyle name="20% - Accent2 3 3 3" xfId="300"/>
    <cellStyle name="20% - Accent2 3 3 3 2" xfId="301"/>
    <cellStyle name="20% - Accent2 3 3 4" xfId="302"/>
    <cellStyle name="20% - Accent2 3 4" xfId="303"/>
    <cellStyle name="20% - Accent2 3 4 2" xfId="304"/>
    <cellStyle name="20% - Accent2 3 4 2 2" xfId="305"/>
    <cellStyle name="20% - Accent2 3 4 3" xfId="306"/>
    <cellStyle name="20% - Accent2 3 5" xfId="307"/>
    <cellStyle name="20% - Accent2 3 5 2" xfId="308"/>
    <cellStyle name="20% - Accent2 3 6" xfId="309"/>
    <cellStyle name="20% - Accent2 3 7" xfId="286"/>
    <cellStyle name="20% - Accent2 4" xfId="310"/>
    <cellStyle name="20% - Accent2 5" xfId="311"/>
    <cellStyle name="20% - Accent2 6" xfId="312"/>
    <cellStyle name="20% - Accent2 7" xfId="313"/>
    <cellStyle name="20% - Accent2 8" xfId="314"/>
    <cellStyle name="20% - Accent3 2" xfId="76"/>
    <cellStyle name="20% - Accent3 2 10" xfId="316"/>
    <cellStyle name="20% - Accent3 2 11" xfId="317"/>
    <cellStyle name="20% - Accent3 2 12" xfId="315"/>
    <cellStyle name="20% - Accent3 2 13" xfId="142"/>
    <cellStyle name="20% - Accent3 2 14" xfId="5757"/>
    <cellStyle name="20% - Accent3 2 2" xfId="318"/>
    <cellStyle name="20% - Accent3 2 2 2" xfId="319"/>
    <cellStyle name="20% - Accent3 2 2 3" xfId="320"/>
    <cellStyle name="20% - Accent3 2 3" xfId="321"/>
    <cellStyle name="20% - Accent3 2 3 2" xfId="322"/>
    <cellStyle name="20% - Accent3 2 4" xfId="323"/>
    <cellStyle name="20% - Accent3 2 5" xfId="324"/>
    <cellStyle name="20% - Accent3 2 6" xfId="325"/>
    <cellStyle name="20% - Accent3 2 7" xfId="326"/>
    <cellStyle name="20% - Accent3 2 8" xfId="327"/>
    <cellStyle name="20% - Accent3 2 9" xfId="328"/>
    <cellStyle name="20% - Accent3 3" xfId="7"/>
    <cellStyle name="20% - Accent3 3 2" xfId="330"/>
    <cellStyle name="20% - Accent3 3 2 2" xfId="331"/>
    <cellStyle name="20% - Accent3 3 2 2 2" xfId="332"/>
    <cellStyle name="20% - Accent3 3 2 2 2 2" xfId="333"/>
    <cellStyle name="20% - Accent3 3 2 2 3" xfId="334"/>
    <cellStyle name="20% - Accent3 3 2 3" xfId="335"/>
    <cellStyle name="20% - Accent3 3 2 3 2" xfId="336"/>
    <cellStyle name="20% - Accent3 3 2 4" xfId="337"/>
    <cellStyle name="20% - Accent3 3 3" xfId="338"/>
    <cellStyle name="20% - Accent3 3 3 2" xfId="339"/>
    <cellStyle name="20% - Accent3 3 3 2 2" xfId="340"/>
    <cellStyle name="20% - Accent3 3 3 2 2 2" xfId="341"/>
    <cellStyle name="20% - Accent3 3 3 2 3" xfId="342"/>
    <cellStyle name="20% - Accent3 3 3 3" xfId="343"/>
    <cellStyle name="20% - Accent3 3 3 3 2" xfId="344"/>
    <cellStyle name="20% - Accent3 3 3 4" xfId="345"/>
    <cellStyle name="20% - Accent3 3 4" xfId="346"/>
    <cellStyle name="20% - Accent3 3 4 2" xfId="347"/>
    <cellStyle name="20% - Accent3 3 4 2 2" xfId="348"/>
    <cellStyle name="20% - Accent3 3 4 3" xfId="349"/>
    <cellStyle name="20% - Accent3 3 5" xfId="350"/>
    <cellStyle name="20% - Accent3 3 5 2" xfId="351"/>
    <cellStyle name="20% - Accent3 3 6" xfId="352"/>
    <cellStyle name="20% - Accent3 3 7" xfId="329"/>
    <cellStyle name="20% - Accent3 4" xfId="353"/>
    <cellStyle name="20% - Accent3 5" xfId="354"/>
    <cellStyle name="20% - Accent3 6" xfId="355"/>
    <cellStyle name="20% - Accent3 7" xfId="356"/>
    <cellStyle name="20% - Accent3 8" xfId="357"/>
    <cellStyle name="20% - Accent4 2" xfId="80"/>
    <cellStyle name="20% - Accent4 2 10" xfId="359"/>
    <cellStyle name="20% - Accent4 2 11" xfId="360"/>
    <cellStyle name="20% - Accent4 2 12" xfId="358"/>
    <cellStyle name="20% - Accent4 2 13" xfId="144"/>
    <cellStyle name="20% - Accent4 2 14" xfId="5759"/>
    <cellStyle name="20% - Accent4 2 2" xfId="361"/>
    <cellStyle name="20% - Accent4 2 2 2" xfId="362"/>
    <cellStyle name="20% - Accent4 2 2 3" xfId="363"/>
    <cellStyle name="20% - Accent4 2 3" xfId="364"/>
    <cellStyle name="20% - Accent4 2 3 2" xfId="365"/>
    <cellStyle name="20% - Accent4 2 4" xfId="366"/>
    <cellStyle name="20% - Accent4 2 5" xfId="367"/>
    <cellStyle name="20% - Accent4 2 6" xfId="368"/>
    <cellStyle name="20% - Accent4 2 7" xfId="369"/>
    <cellStyle name="20% - Accent4 2 8" xfId="370"/>
    <cellStyle name="20% - Accent4 2 9" xfId="371"/>
    <cellStyle name="20% - Accent4 3" xfId="8"/>
    <cellStyle name="20% - Accent4 3 2" xfId="373"/>
    <cellStyle name="20% - Accent4 3 2 2" xfId="374"/>
    <cellStyle name="20% - Accent4 3 2 2 2" xfId="375"/>
    <cellStyle name="20% - Accent4 3 2 2 2 2" xfId="376"/>
    <cellStyle name="20% - Accent4 3 2 2 3" xfId="377"/>
    <cellStyle name="20% - Accent4 3 2 3" xfId="378"/>
    <cellStyle name="20% - Accent4 3 2 3 2" xfId="379"/>
    <cellStyle name="20% - Accent4 3 2 4" xfId="380"/>
    <cellStyle name="20% - Accent4 3 3" xfId="381"/>
    <cellStyle name="20% - Accent4 3 3 2" xfId="382"/>
    <cellStyle name="20% - Accent4 3 3 2 2" xfId="383"/>
    <cellStyle name="20% - Accent4 3 3 2 2 2" xfId="384"/>
    <cellStyle name="20% - Accent4 3 3 2 3" xfId="385"/>
    <cellStyle name="20% - Accent4 3 3 3" xfId="386"/>
    <cellStyle name="20% - Accent4 3 3 3 2" xfId="387"/>
    <cellStyle name="20% - Accent4 3 3 4" xfId="388"/>
    <cellStyle name="20% - Accent4 3 4" xfId="389"/>
    <cellStyle name="20% - Accent4 3 4 2" xfId="390"/>
    <cellStyle name="20% - Accent4 3 4 2 2" xfId="391"/>
    <cellStyle name="20% - Accent4 3 4 3" xfId="392"/>
    <cellStyle name="20% - Accent4 3 5" xfId="393"/>
    <cellStyle name="20% - Accent4 3 5 2" xfId="394"/>
    <cellStyle name="20% - Accent4 3 6" xfId="395"/>
    <cellStyle name="20% - Accent4 3 7" xfId="372"/>
    <cellStyle name="20% - Accent4 4" xfId="396"/>
    <cellStyle name="20% - Accent4 5" xfId="397"/>
    <cellStyle name="20% - Accent4 6" xfId="398"/>
    <cellStyle name="20% - Accent4 7" xfId="399"/>
    <cellStyle name="20% - Accent4 8" xfId="400"/>
    <cellStyle name="20% - Accent5 2" xfId="84"/>
    <cellStyle name="20% - Accent5 2 10" xfId="402"/>
    <cellStyle name="20% - Accent5 2 11" xfId="403"/>
    <cellStyle name="20% - Accent5 2 12" xfId="401"/>
    <cellStyle name="20% - Accent5 2 13" xfId="146"/>
    <cellStyle name="20% - Accent5 2 14" xfId="5761"/>
    <cellStyle name="20% - Accent5 2 2" xfId="404"/>
    <cellStyle name="20% - Accent5 2 2 2" xfId="405"/>
    <cellStyle name="20% - Accent5 2 2 3" xfId="406"/>
    <cellStyle name="20% - Accent5 2 3" xfId="407"/>
    <cellStyle name="20% - Accent5 2 3 2" xfId="408"/>
    <cellStyle name="20% - Accent5 2 4" xfId="409"/>
    <cellStyle name="20% - Accent5 2 5" xfId="410"/>
    <cellStyle name="20% - Accent5 2 6" xfId="411"/>
    <cellStyle name="20% - Accent5 2 7" xfId="412"/>
    <cellStyle name="20% - Accent5 2 8" xfId="413"/>
    <cellStyle name="20% - Accent5 2 9" xfId="414"/>
    <cellStyle name="20% - Accent5 3" xfId="9"/>
    <cellStyle name="20% - Accent5 3 2" xfId="416"/>
    <cellStyle name="20% - Accent5 3 2 2" xfId="417"/>
    <cellStyle name="20% - Accent5 3 2 2 2" xfId="418"/>
    <cellStyle name="20% - Accent5 3 2 2 2 2" xfId="419"/>
    <cellStyle name="20% - Accent5 3 2 2 3" xfId="420"/>
    <cellStyle name="20% - Accent5 3 2 3" xfId="421"/>
    <cellStyle name="20% - Accent5 3 2 3 2" xfId="422"/>
    <cellStyle name="20% - Accent5 3 2 4" xfId="423"/>
    <cellStyle name="20% - Accent5 3 3" xfId="424"/>
    <cellStyle name="20% - Accent5 3 3 2" xfId="425"/>
    <cellStyle name="20% - Accent5 3 3 2 2" xfId="426"/>
    <cellStyle name="20% - Accent5 3 3 2 2 2" xfId="427"/>
    <cellStyle name="20% - Accent5 3 3 2 3" xfId="428"/>
    <cellStyle name="20% - Accent5 3 3 3" xfId="429"/>
    <cellStyle name="20% - Accent5 3 3 3 2" xfId="430"/>
    <cellStyle name="20% - Accent5 3 3 4" xfId="431"/>
    <cellStyle name="20% - Accent5 3 4" xfId="432"/>
    <cellStyle name="20% - Accent5 3 4 2" xfId="433"/>
    <cellStyle name="20% - Accent5 3 4 2 2" xfId="434"/>
    <cellStyle name="20% - Accent5 3 4 3" xfId="435"/>
    <cellStyle name="20% - Accent5 3 5" xfId="436"/>
    <cellStyle name="20% - Accent5 3 5 2" xfId="437"/>
    <cellStyle name="20% - Accent5 3 6" xfId="438"/>
    <cellStyle name="20% - Accent5 3 7" xfId="415"/>
    <cellStyle name="20% - Accent5 4" xfId="439"/>
    <cellStyle name="20% - Accent5 5" xfId="440"/>
    <cellStyle name="20% - Accent5 6" xfId="441"/>
    <cellStyle name="20% - Accent5 7" xfId="442"/>
    <cellStyle name="20% - Accent5 8" xfId="443"/>
    <cellStyle name="20% - Accent6 2" xfId="88"/>
    <cellStyle name="20% - Accent6 2 10" xfId="445"/>
    <cellStyle name="20% - Accent6 2 11" xfId="446"/>
    <cellStyle name="20% - Accent6 2 12" xfId="444"/>
    <cellStyle name="20% - Accent6 2 13" xfId="148"/>
    <cellStyle name="20% - Accent6 2 14" xfId="5763"/>
    <cellStyle name="20% - Accent6 2 2" xfId="447"/>
    <cellStyle name="20% - Accent6 2 2 2" xfId="448"/>
    <cellStyle name="20% - Accent6 2 2 3" xfId="449"/>
    <cellStyle name="20% - Accent6 2 3" xfId="450"/>
    <cellStyle name="20% - Accent6 2 3 2" xfId="451"/>
    <cellStyle name="20% - Accent6 2 4" xfId="452"/>
    <cellStyle name="20% - Accent6 2 5" xfId="453"/>
    <cellStyle name="20% - Accent6 2 6" xfId="454"/>
    <cellStyle name="20% - Accent6 2 7" xfId="455"/>
    <cellStyle name="20% - Accent6 2 8" xfId="456"/>
    <cellStyle name="20% - Accent6 2 9" xfId="457"/>
    <cellStyle name="20% - Accent6 3" xfId="10"/>
    <cellStyle name="20% - Accent6 3 2" xfId="459"/>
    <cellStyle name="20% - Accent6 3 2 2" xfId="460"/>
    <cellStyle name="20% - Accent6 3 2 2 2" xfId="461"/>
    <cellStyle name="20% - Accent6 3 2 2 2 2" xfId="462"/>
    <cellStyle name="20% - Accent6 3 2 2 3" xfId="463"/>
    <cellStyle name="20% - Accent6 3 2 3" xfId="464"/>
    <cellStyle name="20% - Accent6 3 2 3 2" xfId="465"/>
    <cellStyle name="20% - Accent6 3 2 4" xfId="466"/>
    <cellStyle name="20% - Accent6 3 3" xfId="467"/>
    <cellStyle name="20% - Accent6 3 3 2" xfId="468"/>
    <cellStyle name="20% - Accent6 3 3 2 2" xfId="469"/>
    <cellStyle name="20% - Accent6 3 3 2 2 2" xfId="470"/>
    <cellStyle name="20% - Accent6 3 3 2 3" xfId="471"/>
    <cellStyle name="20% - Accent6 3 3 3" xfId="472"/>
    <cellStyle name="20% - Accent6 3 3 3 2" xfId="473"/>
    <cellStyle name="20% - Accent6 3 3 4" xfId="474"/>
    <cellStyle name="20% - Accent6 3 4" xfId="475"/>
    <cellStyle name="20% - Accent6 3 4 2" xfId="476"/>
    <cellStyle name="20% - Accent6 3 4 2 2" xfId="477"/>
    <cellStyle name="20% - Accent6 3 4 3" xfId="478"/>
    <cellStyle name="20% - Accent6 3 5" xfId="479"/>
    <cellStyle name="20% - Accent6 3 5 2" xfId="480"/>
    <cellStyle name="20% - Accent6 3 6" xfId="481"/>
    <cellStyle name="20% - Accent6 3 7" xfId="458"/>
    <cellStyle name="20% - Accent6 4" xfId="482"/>
    <cellStyle name="20% - Accent6 5" xfId="483"/>
    <cellStyle name="20% - Accent6 6" xfId="484"/>
    <cellStyle name="20% - Accent6 7" xfId="485"/>
    <cellStyle name="20% - Accent6 8" xfId="486"/>
    <cellStyle name="40 % - Accent1" xfId="487"/>
    <cellStyle name="40 % - Accent2" xfId="488"/>
    <cellStyle name="40 % - Accent3" xfId="489"/>
    <cellStyle name="40 % - Accent4" xfId="490"/>
    <cellStyle name="40 % - Accent5" xfId="491"/>
    <cellStyle name="40 % - Accent6" xfId="492"/>
    <cellStyle name="40% - Accent1 2" xfId="69"/>
    <cellStyle name="40% - Accent1 2 10" xfId="494"/>
    <cellStyle name="40% - Accent1 2 11" xfId="495"/>
    <cellStyle name="40% - Accent1 2 12" xfId="493"/>
    <cellStyle name="40% - Accent1 2 13" xfId="139"/>
    <cellStyle name="40% - Accent1 2 14" xfId="5754"/>
    <cellStyle name="40% - Accent1 2 2" xfId="496"/>
    <cellStyle name="40% - Accent1 2 2 2" xfId="497"/>
    <cellStyle name="40% - Accent1 2 2 3" xfId="498"/>
    <cellStyle name="40% - Accent1 2 3" xfId="499"/>
    <cellStyle name="40% - Accent1 2 3 2" xfId="500"/>
    <cellStyle name="40% - Accent1 2 4" xfId="501"/>
    <cellStyle name="40% - Accent1 2 5" xfId="502"/>
    <cellStyle name="40% - Accent1 2 6" xfId="503"/>
    <cellStyle name="40% - Accent1 2 7" xfId="504"/>
    <cellStyle name="40% - Accent1 2 8" xfId="505"/>
    <cellStyle name="40% - Accent1 2 9" xfId="506"/>
    <cellStyle name="40% - Accent1 3" xfId="11"/>
    <cellStyle name="40% - Accent1 3 2" xfId="508"/>
    <cellStyle name="40% - Accent1 3 2 2" xfId="509"/>
    <cellStyle name="40% - Accent1 3 2 2 2" xfId="510"/>
    <cellStyle name="40% - Accent1 3 2 2 2 2" xfId="511"/>
    <cellStyle name="40% - Accent1 3 2 2 3" xfId="512"/>
    <cellStyle name="40% - Accent1 3 2 3" xfId="513"/>
    <cellStyle name="40% - Accent1 3 2 3 2" xfId="514"/>
    <cellStyle name="40% - Accent1 3 2 4" xfId="515"/>
    <cellStyle name="40% - Accent1 3 3" xfId="516"/>
    <cellStyle name="40% - Accent1 3 3 2" xfId="517"/>
    <cellStyle name="40% - Accent1 3 3 2 2" xfId="518"/>
    <cellStyle name="40% - Accent1 3 3 2 2 2" xfId="519"/>
    <cellStyle name="40% - Accent1 3 3 2 3" xfId="520"/>
    <cellStyle name="40% - Accent1 3 3 3" xfId="521"/>
    <cellStyle name="40% - Accent1 3 3 3 2" xfId="522"/>
    <cellStyle name="40% - Accent1 3 3 4" xfId="523"/>
    <cellStyle name="40% - Accent1 3 4" xfId="524"/>
    <cellStyle name="40% - Accent1 3 4 2" xfId="525"/>
    <cellStyle name="40% - Accent1 3 4 2 2" xfId="526"/>
    <cellStyle name="40% - Accent1 3 4 3" xfId="527"/>
    <cellStyle name="40% - Accent1 3 5" xfId="528"/>
    <cellStyle name="40% - Accent1 3 5 2" xfId="529"/>
    <cellStyle name="40% - Accent1 3 6" xfId="530"/>
    <cellStyle name="40% - Accent1 3 7" xfId="507"/>
    <cellStyle name="40% - Accent1 4" xfId="531"/>
    <cellStyle name="40% - Accent1 5" xfId="532"/>
    <cellStyle name="40% - Accent1 6" xfId="533"/>
    <cellStyle name="40% - Accent1 7" xfId="534"/>
    <cellStyle name="40% - Accent1 8" xfId="535"/>
    <cellStyle name="40% - Accent2 2" xfId="73"/>
    <cellStyle name="40% - Accent2 2 10" xfId="537"/>
    <cellStyle name="40% - Accent2 2 11" xfId="538"/>
    <cellStyle name="40% - Accent2 2 12" xfId="536"/>
    <cellStyle name="40% - Accent2 2 13" xfId="141"/>
    <cellStyle name="40% - Accent2 2 14" xfId="5756"/>
    <cellStyle name="40% - Accent2 2 2" xfId="539"/>
    <cellStyle name="40% - Accent2 2 2 2" xfId="540"/>
    <cellStyle name="40% - Accent2 2 2 3" xfId="541"/>
    <cellStyle name="40% - Accent2 2 3" xfId="542"/>
    <cellStyle name="40% - Accent2 2 3 2" xfId="543"/>
    <cellStyle name="40% - Accent2 2 4" xfId="544"/>
    <cellStyle name="40% - Accent2 2 5" xfId="545"/>
    <cellStyle name="40% - Accent2 2 6" xfId="546"/>
    <cellStyle name="40% - Accent2 2 7" xfId="547"/>
    <cellStyle name="40% - Accent2 2 8" xfId="548"/>
    <cellStyle name="40% - Accent2 2 9" xfId="549"/>
    <cellStyle name="40% - Accent2 3" xfId="12"/>
    <cellStyle name="40% - Accent2 3 2" xfId="551"/>
    <cellStyle name="40% - Accent2 3 2 2" xfId="552"/>
    <cellStyle name="40% - Accent2 3 2 2 2" xfId="553"/>
    <cellStyle name="40% - Accent2 3 2 2 2 2" xfId="554"/>
    <cellStyle name="40% - Accent2 3 2 2 3" xfId="555"/>
    <cellStyle name="40% - Accent2 3 2 3" xfId="556"/>
    <cellStyle name="40% - Accent2 3 2 3 2" xfId="557"/>
    <cellStyle name="40% - Accent2 3 2 4" xfId="558"/>
    <cellStyle name="40% - Accent2 3 3" xfId="559"/>
    <cellStyle name="40% - Accent2 3 3 2" xfId="560"/>
    <cellStyle name="40% - Accent2 3 3 2 2" xfId="561"/>
    <cellStyle name="40% - Accent2 3 3 2 2 2" xfId="562"/>
    <cellStyle name="40% - Accent2 3 3 2 3" xfId="563"/>
    <cellStyle name="40% - Accent2 3 3 3" xfId="564"/>
    <cellStyle name="40% - Accent2 3 3 3 2" xfId="565"/>
    <cellStyle name="40% - Accent2 3 3 4" xfId="566"/>
    <cellStyle name="40% - Accent2 3 4" xfId="567"/>
    <cellStyle name="40% - Accent2 3 4 2" xfId="568"/>
    <cellStyle name="40% - Accent2 3 4 2 2" xfId="569"/>
    <cellStyle name="40% - Accent2 3 4 3" xfId="570"/>
    <cellStyle name="40% - Accent2 3 5" xfId="571"/>
    <cellStyle name="40% - Accent2 3 5 2" xfId="572"/>
    <cellStyle name="40% - Accent2 3 6" xfId="573"/>
    <cellStyle name="40% - Accent2 3 7" xfId="550"/>
    <cellStyle name="40% - Accent2 4" xfId="574"/>
    <cellStyle name="40% - Accent2 5" xfId="575"/>
    <cellStyle name="40% - Accent2 6" xfId="576"/>
    <cellStyle name="40% - Accent2 7" xfId="577"/>
    <cellStyle name="40% - Accent2 8" xfId="578"/>
    <cellStyle name="40% - Accent3 2" xfId="77"/>
    <cellStyle name="40% - Accent3 2 10" xfId="580"/>
    <cellStyle name="40% - Accent3 2 11" xfId="581"/>
    <cellStyle name="40% - Accent3 2 12" xfId="579"/>
    <cellStyle name="40% - Accent3 2 13" xfId="143"/>
    <cellStyle name="40% - Accent3 2 14" xfId="5758"/>
    <cellStyle name="40% - Accent3 2 2" xfId="582"/>
    <cellStyle name="40% - Accent3 2 2 2" xfId="583"/>
    <cellStyle name="40% - Accent3 2 2 3" xfId="584"/>
    <cellStyle name="40% - Accent3 2 3" xfId="585"/>
    <cellStyle name="40% - Accent3 2 3 2" xfId="586"/>
    <cellStyle name="40% - Accent3 2 4" xfId="587"/>
    <cellStyle name="40% - Accent3 2 5" xfId="588"/>
    <cellStyle name="40% - Accent3 2 6" xfId="589"/>
    <cellStyle name="40% - Accent3 2 7" xfId="590"/>
    <cellStyle name="40% - Accent3 2 8" xfId="591"/>
    <cellStyle name="40% - Accent3 2 9" xfId="592"/>
    <cellStyle name="40% - Accent3 3" xfId="13"/>
    <cellStyle name="40% - Accent3 3 2" xfId="594"/>
    <cellStyle name="40% - Accent3 3 2 2" xfId="595"/>
    <cellStyle name="40% - Accent3 3 2 2 2" xfId="596"/>
    <cellStyle name="40% - Accent3 3 2 2 2 2" xfId="597"/>
    <cellStyle name="40% - Accent3 3 2 2 3" xfId="598"/>
    <cellStyle name="40% - Accent3 3 2 3" xfId="599"/>
    <cellStyle name="40% - Accent3 3 2 3 2" xfId="600"/>
    <cellStyle name="40% - Accent3 3 2 4" xfId="601"/>
    <cellStyle name="40% - Accent3 3 3" xfId="602"/>
    <cellStyle name="40% - Accent3 3 3 2" xfId="603"/>
    <cellStyle name="40% - Accent3 3 3 2 2" xfId="604"/>
    <cellStyle name="40% - Accent3 3 3 2 2 2" xfId="605"/>
    <cellStyle name="40% - Accent3 3 3 2 3" xfId="606"/>
    <cellStyle name="40% - Accent3 3 3 3" xfId="607"/>
    <cellStyle name="40% - Accent3 3 3 3 2" xfId="608"/>
    <cellStyle name="40% - Accent3 3 3 4" xfId="609"/>
    <cellStyle name="40% - Accent3 3 4" xfId="610"/>
    <cellStyle name="40% - Accent3 3 4 2" xfId="611"/>
    <cellStyle name="40% - Accent3 3 4 2 2" xfId="612"/>
    <cellStyle name="40% - Accent3 3 4 3" xfId="613"/>
    <cellStyle name="40% - Accent3 3 5" xfId="614"/>
    <cellStyle name="40% - Accent3 3 5 2" xfId="615"/>
    <cellStyle name="40% - Accent3 3 6" xfId="616"/>
    <cellStyle name="40% - Accent3 3 7" xfId="593"/>
    <cellStyle name="40% - Accent3 4" xfId="617"/>
    <cellStyle name="40% - Accent3 5" xfId="618"/>
    <cellStyle name="40% - Accent3 6" xfId="619"/>
    <cellStyle name="40% - Accent3 7" xfId="620"/>
    <cellStyle name="40% - Accent3 8" xfId="621"/>
    <cellStyle name="40% - Accent4 2" xfId="81"/>
    <cellStyle name="40% - Accent4 2 10" xfId="623"/>
    <cellStyle name="40% - Accent4 2 11" xfId="624"/>
    <cellStyle name="40% - Accent4 2 12" xfId="622"/>
    <cellStyle name="40% - Accent4 2 13" xfId="145"/>
    <cellStyle name="40% - Accent4 2 14" xfId="5760"/>
    <cellStyle name="40% - Accent4 2 2" xfId="625"/>
    <cellStyle name="40% - Accent4 2 2 2" xfId="626"/>
    <cellStyle name="40% - Accent4 2 2 3" xfId="627"/>
    <cellStyle name="40% - Accent4 2 3" xfId="628"/>
    <cellStyle name="40% - Accent4 2 3 2" xfId="629"/>
    <cellStyle name="40% - Accent4 2 4" xfId="630"/>
    <cellStyle name="40% - Accent4 2 5" xfId="631"/>
    <cellStyle name="40% - Accent4 2 6" xfId="632"/>
    <cellStyle name="40% - Accent4 2 7" xfId="633"/>
    <cellStyle name="40% - Accent4 2 8" xfId="634"/>
    <cellStyle name="40% - Accent4 2 9" xfId="635"/>
    <cellStyle name="40% - Accent4 3" xfId="14"/>
    <cellStyle name="40% - Accent4 3 2" xfId="637"/>
    <cellStyle name="40% - Accent4 3 2 2" xfId="638"/>
    <cellStyle name="40% - Accent4 3 2 2 2" xfId="639"/>
    <cellStyle name="40% - Accent4 3 2 2 2 2" xfId="640"/>
    <cellStyle name="40% - Accent4 3 2 2 3" xfId="641"/>
    <cellStyle name="40% - Accent4 3 2 3" xfId="642"/>
    <cellStyle name="40% - Accent4 3 2 3 2" xfId="643"/>
    <cellStyle name="40% - Accent4 3 2 4" xfId="644"/>
    <cellStyle name="40% - Accent4 3 3" xfId="645"/>
    <cellStyle name="40% - Accent4 3 3 2" xfId="646"/>
    <cellStyle name="40% - Accent4 3 3 2 2" xfId="647"/>
    <cellStyle name="40% - Accent4 3 3 2 2 2" xfId="648"/>
    <cellStyle name="40% - Accent4 3 3 2 3" xfId="649"/>
    <cellStyle name="40% - Accent4 3 3 3" xfId="650"/>
    <cellStyle name="40% - Accent4 3 3 3 2" xfId="651"/>
    <cellStyle name="40% - Accent4 3 3 4" xfId="652"/>
    <cellStyle name="40% - Accent4 3 4" xfId="653"/>
    <cellStyle name="40% - Accent4 3 4 2" xfId="654"/>
    <cellStyle name="40% - Accent4 3 4 2 2" xfId="655"/>
    <cellStyle name="40% - Accent4 3 4 3" xfId="656"/>
    <cellStyle name="40% - Accent4 3 5" xfId="657"/>
    <cellStyle name="40% - Accent4 3 5 2" xfId="658"/>
    <cellStyle name="40% - Accent4 3 6" xfId="659"/>
    <cellStyle name="40% - Accent4 3 7" xfId="636"/>
    <cellStyle name="40% - Accent4 4" xfId="660"/>
    <cellStyle name="40% - Accent4 5" xfId="661"/>
    <cellStyle name="40% - Accent4 6" xfId="662"/>
    <cellStyle name="40% - Accent4 7" xfId="663"/>
    <cellStyle name="40% - Accent4 8" xfId="664"/>
    <cellStyle name="40% - Accent5 2" xfId="85"/>
    <cellStyle name="40% - Accent5 2 10" xfId="666"/>
    <cellStyle name="40% - Accent5 2 11" xfId="667"/>
    <cellStyle name="40% - Accent5 2 12" xfId="665"/>
    <cellStyle name="40% - Accent5 2 13" xfId="147"/>
    <cellStyle name="40% - Accent5 2 14" xfId="5762"/>
    <cellStyle name="40% - Accent5 2 2" xfId="668"/>
    <cellStyle name="40% - Accent5 2 2 2" xfId="669"/>
    <cellStyle name="40% - Accent5 2 2 3" xfId="670"/>
    <cellStyle name="40% - Accent5 2 3" xfId="671"/>
    <cellStyle name="40% - Accent5 2 3 2" xfId="672"/>
    <cellStyle name="40% - Accent5 2 4" xfId="673"/>
    <cellStyle name="40% - Accent5 2 5" xfId="674"/>
    <cellStyle name="40% - Accent5 2 6" xfId="675"/>
    <cellStyle name="40% - Accent5 2 7" xfId="676"/>
    <cellStyle name="40% - Accent5 2 8" xfId="677"/>
    <cellStyle name="40% - Accent5 2 9" xfId="678"/>
    <cellStyle name="40% - Accent5 3" xfId="15"/>
    <cellStyle name="40% - Accent5 3 2" xfId="680"/>
    <cellStyle name="40% - Accent5 3 2 2" xfId="681"/>
    <cellStyle name="40% - Accent5 3 2 2 2" xfId="682"/>
    <cellStyle name="40% - Accent5 3 2 2 2 2" xfId="683"/>
    <cellStyle name="40% - Accent5 3 2 2 3" xfId="684"/>
    <cellStyle name="40% - Accent5 3 2 3" xfId="685"/>
    <cellStyle name="40% - Accent5 3 2 3 2" xfId="686"/>
    <cellStyle name="40% - Accent5 3 2 4" xfId="687"/>
    <cellStyle name="40% - Accent5 3 3" xfId="688"/>
    <cellStyle name="40% - Accent5 3 3 2" xfId="689"/>
    <cellStyle name="40% - Accent5 3 3 2 2" xfId="690"/>
    <cellStyle name="40% - Accent5 3 3 2 2 2" xfId="691"/>
    <cellStyle name="40% - Accent5 3 3 2 3" xfId="692"/>
    <cellStyle name="40% - Accent5 3 3 3" xfId="693"/>
    <cellStyle name="40% - Accent5 3 3 3 2" xfId="694"/>
    <cellStyle name="40% - Accent5 3 3 4" xfId="695"/>
    <cellStyle name="40% - Accent5 3 4" xfId="696"/>
    <cellStyle name="40% - Accent5 3 4 2" xfId="697"/>
    <cellStyle name="40% - Accent5 3 4 2 2" xfId="698"/>
    <cellStyle name="40% - Accent5 3 4 3" xfId="699"/>
    <cellStyle name="40% - Accent5 3 5" xfId="700"/>
    <cellStyle name="40% - Accent5 3 5 2" xfId="701"/>
    <cellStyle name="40% - Accent5 3 6" xfId="702"/>
    <cellStyle name="40% - Accent5 3 7" xfId="679"/>
    <cellStyle name="40% - Accent5 4" xfId="703"/>
    <cellStyle name="40% - Accent5 5" xfId="704"/>
    <cellStyle name="40% - Accent5 6" xfId="705"/>
    <cellStyle name="40% - Accent5 7" xfId="706"/>
    <cellStyle name="40% - Accent5 8" xfId="707"/>
    <cellStyle name="40% - Accent6 2" xfId="89"/>
    <cellStyle name="40% - Accent6 2 10" xfId="709"/>
    <cellStyle name="40% - Accent6 2 11" xfId="710"/>
    <cellStyle name="40% - Accent6 2 12" xfId="708"/>
    <cellStyle name="40% - Accent6 2 13" xfId="149"/>
    <cellStyle name="40% - Accent6 2 14" xfId="5764"/>
    <cellStyle name="40% - Accent6 2 2" xfId="711"/>
    <cellStyle name="40% - Accent6 2 2 2" xfId="712"/>
    <cellStyle name="40% - Accent6 2 2 3" xfId="713"/>
    <cellStyle name="40% - Accent6 2 3" xfId="714"/>
    <cellStyle name="40% - Accent6 2 3 2" xfId="715"/>
    <cellStyle name="40% - Accent6 2 4" xfId="716"/>
    <cellStyle name="40% - Accent6 2 5" xfId="717"/>
    <cellStyle name="40% - Accent6 2 6" xfId="718"/>
    <cellStyle name="40% - Accent6 2 7" xfId="719"/>
    <cellStyle name="40% - Accent6 2 8" xfId="720"/>
    <cellStyle name="40% - Accent6 2 9" xfId="721"/>
    <cellStyle name="40% - Accent6 3" xfId="16"/>
    <cellStyle name="40% - Accent6 3 2" xfId="723"/>
    <cellStyle name="40% - Accent6 3 2 2" xfId="724"/>
    <cellStyle name="40% - Accent6 3 2 2 2" xfId="725"/>
    <cellStyle name="40% - Accent6 3 2 2 2 2" xfId="726"/>
    <cellStyle name="40% - Accent6 3 2 2 3" xfId="727"/>
    <cellStyle name="40% - Accent6 3 2 3" xfId="728"/>
    <cellStyle name="40% - Accent6 3 2 3 2" xfId="729"/>
    <cellStyle name="40% - Accent6 3 2 4" xfId="730"/>
    <cellStyle name="40% - Accent6 3 3" xfId="731"/>
    <cellStyle name="40% - Accent6 3 3 2" xfId="732"/>
    <cellStyle name="40% - Accent6 3 3 2 2" xfId="733"/>
    <cellStyle name="40% - Accent6 3 3 2 2 2" xfId="734"/>
    <cellStyle name="40% - Accent6 3 3 2 3" xfId="735"/>
    <cellStyle name="40% - Accent6 3 3 3" xfId="736"/>
    <cellStyle name="40% - Accent6 3 3 3 2" xfId="737"/>
    <cellStyle name="40% - Accent6 3 3 4" xfId="738"/>
    <cellStyle name="40% - Accent6 3 4" xfId="739"/>
    <cellStyle name="40% - Accent6 3 4 2" xfId="740"/>
    <cellStyle name="40% - Accent6 3 4 2 2" xfId="741"/>
    <cellStyle name="40% - Accent6 3 4 3" xfId="742"/>
    <cellStyle name="40% - Accent6 3 5" xfId="743"/>
    <cellStyle name="40% - Accent6 3 5 2" xfId="744"/>
    <cellStyle name="40% - Accent6 3 6" xfId="745"/>
    <cellStyle name="40% - Accent6 3 7" xfId="722"/>
    <cellStyle name="40% - Accent6 4" xfId="746"/>
    <cellStyle name="40% - Accent6 5" xfId="747"/>
    <cellStyle name="40% - Accent6 6" xfId="748"/>
    <cellStyle name="40% - Accent6 7" xfId="749"/>
    <cellStyle name="40% - Accent6 8" xfId="750"/>
    <cellStyle name="60 % - Accent1" xfId="751"/>
    <cellStyle name="60 % - Accent2" xfId="752"/>
    <cellStyle name="60 % - Accent3" xfId="753"/>
    <cellStyle name="60 % - Accent4" xfId="754"/>
    <cellStyle name="60 % - Accent5" xfId="755"/>
    <cellStyle name="60 % - Accent6" xfId="756"/>
    <cellStyle name="60% - Accent1 2" xfId="70"/>
    <cellStyle name="60% - Accent1 2 10" xfId="758"/>
    <cellStyle name="60% - Accent1 2 11" xfId="757"/>
    <cellStyle name="60% - Accent1 2 2" xfId="759"/>
    <cellStyle name="60% - Accent1 2 3" xfId="760"/>
    <cellStyle name="60% - Accent1 2 4" xfId="761"/>
    <cellStyle name="60% - Accent1 2 5" xfId="762"/>
    <cellStyle name="60% - Accent1 2 6" xfId="763"/>
    <cellStyle name="60% - Accent1 2 7" xfId="764"/>
    <cellStyle name="60% - Accent1 2 8" xfId="765"/>
    <cellStyle name="60% - Accent1 2 9" xfId="766"/>
    <cellStyle name="60% - Accent1 3" xfId="17"/>
    <cellStyle name="60% - Accent2 2" xfId="74"/>
    <cellStyle name="60% - Accent2 2 10" xfId="768"/>
    <cellStyle name="60% - Accent2 2 11" xfId="767"/>
    <cellStyle name="60% - Accent2 2 2" xfId="769"/>
    <cellStyle name="60% - Accent2 2 3" xfId="770"/>
    <cellStyle name="60% - Accent2 2 4" xfId="771"/>
    <cellStyle name="60% - Accent2 2 5" xfId="772"/>
    <cellStyle name="60% - Accent2 2 6" xfId="773"/>
    <cellStyle name="60% - Accent2 2 7" xfId="774"/>
    <cellStyle name="60% - Accent2 2 8" xfId="775"/>
    <cellStyle name="60% - Accent2 2 9" xfId="776"/>
    <cellStyle name="60% - Accent2 3" xfId="18"/>
    <cellStyle name="60% - Accent3 2" xfId="78"/>
    <cellStyle name="60% - Accent3 2 10" xfId="778"/>
    <cellStyle name="60% - Accent3 2 11" xfId="777"/>
    <cellStyle name="60% - Accent3 2 2" xfId="779"/>
    <cellStyle name="60% - Accent3 2 3" xfId="780"/>
    <cellStyle name="60% - Accent3 2 4" xfId="781"/>
    <cellStyle name="60% - Accent3 2 5" xfId="782"/>
    <cellStyle name="60% - Accent3 2 6" xfId="783"/>
    <cellStyle name="60% - Accent3 2 7" xfId="784"/>
    <cellStyle name="60% - Accent3 2 8" xfId="785"/>
    <cellStyle name="60% - Accent3 2 9" xfId="786"/>
    <cellStyle name="60% - Accent3 3" xfId="19"/>
    <cellStyle name="60% - Accent4 2" xfId="82"/>
    <cellStyle name="60% - Accent4 2 10" xfId="788"/>
    <cellStyle name="60% - Accent4 2 11" xfId="787"/>
    <cellStyle name="60% - Accent4 2 2" xfId="789"/>
    <cellStyle name="60% - Accent4 2 3" xfId="790"/>
    <cellStyle name="60% - Accent4 2 4" xfId="791"/>
    <cellStyle name="60% - Accent4 2 5" xfId="792"/>
    <cellStyle name="60% - Accent4 2 6" xfId="793"/>
    <cellStyle name="60% - Accent4 2 7" xfId="794"/>
    <cellStyle name="60% - Accent4 2 8" xfId="795"/>
    <cellStyle name="60% - Accent4 2 9" xfId="796"/>
    <cellStyle name="60% - Accent4 3" xfId="20"/>
    <cellStyle name="60% - Accent5 2" xfId="86"/>
    <cellStyle name="60% - Accent5 2 10" xfId="798"/>
    <cellStyle name="60% - Accent5 2 11" xfId="797"/>
    <cellStyle name="60% - Accent5 2 2" xfId="799"/>
    <cellStyle name="60% - Accent5 2 3" xfId="800"/>
    <cellStyle name="60% - Accent5 2 4" xfId="801"/>
    <cellStyle name="60% - Accent5 2 5" xfId="802"/>
    <cellStyle name="60% - Accent5 2 6" xfId="803"/>
    <cellStyle name="60% - Accent5 2 7" xfId="804"/>
    <cellStyle name="60% - Accent5 2 8" xfId="805"/>
    <cellStyle name="60% - Accent5 2 9" xfId="806"/>
    <cellStyle name="60% - Accent5 3" xfId="21"/>
    <cellStyle name="60% - Accent6 2" xfId="90"/>
    <cellStyle name="60% - Accent6 2 10" xfId="808"/>
    <cellStyle name="60% - Accent6 2 11" xfId="807"/>
    <cellStyle name="60% - Accent6 2 2" xfId="809"/>
    <cellStyle name="60% - Accent6 2 3" xfId="810"/>
    <cellStyle name="60% - Accent6 2 4" xfId="811"/>
    <cellStyle name="60% - Accent6 2 5" xfId="812"/>
    <cellStyle name="60% - Accent6 2 6" xfId="813"/>
    <cellStyle name="60% - Accent6 2 7" xfId="814"/>
    <cellStyle name="60% - Accent6 2 8" xfId="815"/>
    <cellStyle name="60% - Accent6 2 9" xfId="816"/>
    <cellStyle name="60% - Accent6 3" xfId="22"/>
    <cellStyle name="A%" xfId="817"/>
    <cellStyle name="Accent1 2" xfId="67"/>
    <cellStyle name="Accent1 2 10" xfId="819"/>
    <cellStyle name="Accent1 2 11" xfId="818"/>
    <cellStyle name="Accent1 2 2" xfId="820"/>
    <cellStyle name="Accent1 2 3" xfId="821"/>
    <cellStyle name="Accent1 2 4" xfId="822"/>
    <cellStyle name="Accent1 2 5" xfId="823"/>
    <cellStyle name="Accent1 2 6" xfId="824"/>
    <cellStyle name="Accent1 2 7" xfId="825"/>
    <cellStyle name="Accent1 2 8" xfId="826"/>
    <cellStyle name="Accent1 2 9" xfId="827"/>
    <cellStyle name="Accent1 3" xfId="23"/>
    <cellStyle name="Accent2 2" xfId="71"/>
    <cellStyle name="Accent2 2 10" xfId="829"/>
    <cellStyle name="Accent2 2 11" xfId="828"/>
    <cellStyle name="Accent2 2 2" xfId="830"/>
    <cellStyle name="Accent2 2 3" xfId="831"/>
    <cellStyle name="Accent2 2 4" xfId="832"/>
    <cellStyle name="Accent2 2 5" xfId="833"/>
    <cellStyle name="Accent2 2 6" xfId="834"/>
    <cellStyle name="Accent2 2 7" xfId="835"/>
    <cellStyle name="Accent2 2 8" xfId="836"/>
    <cellStyle name="Accent2 2 9" xfId="837"/>
    <cellStyle name="Accent2 3" xfId="24"/>
    <cellStyle name="Accent3 2" xfId="75"/>
    <cellStyle name="Accent3 2 10" xfId="839"/>
    <cellStyle name="Accent3 2 11" xfId="838"/>
    <cellStyle name="Accent3 2 2" xfId="840"/>
    <cellStyle name="Accent3 2 3" xfId="841"/>
    <cellStyle name="Accent3 2 4" xfId="842"/>
    <cellStyle name="Accent3 2 5" xfId="843"/>
    <cellStyle name="Accent3 2 6" xfId="844"/>
    <cellStyle name="Accent3 2 7" xfId="845"/>
    <cellStyle name="Accent3 2 8" xfId="846"/>
    <cellStyle name="Accent3 2 9" xfId="847"/>
    <cellStyle name="Accent3 3" xfId="25"/>
    <cellStyle name="Accent4 2" xfId="79"/>
    <cellStyle name="Accent4 2 10" xfId="849"/>
    <cellStyle name="Accent4 2 11" xfId="848"/>
    <cellStyle name="Accent4 2 2" xfId="850"/>
    <cellStyle name="Accent4 2 3" xfId="851"/>
    <cellStyle name="Accent4 2 4" xfId="852"/>
    <cellStyle name="Accent4 2 5" xfId="853"/>
    <cellStyle name="Accent4 2 6" xfId="854"/>
    <cellStyle name="Accent4 2 7" xfId="855"/>
    <cellStyle name="Accent4 2 8" xfId="856"/>
    <cellStyle name="Accent4 2 9" xfId="857"/>
    <cellStyle name="Accent4 3" xfId="26"/>
    <cellStyle name="Accent5 2" xfId="83"/>
    <cellStyle name="Accent5 2 10" xfId="859"/>
    <cellStyle name="Accent5 2 11" xfId="858"/>
    <cellStyle name="Accent5 2 2" xfId="860"/>
    <cellStyle name="Accent5 2 3" xfId="861"/>
    <cellStyle name="Accent5 2 4" xfId="862"/>
    <cellStyle name="Accent5 2 5" xfId="863"/>
    <cellStyle name="Accent5 2 6" xfId="864"/>
    <cellStyle name="Accent5 2 7" xfId="865"/>
    <cellStyle name="Accent5 2 8" xfId="866"/>
    <cellStyle name="Accent5 2 9" xfId="867"/>
    <cellStyle name="Accent5 3" xfId="27"/>
    <cellStyle name="Accent6 2" xfId="87"/>
    <cellStyle name="Accent6 2 10" xfId="869"/>
    <cellStyle name="Accent6 2 11" xfId="868"/>
    <cellStyle name="Accent6 2 2" xfId="870"/>
    <cellStyle name="Accent6 2 3" xfId="871"/>
    <cellStyle name="Accent6 2 4" xfId="872"/>
    <cellStyle name="Accent6 2 5" xfId="873"/>
    <cellStyle name="Accent6 2 6" xfId="874"/>
    <cellStyle name="Accent6 2 7" xfId="875"/>
    <cellStyle name="Accent6 2 8" xfId="876"/>
    <cellStyle name="Accent6 2 9" xfId="877"/>
    <cellStyle name="Accent6 3" xfId="28"/>
    <cellStyle name="Accounting w/$" xfId="878"/>
    <cellStyle name="Accounting w/$ 2" xfId="879"/>
    <cellStyle name="Accounting w/$ Total" xfId="880"/>
    <cellStyle name="Accounting w/$ Total 2" xfId="881"/>
    <cellStyle name="Accounting w/o $" xfId="882"/>
    <cellStyle name="Accounting w/o $ 2" xfId="883"/>
    <cellStyle name="Acinput" xfId="884"/>
    <cellStyle name="Acinput,," xfId="885"/>
    <cellStyle name="Acinput_Merger Model_KN&amp;Fzio_v2.30 - Street" xfId="886"/>
    <cellStyle name="Acoutput" xfId="887"/>
    <cellStyle name="Acoutput,," xfId="888"/>
    <cellStyle name="Acoutput_CAScomps02" xfId="889"/>
    <cellStyle name="Actual Date" xfId="890"/>
    <cellStyle name="AFE" xfId="891"/>
    <cellStyle name="al" xfId="892"/>
    <cellStyle name="Amount_EQU_RIGH.XLS_Equity market_Preferred Securities " xfId="893"/>
    <cellStyle name="Apershare" xfId="894"/>
    <cellStyle name="Aprice" xfId="895"/>
    <cellStyle name="Aprice 2" xfId="896"/>
    <cellStyle name="ar" xfId="897"/>
    <cellStyle name="ar 2" xfId="898"/>
    <cellStyle name="ar 2 2" xfId="899"/>
    <cellStyle name="Arial 10" xfId="900"/>
    <cellStyle name="Arial 12" xfId="901"/>
    <cellStyle name="Availability" xfId="902"/>
    <cellStyle name="Avertissement" xfId="903"/>
    <cellStyle name="Bad 2" xfId="56"/>
    <cellStyle name="Bad 2 10" xfId="905"/>
    <cellStyle name="Bad 2 11" xfId="904"/>
    <cellStyle name="Bad 2 2" xfId="906"/>
    <cellStyle name="Bad 2 3" xfId="907"/>
    <cellStyle name="Bad 2 4" xfId="908"/>
    <cellStyle name="Bad 2 5" xfId="909"/>
    <cellStyle name="Bad 2 6" xfId="910"/>
    <cellStyle name="Bad 2 7" xfId="911"/>
    <cellStyle name="Bad 2 8" xfId="912"/>
    <cellStyle name="Bad 2 9" xfId="913"/>
    <cellStyle name="Bad 3" xfId="29"/>
    <cellStyle name="Band 2" xfId="914"/>
    <cellStyle name="Blank" xfId="915"/>
    <cellStyle name="Blue" xfId="916"/>
    <cellStyle name="Bold/Border" xfId="917"/>
    <cellStyle name="Border Heavy" xfId="918"/>
    <cellStyle name="Border Thin" xfId="919"/>
    <cellStyle name="Border, Bottom" xfId="920"/>
    <cellStyle name="Border, Left" xfId="921"/>
    <cellStyle name="Border, Right" xfId="922"/>
    <cellStyle name="Border, Top" xfId="923"/>
    <cellStyle name="Border, Top 2" xfId="924"/>
    <cellStyle name="British Pound" xfId="925"/>
    <cellStyle name="BritPound" xfId="926"/>
    <cellStyle name="Bullet" xfId="927"/>
    <cellStyle name="Calc Currency (0)" xfId="928"/>
    <cellStyle name="Calc Currency (2)" xfId="929"/>
    <cellStyle name="Calc Percent (0)" xfId="930"/>
    <cellStyle name="Calc Percent (1)" xfId="931"/>
    <cellStyle name="Calc Percent (2)" xfId="932"/>
    <cellStyle name="Calc Units (0)" xfId="933"/>
    <cellStyle name="Calc Units (1)" xfId="934"/>
    <cellStyle name="Calc Units (2)" xfId="935"/>
    <cellStyle name="Calcul" xfId="936"/>
    <cellStyle name="Calcul 2" xfId="937"/>
    <cellStyle name="Calcul 3" xfId="938"/>
    <cellStyle name="Calcul 3 2" xfId="939"/>
    <cellStyle name="Calcul 4" xfId="940"/>
    <cellStyle name="Calculation 2" xfId="60"/>
    <cellStyle name="Calculation 2 10" xfId="942"/>
    <cellStyle name="Calculation 2 11" xfId="943"/>
    <cellStyle name="Calculation 2 12" xfId="941"/>
    <cellStyle name="Calculation 2 2" xfId="944"/>
    <cellStyle name="Calculation 2 2 2" xfId="945"/>
    <cellStyle name="Calculation 2 2 3" xfId="946"/>
    <cellStyle name="Calculation 2 2 3 2" xfId="947"/>
    <cellStyle name="Calculation 2 2 4" xfId="948"/>
    <cellStyle name="Calculation 2 3" xfId="949"/>
    <cellStyle name="Calculation 2 3 2" xfId="950"/>
    <cellStyle name="Calculation 2 3 3" xfId="951"/>
    <cellStyle name="Calculation 2 3 3 2" xfId="952"/>
    <cellStyle name="Calculation 2 3 4" xfId="953"/>
    <cellStyle name="Calculation 2 4" xfId="954"/>
    <cellStyle name="Calculation 2 5" xfId="955"/>
    <cellStyle name="Calculation 2 5 2" xfId="956"/>
    <cellStyle name="Calculation 2 6" xfId="957"/>
    <cellStyle name="Calculation 2 7" xfId="958"/>
    <cellStyle name="Calculation 2 8" xfId="959"/>
    <cellStyle name="Calculation 2 9" xfId="960"/>
    <cellStyle name="Calculation 3" xfId="30"/>
    <cellStyle name="Case" xfId="961"/>
    <cellStyle name="Cellule liée" xfId="962"/>
    <cellStyle name="Check" xfId="963"/>
    <cellStyle name="Check Cell 2" xfId="62"/>
    <cellStyle name="Check Cell 2 10" xfId="965"/>
    <cellStyle name="Check Cell 2 11" xfId="964"/>
    <cellStyle name="Check Cell 2 2" xfId="966"/>
    <cellStyle name="Check Cell 2 3" xfId="967"/>
    <cellStyle name="Check Cell 2 4" xfId="968"/>
    <cellStyle name="Check Cell 2 5" xfId="969"/>
    <cellStyle name="Check Cell 2 6" xfId="970"/>
    <cellStyle name="Check Cell 2 7" xfId="971"/>
    <cellStyle name="Check Cell 2 8" xfId="972"/>
    <cellStyle name="Check Cell 2 9" xfId="973"/>
    <cellStyle name="Check Cell 3" xfId="31"/>
    <cellStyle name="Chiffre" xfId="974"/>
    <cellStyle name="Colhead_left" xfId="975"/>
    <cellStyle name="ColHeading" xfId="976"/>
    <cellStyle name="Column Title" xfId="977"/>
    <cellStyle name="ColumnHeadings" xfId="978"/>
    <cellStyle name="ColumnHeadings2" xfId="979"/>
    <cellStyle name="Comma" xfId="4" builtinId="3"/>
    <cellStyle name="Comma  - Style1" xfId="980"/>
    <cellStyle name="Comma  - Style2" xfId="981"/>
    <cellStyle name="Comma  - Style3" xfId="982"/>
    <cellStyle name="Comma  - Style4" xfId="983"/>
    <cellStyle name="Comma  - Style5" xfId="984"/>
    <cellStyle name="Comma  - Style6" xfId="985"/>
    <cellStyle name="Comma  - Style7" xfId="986"/>
    <cellStyle name="Comma  - Style8" xfId="987"/>
    <cellStyle name="Comma ," xfId="988"/>
    <cellStyle name="Comma , 2" xfId="989"/>
    <cellStyle name="Comma [00]" xfId="990"/>
    <cellStyle name="Comma [1]" xfId="991"/>
    <cellStyle name="Comma [2]" xfId="992"/>
    <cellStyle name="Comma [3]" xfId="993"/>
    <cellStyle name="Comma 0" xfId="994"/>
    <cellStyle name="Comma 0*" xfId="995"/>
    <cellStyle name="Comma 0_Merger Model_KN&amp;Fzio_v2.30 - Street" xfId="996"/>
    <cellStyle name="Comma 10" xfId="997"/>
    <cellStyle name="Comma 10 2" xfId="998"/>
    <cellStyle name="Comma 10 2 2" xfId="999"/>
    <cellStyle name="Comma 10 3" xfId="1000"/>
    <cellStyle name="Comma 10 3 2" xfId="1001"/>
    <cellStyle name="Comma 10 4" xfId="1002"/>
    <cellStyle name="Comma 10 4 2" xfId="1003"/>
    <cellStyle name="Comma 10 5" xfId="1004"/>
    <cellStyle name="Comma 10 5 2" xfId="1005"/>
    <cellStyle name="Comma 10 6" xfId="1006"/>
    <cellStyle name="Comma 11" xfId="1007"/>
    <cellStyle name="Comma 11 2" xfId="1008"/>
    <cellStyle name="Comma 12" xfId="1009"/>
    <cellStyle name="Comma 12 2" xfId="1010"/>
    <cellStyle name="Comma 13" xfId="1011"/>
    <cellStyle name="Comma 14" xfId="1012"/>
    <cellStyle name="Comma 15" xfId="1013"/>
    <cellStyle name="Comma 16" xfId="1014"/>
    <cellStyle name="Comma 17" xfId="1015"/>
    <cellStyle name="Comma 18" xfId="1016"/>
    <cellStyle name="Comma 19" xfId="1017"/>
    <cellStyle name="Comma 2" xfId="1"/>
    <cellStyle name="Comma 2 10" xfId="1019"/>
    <cellStyle name="Comma 2 10 2" xfId="1020"/>
    <cellStyle name="Comma 2 11" xfId="1021"/>
    <cellStyle name="Comma 2 11 2" xfId="1022"/>
    <cellStyle name="Comma 2 11 2 2" xfId="1023"/>
    <cellStyle name="Comma 2 11 2 2 2" xfId="1024"/>
    <cellStyle name="Comma 2 11 2 3" xfId="1025"/>
    <cellStyle name="Comma 2 11 3" xfId="1026"/>
    <cellStyle name="Comma 2 11 3 2" xfId="1027"/>
    <cellStyle name="Comma 2 11 4" xfId="1028"/>
    <cellStyle name="Comma 2 12" xfId="1029"/>
    <cellStyle name="Comma 2 12 2" xfId="1030"/>
    <cellStyle name="Comma 2 12 2 2" xfId="1031"/>
    <cellStyle name="Comma 2 12 3" xfId="1032"/>
    <cellStyle name="Comma 2 13" xfId="1033"/>
    <cellStyle name="Comma 2 13 2" xfId="1034"/>
    <cellStyle name="Comma 2 14" xfId="1035"/>
    <cellStyle name="Comma 2 14 2" xfId="1036"/>
    <cellStyle name="Comma 2 15" xfId="1037"/>
    <cellStyle name="Comma 2 15 2" xfId="1038"/>
    <cellStyle name="Comma 2 16" xfId="1039"/>
    <cellStyle name="Comma 2 16 2" xfId="1040"/>
    <cellStyle name="Comma 2 17" xfId="1041"/>
    <cellStyle name="Comma 2 17 2" xfId="1042"/>
    <cellStyle name="Comma 2 18" xfId="1043"/>
    <cellStyle name="Comma 2 18 2" xfId="1044"/>
    <cellStyle name="Comma 2 19" xfId="1045"/>
    <cellStyle name="Comma 2 2" xfId="92"/>
    <cellStyle name="Comma 2 2 10" xfId="1047"/>
    <cellStyle name="Comma 2 2 11" xfId="1048"/>
    <cellStyle name="Comma 2 2 12" xfId="1046"/>
    <cellStyle name="Comma 2 2 13" xfId="151"/>
    <cellStyle name="Comma 2 2 14" xfId="5766"/>
    <cellStyle name="Comma 2 2 2" xfId="1049"/>
    <cellStyle name="Comma 2 2 2 2" xfId="1050"/>
    <cellStyle name="Comma 2 2 2 2 2" xfId="1051"/>
    <cellStyle name="Comma 2 2 3" xfId="1052"/>
    <cellStyle name="Comma 2 2 3 2" xfId="1053"/>
    <cellStyle name="Comma 2 2 4" xfId="1054"/>
    <cellStyle name="Comma 2 2 5" xfId="1055"/>
    <cellStyle name="Comma 2 2 6" xfId="1056"/>
    <cellStyle name="Comma 2 2 7" xfId="1057"/>
    <cellStyle name="Comma 2 2 8" xfId="1058"/>
    <cellStyle name="Comma 2 2 8 2" xfId="1059"/>
    <cellStyle name="Comma 2 2 9" xfId="1060"/>
    <cellStyle name="Comma 2 2 9 2" xfId="1061"/>
    <cellStyle name="Comma 2 20" xfId="1018"/>
    <cellStyle name="Comma 2 21" xfId="128"/>
    <cellStyle name="Comma 2 3" xfId="1062"/>
    <cellStyle name="Comma 2 3 2" xfId="1063"/>
    <cellStyle name="Comma 2 3 3" xfId="1064"/>
    <cellStyle name="Comma 2 3 4" xfId="1065"/>
    <cellStyle name="Comma 2 3 5" xfId="1066"/>
    <cellStyle name="Comma 2 3 6" xfId="1067"/>
    <cellStyle name="Comma 2 3 6 2" xfId="1068"/>
    <cellStyle name="Comma 2 3 7" xfId="1069"/>
    <cellStyle name="Comma 2 3 7 2" xfId="1070"/>
    <cellStyle name="Comma 2 3 8" xfId="1071"/>
    <cellStyle name="Comma 2 3 8 2" xfId="1072"/>
    <cellStyle name="Comma 2 3 9" xfId="1073"/>
    <cellStyle name="Comma 2 4" xfId="1074"/>
    <cellStyle name="Comma 2 4 2" xfId="1075"/>
    <cellStyle name="Comma 2 4 2 2" xfId="1076"/>
    <cellStyle name="Comma 2 4 3" xfId="1077"/>
    <cellStyle name="Comma 2 4 3 2" xfId="1078"/>
    <cellStyle name="Comma 2 4 4" xfId="1079"/>
    <cellStyle name="Comma 2 5" xfId="1080"/>
    <cellStyle name="Comma 2 5 2" xfId="1081"/>
    <cellStyle name="Comma 2 5 2 2" xfId="1082"/>
    <cellStyle name="Comma 2 5 2 2 2" xfId="1083"/>
    <cellStyle name="Comma 2 5 2 2 2 2" xfId="1084"/>
    <cellStyle name="Comma 2 5 2 2 2 2 2" xfId="1085"/>
    <cellStyle name="Comma 2 5 2 2 2 3" xfId="1086"/>
    <cellStyle name="Comma 2 5 2 2 3" xfId="1087"/>
    <cellStyle name="Comma 2 5 2 2 3 2" xfId="1088"/>
    <cellStyle name="Comma 2 5 2 2 4" xfId="1089"/>
    <cellStyle name="Comma 2 5 2 3" xfId="1090"/>
    <cellStyle name="Comma 2 5 2 3 2" xfId="1091"/>
    <cellStyle name="Comma 2 5 2 3 2 2" xfId="1092"/>
    <cellStyle name="Comma 2 5 2 3 3" xfId="1093"/>
    <cellStyle name="Comma 2 5 2 4" xfId="1094"/>
    <cellStyle name="Comma 2 5 2 4 2" xfId="1095"/>
    <cellStyle name="Comma 2 5 2 5" xfId="1096"/>
    <cellStyle name="Comma 2 5 3" xfId="1097"/>
    <cellStyle name="Comma 2 5 3 2" xfId="1098"/>
    <cellStyle name="Comma 2 5 3 2 2" xfId="1099"/>
    <cellStyle name="Comma 2 5 3 2 2 2" xfId="1100"/>
    <cellStyle name="Comma 2 5 3 2 2 2 2" xfId="1101"/>
    <cellStyle name="Comma 2 5 3 2 2 3" xfId="1102"/>
    <cellStyle name="Comma 2 5 3 2 3" xfId="1103"/>
    <cellStyle name="Comma 2 5 3 2 3 2" xfId="1104"/>
    <cellStyle name="Comma 2 5 3 2 4" xfId="1105"/>
    <cellStyle name="Comma 2 5 3 3" xfId="1106"/>
    <cellStyle name="Comma 2 5 3 3 2" xfId="1107"/>
    <cellStyle name="Comma 2 5 3 3 2 2" xfId="1108"/>
    <cellStyle name="Comma 2 5 3 3 3" xfId="1109"/>
    <cellStyle name="Comma 2 5 3 4" xfId="1110"/>
    <cellStyle name="Comma 2 5 3 4 2" xfId="1111"/>
    <cellStyle name="Comma 2 5 3 5" xfId="1112"/>
    <cellStyle name="Comma 2 5 4" xfId="1113"/>
    <cellStyle name="Comma 2 5 4 2" xfId="1114"/>
    <cellStyle name="Comma 2 5 4 2 2" xfId="1115"/>
    <cellStyle name="Comma 2 5 4 2 2 2" xfId="1116"/>
    <cellStyle name="Comma 2 5 4 2 3" xfId="1117"/>
    <cellStyle name="Comma 2 5 4 3" xfId="1118"/>
    <cellStyle name="Comma 2 5 4 3 2" xfId="1119"/>
    <cellStyle name="Comma 2 5 4 4" xfId="1120"/>
    <cellStyle name="Comma 2 5 5" xfId="1121"/>
    <cellStyle name="Comma 2 5 5 2" xfId="1122"/>
    <cellStyle name="Comma 2 5 5 2 2" xfId="1123"/>
    <cellStyle name="Comma 2 5 5 3" xfId="1124"/>
    <cellStyle name="Comma 2 5 6" xfId="1125"/>
    <cellStyle name="Comma 2 5 6 2" xfId="1126"/>
    <cellStyle name="Comma 2 5 7" xfId="1127"/>
    <cellStyle name="Comma 2 6" xfId="1128"/>
    <cellStyle name="Comma 2 6 2" xfId="1129"/>
    <cellStyle name="Comma 2 6 2 2" xfId="1130"/>
    <cellStyle name="Comma 2 6 2 2 2" xfId="1131"/>
    <cellStyle name="Comma 2 6 2 2 2 2" xfId="1132"/>
    <cellStyle name="Comma 2 6 2 2 3" xfId="1133"/>
    <cellStyle name="Comma 2 6 2 3" xfId="1134"/>
    <cellStyle name="Comma 2 6 2 3 2" xfId="1135"/>
    <cellStyle name="Comma 2 6 2 4" xfId="1136"/>
    <cellStyle name="Comma 2 6 3" xfId="1137"/>
    <cellStyle name="Comma 2 6 3 2" xfId="1138"/>
    <cellStyle name="Comma 2 6 3 2 2" xfId="1139"/>
    <cellStyle name="Comma 2 6 3 3" xfId="1140"/>
    <cellStyle name="Comma 2 6 4" xfId="1141"/>
    <cellStyle name="Comma 2 6 4 2" xfId="1142"/>
    <cellStyle name="Comma 2 6 5" xfId="1143"/>
    <cellStyle name="Comma 2 7" xfId="1144"/>
    <cellStyle name="Comma 2 7 2" xfId="1145"/>
    <cellStyle name="Comma 2 7 2 2" xfId="1146"/>
    <cellStyle name="Comma 2 7 2 2 2" xfId="1147"/>
    <cellStyle name="Comma 2 7 2 2 2 2" xfId="1148"/>
    <cellStyle name="Comma 2 7 2 2 3" xfId="1149"/>
    <cellStyle name="Comma 2 7 2 3" xfId="1150"/>
    <cellStyle name="Comma 2 7 2 3 2" xfId="1151"/>
    <cellStyle name="Comma 2 7 2 4" xfId="1152"/>
    <cellStyle name="Comma 2 7 3" xfId="1153"/>
    <cellStyle name="Comma 2 7 3 2" xfId="1154"/>
    <cellStyle name="Comma 2 7 3 2 2" xfId="1155"/>
    <cellStyle name="Comma 2 7 3 3" xfId="1156"/>
    <cellStyle name="Comma 2 7 4" xfId="1157"/>
    <cellStyle name="Comma 2 7 4 2" xfId="1158"/>
    <cellStyle name="Comma 2 7 5" xfId="1159"/>
    <cellStyle name="Comma 2 8" xfId="1160"/>
    <cellStyle name="Comma 2 8 2" xfId="1161"/>
    <cellStyle name="Comma 2 9" xfId="1162"/>
    <cellStyle name="Comma 2 9 2" xfId="1163"/>
    <cellStyle name="Comma 2 9 2 2" xfId="1164"/>
    <cellStyle name="Comma 2 9 2 2 2" xfId="1165"/>
    <cellStyle name="Comma 2 9 2 3" xfId="1166"/>
    <cellStyle name="Comma 2 9 3" xfId="1167"/>
    <cellStyle name="Comma 2 9 3 2" xfId="1168"/>
    <cellStyle name="Comma 2 9 4" xfId="1169"/>
    <cellStyle name="Comma 2*" xfId="1170"/>
    <cellStyle name="Comma 20" xfId="1171"/>
    <cellStyle name="Comma 21" xfId="1172"/>
    <cellStyle name="Comma 22" xfId="1173"/>
    <cellStyle name="Comma 23" xfId="1174"/>
    <cellStyle name="Comma 24" xfId="1175"/>
    <cellStyle name="Comma 25" xfId="1176"/>
    <cellStyle name="Comma 26" xfId="1177"/>
    <cellStyle name="Comma 27" xfId="1178"/>
    <cellStyle name="Comma 28" xfId="1179"/>
    <cellStyle name="Comma 29" xfId="1180"/>
    <cellStyle name="Comma 3" xfId="95"/>
    <cellStyle name="Comma 3 10" xfId="1182"/>
    <cellStyle name="Comma 3 11" xfId="1181"/>
    <cellStyle name="Comma 3 12" xfId="154"/>
    <cellStyle name="Comma 3 13" xfId="5769"/>
    <cellStyle name="Comma 3 2" xfId="125"/>
    <cellStyle name="Comma 3 2 2" xfId="1184"/>
    <cellStyle name="Comma 3 2 2 2" xfId="1185"/>
    <cellStyle name="Comma 3 2 3" xfId="1186"/>
    <cellStyle name="Comma 3 2 4" xfId="1187"/>
    <cellStyle name="Comma 3 2 5" xfId="1183"/>
    <cellStyle name="Comma 3 2 6" xfId="164"/>
    <cellStyle name="Comma 3 2 7" xfId="5779"/>
    <cellStyle name="Comma 3 3" xfId="1188"/>
    <cellStyle name="Comma 3 3 2" xfId="1189"/>
    <cellStyle name="Comma 3 3 2 2" xfId="1190"/>
    <cellStyle name="Comma 3 3 2 2 2" xfId="1191"/>
    <cellStyle name="Comma 3 3 2 3" xfId="1192"/>
    <cellStyle name="Comma 3 3 3" xfId="1193"/>
    <cellStyle name="Comma 3 3 3 2" xfId="1194"/>
    <cellStyle name="Comma 3 3 4" xfId="1195"/>
    <cellStyle name="Comma 3 3 4 2" xfId="1196"/>
    <cellStyle name="Comma 3 4" xfId="1197"/>
    <cellStyle name="Comma 3 4 2" xfId="1198"/>
    <cellStyle name="Comma 3 4 2 2" xfId="1199"/>
    <cellStyle name="Comma 3 4 2 2 2" xfId="1200"/>
    <cellStyle name="Comma 3 4 2 3" xfId="1201"/>
    <cellStyle name="Comma 3 4 2 4" xfId="1202"/>
    <cellStyle name="Comma 3 4 3" xfId="1203"/>
    <cellStyle name="Comma 3 4 3 2" xfId="1204"/>
    <cellStyle name="Comma 3 4 4" xfId="1205"/>
    <cellStyle name="Comma 3 5" xfId="1206"/>
    <cellStyle name="Comma 3 5 2" xfId="1207"/>
    <cellStyle name="Comma 3 6" xfId="1208"/>
    <cellStyle name="Comma 3 6 2" xfId="1209"/>
    <cellStyle name="Comma 3 7" xfId="1210"/>
    <cellStyle name="Comma 3 7 2" xfId="1211"/>
    <cellStyle name="Comma 3 8" xfId="1212"/>
    <cellStyle name="Comma 3 8 2" xfId="1213"/>
    <cellStyle name="Comma 3 9" xfId="1214"/>
    <cellStyle name="Comma 3 9 2" xfId="1215"/>
    <cellStyle name="Comma 30" xfId="1216"/>
    <cellStyle name="Comma 31" xfId="1217"/>
    <cellStyle name="Comma 32" xfId="1218"/>
    <cellStyle name="Comma 32 2" xfId="1219"/>
    <cellStyle name="Comma 33" xfId="1220"/>
    <cellStyle name="Comma 34" xfId="1221"/>
    <cellStyle name="Comma 35" xfId="1222"/>
    <cellStyle name="Comma 36" xfId="1223"/>
    <cellStyle name="Comma 37" xfId="1224"/>
    <cellStyle name="Comma 38" xfId="130"/>
    <cellStyle name="Comma 39" xfId="133"/>
    <cellStyle name="Comma 4" xfId="100"/>
    <cellStyle name="Comma 4 10" xfId="1226"/>
    <cellStyle name="Comma 4 10 2" xfId="1227"/>
    <cellStyle name="Comma 4 11" xfId="1228"/>
    <cellStyle name="Comma 4 11 2" xfId="1229"/>
    <cellStyle name="Comma 4 12" xfId="1230"/>
    <cellStyle name="Comma 4 12 2" xfId="1231"/>
    <cellStyle name="Comma 4 13" xfId="1232"/>
    <cellStyle name="Comma 4 13 2" xfId="1233"/>
    <cellStyle name="Comma 4 14" xfId="1234"/>
    <cellStyle name="Comma 4 14 2" xfId="1235"/>
    <cellStyle name="Comma 4 15" xfId="1236"/>
    <cellStyle name="Comma 4 16" xfId="1225"/>
    <cellStyle name="Comma 4 17" xfId="159"/>
    <cellStyle name="Comma 4 18" xfId="5774"/>
    <cellStyle name="Comma 4 2" xfId="1237"/>
    <cellStyle name="Comma 4 2 2" xfId="1238"/>
    <cellStyle name="Comma 4 2 2 2" xfId="1239"/>
    <cellStyle name="Comma 4 2 2 2 2" xfId="1240"/>
    <cellStyle name="Comma 4 2 2 2 2 2" xfId="1241"/>
    <cellStyle name="Comma 4 2 2 2 3" xfId="1242"/>
    <cellStyle name="Comma 4 2 2 3" xfId="1243"/>
    <cellStyle name="Comma 4 2 2 3 2" xfId="1244"/>
    <cellStyle name="Comma 4 2 2 4" xfId="1245"/>
    <cellStyle name="Comma 4 2 3" xfId="1246"/>
    <cellStyle name="Comma 4 2 3 2" xfId="1247"/>
    <cellStyle name="Comma 4 2 3 2 2" xfId="1248"/>
    <cellStyle name="Comma 4 2 3 3" xfId="1249"/>
    <cellStyle name="Comma 4 2 4" xfId="1250"/>
    <cellStyle name="Comma 4 2 4 2" xfId="1251"/>
    <cellStyle name="Comma 4 2 5" xfId="1252"/>
    <cellStyle name="Comma 4 2 5 2" xfId="1253"/>
    <cellStyle name="Comma 4 2 6" xfId="1254"/>
    <cellStyle name="Comma 4 3" xfId="1255"/>
    <cellStyle name="Comma 4 3 2" xfId="1256"/>
    <cellStyle name="Comma 4 3 2 2" xfId="1257"/>
    <cellStyle name="Comma 4 3 2 2 2" xfId="1258"/>
    <cellStyle name="Comma 4 3 2 2 2 2" xfId="1259"/>
    <cellStyle name="Comma 4 3 2 2 3" xfId="1260"/>
    <cellStyle name="Comma 4 3 2 3" xfId="1261"/>
    <cellStyle name="Comma 4 3 2 3 2" xfId="1262"/>
    <cellStyle name="Comma 4 3 2 4" xfId="1263"/>
    <cellStyle name="Comma 4 3 3" xfId="1264"/>
    <cellStyle name="Comma 4 3 3 2" xfId="1265"/>
    <cellStyle name="Comma 4 3 3 2 2" xfId="1266"/>
    <cellStyle name="Comma 4 3 3 3" xfId="1267"/>
    <cellStyle name="Comma 4 3 4" xfId="1268"/>
    <cellStyle name="Comma 4 3 4 2" xfId="1269"/>
    <cellStyle name="Comma 4 3 5" xfId="1270"/>
    <cellStyle name="Comma 4 4" xfId="1271"/>
    <cellStyle name="Comma 4 4 2" xfId="1272"/>
    <cellStyle name="Comma 4 4 2 2" xfId="1273"/>
    <cellStyle name="Comma 4 4 2 2 2" xfId="1274"/>
    <cellStyle name="Comma 4 4 2 2 2 2" xfId="1275"/>
    <cellStyle name="Comma 4 4 2 2 3" xfId="1276"/>
    <cellStyle name="Comma 4 4 2 3" xfId="1277"/>
    <cellStyle name="Comma 4 4 2 3 2" xfId="1278"/>
    <cellStyle name="Comma 4 4 2 4" xfId="1279"/>
    <cellStyle name="Comma 4 4 3" xfId="1280"/>
    <cellStyle name="Comma 4 4 3 2" xfId="1281"/>
    <cellStyle name="Comma 4 4 3 2 2" xfId="1282"/>
    <cellStyle name="Comma 4 4 3 3" xfId="1283"/>
    <cellStyle name="Comma 4 4 4" xfId="1284"/>
    <cellStyle name="Comma 4 4 4 2" xfId="1285"/>
    <cellStyle name="Comma 4 4 5" xfId="1286"/>
    <cellStyle name="Comma 4 5" xfId="1287"/>
    <cellStyle name="Comma 4 5 2" xfId="1288"/>
    <cellStyle name="Comma 4 5 2 2" xfId="1289"/>
    <cellStyle name="Comma 4 5 2 2 2" xfId="1290"/>
    <cellStyle name="Comma 4 5 2 3" xfId="1291"/>
    <cellStyle name="Comma 4 5 3" xfId="1292"/>
    <cellStyle name="Comma 4 5 3 2" xfId="1293"/>
    <cellStyle name="Comma 4 5 4" xfId="1294"/>
    <cellStyle name="Comma 4 6" xfId="1295"/>
    <cellStyle name="Comma 4 6 2" xfId="1296"/>
    <cellStyle name="Comma 4 6 2 2" xfId="1297"/>
    <cellStyle name="Comma 4 6 2 2 2" xfId="1298"/>
    <cellStyle name="Comma 4 6 2 3" xfId="1299"/>
    <cellStyle name="Comma 4 6 3" xfId="1300"/>
    <cellStyle name="Comma 4 6 3 2" xfId="1301"/>
    <cellStyle name="Comma 4 6 4" xfId="1302"/>
    <cellStyle name="Comma 4 7" xfId="1303"/>
    <cellStyle name="Comma 4 7 2" xfId="1304"/>
    <cellStyle name="Comma 4 7 2 2" xfId="1305"/>
    <cellStyle name="Comma 4 7 3" xfId="1306"/>
    <cellStyle name="Comma 4 8" xfId="1307"/>
    <cellStyle name="Comma 4 8 2" xfId="1308"/>
    <cellStyle name="Comma 4 9" xfId="1309"/>
    <cellStyle name="Comma 4 9 2" xfId="1310"/>
    <cellStyle name="Comma 40" xfId="1311"/>
    <cellStyle name="Comma 41" xfId="5740"/>
    <cellStyle name="Comma 42" xfId="5742"/>
    <cellStyle name="Comma 43" xfId="5744"/>
    <cellStyle name="Comma 5" xfId="1312"/>
    <cellStyle name="Comma 5 10" xfId="1313"/>
    <cellStyle name="Comma 5 10 2" xfId="1314"/>
    <cellStyle name="Comma 5 11" xfId="1315"/>
    <cellStyle name="Comma 5 11 2" xfId="1316"/>
    <cellStyle name="Comma 5 12" xfId="1317"/>
    <cellStyle name="Comma 5 12 2" xfId="1318"/>
    <cellStyle name="Comma 5 13" xfId="1319"/>
    <cellStyle name="Comma 5 2" xfId="1320"/>
    <cellStyle name="Comma 5 2 2" xfId="1321"/>
    <cellStyle name="Comma 5 2 2 2" xfId="1322"/>
    <cellStyle name="Comma 5 2 2 2 2" xfId="1323"/>
    <cellStyle name="Comma 5 2 2 2 2 2" xfId="1324"/>
    <cellStyle name="Comma 5 2 2 2 3" xfId="1325"/>
    <cellStyle name="Comma 5 2 2 3" xfId="1326"/>
    <cellStyle name="Comma 5 2 2 3 2" xfId="1327"/>
    <cellStyle name="Comma 5 2 2 4" xfId="1328"/>
    <cellStyle name="Comma 5 2 3" xfId="1329"/>
    <cellStyle name="Comma 5 2 3 2" xfId="1330"/>
    <cellStyle name="Comma 5 2 3 2 2" xfId="1331"/>
    <cellStyle name="Comma 5 2 3 3" xfId="1332"/>
    <cellStyle name="Comma 5 2 4" xfId="1333"/>
    <cellStyle name="Comma 5 2 4 2" xfId="1334"/>
    <cellStyle name="Comma 5 2 5" xfId="1335"/>
    <cellStyle name="Comma 5 3" xfId="1336"/>
    <cellStyle name="Comma 5 3 2" xfId="1337"/>
    <cellStyle name="Comma 5 3 2 2" xfId="1338"/>
    <cellStyle name="Comma 5 3 2 2 2" xfId="1339"/>
    <cellStyle name="Comma 5 3 2 2 2 2" xfId="1340"/>
    <cellStyle name="Comma 5 3 2 2 3" xfId="1341"/>
    <cellStyle name="Comma 5 3 2 3" xfId="1342"/>
    <cellStyle name="Comma 5 3 2 3 2" xfId="1343"/>
    <cellStyle name="Comma 5 3 2 4" xfId="1344"/>
    <cellStyle name="Comma 5 3 3" xfId="1345"/>
    <cellStyle name="Comma 5 3 3 2" xfId="1346"/>
    <cellStyle name="Comma 5 3 3 2 2" xfId="1347"/>
    <cellStyle name="Comma 5 3 3 3" xfId="1348"/>
    <cellStyle name="Comma 5 3 4" xfId="1349"/>
    <cellStyle name="Comma 5 3 4 2" xfId="1350"/>
    <cellStyle name="Comma 5 3 5" xfId="1351"/>
    <cellStyle name="Comma 5 4" xfId="1352"/>
    <cellStyle name="Comma 5 4 2" xfId="1353"/>
    <cellStyle name="Comma 5 4 2 2" xfId="1354"/>
    <cellStyle name="Comma 5 4 2 2 2" xfId="1355"/>
    <cellStyle name="Comma 5 4 2 3" xfId="1356"/>
    <cellStyle name="Comma 5 4 3" xfId="1357"/>
    <cellStyle name="Comma 5 4 3 2" xfId="1358"/>
    <cellStyle name="Comma 5 4 4" xfId="1359"/>
    <cellStyle name="Comma 5 5" xfId="1360"/>
    <cellStyle name="Comma 5 5 2" xfId="1361"/>
    <cellStyle name="Comma 5 5 2 2" xfId="1362"/>
    <cellStyle name="Comma 5 5 2 2 2" xfId="1363"/>
    <cellStyle name="Comma 5 5 2 3" xfId="1364"/>
    <cellStyle name="Comma 5 5 3" xfId="1365"/>
    <cellStyle name="Comma 5 5 3 2" xfId="1366"/>
    <cellStyle name="Comma 5 5 4" xfId="1367"/>
    <cellStyle name="Comma 5 6" xfId="1368"/>
    <cellStyle name="Comma 5 6 2" xfId="1369"/>
    <cellStyle name="Comma 5 6 2 2" xfId="1370"/>
    <cellStyle name="Comma 5 6 3" xfId="1371"/>
    <cellStyle name="Comma 5 7" xfId="1372"/>
    <cellStyle name="Comma 5 7 2" xfId="1373"/>
    <cellStyle name="Comma 5 8" xfId="1374"/>
    <cellStyle name="Comma 5 8 2" xfId="1375"/>
    <cellStyle name="Comma 5 9" xfId="1376"/>
    <cellStyle name="Comma 5 9 2" xfId="1377"/>
    <cellStyle name="Comma 6" xfId="1378"/>
    <cellStyle name="Comma 6 2" xfId="1379"/>
    <cellStyle name="Comma 6 2 2" xfId="1380"/>
    <cellStyle name="Comma 6 3" xfId="1381"/>
    <cellStyle name="Comma 6 3 2" xfId="1382"/>
    <cellStyle name="Comma 6 4" xfId="1383"/>
    <cellStyle name="Comma 6 4 2" xfId="1384"/>
    <cellStyle name="Comma 6 5" xfId="1385"/>
    <cellStyle name="Comma 6 5 2" xfId="1386"/>
    <cellStyle name="Comma 6 6" xfId="1387"/>
    <cellStyle name="Comma 6 6 2" xfId="1388"/>
    <cellStyle name="Comma 6 7" xfId="1389"/>
    <cellStyle name="Comma 7" xfId="1390"/>
    <cellStyle name="Comma 7 2" xfId="1391"/>
    <cellStyle name="Comma 7 2 2" xfId="1392"/>
    <cellStyle name="Comma 7 2 2 2" xfId="1393"/>
    <cellStyle name="Comma 7 2 2 2 2" xfId="1394"/>
    <cellStyle name="Comma 7 2 2 3" xfId="1395"/>
    <cellStyle name="Comma 7 2 3" xfId="1396"/>
    <cellStyle name="Comma 7 2 3 2" xfId="1397"/>
    <cellStyle name="Comma 7 2 4" xfId="1398"/>
    <cellStyle name="Comma 7 3" xfId="1399"/>
    <cellStyle name="Comma 7 3 2" xfId="1400"/>
    <cellStyle name="Comma 7 3 2 2" xfId="1401"/>
    <cellStyle name="Comma 7 3 3" xfId="1402"/>
    <cellStyle name="Comma 7 4" xfId="1403"/>
    <cellStyle name="Comma 7 4 2" xfId="1404"/>
    <cellStyle name="Comma 7 5" xfId="1405"/>
    <cellStyle name="Comma 7 5 2" xfId="1406"/>
    <cellStyle name="Comma 7 6" xfId="1407"/>
    <cellStyle name="Comma 7 6 2" xfId="1408"/>
    <cellStyle name="Comma 7 7" xfId="1409"/>
    <cellStyle name="Comma 7 7 2" xfId="1410"/>
    <cellStyle name="Comma 7 8" xfId="1411"/>
    <cellStyle name="Comma 7 8 2" xfId="1412"/>
    <cellStyle name="Comma 7 9" xfId="1413"/>
    <cellStyle name="Comma 8" xfId="1414"/>
    <cellStyle name="Comma 8 2" xfId="1415"/>
    <cellStyle name="Comma 8 2 2" xfId="1416"/>
    <cellStyle name="Comma 8 2 2 2" xfId="1417"/>
    <cellStyle name="Comma 8 2 3" xfId="1418"/>
    <cellStyle name="Comma 8 3" xfId="1419"/>
    <cellStyle name="Comma 8 3 2" xfId="1420"/>
    <cellStyle name="Comma 8 4" xfId="1421"/>
    <cellStyle name="Comma 8 4 2" xfId="1422"/>
    <cellStyle name="Comma 8 5" xfId="1423"/>
    <cellStyle name="Comma 8 5 2" xfId="1424"/>
    <cellStyle name="Comma 8 6" xfId="1425"/>
    <cellStyle name="Comma 8 6 2" xfId="1426"/>
    <cellStyle name="Comma 8 7" xfId="1427"/>
    <cellStyle name="Comma 8 7 2" xfId="1428"/>
    <cellStyle name="Comma 8 8" xfId="1429"/>
    <cellStyle name="Comma 9" xfId="1430"/>
    <cellStyle name="Comma 9 2" xfId="1431"/>
    <cellStyle name="Comma 9 2 2" xfId="1432"/>
    <cellStyle name="Comma 9 3" xfId="1433"/>
    <cellStyle name="Comma 9 3 2" xfId="1434"/>
    <cellStyle name="Comma 9 4" xfId="1435"/>
    <cellStyle name="Comma 9 4 2" xfId="1436"/>
    <cellStyle name="Comma 9 5" xfId="1437"/>
    <cellStyle name="Comma 9 5 2" xfId="1438"/>
    <cellStyle name="Comma 9 6" xfId="1439"/>
    <cellStyle name="Comma0" xfId="110"/>
    <cellStyle name="Comma0 2" xfId="1440"/>
    <cellStyle name="Comma2 (0)" xfId="1441"/>
    <cellStyle name="Comment" xfId="1442"/>
    <cellStyle name="Commentaire" xfId="1443"/>
    <cellStyle name="Commentaire 2" xfId="1444"/>
    <cellStyle name="Commentaire 2 2" xfId="1445"/>
    <cellStyle name="Commentaire 2 2 2" xfId="1446"/>
    <cellStyle name="Commentaire 2 3" xfId="1447"/>
    <cellStyle name="Commentaire 3" xfId="1448"/>
    <cellStyle name="Commentaire 3 2" xfId="1449"/>
    <cellStyle name="Commentaire 4" xfId="1450"/>
    <cellStyle name="Company" xfId="1451"/>
    <cellStyle name="CurRatio" xfId="1452"/>
    <cellStyle name="Currency--" xfId="1453"/>
    <cellStyle name="Currency [00]" xfId="1454"/>
    <cellStyle name="Currency [1]" xfId="1455"/>
    <cellStyle name="Currency [2]" xfId="1456"/>
    <cellStyle name="Currency [2] 2" xfId="1457"/>
    <cellStyle name="Currency [2] 3" xfId="1458"/>
    <cellStyle name="Currency [3]" xfId="1459"/>
    <cellStyle name="Currency 0" xfId="1460"/>
    <cellStyle name="Currency 10" xfId="1461"/>
    <cellStyle name="Currency 10 2" xfId="1462"/>
    <cellStyle name="Currency 10 2 2" xfId="1463"/>
    <cellStyle name="Currency 10 2 2 2" xfId="1464"/>
    <cellStyle name="Currency 10 2 2 2 2" xfId="1465"/>
    <cellStyle name="Currency 10 2 2 2 2 2" xfId="1466"/>
    <cellStyle name="Currency 10 2 2 2 3" xfId="1467"/>
    <cellStyle name="Currency 10 2 2 3" xfId="1468"/>
    <cellStyle name="Currency 10 2 2 3 2" xfId="1469"/>
    <cellStyle name="Currency 10 2 2 4" xfId="1470"/>
    <cellStyle name="Currency 10 2 3" xfId="1471"/>
    <cellStyle name="Currency 10 2 3 2" xfId="1472"/>
    <cellStyle name="Currency 10 2 3 2 2" xfId="1473"/>
    <cellStyle name="Currency 10 2 3 3" xfId="1474"/>
    <cellStyle name="Currency 10 2 4" xfId="1475"/>
    <cellStyle name="Currency 10 2 4 2" xfId="1476"/>
    <cellStyle name="Currency 10 2 5" xfId="1477"/>
    <cellStyle name="Currency 10 3" xfId="1478"/>
    <cellStyle name="Currency 10 3 2" xfId="1479"/>
    <cellStyle name="Currency 10 3 2 2" xfId="1480"/>
    <cellStyle name="Currency 10 3 2 2 2" xfId="1481"/>
    <cellStyle name="Currency 10 3 2 2 2 2" xfId="1482"/>
    <cellStyle name="Currency 10 3 2 2 3" xfId="1483"/>
    <cellStyle name="Currency 10 3 2 3" xfId="1484"/>
    <cellStyle name="Currency 10 3 2 3 2" xfId="1485"/>
    <cellStyle name="Currency 10 3 2 4" xfId="1486"/>
    <cellStyle name="Currency 10 3 3" xfId="1487"/>
    <cellStyle name="Currency 10 3 3 2" xfId="1488"/>
    <cellStyle name="Currency 10 3 3 2 2" xfId="1489"/>
    <cellStyle name="Currency 10 3 3 3" xfId="1490"/>
    <cellStyle name="Currency 10 3 4" xfId="1491"/>
    <cellStyle name="Currency 10 3 4 2" xfId="1492"/>
    <cellStyle name="Currency 10 3 5" xfId="1493"/>
    <cellStyle name="Currency 10 4" xfId="1494"/>
    <cellStyle name="Currency 10 4 2" xfId="1495"/>
    <cellStyle name="Currency 10 4 2 2" xfId="1496"/>
    <cellStyle name="Currency 10 4 2 2 2" xfId="1497"/>
    <cellStyle name="Currency 10 4 2 3" xfId="1498"/>
    <cellStyle name="Currency 10 4 3" xfId="1499"/>
    <cellStyle name="Currency 10 4 3 2" xfId="1500"/>
    <cellStyle name="Currency 10 4 4" xfId="1501"/>
    <cellStyle name="Currency 10 5" xfId="1502"/>
    <cellStyle name="Currency 10 5 2" xfId="1503"/>
    <cellStyle name="Currency 10 5 2 2" xfId="1504"/>
    <cellStyle name="Currency 10 5 3" xfId="1505"/>
    <cellStyle name="Currency 10 6" xfId="1506"/>
    <cellStyle name="Currency 10 6 2" xfId="1507"/>
    <cellStyle name="Currency 10 7" xfId="1508"/>
    <cellStyle name="Currency 11" xfId="1509"/>
    <cellStyle name="Currency 11 2" xfId="1510"/>
    <cellStyle name="Currency 11 2 2" xfId="1511"/>
    <cellStyle name="Currency 11 2 2 2" xfId="1512"/>
    <cellStyle name="Currency 11 2 2 2 2" xfId="1513"/>
    <cellStyle name="Currency 11 2 2 2 2 2" xfId="1514"/>
    <cellStyle name="Currency 11 2 2 2 3" xfId="1515"/>
    <cellStyle name="Currency 11 2 2 3" xfId="1516"/>
    <cellStyle name="Currency 11 2 2 3 2" xfId="1517"/>
    <cellStyle name="Currency 11 2 2 4" xfId="1518"/>
    <cellStyle name="Currency 11 2 3" xfId="1519"/>
    <cellStyle name="Currency 11 2 3 2" xfId="1520"/>
    <cellStyle name="Currency 11 2 3 2 2" xfId="1521"/>
    <cellStyle name="Currency 11 2 3 3" xfId="1522"/>
    <cellStyle name="Currency 11 2 4" xfId="1523"/>
    <cellStyle name="Currency 11 2 4 2" xfId="1524"/>
    <cellStyle name="Currency 11 2 5" xfId="1525"/>
    <cellStyle name="Currency 11 3" xfId="1526"/>
    <cellStyle name="Currency 11 3 2" xfId="1527"/>
    <cellStyle name="Currency 11 3 2 2" xfId="1528"/>
    <cellStyle name="Currency 11 3 2 2 2" xfId="1529"/>
    <cellStyle name="Currency 11 3 2 2 2 2" xfId="1530"/>
    <cellStyle name="Currency 11 3 2 2 3" xfId="1531"/>
    <cellStyle name="Currency 11 3 2 3" xfId="1532"/>
    <cellStyle name="Currency 11 3 2 3 2" xfId="1533"/>
    <cellStyle name="Currency 11 3 2 4" xfId="1534"/>
    <cellStyle name="Currency 11 3 3" xfId="1535"/>
    <cellStyle name="Currency 11 3 3 2" xfId="1536"/>
    <cellStyle name="Currency 11 3 3 2 2" xfId="1537"/>
    <cellStyle name="Currency 11 3 3 3" xfId="1538"/>
    <cellStyle name="Currency 11 3 4" xfId="1539"/>
    <cellStyle name="Currency 11 3 4 2" xfId="1540"/>
    <cellStyle name="Currency 11 3 5" xfId="1541"/>
    <cellStyle name="Currency 11 4" xfId="1542"/>
    <cellStyle name="Currency 11 4 2" xfId="1543"/>
    <cellStyle name="Currency 11 4 2 2" xfId="1544"/>
    <cellStyle name="Currency 11 4 2 2 2" xfId="1545"/>
    <cellStyle name="Currency 11 4 2 3" xfId="1546"/>
    <cellStyle name="Currency 11 4 3" xfId="1547"/>
    <cellStyle name="Currency 11 4 3 2" xfId="1548"/>
    <cellStyle name="Currency 11 4 4" xfId="1549"/>
    <cellStyle name="Currency 11 5" xfId="1550"/>
    <cellStyle name="Currency 11 5 2" xfId="1551"/>
    <cellStyle name="Currency 11 5 2 2" xfId="1552"/>
    <cellStyle name="Currency 11 5 3" xfId="1553"/>
    <cellStyle name="Currency 11 6" xfId="1554"/>
    <cellStyle name="Currency 11 6 2" xfId="1555"/>
    <cellStyle name="Currency 11 7" xfId="1556"/>
    <cellStyle name="Currency 12" xfId="1557"/>
    <cellStyle name="Currency 12 2" xfId="1558"/>
    <cellStyle name="Currency 13" xfId="1559"/>
    <cellStyle name="Currency 13 2" xfId="1560"/>
    <cellStyle name="Currency 14" xfId="1561"/>
    <cellStyle name="Currency 14 2" xfId="1562"/>
    <cellStyle name="Currency 14 2 2" xfId="1563"/>
    <cellStyle name="Currency 14 2 2 2" xfId="1564"/>
    <cellStyle name="Currency 14 2 2 2 2" xfId="1565"/>
    <cellStyle name="Currency 14 2 2 2 2 2" xfId="1566"/>
    <cellStyle name="Currency 14 2 2 2 3" xfId="1567"/>
    <cellStyle name="Currency 14 2 2 3" xfId="1568"/>
    <cellStyle name="Currency 14 2 2 3 2" xfId="1569"/>
    <cellStyle name="Currency 14 2 2 4" xfId="1570"/>
    <cellStyle name="Currency 14 2 3" xfId="1571"/>
    <cellStyle name="Currency 14 2 3 2" xfId="1572"/>
    <cellStyle name="Currency 14 2 3 2 2" xfId="1573"/>
    <cellStyle name="Currency 14 2 3 3" xfId="1574"/>
    <cellStyle name="Currency 14 2 4" xfId="1575"/>
    <cellStyle name="Currency 14 2 4 2" xfId="1576"/>
    <cellStyle name="Currency 14 2 5" xfId="1577"/>
    <cellStyle name="Currency 14 3" xfId="1578"/>
    <cellStyle name="Currency 14 3 2" xfId="1579"/>
    <cellStyle name="Currency 14 3 2 2" xfId="1580"/>
    <cellStyle name="Currency 14 3 2 2 2" xfId="1581"/>
    <cellStyle name="Currency 14 3 2 2 2 2" xfId="1582"/>
    <cellStyle name="Currency 14 3 2 2 3" xfId="1583"/>
    <cellStyle name="Currency 14 3 2 3" xfId="1584"/>
    <cellStyle name="Currency 14 3 2 3 2" xfId="1585"/>
    <cellStyle name="Currency 14 3 2 4" xfId="1586"/>
    <cellStyle name="Currency 14 3 3" xfId="1587"/>
    <cellStyle name="Currency 14 3 3 2" xfId="1588"/>
    <cellStyle name="Currency 14 3 3 2 2" xfId="1589"/>
    <cellStyle name="Currency 14 3 3 3" xfId="1590"/>
    <cellStyle name="Currency 14 3 4" xfId="1591"/>
    <cellStyle name="Currency 14 3 4 2" xfId="1592"/>
    <cellStyle name="Currency 14 3 5" xfId="1593"/>
    <cellStyle name="Currency 14 4" xfId="1594"/>
    <cellStyle name="Currency 14 4 2" xfId="1595"/>
    <cellStyle name="Currency 14 4 2 2" xfId="1596"/>
    <cellStyle name="Currency 14 4 2 2 2" xfId="1597"/>
    <cellStyle name="Currency 14 4 2 2 2 2" xfId="1598"/>
    <cellStyle name="Currency 14 4 2 2 3" xfId="1599"/>
    <cellStyle name="Currency 14 4 2 3" xfId="1600"/>
    <cellStyle name="Currency 14 4 2 3 2" xfId="1601"/>
    <cellStyle name="Currency 14 4 2 4" xfId="1602"/>
    <cellStyle name="Currency 14 4 3" xfId="1603"/>
    <cellStyle name="Currency 14 4 3 2" xfId="1604"/>
    <cellStyle name="Currency 14 4 3 2 2" xfId="1605"/>
    <cellStyle name="Currency 14 4 3 3" xfId="1606"/>
    <cellStyle name="Currency 14 4 4" xfId="1607"/>
    <cellStyle name="Currency 14 4 4 2" xfId="1608"/>
    <cellStyle name="Currency 14 4 5" xfId="1609"/>
    <cellStyle name="Currency 14 5" xfId="1610"/>
    <cellStyle name="Currency 14 5 2" xfId="1611"/>
    <cellStyle name="Currency 14 5 2 2" xfId="1612"/>
    <cellStyle name="Currency 14 5 2 2 2" xfId="1613"/>
    <cellStyle name="Currency 14 5 2 3" xfId="1614"/>
    <cellStyle name="Currency 14 5 3" xfId="1615"/>
    <cellStyle name="Currency 14 5 3 2" xfId="1616"/>
    <cellStyle name="Currency 14 5 4" xfId="1617"/>
    <cellStyle name="Currency 14 6" xfId="1618"/>
    <cellStyle name="Currency 14 6 2" xfId="1619"/>
    <cellStyle name="Currency 14 6 2 2" xfId="1620"/>
    <cellStyle name="Currency 14 6 3" xfId="1621"/>
    <cellStyle name="Currency 14 7" xfId="1622"/>
    <cellStyle name="Currency 14 7 2" xfId="1623"/>
    <cellStyle name="Currency 14 8" xfId="1624"/>
    <cellStyle name="Currency 15" xfId="1625"/>
    <cellStyle name="Currency 15 2" xfId="1626"/>
    <cellStyle name="Currency 15 2 2" xfId="1627"/>
    <cellStyle name="Currency 15 2 2 2" xfId="1628"/>
    <cellStyle name="Currency 15 2 2 2 2" xfId="1629"/>
    <cellStyle name="Currency 15 2 2 3" xfId="1630"/>
    <cellStyle name="Currency 15 2 3" xfId="1631"/>
    <cellStyle name="Currency 15 2 3 2" xfId="1632"/>
    <cellStyle name="Currency 15 2 4" xfId="1633"/>
    <cellStyle name="Currency 15 3" xfId="1634"/>
    <cellStyle name="Currency 15 3 2" xfId="1635"/>
    <cellStyle name="Currency 15 3 2 2" xfId="1636"/>
    <cellStyle name="Currency 15 3 3" xfId="1637"/>
    <cellStyle name="Currency 15 4" xfId="1638"/>
    <cellStyle name="Currency 15 4 2" xfId="1639"/>
    <cellStyle name="Currency 15 5" xfId="1640"/>
    <cellStyle name="Currency 16" xfId="1641"/>
    <cellStyle name="Currency 16 2" xfId="1642"/>
    <cellStyle name="Currency 16 2 2" xfId="1643"/>
    <cellStyle name="Currency 16 3" xfId="1644"/>
    <cellStyle name="Currency 17" xfId="1645"/>
    <cellStyle name="Currency 17 2" xfId="1646"/>
    <cellStyle name="Currency 18" xfId="1647"/>
    <cellStyle name="Currency 19" xfId="1648"/>
    <cellStyle name="Currency 19 2" xfId="1649"/>
    <cellStyle name="Currency 19 2 2" xfId="1650"/>
    <cellStyle name="Currency 19 2 2 2" xfId="1651"/>
    <cellStyle name="Currency 19 2 2 2 2" xfId="1652"/>
    <cellStyle name="Currency 19 2 2 2 2 2" xfId="1653"/>
    <cellStyle name="Currency 19 2 2 2 3" xfId="1654"/>
    <cellStyle name="Currency 19 2 2 3" xfId="1655"/>
    <cellStyle name="Currency 19 2 2 3 2" xfId="1656"/>
    <cellStyle name="Currency 19 2 2 4" xfId="1657"/>
    <cellStyle name="Currency 19 2 3" xfId="1658"/>
    <cellStyle name="Currency 19 2 3 2" xfId="1659"/>
    <cellStyle name="Currency 19 2 3 2 2" xfId="1660"/>
    <cellStyle name="Currency 19 2 3 3" xfId="1661"/>
    <cellStyle name="Currency 19 2 4" xfId="1662"/>
    <cellStyle name="Currency 19 2 4 2" xfId="1663"/>
    <cellStyle name="Currency 19 2 5" xfId="1664"/>
    <cellStyle name="Currency 19 3" xfId="1665"/>
    <cellStyle name="Currency 19 3 2" xfId="1666"/>
    <cellStyle name="Currency 19 3 2 2" xfId="1667"/>
    <cellStyle name="Currency 19 3 2 2 2" xfId="1668"/>
    <cellStyle name="Currency 19 3 2 2 2 2" xfId="1669"/>
    <cellStyle name="Currency 19 3 2 2 3" xfId="1670"/>
    <cellStyle name="Currency 19 3 2 3" xfId="1671"/>
    <cellStyle name="Currency 19 3 2 3 2" xfId="1672"/>
    <cellStyle name="Currency 19 3 2 4" xfId="1673"/>
    <cellStyle name="Currency 19 3 3" xfId="1674"/>
    <cellStyle name="Currency 19 3 3 2" xfId="1675"/>
    <cellStyle name="Currency 19 3 3 2 2" xfId="1676"/>
    <cellStyle name="Currency 19 3 3 3" xfId="1677"/>
    <cellStyle name="Currency 19 3 4" xfId="1678"/>
    <cellStyle name="Currency 19 3 4 2" xfId="1679"/>
    <cellStyle name="Currency 19 3 5" xfId="1680"/>
    <cellStyle name="Currency 19 4" xfId="1681"/>
    <cellStyle name="Currency 19 4 2" xfId="1682"/>
    <cellStyle name="Currency 19 4 2 2" xfId="1683"/>
    <cellStyle name="Currency 19 4 2 2 2" xfId="1684"/>
    <cellStyle name="Currency 19 4 2 3" xfId="1685"/>
    <cellStyle name="Currency 19 4 3" xfId="1686"/>
    <cellStyle name="Currency 19 4 3 2" xfId="1687"/>
    <cellStyle name="Currency 19 4 4" xfId="1688"/>
    <cellStyle name="Currency 19 5" xfId="1689"/>
    <cellStyle name="Currency 19 5 2" xfId="1690"/>
    <cellStyle name="Currency 19 5 2 2" xfId="1691"/>
    <cellStyle name="Currency 19 5 3" xfId="1692"/>
    <cellStyle name="Currency 19 6" xfId="1693"/>
    <cellStyle name="Currency 19 6 2" xfId="1694"/>
    <cellStyle name="Currency 19 7" xfId="1695"/>
    <cellStyle name="Currency 2" xfId="99"/>
    <cellStyle name="Currency 2 10" xfId="1697"/>
    <cellStyle name="Currency 2 10 2" xfId="1698"/>
    <cellStyle name="Currency 2 10 2 2" xfId="1699"/>
    <cellStyle name="Currency 2 10 2 2 2" xfId="1700"/>
    <cellStyle name="Currency 2 10 2 3" xfId="1701"/>
    <cellStyle name="Currency 2 10 3" xfId="1702"/>
    <cellStyle name="Currency 2 10 3 2" xfId="1703"/>
    <cellStyle name="Currency 2 10 4" xfId="1704"/>
    <cellStyle name="Currency 2 11" xfId="1705"/>
    <cellStyle name="Currency 2 11 2" xfId="1706"/>
    <cellStyle name="Currency 2 12" xfId="1707"/>
    <cellStyle name="Currency 2 12 2" xfId="1708"/>
    <cellStyle name="Currency 2 13" xfId="1709"/>
    <cellStyle name="Currency 2 13 2" xfId="1710"/>
    <cellStyle name="Currency 2 14" xfId="1711"/>
    <cellStyle name="Currency 2 14 2" xfId="1712"/>
    <cellStyle name="Currency 2 15" xfId="1713"/>
    <cellStyle name="Currency 2 15 2" xfId="1714"/>
    <cellStyle name="Currency 2 16" xfId="1715"/>
    <cellStyle name="Currency 2 16 2" xfId="1716"/>
    <cellStyle name="Currency 2 17" xfId="1717"/>
    <cellStyle name="Currency 2 17 2" xfId="1718"/>
    <cellStyle name="Currency 2 18" xfId="1719"/>
    <cellStyle name="Currency 2 19" xfId="1696"/>
    <cellStyle name="Currency 2 2" xfId="1720"/>
    <cellStyle name="Currency 2 2 10" xfId="1721"/>
    <cellStyle name="Currency 2 2 11" xfId="1722"/>
    <cellStyle name="Currency 2 2 12" xfId="1723"/>
    <cellStyle name="Currency 2 2 2" xfId="1724"/>
    <cellStyle name="Currency 2 2 2 2" xfId="1725"/>
    <cellStyle name="Currency 2 2 3" xfId="1726"/>
    <cellStyle name="Currency 2 2 3 2" xfId="1727"/>
    <cellStyle name="Currency 2 2 4" xfId="1728"/>
    <cellStyle name="Currency 2 2 5" xfId="1729"/>
    <cellStyle name="Currency 2 2 6" xfId="1730"/>
    <cellStyle name="Currency 2 2 7" xfId="1731"/>
    <cellStyle name="Currency 2 2 8" xfId="1732"/>
    <cellStyle name="Currency 2 2 9" xfId="1733"/>
    <cellStyle name="Currency 2 2 9 2" xfId="1734"/>
    <cellStyle name="Currency 2 20" xfId="158"/>
    <cellStyle name="Currency 2 21" xfId="5773"/>
    <cellStyle name="Currency 2 3" xfId="1735"/>
    <cellStyle name="Currency 2 3 2" xfId="1736"/>
    <cellStyle name="Currency 2 3 3" xfId="1737"/>
    <cellStyle name="Currency 2 3 4" xfId="1738"/>
    <cellStyle name="Currency 2 3 5" xfId="1739"/>
    <cellStyle name="Currency 2 3 6" xfId="1740"/>
    <cellStyle name="Currency 2 4" xfId="1741"/>
    <cellStyle name="Currency 2 4 2" xfId="1742"/>
    <cellStyle name="Currency 2 5" xfId="1743"/>
    <cellStyle name="Currency 2 5 2" xfId="1744"/>
    <cellStyle name="Currency 2 6" xfId="1745"/>
    <cellStyle name="Currency 2 6 2" xfId="1746"/>
    <cellStyle name="Currency 2 7" xfId="1747"/>
    <cellStyle name="Currency 2 7 2" xfId="1748"/>
    <cellStyle name="Currency 2 8" xfId="1749"/>
    <cellStyle name="Currency 2 8 2" xfId="1750"/>
    <cellStyle name="Currency 2 9" xfId="1751"/>
    <cellStyle name="Currency 2 9 2" xfId="1752"/>
    <cellStyle name="Currency 2*" xfId="1753"/>
    <cellStyle name="Currency 2_CLdcfmodel" xfId="1754"/>
    <cellStyle name="Currency 20" xfId="1755"/>
    <cellStyle name="Currency 20 2" xfId="1756"/>
    <cellStyle name="Currency 20 2 2" xfId="1757"/>
    <cellStyle name="Currency 20 2 2 2" xfId="1758"/>
    <cellStyle name="Currency 20 2 2 2 2" xfId="1759"/>
    <cellStyle name="Currency 20 2 2 2 2 2" xfId="1760"/>
    <cellStyle name="Currency 20 2 2 2 3" xfId="1761"/>
    <cellStyle name="Currency 20 2 2 3" xfId="1762"/>
    <cellStyle name="Currency 20 2 2 3 2" xfId="1763"/>
    <cellStyle name="Currency 20 2 2 4" xfId="1764"/>
    <cellStyle name="Currency 20 2 3" xfId="1765"/>
    <cellStyle name="Currency 20 2 3 2" xfId="1766"/>
    <cellStyle name="Currency 20 2 3 2 2" xfId="1767"/>
    <cellStyle name="Currency 20 2 3 3" xfId="1768"/>
    <cellStyle name="Currency 20 2 4" xfId="1769"/>
    <cellStyle name="Currency 20 2 4 2" xfId="1770"/>
    <cellStyle name="Currency 20 2 5" xfId="1771"/>
    <cellStyle name="Currency 20 3" xfId="1772"/>
    <cellStyle name="Currency 20 3 2" xfId="1773"/>
    <cellStyle name="Currency 20 3 2 2" xfId="1774"/>
    <cellStyle name="Currency 20 3 2 2 2" xfId="1775"/>
    <cellStyle name="Currency 20 3 2 2 2 2" xfId="1776"/>
    <cellStyle name="Currency 20 3 2 2 3" xfId="1777"/>
    <cellStyle name="Currency 20 3 2 3" xfId="1778"/>
    <cellStyle name="Currency 20 3 2 3 2" xfId="1779"/>
    <cellStyle name="Currency 20 3 2 4" xfId="1780"/>
    <cellStyle name="Currency 20 3 3" xfId="1781"/>
    <cellStyle name="Currency 20 3 3 2" xfId="1782"/>
    <cellStyle name="Currency 20 3 3 2 2" xfId="1783"/>
    <cellStyle name="Currency 20 3 3 3" xfId="1784"/>
    <cellStyle name="Currency 20 3 4" xfId="1785"/>
    <cellStyle name="Currency 20 3 4 2" xfId="1786"/>
    <cellStyle name="Currency 20 3 5" xfId="1787"/>
    <cellStyle name="Currency 20 4" xfId="1788"/>
    <cellStyle name="Currency 20 4 2" xfId="1789"/>
    <cellStyle name="Currency 20 4 2 2" xfId="1790"/>
    <cellStyle name="Currency 20 4 2 2 2" xfId="1791"/>
    <cellStyle name="Currency 20 4 2 3" xfId="1792"/>
    <cellStyle name="Currency 20 4 3" xfId="1793"/>
    <cellStyle name="Currency 20 4 3 2" xfId="1794"/>
    <cellStyle name="Currency 20 4 4" xfId="1795"/>
    <cellStyle name="Currency 20 5" xfId="1796"/>
    <cellStyle name="Currency 20 5 2" xfId="1797"/>
    <cellStyle name="Currency 20 5 2 2" xfId="1798"/>
    <cellStyle name="Currency 20 5 3" xfId="1799"/>
    <cellStyle name="Currency 20 6" xfId="1800"/>
    <cellStyle name="Currency 20 6 2" xfId="1801"/>
    <cellStyle name="Currency 20 7" xfId="1802"/>
    <cellStyle name="Currency 21" xfId="1803"/>
    <cellStyle name="Currency 21 2" xfId="1804"/>
    <cellStyle name="Currency 21 2 2" xfId="1805"/>
    <cellStyle name="Currency 21 2 2 2" xfId="1806"/>
    <cellStyle name="Currency 21 2 2 2 2" xfId="1807"/>
    <cellStyle name="Currency 21 2 2 2 2 2" xfId="1808"/>
    <cellStyle name="Currency 21 2 2 2 3" xfId="1809"/>
    <cellStyle name="Currency 21 2 2 3" xfId="1810"/>
    <cellStyle name="Currency 21 2 2 3 2" xfId="1811"/>
    <cellStyle name="Currency 21 2 2 4" xfId="1812"/>
    <cellStyle name="Currency 21 2 3" xfId="1813"/>
    <cellStyle name="Currency 21 2 3 2" xfId="1814"/>
    <cellStyle name="Currency 21 2 3 2 2" xfId="1815"/>
    <cellStyle name="Currency 21 2 3 3" xfId="1816"/>
    <cellStyle name="Currency 21 2 4" xfId="1817"/>
    <cellStyle name="Currency 21 2 4 2" xfId="1818"/>
    <cellStyle name="Currency 21 2 5" xfId="1819"/>
    <cellStyle name="Currency 21 3" xfId="1820"/>
    <cellStyle name="Currency 21 3 2" xfId="1821"/>
    <cellStyle name="Currency 21 3 2 2" xfId="1822"/>
    <cellStyle name="Currency 21 3 2 2 2" xfId="1823"/>
    <cellStyle name="Currency 21 3 2 2 2 2" xfId="1824"/>
    <cellStyle name="Currency 21 3 2 2 3" xfId="1825"/>
    <cellStyle name="Currency 21 3 2 3" xfId="1826"/>
    <cellStyle name="Currency 21 3 2 3 2" xfId="1827"/>
    <cellStyle name="Currency 21 3 2 4" xfId="1828"/>
    <cellStyle name="Currency 21 3 3" xfId="1829"/>
    <cellStyle name="Currency 21 3 3 2" xfId="1830"/>
    <cellStyle name="Currency 21 3 3 2 2" xfId="1831"/>
    <cellStyle name="Currency 21 3 3 3" xfId="1832"/>
    <cellStyle name="Currency 21 3 4" xfId="1833"/>
    <cellStyle name="Currency 21 3 4 2" xfId="1834"/>
    <cellStyle name="Currency 21 3 5" xfId="1835"/>
    <cellStyle name="Currency 21 4" xfId="1836"/>
    <cellStyle name="Currency 21 4 2" xfId="1837"/>
    <cellStyle name="Currency 21 4 2 2" xfId="1838"/>
    <cellStyle name="Currency 21 4 2 2 2" xfId="1839"/>
    <cellStyle name="Currency 21 4 2 3" xfId="1840"/>
    <cellStyle name="Currency 21 4 3" xfId="1841"/>
    <cellStyle name="Currency 21 4 3 2" xfId="1842"/>
    <cellStyle name="Currency 21 4 4" xfId="1843"/>
    <cellStyle name="Currency 21 5" xfId="1844"/>
    <cellStyle name="Currency 21 5 2" xfId="1845"/>
    <cellStyle name="Currency 21 5 2 2" xfId="1846"/>
    <cellStyle name="Currency 21 5 3" xfId="1847"/>
    <cellStyle name="Currency 21 6" xfId="1848"/>
    <cellStyle name="Currency 21 6 2" xfId="1849"/>
    <cellStyle name="Currency 21 7" xfId="1850"/>
    <cellStyle name="Currency 22" xfId="1851"/>
    <cellStyle name="Currency 22 2" xfId="1852"/>
    <cellStyle name="Currency 22 2 2" xfId="1853"/>
    <cellStyle name="Currency 22 2 2 2" xfId="1854"/>
    <cellStyle name="Currency 22 2 2 2 2" xfId="1855"/>
    <cellStyle name="Currency 22 2 2 2 2 2" xfId="1856"/>
    <cellStyle name="Currency 22 2 2 2 3" xfId="1857"/>
    <cellStyle name="Currency 22 2 2 3" xfId="1858"/>
    <cellStyle name="Currency 22 2 2 3 2" xfId="1859"/>
    <cellStyle name="Currency 22 2 2 4" xfId="1860"/>
    <cellStyle name="Currency 22 2 3" xfId="1861"/>
    <cellStyle name="Currency 22 2 3 2" xfId="1862"/>
    <cellStyle name="Currency 22 2 3 2 2" xfId="1863"/>
    <cellStyle name="Currency 22 2 3 3" xfId="1864"/>
    <cellStyle name="Currency 22 2 4" xfId="1865"/>
    <cellStyle name="Currency 22 2 4 2" xfId="1866"/>
    <cellStyle name="Currency 22 2 5" xfId="1867"/>
    <cellStyle name="Currency 22 3" xfId="1868"/>
    <cellStyle name="Currency 22 3 2" xfId="1869"/>
    <cellStyle name="Currency 22 3 2 2" xfId="1870"/>
    <cellStyle name="Currency 22 3 2 2 2" xfId="1871"/>
    <cellStyle name="Currency 22 3 2 2 2 2" xfId="1872"/>
    <cellStyle name="Currency 22 3 2 2 3" xfId="1873"/>
    <cellStyle name="Currency 22 3 2 3" xfId="1874"/>
    <cellStyle name="Currency 22 3 2 3 2" xfId="1875"/>
    <cellStyle name="Currency 22 3 2 4" xfId="1876"/>
    <cellStyle name="Currency 22 3 3" xfId="1877"/>
    <cellStyle name="Currency 22 3 3 2" xfId="1878"/>
    <cellStyle name="Currency 22 3 3 2 2" xfId="1879"/>
    <cellStyle name="Currency 22 3 3 3" xfId="1880"/>
    <cellStyle name="Currency 22 3 4" xfId="1881"/>
    <cellStyle name="Currency 22 3 4 2" xfId="1882"/>
    <cellStyle name="Currency 22 3 5" xfId="1883"/>
    <cellStyle name="Currency 22 4" xfId="1884"/>
    <cellStyle name="Currency 22 4 2" xfId="1885"/>
    <cellStyle name="Currency 22 4 2 2" xfId="1886"/>
    <cellStyle name="Currency 22 4 2 2 2" xfId="1887"/>
    <cellStyle name="Currency 22 4 2 3" xfId="1888"/>
    <cellStyle name="Currency 22 4 3" xfId="1889"/>
    <cellStyle name="Currency 22 4 3 2" xfId="1890"/>
    <cellStyle name="Currency 22 4 4" xfId="1891"/>
    <cellStyle name="Currency 22 5" xfId="1892"/>
    <cellStyle name="Currency 22 5 2" xfId="1893"/>
    <cellStyle name="Currency 22 5 2 2" xfId="1894"/>
    <cellStyle name="Currency 22 5 3" xfId="1895"/>
    <cellStyle name="Currency 22 6" xfId="1896"/>
    <cellStyle name="Currency 22 6 2" xfId="1897"/>
    <cellStyle name="Currency 22 7" xfId="1898"/>
    <cellStyle name="Currency 23" xfId="1899"/>
    <cellStyle name="Currency 23 2" xfId="1900"/>
    <cellStyle name="Currency 23 2 2" xfId="1901"/>
    <cellStyle name="Currency 23 2 2 2" xfId="1902"/>
    <cellStyle name="Currency 23 2 2 2 2" xfId="1903"/>
    <cellStyle name="Currency 23 2 2 2 2 2" xfId="1904"/>
    <cellStyle name="Currency 23 2 2 2 3" xfId="1905"/>
    <cellStyle name="Currency 23 2 2 3" xfId="1906"/>
    <cellStyle name="Currency 23 2 2 3 2" xfId="1907"/>
    <cellStyle name="Currency 23 2 2 4" xfId="1908"/>
    <cellStyle name="Currency 23 2 3" xfId="1909"/>
    <cellStyle name="Currency 23 2 3 2" xfId="1910"/>
    <cellStyle name="Currency 23 2 3 2 2" xfId="1911"/>
    <cellStyle name="Currency 23 2 3 3" xfId="1912"/>
    <cellStyle name="Currency 23 2 4" xfId="1913"/>
    <cellStyle name="Currency 23 2 4 2" xfId="1914"/>
    <cellStyle name="Currency 23 2 5" xfId="1915"/>
    <cellStyle name="Currency 23 3" xfId="1916"/>
    <cellStyle name="Currency 23 3 2" xfId="1917"/>
    <cellStyle name="Currency 23 3 2 2" xfId="1918"/>
    <cellStyle name="Currency 23 3 2 2 2" xfId="1919"/>
    <cellStyle name="Currency 23 3 2 2 2 2" xfId="1920"/>
    <cellStyle name="Currency 23 3 2 2 3" xfId="1921"/>
    <cellStyle name="Currency 23 3 2 3" xfId="1922"/>
    <cellStyle name="Currency 23 3 2 3 2" xfId="1923"/>
    <cellStyle name="Currency 23 3 2 4" xfId="1924"/>
    <cellStyle name="Currency 23 3 3" xfId="1925"/>
    <cellStyle name="Currency 23 3 3 2" xfId="1926"/>
    <cellStyle name="Currency 23 3 3 2 2" xfId="1927"/>
    <cellStyle name="Currency 23 3 3 3" xfId="1928"/>
    <cellStyle name="Currency 23 3 4" xfId="1929"/>
    <cellStyle name="Currency 23 3 4 2" xfId="1930"/>
    <cellStyle name="Currency 23 3 5" xfId="1931"/>
    <cellStyle name="Currency 23 4" xfId="1932"/>
    <cellStyle name="Currency 23 4 2" xfId="1933"/>
    <cellStyle name="Currency 23 4 2 2" xfId="1934"/>
    <cellStyle name="Currency 23 4 2 2 2" xfId="1935"/>
    <cellStyle name="Currency 23 4 2 3" xfId="1936"/>
    <cellStyle name="Currency 23 4 3" xfId="1937"/>
    <cellStyle name="Currency 23 4 3 2" xfId="1938"/>
    <cellStyle name="Currency 23 4 4" xfId="1939"/>
    <cellStyle name="Currency 23 5" xfId="1940"/>
    <cellStyle name="Currency 23 5 2" xfId="1941"/>
    <cellStyle name="Currency 23 5 2 2" xfId="1942"/>
    <cellStyle name="Currency 23 5 3" xfId="1943"/>
    <cellStyle name="Currency 23 6" xfId="1944"/>
    <cellStyle name="Currency 23 6 2" xfId="1945"/>
    <cellStyle name="Currency 23 7" xfId="1946"/>
    <cellStyle name="Currency 24" xfId="1947"/>
    <cellStyle name="Currency 24 2" xfId="1948"/>
    <cellStyle name="Currency 24 2 2" xfId="1949"/>
    <cellStyle name="Currency 24 2 2 2" xfId="1950"/>
    <cellStyle name="Currency 24 2 2 2 2" xfId="1951"/>
    <cellStyle name="Currency 24 2 2 2 2 2" xfId="1952"/>
    <cellStyle name="Currency 24 2 2 2 3" xfId="1953"/>
    <cellStyle name="Currency 24 2 2 3" xfId="1954"/>
    <cellStyle name="Currency 24 2 2 3 2" xfId="1955"/>
    <cellStyle name="Currency 24 2 2 4" xfId="1956"/>
    <cellStyle name="Currency 24 2 3" xfId="1957"/>
    <cellStyle name="Currency 24 2 3 2" xfId="1958"/>
    <cellStyle name="Currency 24 2 3 2 2" xfId="1959"/>
    <cellStyle name="Currency 24 2 3 3" xfId="1960"/>
    <cellStyle name="Currency 24 2 4" xfId="1961"/>
    <cellStyle name="Currency 24 2 4 2" xfId="1962"/>
    <cellStyle name="Currency 24 2 5" xfId="1963"/>
    <cellStyle name="Currency 24 3" xfId="1964"/>
    <cellStyle name="Currency 24 3 2" xfId="1965"/>
    <cellStyle name="Currency 24 3 2 2" xfId="1966"/>
    <cellStyle name="Currency 24 3 2 2 2" xfId="1967"/>
    <cellStyle name="Currency 24 3 2 2 2 2" xfId="1968"/>
    <cellStyle name="Currency 24 3 2 2 3" xfId="1969"/>
    <cellStyle name="Currency 24 3 2 3" xfId="1970"/>
    <cellStyle name="Currency 24 3 2 3 2" xfId="1971"/>
    <cellStyle name="Currency 24 3 2 4" xfId="1972"/>
    <cellStyle name="Currency 24 3 3" xfId="1973"/>
    <cellStyle name="Currency 24 3 3 2" xfId="1974"/>
    <cellStyle name="Currency 24 3 3 2 2" xfId="1975"/>
    <cellStyle name="Currency 24 3 3 3" xfId="1976"/>
    <cellStyle name="Currency 24 3 4" xfId="1977"/>
    <cellStyle name="Currency 24 3 4 2" xfId="1978"/>
    <cellStyle name="Currency 24 3 5" xfId="1979"/>
    <cellStyle name="Currency 24 4" xfId="1980"/>
    <cellStyle name="Currency 24 4 2" xfId="1981"/>
    <cellStyle name="Currency 24 4 2 2" xfId="1982"/>
    <cellStyle name="Currency 24 4 2 2 2" xfId="1983"/>
    <cellStyle name="Currency 24 4 2 3" xfId="1984"/>
    <cellStyle name="Currency 24 4 3" xfId="1985"/>
    <cellStyle name="Currency 24 4 3 2" xfId="1986"/>
    <cellStyle name="Currency 24 4 4" xfId="1987"/>
    <cellStyle name="Currency 24 5" xfId="1988"/>
    <cellStyle name="Currency 24 5 2" xfId="1989"/>
    <cellStyle name="Currency 24 5 2 2" xfId="1990"/>
    <cellStyle name="Currency 24 5 3" xfId="1991"/>
    <cellStyle name="Currency 24 6" xfId="1992"/>
    <cellStyle name="Currency 24 6 2" xfId="1993"/>
    <cellStyle name="Currency 24 7" xfId="1994"/>
    <cellStyle name="Currency 25" xfId="1995"/>
    <cellStyle name="Currency 26" xfId="1996"/>
    <cellStyle name="Currency 26 2" xfId="1997"/>
    <cellStyle name="Currency 26 2 2" xfId="1998"/>
    <cellStyle name="Currency 26 2 2 2" xfId="1999"/>
    <cellStyle name="Currency 26 2 2 2 2" xfId="2000"/>
    <cellStyle name="Currency 26 2 2 2 2 2" xfId="2001"/>
    <cellStyle name="Currency 26 2 2 2 3" xfId="2002"/>
    <cellStyle name="Currency 26 2 2 3" xfId="2003"/>
    <cellStyle name="Currency 26 2 2 3 2" xfId="2004"/>
    <cellStyle name="Currency 26 2 2 4" xfId="2005"/>
    <cellStyle name="Currency 26 2 3" xfId="2006"/>
    <cellStyle name="Currency 26 2 3 2" xfId="2007"/>
    <cellStyle name="Currency 26 2 3 2 2" xfId="2008"/>
    <cellStyle name="Currency 26 2 3 3" xfId="2009"/>
    <cellStyle name="Currency 26 2 4" xfId="2010"/>
    <cellStyle name="Currency 26 2 4 2" xfId="2011"/>
    <cellStyle name="Currency 26 2 5" xfId="2012"/>
    <cellStyle name="Currency 26 3" xfId="2013"/>
    <cellStyle name="Currency 26 3 2" xfId="2014"/>
    <cellStyle name="Currency 26 3 2 2" xfId="2015"/>
    <cellStyle name="Currency 26 3 2 2 2" xfId="2016"/>
    <cellStyle name="Currency 26 3 2 2 2 2" xfId="2017"/>
    <cellStyle name="Currency 26 3 2 2 3" xfId="2018"/>
    <cellStyle name="Currency 26 3 2 3" xfId="2019"/>
    <cellStyle name="Currency 26 3 2 3 2" xfId="2020"/>
    <cellStyle name="Currency 26 3 2 4" xfId="2021"/>
    <cellStyle name="Currency 26 3 3" xfId="2022"/>
    <cellStyle name="Currency 26 3 3 2" xfId="2023"/>
    <cellStyle name="Currency 26 3 3 2 2" xfId="2024"/>
    <cellStyle name="Currency 26 3 3 3" xfId="2025"/>
    <cellStyle name="Currency 26 3 4" xfId="2026"/>
    <cellStyle name="Currency 26 3 4 2" xfId="2027"/>
    <cellStyle name="Currency 26 3 5" xfId="2028"/>
    <cellStyle name="Currency 26 4" xfId="2029"/>
    <cellStyle name="Currency 26 4 2" xfId="2030"/>
    <cellStyle name="Currency 26 4 2 2" xfId="2031"/>
    <cellStyle name="Currency 26 4 2 2 2" xfId="2032"/>
    <cellStyle name="Currency 26 4 2 3" xfId="2033"/>
    <cellStyle name="Currency 26 4 3" xfId="2034"/>
    <cellStyle name="Currency 26 4 3 2" xfId="2035"/>
    <cellStyle name="Currency 26 4 4" xfId="2036"/>
    <cellStyle name="Currency 26 5" xfId="2037"/>
    <cellStyle name="Currency 26 5 2" xfId="2038"/>
    <cellStyle name="Currency 26 5 2 2" xfId="2039"/>
    <cellStyle name="Currency 26 5 3" xfId="2040"/>
    <cellStyle name="Currency 26 6" xfId="2041"/>
    <cellStyle name="Currency 26 6 2" xfId="2042"/>
    <cellStyle name="Currency 26 7" xfId="2043"/>
    <cellStyle name="Currency 27" xfId="2044"/>
    <cellStyle name="Currency 27 2" xfId="2045"/>
    <cellStyle name="Currency 27 2 2" xfId="2046"/>
    <cellStyle name="Currency 27 2 2 2" xfId="2047"/>
    <cellStyle name="Currency 27 2 2 2 2" xfId="2048"/>
    <cellStyle name="Currency 27 2 2 2 2 2" xfId="2049"/>
    <cellStyle name="Currency 27 2 2 2 3" xfId="2050"/>
    <cellStyle name="Currency 27 2 2 3" xfId="2051"/>
    <cellStyle name="Currency 27 2 2 3 2" xfId="2052"/>
    <cellStyle name="Currency 27 2 2 4" xfId="2053"/>
    <cellStyle name="Currency 27 2 3" xfId="2054"/>
    <cellStyle name="Currency 27 2 3 2" xfId="2055"/>
    <cellStyle name="Currency 27 2 3 2 2" xfId="2056"/>
    <cellStyle name="Currency 27 2 3 3" xfId="2057"/>
    <cellStyle name="Currency 27 2 4" xfId="2058"/>
    <cellStyle name="Currency 27 2 4 2" xfId="2059"/>
    <cellStyle name="Currency 27 2 5" xfId="2060"/>
    <cellStyle name="Currency 27 3" xfId="2061"/>
    <cellStyle name="Currency 27 3 2" xfId="2062"/>
    <cellStyle name="Currency 27 3 2 2" xfId="2063"/>
    <cellStyle name="Currency 27 3 2 2 2" xfId="2064"/>
    <cellStyle name="Currency 27 3 2 2 2 2" xfId="2065"/>
    <cellStyle name="Currency 27 3 2 2 3" xfId="2066"/>
    <cellStyle name="Currency 27 3 2 3" xfId="2067"/>
    <cellStyle name="Currency 27 3 2 3 2" xfId="2068"/>
    <cellStyle name="Currency 27 3 2 4" xfId="2069"/>
    <cellStyle name="Currency 27 3 3" xfId="2070"/>
    <cellStyle name="Currency 27 3 3 2" xfId="2071"/>
    <cellStyle name="Currency 27 3 3 2 2" xfId="2072"/>
    <cellStyle name="Currency 27 3 3 3" xfId="2073"/>
    <cellStyle name="Currency 27 3 4" xfId="2074"/>
    <cellStyle name="Currency 27 3 4 2" xfId="2075"/>
    <cellStyle name="Currency 27 3 5" xfId="2076"/>
    <cellStyle name="Currency 27 4" xfId="2077"/>
    <cellStyle name="Currency 27 4 2" xfId="2078"/>
    <cellStyle name="Currency 27 4 2 2" xfId="2079"/>
    <cellStyle name="Currency 27 4 2 2 2" xfId="2080"/>
    <cellStyle name="Currency 27 4 2 3" xfId="2081"/>
    <cellStyle name="Currency 27 4 3" xfId="2082"/>
    <cellStyle name="Currency 27 4 3 2" xfId="2083"/>
    <cellStyle name="Currency 27 4 4" xfId="2084"/>
    <cellStyle name="Currency 27 5" xfId="2085"/>
    <cellStyle name="Currency 27 5 2" xfId="2086"/>
    <cellStyle name="Currency 27 5 2 2" xfId="2087"/>
    <cellStyle name="Currency 27 5 3" xfId="2088"/>
    <cellStyle name="Currency 27 6" xfId="2089"/>
    <cellStyle name="Currency 27 6 2" xfId="2090"/>
    <cellStyle name="Currency 27 7" xfId="2091"/>
    <cellStyle name="Currency 28" xfId="2092"/>
    <cellStyle name="Currency 28 2" xfId="2093"/>
    <cellStyle name="Currency 28 2 2" xfId="2094"/>
    <cellStyle name="Currency 28 2 2 2" xfId="2095"/>
    <cellStyle name="Currency 28 2 2 2 2" xfId="2096"/>
    <cellStyle name="Currency 28 2 2 2 2 2" xfId="2097"/>
    <cellStyle name="Currency 28 2 2 2 3" xfId="2098"/>
    <cellStyle name="Currency 28 2 2 3" xfId="2099"/>
    <cellStyle name="Currency 28 2 2 3 2" xfId="2100"/>
    <cellStyle name="Currency 28 2 2 4" xfId="2101"/>
    <cellStyle name="Currency 28 2 3" xfId="2102"/>
    <cellStyle name="Currency 28 2 3 2" xfId="2103"/>
    <cellStyle name="Currency 28 2 3 2 2" xfId="2104"/>
    <cellStyle name="Currency 28 2 3 3" xfId="2105"/>
    <cellStyle name="Currency 28 2 4" xfId="2106"/>
    <cellStyle name="Currency 28 2 4 2" xfId="2107"/>
    <cellStyle name="Currency 28 2 5" xfId="2108"/>
    <cellStyle name="Currency 28 3" xfId="2109"/>
    <cellStyle name="Currency 28 3 2" xfId="2110"/>
    <cellStyle name="Currency 28 3 2 2" xfId="2111"/>
    <cellStyle name="Currency 28 3 2 2 2" xfId="2112"/>
    <cellStyle name="Currency 28 3 2 2 2 2" xfId="2113"/>
    <cellStyle name="Currency 28 3 2 2 3" xfId="2114"/>
    <cellStyle name="Currency 28 3 2 3" xfId="2115"/>
    <cellStyle name="Currency 28 3 2 3 2" xfId="2116"/>
    <cellStyle name="Currency 28 3 2 4" xfId="2117"/>
    <cellStyle name="Currency 28 3 3" xfId="2118"/>
    <cellStyle name="Currency 28 3 3 2" xfId="2119"/>
    <cellStyle name="Currency 28 3 3 2 2" xfId="2120"/>
    <cellStyle name="Currency 28 3 3 3" xfId="2121"/>
    <cellStyle name="Currency 28 3 4" xfId="2122"/>
    <cellStyle name="Currency 28 3 4 2" xfId="2123"/>
    <cellStyle name="Currency 28 3 5" xfId="2124"/>
    <cellStyle name="Currency 28 4" xfId="2125"/>
    <cellStyle name="Currency 28 4 2" xfId="2126"/>
    <cellStyle name="Currency 28 4 2 2" xfId="2127"/>
    <cellStyle name="Currency 28 4 2 2 2" xfId="2128"/>
    <cellStyle name="Currency 28 4 2 3" xfId="2129"/>
    <cellStyle name="Currency 28 4 3" xfId="2130"/>
    <cellStyle name="Currency 28 4 3 2" xfId="2131"/>
    <cellStyle name="Currency 28 4 4" xfId="2132"/>
    <cellStyle name="Currency 28 5" xfId="2133"/>
    <cellStyle name="Currency 28 5 2" xfId="2134"/>
    <cellStyle name="Currency 28 5 2 2" xfId="2135"/>
    <cellStyle name="Currency 28 5 3" xfId="2136"/>
    <cellStyle name="Currency 28 6" xfId="2137"/>
    <cellStyle name="Currency 28 6 2" xfId="2138"/>
    <cellStyle name="Currency 28 7" xfId="2139"/>
    <cellStyle name="Currency 29" xfId="2140"/>
    <cellStyle name="Currency 29 2" xfId="2141"/>
    <cellStyle name="Currency 29 2 2" xfId="2142"/>
    <cellStyle name="Currency 29 2 2 2" xfId="2143"/>
    <cellStyle name="Currency 29 2 2 2 2" xfId="2144"/>
    <cellStyle name="Currency 29 2 2 2 2 2" xfId="2145"/>
    <cellStyle name="Currency 29 2 2 2 3" xfId="2146"/>
    <cellStyle name="Currency 29 2 2 3" xfId="2147"/>
    <cellStyle name="Currency 29 2 2 3 2" xfId="2148"/>
    <cellStyle name="Currency 29 2 2 4" xfId="2149"/>
    <cellStyle name="Currency 29 2 3" xfId="2150"/>
    <cellStyle name="Currency 29 2 3 2" xfId="2151"/>
    <cellStyle name="Currency 29 2 3 2 2" xfId="2152"/>
    <cellStyle name="Currency 29 2 3 3" xfId="2153"/>
    <cellStyle name="Currency 29 2 4" xfId="2154"/>
    <cellStyle name="Currency 29 2 4 2" xfId="2155"/>
    <cellStyle name="Currency 29 2 5" xfId="2156"/>
    <cellStyle name="Currency 29 3" xfId="2157"/>
    <cellStyle name="Currency 29 3 2" xfId="2158"/>
    <cellStyle name="Currency 29 3 2 2" xfId="2159"/>
    <cellStyle name="Currency 29 3 2 2 2" xfId="2160"/>
    <cellStyle name="Currency 29 3 2 2 2 2" xfId="2161"/>
    <cellStyle name="Currency 29 3 2 2 3" xfId="2162"/>
    <cellStyle name="Currency 29 3 2 3" xfId="2163"/>
    <cellStyle name="Currency 29 3 2 3 2" xfId="2164"/>
    <cellStyle name="Currency 29 3 2 4" xfId="2165"/>
    <cellStyle name="Currency 29 3 3" xfId="2166"/>
    <cellStyle name="Currency 29 3 3 2" xfId="2167"/>
    <cellStyle name="Currency 29 3 3 2 2" xfId="2168"/>
    <cellStyle name="Currency 29 3 3 3" xfId="2169"/>
    <cellStyle name="Currency 29 3 4" xfId="2170"/>
    <cellStyle name="Currency 29 3 4 2" xfId="2171"/>
    <cellStyle name="Currency 29 3 5" xfId="2172"/>
    <cellStyle name="Currency 29 4" xfId="2173"/>
    <cellStyle name="Currency 29 4 2" xfId="2174"/>
    <cellStyle name="Currency 29 4 2 2" xfId="2175"/>
    <cellStyle name="Currency 29 4 2 2 2" xfId="2176"/>
    <cellStyle name="Currency 29 4 2 3" xfId="2177"/>
    <cellStyle name="Currency 29 4 3" xfId="2178"/>
    <cellStyle name="Currency 29 4 3 2" xfId="2179"/>
    <cellStyle name="Currency 29 4 4" xfId="2180"/>
    <cellStyle name="Currency 29 5" xfId="2181"/>
    <cellStyle name="Currency 29 5 2" xfId="2182"/>
    <cellStyle name="Currency 29 5 2 2" xfId="2183"/>
    <cellStyle name="Currency 29 5 3" xfId="2184"/>
    <cellStyle name="Currency 29 6" xfId="2185"/>
    <cellStyle name="Currency 29 6 2" xfId="2186"/>
    <cellStyle name="Currency 29 7" xfId="2187"/>
    <cellStyle name="Currency 3" xfId="127"/>
    <cellStyle name="Currency 3 2" xfId="2189"/>
    <cellStyle name="Currency 3 2 2" xfId="2190"/>
    <cellStyle name="Currency 3 2 2 2" xfId="2191"/>
    <cellStyle name="Currency 3 2 2 2 2" xfId="2192"/>
    <cellStyle name="Currency 3 2 2 3" xfId="2193"/>
    <cellStyle name="Currency 3 2 3" xfId="2194"/>
    <cellStyle name="Currency 3 2 3 2" xfId="2195"/>
    <cellStyle name="Currency 3 2 4" xfId="2196"/>
    <cellStyle name="Currency 3 2 4 2" xfId="2197"/>
    <cellStyle name="Currency 3 2 5" xfId="2198"/>
    <cellStyle name="Currency 3 2 5 2" xfId="2199"/>
    <cellStyle name="Currency 3 2 6" xfId="2200"/>
    <cellStyle name="Currency 3 3" xfId="2201"/>
    <cellStyle name="Currency 3 3 2" xfId="2202"/>
    <cellStyle name="Currency 3 4" xfId="2203"/>
    <cellStyle name="Currency 3 5" xfId="2204"/>
    <cellStyle name="Currency 3 5 2" xfId="2205"/>
    <cellStyle name="Currency 3 6" xfId="2206"/>
    <cellStyle name="Currency 3 7" xfId="2207"/>
    <cellStyle name="Currency 3 8" xfId="2188"/>
    <cellStyle name="Currency 3 9" xfId="166"/>
    <cellStyle name="Currency 30" xfId="2208"/>
    <cellStyle name="Currency 31" xfId="2209"/>
    <cellStyle name="Currency 32" xfId="2210"/>
    <cellStyle name="Currency 33" xfId="2211"/>
    <cellStyle name="Currency 34" xfId="2212"/>
    <cellStyle name="Currency 35" xfId="2213"/>
    <cellStyle name="Currency 36" xfId="2214"/>
    <cellStyle name="Currency 37" xfId="2215"/>
    <cellStyle name="Currency 38" xfId="2216"/>
    <cellStyle name="Currency 39" xfId="2217"/>
    <cellStyle name="Currency 4" xfId="32"/>
    <cellStyle name="Currency 4 10" xfId="2219"/>
    <cellStyle name="Currency 4 10 2" xfId="2220"/>
    <cellStyle name="Currency 4 11" xfId="2218"/>
    <cellStyle name="Currency 4 12" xfId="132"/>
    <cellStyle name="Currency 4 2" xfId="2221"/>
    <cellStyle name="Currency 4 2 2" xfId="2222"/>
    <cellStyle name="Currency 4 2 2 2" xfId="2223"/>
    <cellStyle name="Currency 4 2 2 2 2" xfId="2224"/>
    <cellStyle name="Currency 4 2 2 2 2 2" xfId="2225"/>
    <cellStyle name="Currency 4 2 2 2 3" xfId="2226"/>
    <cellStyle name="Currency 4 2 2 3" xfId="2227"/>
    <cellStyle name="Currency 4 2 2 3 2" xfId="2228"/>
    <cellStyle name="Currency 4 2 2 4" xfId="2229"/>
    <cellStyle name="Currency 4 2 3" xfId="2230"/>
    <cellStyle name="Currency 4 2 3 2" xfId="2231"/>
    <cellStyle name="Currency 4 2 3 2 2" xfId="2232"/>
    <cellStyle name="Currency 4 2 3 3" xfId="2233"/>
    <cellStyle name="Currency 4 2 4" xfId="2234"/>
    <cellStyle name="Currency 4 2 4 2" xfId="2235"/>
    <cellStyle name="Currency 4 2 5" xfId="2236"/>
    <cellStyle name="Currency 4 3" xfId="2237"/>
    <cellStyle name="Currency 4 3 2" xfId="2238"/>
    <cellStyle name="Currency 4 3 2 2" xfId="2239"/>
    <cellStyle name="Currency 4 3 2 2 2" xfId="2240"/>
    <cellStyle name="Currency 4 3 2 2 2 2" xfId="2241"/>
    <cellStyle name="Currency 4 3 2 2 3" xfId="2242"/>
    <cellStyle name="Currency 4 3 2 3" xfId="2243"/>
    <cellStyle name="Currency 4 3 2 3 2" xfId="2244"/>
    <cellStyle name="Currency 4 3 2 4" xfId="2245"/>
    <cellStyle name="Currency 4 3 3" xfId="2246"/>
    <cellStyle name="Currency 4 3 3 2" xfId="2247"/>
    <cellStyle name="Currency 4 3 3 2 2" xfId="2248"/>
    <cellStyle name="Currency 4 3 3 3" xfId="2249"/>
    <cellStyle name="Currency 4 3 4" xfId="2250"/>
    <cellStyle name="Currency 4 3 4 2" xfId="2251"/>
    <cellStyle name="Currency 4 3 5" xfId="2252"/>
    <cellStyle name="Currency 4 4" xfId="2253"/>
    <cellStyle name="Currency 4 4 2" xfId="2254"/>
    <cellStyle name="Currency 4 4 2 2" xfId="2255"/>
    <cellStyle name="Currency 4 4 2 2 2" xfId="2256"/>
    <cellStyle name="Currency 4 4 2 3" xfId="2257"/>
    <cellStyle name="Currency 4 4 3" xfId="2258"/>
    <cellStyle name="Currency 4 4 3 2" xfId="2259"/>
    <cellStyle name="Currency 4 4 4" xfId="2260"/>
    <cellStyle name="Currency 4 5" xfId="2261"/>
    <cellStyle name="Currency 4 5 2" xfId="2262"/>
    <cellStyle name="Currency 4 5 2 2" xfId="2263"/>
    <cellStyle name="Currency 4 5 2 2 2" xfId="2264"/>
    <cellStyle name="Currency 4 5 2 3" xfId="2265"/>
    <cellStyle name="Currency 4 5 3" xfId="2266"/>
    <cellStyle name="Currency 4 5 3 2" xfId="2267"/>
    <cellStyle name="Currency 4 5 4" xfId="2268"/>
    <cellStyle name="Currency 4 6" xfId="2269"/>
    <cellStyle name="Currency 4 6 2" xfId="2270"/>
    <cellStyle name="Currency 4 6 2 2" xfId="2271"/>
    <cellStyle name="Currency 4 6 2 2 2" xfId="2272"/>
    <cellStyle name="Currency 4 6 2 3" xfId="2273"/>
    <cellStyle name="Currency 4 6 3" xfId="2274"/>
    <cellStyle name="Currency 4 6 3 2" xfId="2275"/>
    <cellStyle name="Currency 4 6 4" xfId="2276"/>
    <cellStyle name="Currency 4 7" xfId="2277"/>
    <cellStyle name="Currency 4 7 2" xfId="2278"/>
    <cellStyle name="Currency 4 7 2 2" xfId="2279"/>
    <cellStyle name="Currency 4 7 3" xfId="2280"/>
    <cellStyle name="Currency 4 8" xfId="2281"/>
    <cellStyle name="Currency 4 8 2" xfId="2282"/>
    <cellStyle name="Currency 4 9" xfId="2283"/>
    <cellStyle name="Currency 40" xfId="2284"/>
    <cellStyle name="Currency 41" xfId="2285"/>
    <cellStyle name="Currency 42" xfId="2286"/>
    <cellStyle name="Currency 43" xfId="2287"/>
    <cellStyle name="Currency 44" xfId="2288"/>
    <cellStyle name="Currency 45" xfId="2289"/>
    <cellStyle name="Currency 46" xfId="2290"/>
    <cellStyle name="Currency 47" xfId="2291"/>
    <cellStyle name="Currency 5" xfId="2292"/>
    <cellStyle name="Currency 5 2" xfId="2293"/>
    <cellStyle name="Currency 5 2 2" xfId="2294"/>
    <cellStyle name="Currency 5 2 2 2" xfId="2295"/>
    <cellStyle name="Currency 5 2 2 2 2" xfId="2296"/>
    <cellStyle name="Currency 5 2 2 2 2 2" xfId="2297"/>
    <cellStyle name="Currency 5 2 2 2 3" xfId="2298"/>
    <cellStyle name="Currency 5 2 2 3" xfId="2299"/>
    <cellStyle name="Currency 5 2 2 3 2" xfId="2300"/>
    <cellStyle name="Currency 5 2 2 4" xfId="2301"/>
    <cellStyle name="Currency 5 2 3" xfId="2302"/>
    <cellStyle name="Currency 5 2 3 2" xfId="2303"/>
    <cellStyle name="Currency 5 2 3 2 2" xfId="2304"/>
    <cellStyle name="Currency 5 2 3 3" xfId="2305"/>
    <cellStyle name="Currency 5 2 4" xfId="2306"/>
    <cellStyle name="Currency 5 2 4 2" xfId="2307"/>
    <cellStyle name="Currency 5 2 5" xfId="2308"/>
    <cellStyle name="Currency 5 3" xfId="2309"/>
    <cellStyle name="Currency 5 3 2" xfId="2310"/>
    <cellStyle name="Currency 5 3 2 2" xfId="2311"/>
    <cellStyle name="Currency 5 3 2 2 2" xfId="2312"/>
    <cellStyle name="Currency 5 3 2 2 2 2" xfId="2313"/>
    <cellStyle name="Currency 5 3 2 2 3" xfId="2314"/>
    <cellStyle name="Currency 5 3 2 3" xfId="2315"/>
    <cellStyle name="Currency 5 3 2 3 2" xfId="2316"/>
    <cellStyle name="Currency 5 3 2 4" xfId="2317"/>
    <cellStyle name="Currency 5 3 3" xfId="2318"/>
    <cellStyle name="Currency 5 3 3 2" xfId="2319"/>
    <cellStyle name="Currency 5 3 3 2 2" xfId="2320"/>
    <cellStyle name="Currency 5 3 3 3" xfId="2321"/>
    <cellStyle name="Currency 5 3 4" xfId="2322"/>
    <cellStyle name="Currency 5 3 4 2" xfId="2323"/>
    <cellStyle name="Currency 5 3 5" xfId="2324"/>
    <cellStyle name="Currency 5 4" xfId="2325"/>
    <cellStyle name="Currency 5 4 2" xfId="2326"/>
    <cellStyle name="Currency 5 4 2 2" xfId="2327"/>
    <cellStyle name="Currency 5 4 2 2 2" xfId="2328"/>
    <cellStyle name="Currency 5 4 2 3" xfId="2329"/>
    <cellStyle name="Currency 5 4 3" xfId="2330"/>
    <cellStyle name="Currency 5 4 3 2" xfId="2331"/>
    <cellStyle name="Currency 5 4 4" xfId="2332"/>
    <cellStyle name="Currency 5 5" xfId="2333"/>
    <cellStyle name="Currency 5 5 2" xfId="2334"/>
    <cellStyle name="Currency 5 5 2 2" xfId="2335"/>
    <cellStyle name="Currency 5 5 3" xfId="2336"/>
    <cellStyle name="Currency 5 6" xfId="2337"/>
    <cellStyle name="Currency 5 6 2" xfId="2338"/>
    <cellStyle name="Currency 5 7" xfId="2339"/>
    <cellStyle name="Currency 6" xfId="2340"/>
    <cellStyle name="Currency 6 2" xfId="2341"/>
    <cellStyle name="Currency 6 2 2" xfId="2342"/>
    <cellStyle name="Currency 6 2 2 2" xfId="2343"/>
    <cellStyle name="Currency 6 2 2 2 2" xfId="2344"/>
    <cellStyle name="Currency 6 2 2 2 2 2" xfId="2345"/>
    <cellStyle name="Currency 6 2 2 2 3" xfId="2346"/>
    <cellStyle name="Currency 6 2 2 3" xfId="2347"/>
    <cellStyle name="Currency 6 2 2 3 2" xfId="2348"/>
    <cellStyle name="Currency 6 2 2 4" xfId="2349"/>
    <cellStyle name="Currency 6 2 3" xfId="2350"/>
    <cellStyle name="Currency 6 2 3 2" xfId="2351"/>
    <cellStyle name="Currency 6 2 3 2 2" xfId="2352"/>
    <cellStyle name="Currency 6 2 3 3" xfId="2353"/>
    <cellStyle name="Currency 6 2 4" xfId="2354"/>
    <cellStyle name="Currency 6 2 4 2" xfId="2355"/>
    <cellStyle name="Currency 6 2 5" xfId="2356"/>
    <cellStyle name="Currency 6 3" xfId="2357"/>
    <cellStyle name="Currency 6 3 2" xfId="2358"/>
    <cellStyle name="Currency 6 3 2 2" xfId="2359"/>
    <cellStyle name="Currency 6 3 2 2 2" xfId="2360"/>
    <cellStyle name="Currency 6 3 2 2 2 2" xfId="2361"/>
    <cellStyle name="Currency 6 3 2 2 3" xfId="2362"/>
    <cellStyle name="Currency 6 3 2 3" xfId="2363"/>
    <cellStyle name="Currency 6 3 2 3 2" xfId="2364"/>
    <cellStyle name="Currency 6 3 2 4" xfId="2365"/>
    <cellStyle name="Currency 6 3 3" xfId="2366"/>
    <cellStyle name="Currency 6 3 3 2" xfId="2367"/>
    <cellStyle name="Currency 6 3 3 2 2" xfId="2368"/>
    <cellStyle name="Currency 6 3 3 3" xfId="2369"/>
    <cellStyle name="Currency 6 3 4" xfId="2370"/>
    <cellStyle name="Currency 6 3 4 2" xfId="2371"/>
    <cellStyle name="Currency 6 3 5" xfId="2372"/>
    <cellStyle name="Currency 6 4" xfId="2373"/>
    <cellStyle name="Currency 6 4 2" xfId="2374"/>
    <cellStyle name="Currency 6 4 2 2" xfId="2375"/>
    <cellStyle name="Currency 6 4 2 2 2" xfId="2376"/>
    <cellStyle name="Currency 6 4 2 3" xfId="2377"/>
    <cellStyle name="Currency 6 4 3" xfId="2378"/>
    <cellStyle name="Currency 6 4 3 2" xfId="2379"/>
    <cellStyle name="Currency 6 4 4" xfId="2380"/>
    <cellStyle name="Currency 6 5" xfId="2381"/>
    <cellStyle name="Currency 6 5 2" xfId="2382"/>
    <cellStyle name="Currency 6 5 2 2" xfId="2383"/>
    <cellStyle name="Currency 6 5 3" xfId="2384"/>
    <cellStyle name="Currency 6 6" xfId="2385"/>
    <cellStyle name="Currency 6 6 2" xfId="2386"/>
    <cellStyle name="Currency 6 7" xfId="2387"/>
    <cellStyle name="Currency 7" xfId="2388"/>
    <cellStyle name="Currency 7 2" xfId="2389"/>
    <cellStyle name="Currency 7 2 2" xfId="2390"/>
    <cellStyle name="Currency 7 3" xfId="2391"/>
    <cellStyle name="Currency 8" xfId="2392"/>
    <cellStyle name="Currency 8 2" xfId="2393"/>
    <cellStyle name="Currency 8 2 2" xfId="2394"/>
    <cellStyle name="Currency 8 2 2 2" xfId="2395"/>
    <cellStyle name="Currency 8 2 2 2 2" xfId="2396"/>
    <cellStyle name="Currency 8 2 2 2 2 2" xfId="2397"/>
    <cellStyle name="Currency 8 2 2 2 3" xfId="2398"/>
    <cellStyle name="Currency 8 2 2 3" xfId="2399"/>
    <cellStyle name="Currency 8 2 2 3 2" xfId="2400"/>
    <cellStyle name="Currency 8 2 2 4" xfId="2401"/>
    <cellStyle name="Currency 8 2 3" xfId="2402"/>
    <cellStyle name="Currency 8 2 3 2" xfId="2403"/>
    <cellStyle name="Currency 8 2 3 2 2" xfId="2404"/>
    <cellStyle name="Currency 8 2 3 3" xfId="2405"/>
    <cellStyle name="Currency 8 2 4" xfId="2406"/>
    <cellStyle name="Currency 8 2 4 2" xfId="2407"/>
    <cellStyle name="Currency 8 2 5" xfId="2408"/>
    <cellStyle name="Currency 8 3" xfId="2409"/>
    <cellStyle name="Currency 8 3 2" xfId="2410"/>
    <cellStyle name="Currency 8 3 2 2" xfId="2411"/>
    <cellStyle name="Currency 8 3 2 2 2" xfId="2412"/>
    <cellStyle name="Currency 8 3 2 2 2 2" xfId="2413"/>
    <cellStyle name="Currency 8 3 2 2 3" xfId="2414"/>
    <cellStyle name="Currency 8 3 2 3" xfId="2415"/>
    <cellStyle name="Currency 8 3 2 3 2" xfId="2416"/>
    <cellStyle name="Currency 8 3 2 4" xfId="2417"/>
    <cellStyle name="Currency 8 3 3" xfId="2418"/>
    <cellStyle name="Currency 8 3 3 2" xfId="2419"/>
    <cellStyle name="Currency 8 3 3 2 2" xfId="2420"/>
    <cellStyle name="Currency 8 3 3 3" xfId="2421"/>
    <cellStyle name="Currency 8 3 4" xfId="2422"/>
    <cellStyle name="Currency 8 3 4 2" xfId="2423"/>
    <cellStyle name="Currency 8 3 5" xfId="2424"/>
    <cellStyle name="Currency 8 4" xfId="2425"/>
    <cellStyle name="Currency 8 4 2" xfId="2426"/>
    <cellStyle name="Currency 8 4 2 2" xfId="2427"/>
    <cellStyle name="Currency 8 4 2 2 2" xfId="2428"/>
    <cellStyle name="Currency 8 4 2 3" xfId="2429"/>
    <cellStyle name="Currency 8 4 3" xfId="2430"/>
    <cellStyle name="Currency 8 4 3 2" xfId="2431"/>
    <cellStyle name="Currency 8 4 4" xfId="2432"/>
    <cellStyle name="Currency 8 5" xfId="2433"/>
    <cellStyle name="Currency 8 5 2" xfId="2434"/>
    <cellStyle name="Currency 8 5 2 2" xfId="2435"/>
    <cellStyle name="Currency 8 5 3" xfId="2436"/>
    <cellStyle name="Currency 8 6" xfId="2437"/>
    <cellStyle name="Currency 8 6 2" xfId="2438"/>
    <cellStyle name="Currency 8 7" xfId="2439"/>
    <cellStyle name="Currency 8 7 2" xfId="2440"/>
    <cellStyle name="Currency 8 8" xfId="2441"/>
    <cellStyle name="Currency 9" xfId="2442"/>
    <cellStyle name="Currency 9 2" xfId="2443"/>
    <cellStyle name="Currency 9 2 2" xfId="2444"/>
    <cellStyle name="Currency 9 2 2 2" xfId="2445"/>
    <cellStyle name="Currency 9 2 2 2 2" xfId="2446"/>
    <cellStyle name="Currency 9 2 2 2 2 2" xfId="2447"/>
    <cellStyle name="Currency 9 2 2 2 3" xfId="2448"/>
    <cellStyle name="Currency 9 2 2 3" xfId="2449"/>
    <cellStyle name="Currency 9 2 2 3 2" xfId="2450"/>
    <cellStyle name="Currency 9 2 2 4" xfId="2451"/>
    <cellStyle name="Currency 9 2 3" xfId="2452"/>
    <cellStyle name="Currency 9 2 3 2" xfId="2453"/>
    <cellStyle name="Currency 9 2 3 2 2" xfId="2454"/>
    <cellStyle name="Currency 9 2 3 3" xfId="2455"/>
    <cellStyle name="Currency 9 2 4" xfId="2456"/>
    <cellStyle name="Currency 9 2 4 2" xfId="2457"/>
    <cellStyle name="Currency 9 2 5" xfId="2458"/>
    <cellStyle name="Currency 9 3" xfId="2459"/>
    <cellStyle name="Currency 9 3 2" xfId="2460"/>
    <cellStyle name="Currency 9 3 2 2" xfId="2461"/>
    <cellStyle name="Currency 9 3 2 2 2" xfId="2462"/>
    <cellStyle name="Currency 9 3 2 2 2 2" xfId="2463"/>
    <cellStyle name="Currency 9 3 2 2 3" xfId="2464"/>
    <cellStyle name="Currency 9 3 2 3" xfId="2465"/>
    <cellStyle name="Currency 9 3 2 3 2" xfId="2466"/>
    <cellStyle name="Currency 9 3 2 4" xfId="2467"/>
    <cellStyle name="Currency 9 3 3" xfId="2468"/>
    <cellStyle name="Currency 9 3 3 2" xfId="2469"/>
    <cellStyle name="Currency 9 3 3 2 2" xfId="2470"/>
    <cellStyle name="Currency 9 3 3 3" xfId="2471"/>
    <cellStyle name="Currency 9 3 4" xfId="2472"/>
    <cellStyle name="Currency 9 3 4 2" xfId="2473"/>
    <cellStyle name="Currency 9 3 5" xfId="2474"/>
    <cellStyle name="Currency 9 4" xfId="2475"/>
    <cellStyle name="Currency 9 4 2" xfId="2476"/>
    <cellStyle name="Currency 9 4 2 2" xfId="2477"/>
    <cellStyle name="Currency 9 4 2 2 2" xfId="2478"/>
    <cellStyle name="Currency 9 4 2 3" xfId="2479"/>
    <cellStyle name="Currency 9 4 3" xfId="2480"/>
    <cellStyle name="Currency 9 4 3 2" xfId="2481"/>
    <cellStyle name="Currency 9 4 4" xfId="2482"/>
    <cellStyle name="Currency 9 5" xfId="2483"/>
    <cellStyle name="Currency 9 5 2" xfId="2484"/>
    <cellStyle name="Currency 9 5 2 2" xfId="2485"/>
    <cellStyle name="Currency 9 5 3" xfId="2486"/>
    <cellStyle name="Currency 9 6" xfId="2487"/>
    <cellStyle name="Currency 9 6 2" xfId="2488"/>
    <cellStyle name="Currency 9 7" xfId="2489"/>
    <cellStyle name="Currency Per Share" xfId="2490"/>
    <cellStyle name="Currency0" xfId="111"/>
    <cellStyle name="Currency0 2" xfId="2491"/>
    <cellStyle name="Currency0 3" xfId="162"/>
    <cellStyle name="Currency2" xfId="2492"/>
    <cellStyle name="CUS.Work.Area" xfId="2493"/>
    <cellStyle name="Dash" xfId="2494"/>
    <cellStyle name="Data" xfId="2495"/>
    <cellStyle name="Data 2" xfId="2496"/>
    <cellStyle name="Data 3" xfId="2497"/>
    <cellStyle name="Date" xfId="112"/>
    <cellStyle name="Date [mm-dd-yyyy]" xfId="2499"/>
    <cellStyle name="Date [mm-dd-yyyy] 2" xfId="2500"/>
    <cellStyle name="Date [mm-d-yyyy]" xfId="2501"/>
    <cellStyle name="Date [mmm-yyyy]" xfId="2502"/>
    <cellStyle name="Date 2" xfId="2498"/>
    <cellStyle name="Date Aligned" xfId="2503"/>
    <cellStyle name="Date Aligned*" xfId="2504"/>
    <cellStyle name="Date Aligned_comp_Integrateds" xfId="2505"/>
    <cellStyle name="Date Short" xfId="2506"/>
    <cellStyle name="date_ Pies " xfId="2507"/>
    <cellStyle name="DblLineDollarAcct" xfId="2508"/>
    <cellStyle name="DblLineDollarAcct 2" xfId="2509"/>
    <cellStyle name="DblLinePercent" xfId="2510"/>
    <cellStyle name="Dezimal [0]_A17 - 31.03.1998" xfId="2511"/>
    <cellStyle name="Dezimal_A17 - 31.03.1998" xfId="2512"/>
    <cellStyle name="Dia" xfId="2513"/>
    <cellStyle name="Dollar_ Pies " xfId="2514"/>
    <cellStyle name="DollarAccounting" xfId="2515"/>
    <cellStyle name="DollarAccounting 2" xfId="2516"/>
    <cellStyle name="Dotted Line" xfId="2517"/>
    <cellStyle name="Dotted Line 2" xfId="2518"/>
    <cellStyle name="Dotted Line 3" xfId="2519"/>
    <cellStyle name="Double Accounting" xfId="2520"/>
    <cellStyle name="Double Accounting 2" xfId="2521"/>
    <cellStyle name="Duizenden" xfId="2522"/>
    <cellStyle name="Encabez1" xfId="2523"/>
    <cellStyle name="Encabez2" xfId="2524"/>
    <cellStyle name="Enter Currency (0)" xfId="2525"/>
    <cellStyle name="Enter Currency (2)" xfId="2526"/>
    <cellStyle name="Enter Units (0)" xfId="2527"/>
    <cellStyle name="Enter Units (1)" xfId="2528"/>
    <cellStyle name="Enter Units (2)" xfId="2529"/>
    <cellStyle name="Entrée" xfId="2530"/>
    <cellStyle name="Entrée 2" xfId="2531"/>
    <cellStyle name="Entrée 3" xfId="2532"/>
    <cellStyle name="Entrée 3 2" xfId="2533"/>
    <cellStyle name="Entrée 4" xfId="2534"/>
    <cellStyle name="Euro" xfId="2535"/>
    <cellStyle name="Explanatory Text 2" xfId="65"/>
    <cellStyle name="Explanatory Text 2 10" xfId="2537"/>
    <cellStyle name="Explanatory Text 2 11" xfId="2536"/>
    <cellStyle name="Explanatory Text 2 2" xfId="2538"/>
    <cellStyle name="Explanatory Text 2 3" xfId="2539"/>
    <cellStyle name="Explanatory Text 2 4" xfId="2540"/>
    <cellStyle name="Explanatory Text 2 5" xfId="2541"/>
    <cellStyle name="Explanatory Text 2 6" xfId="2542"/>
    <cellStyle name="Explanatory Text 2 7" xfId="2543"/>
    <cellStyle name="Explanatory Text 2 8" xfId="2544"/>
    <cellStyle name="Explanatory Text 2 9" xfId="2545"/>
    <cellStyle name="Explanatory Text 3" xfId="33"/>
    <cellStyle name="fact" xfId="2546"/>
    <cellStyle name="FieldName" xfId="2547"/>
    <cellStyle name="FieldName 2" xfId="2548"/>
    <cellStyle name="Fijo" xfId="2549"/>
    <cellStyle name="Financiero" xfId="2550"/>
    <cellStyle name="Fixed" xfId="113"/>
    <cellStyle name="Fixed 2" xfId="2551"/>
    <cellStyle name="Followed Hyperlink 2" xfId="2552"/>
    <cellStyle name="Footnote" xfId="2553"/>
    <cellStyle name="Good 2" xfId="55"/>
    <cellStyle name="Good 2 10" xfId="2555"/>
    <cellStyle name="Good 2 11" xfId="2554"/>
    <cellStyle name="Good 2 2" xfId="2556"/>
    <cellStyle name="Good 2 3" xfId="2557"/>
    <cellStyle name="Good 2 4" xfId="2558"/>
    <cellStyle name="Good 2 5" xfId="2559"/>
    <cellStyle name="Good 2 6" xfId="2560"/>
    <cellStyle name="Good 2 7" xfId="2561"/>
    <cellStyle name="Good 2 8" xfId="2562"/>
    <cellStyle name="Good 2 9" xfId="2563"/>
    <cellStyle name="Good 3" xfId="34"/>
    <cellStyle name="Grey" xfId="114"/>
    <cellStyle name="GWN Table Body" xfId="2564"/>
    <cellStyle name="GWN Table Header" xfId="2565"/>
    <cellStyle name="GWN Table Left Header" xfId="2566"/>
    <cellStyle name="GWN Table Note" xfId="2567"/>
    <cellStyle name="GWN Table Title" xfId="2568"/>
    <cellStyle name="hard no" xfId="2569"/>
    <cellStyle name="hard no 2" xfId="2570"/>
    <cellStyle name="Hard Percent" xfId="2571"/>
    <cellStyle name="hardno" xfId="2572"/>
    <cellStyle name="Header" xfId="2573"/>
    <cellStyle name="Header1" xfId="2574"/>
    <cellStyle name="Header2" xfId="2575"/>
    <cellStyle name="Header2 2" xfId="2576"/>
    <cellStyle name="Heading" xfId="2577"/>
    <cellStyle name="Heading 1 2" xfId="51"/>
    <cellStyle name="Heading 1 2 2" xfId="2579"/>
    <cellStyle name="Heading 1 2 3" xfId="2580"/>
    <cellStyle name="Heading 1 2 4" xfId="2581"/>
    <cellStyle name="Heading 1 2 5" xfId="2582"/>
    <cellStyle name="Heading 1 2 6" xfId="2583"/>
    <cellStyle name="Heading 1 2 7" xfId="2584"/>
    <cellStyle name="Heading 1 2 8" xfId="2578"/>
    <cellStyle name="Heading 1 3" xfId="35"/>
    <cellStyle name="Heading 1 3 2" xfId="2585"/>
    <cellStyle name="Heading 2 2" xfId="50"/>
    <cellStyle name="Heading 2 2 2" xfId="2587"/>
    <cellStyle name="Heading 2 2 3" xfId="2588"/>
    <cellStyle name="Heading 2 2 4" xfId="2589"/>
    <cellStyle name="Heading 2 2 5" xfId="2590"/>
    <cellStyle name="Heading 2 2 6" xfId="2591"/>
    <cellStyle name="Heading 2 2 7" xfId="2592"/>
    <cellStyle name="Heading 2 2 8" xfId="2586"/>
    <cellStyle name="Heading 2 3" xfId="36"/>
    <cellStyle name="Heading 2 3 2" xfId="2593"/>
    <cellStyle name="Heading 3 2" xfId="53"/>
    <cellStyle name="Heading 3 2 2" xfId="2595"/>
    <cellStyle name="Heading 3 2 3" xfId="2596"/>
    <cellStyle name="Heading 3 2 4" xfId="2597"/>
    <cellStyle name="Heading 3 2 5" xfId="2598"/>
    <cellStyle name="Heading 3 2 6" xfId="2599"/>
    <cellStyle name="Heading 3 2 7" xfId="2600"/>
    <cellStyle name="Heading 3 2 8" xfId="2601"/>
    <cellStyle name="Heading 3 2 9" xfId="2594"/>
    <cellStyle name="Heading 3 3" xfId="37"/>
    <cellStyle name="Heading 3 3 2" xfId="2602"/>
    <cellStyle name="Heading 4 2" xfId="54"/>
    <cellStyle name="Heading 4 2 2" xfId="2604"/>
    <cellStyle name="Heading 4 2 3" xfId="2605"/>
    <cellStyle name="Heading 4 2 4" xfId="2603"/>
    <cellStyle name="Heading 4 3" xfId="38"/>
    <cellStyle name="Heading2" xfId="2606"/>
    <cellStyle name="Heading3" xfId="2607"/>
    <cellStyle name="HeadingColumn" xfId="2608"/>
    <cellStyle name="HeadingS" xfId="2609"/>
    <cellStyle name="HeadingYear" xfId="2610"/>
    <cellStyle name="HeadlineStyle" xfId="2611"/>
    <cellStyle name="HeadlineStyleJustified" xfId="2612"/>
    <cellStyle name="Hed Side_Sheet1" xfId="2613"/>
    <cellStyle name="Hed Top" xfId="2614"/>
    <cellStyle name="Hyperlink 2" xfId="39"/>
    <cellStyle name="Hyperlink 2 10" xfId="2616"/>
    <cellStyle name="Hyperlink 2 11" xfId="2617"/>
    <cellStyle name="Hyperlink 2 12" xfId="2618"/>
    <cellStyle name="Hyperlink 2 13" xfId="2619"/>
    <cellStyle name="Hyperlink 2 14" xfId="2620"/>
    <cellStyle name="Hyperlink 2 15" xfId="2615"/>
    <cellStyle name="Hyperlink 2 2" xfId="2621"/>
    <cellStyle name="Hyperlink 2 2 2" xfId="2622"/>
    <cellStyle name="Hyperlink 2 3" xfId="2623"/>
    <cellStyle name="Hyperlink 2 3 2" xfId="2624"/>
    <cellStyle name="Hyperlink 2 4" xfId="2625"/>
    <cellStyle name="Hyperlink 2 5" xfId="2626"/>
    <cellStyle name="Hyperlink 2 6" xfId="2627"/>
    <cellStyle name="Hyperlink 2 7" xfId="2628"/>
    <cellStyle name="Hyperlink 2 8" xfId="2629"/>
    <cellStyle name="Hyperlink 2 9" xfId="2630"/>
    <cellStyle name="Hyperlink 3" xfId="2631"/>
    <cellStyle name="Hyperlink 3 10" xfId="2632"/>
    <cellStyle name="Hyperlink 3 11" xfId="2633"/>
    <cellStyle name="Hyperlink 3 12" xfId="2634"/>
    <cellStyle name="Hyperlink 3 2" xfId="2635"/>
    <cellStyle name="Hyperlink 3 3" xfId="2636"/>
    <cellStyle name="Hyperlink 3 4" xfId="2637"/>
    <cellStyle name="Hyperlink 3 5" xfId="2638"/>
    <cellStyle name="Hyperlink 3 6" xfId="2639"/>
    <cellStyle name="Hyperlink 3 7" xfId="2640"/>
    <cellStyle name="Hyperlink 3 8" xfId="2641"/>
    <cellStyle name="Hyperlink 3 9" xfId="2642"/>
    <cellStyle name="Hyperlink 4" xfId="2643"/>
    <cellStyle name="Hyperlink 5" xfId="2644"/>
    <cellStyle name="InLink_Acquis_CapitalCost " xfId="2645"/>
    <cellStyle name="Input (1dp#)_ Pies " xfId="2646"/>
    <cellStyle name="Input [yellow]" xfId="115"/>
    <cellStyle name="Input [yellow] 2" xfId="2647"/>
    <cellStyle name="Input 2" xfId="58"/>
    <cellStyle name="Input 2 10" xfId="2649"/>
    <cellStyle name="Input 2 11" xfId="2650"/>
    <cellStyle name="Input 2 12" xfId="2648"/>
    <cellStyle name="Input 2 2" xfId="2651"/>
    <cellStyle name="Input 2 2 2" xfId="2652"/>
    <cellStyle name="Input 2 2 3" xfId="2653"/>
    <cellStyle name="Input 2 2 3 2" xfId="2654"/>
    <cellStyle name="Input 2 2 4" xfId="2655"/>
    <cellStyle name="Input 2 3" xfId="2656"/>
    <cellStyle name="Input 2 3 2" xfId="2657"/>
    <cellStyle name="Input 2 3 3" xfId="2658"/>
    <cellStyle name="Input 2 3 3 2" xfId="2659"/>
    <cellStyle name="Input 2 3 4" xfId="2660"/>
    <cellStyle name="Input 2 4" xfId="2661"/>
    <cellStyle name="Input 2 5" xfId="2662"/>
    <cellStyle name="Input 2 5 2" xfId="2663"/>
    <cellStyle name="Input 2 6" xfId="2664"/>
    <cellStyle name="Input 2 7" xfId="2665"/>
    <cellStyle name="Input 2 8" xfId="2666"/>
    <cellStyle name="Input 2 9" xfId="2667"/>
    <cellStyle name="Input 3" xfId="40"/>
    <cellStyle name="Input 3 2" xfId="2668"/>
    <cellStyle name="Input 4" xfId="2669"/>
    <cellStyle name="Input 5" xfId="2670"/>
    <cellStyle name="Input 6" xfId="2671"/>
    <cellStyle name="Input 7" xfId="2672"/>
    <cellStyle name="Input 8" xfId="2673"/>
    <cellStyle name="InputBlueFont" xfId="2674"/>
    <cellStyle name="InputGen" xfId="2675"/>
    <cellStyle name="InputKeepColour" xfId="2676"/>
    <cellStyle name="InputKeepPale" xfId="2677"/>
    <cellStyle name="InputVariColour" xfId="2678"/>
    <cellStyle name="Integer" xfId="2679"/>
    <cellStyle name="Invisible" xfId="2680"/>
    <cellStyle name="Item" xfId="2681"/>
    <cellStyle name="Items_Obligatory" xfId="2682"/>
    <cellStyle name="ItemTypeClass" xfId="2683"/>
    <cellStyle name="ItemTypeClass 2" xfId="2684"/>
    <cellStyle name="KP_Normal" xfId="2685"/>
    <cellStyle name="Lien hypertexte visité_index" xfId="2686"/>
    <cellStyle name="Lien hypertexte_index" xfId="2687"/>
    <cellStyle name="ligne_detail" xfId="2688"/>
    <cellStyle name="Line" xfId="2689"/>
    <cellStyle name="Link Currency (0)" xfId="2690"/>
    <cellStyle name="Link Currency (2)" xfId="2691"/>
    <cellStyle name="Link Units (0)" xfId="2692"/>
    <cellStyle name="Link Units (1)" xfId="2693"/>
    <cellStyle name="Link Units (2)" xfId="2694"/>
    <cellStyle name="Linked Cell 2" xfId="61"/>
    <cellStyle name="Linked Cell 2 10" xfId="2696"/>
    <cellStyle name="Linked Cell 2 11" xfId="2695"/>
    <cellStyle name="Linked Cell 2 2" xfId="2697"/>
    <cellStyle name="Linked Cell 2 3" xfId="2698"/>
    <cellStyle name="Linked Cell 2 4" xfId="2699"/>
    <cellStyle name="Linked Cell 2 5" xfId="2700"/>
    <cellStyle name="Linked Cell 2 6" xfId="2701"/>
    <cellStyle name="Linked Cell 2 7" xfId="2702"/>
    <cellStyle name="Linked Cell 2 8" xfId="2703"/>
    <cellStyle name="Linked Cell 2 9" xfId="2704"/>
    <cellStyle name="Linked Cell 3" xfId="41"/>
    <cellStyle name="M" xfId="116"/>
    <cellStyle name="M.00" xfId="117"/>
    <cellStyle name="m/d/yy" xfId="2705"/>
    <cellStyle name="M_9. Rev2Cost_GDPIPI" xfId="118"/>
    <cellStyle name="M_lists" xfId="119"/>
    <cellStyle name="M_lists_4. Current Monthly Fixed Charge" xfId="120"/>
    <cellStyle name="M_Sheet4" xfId="121"/>
    <cellStyle name="m1" xfId="2706"/>
    <cellStyle name="Major item" xfId="2707"/>
    <cellStyle name="Margin" xfId="2708"/>
    <cellStyle name="Migliaia (0)_Sheet1" xfId="2709"/>
    <cellStyle name="Migliaia_piv_polio" xfId="2710"/>
    <cellStyle name="Millares [0]_Asset Mgmt " xfId="2711"/>
    <cellStyle name="Millares_2AV_M_M " xfId="2712"/>
    <cellStyle name="Milliers [0]_CANADA1" xfId="2713"/>
    <cellStyle name="Milliers 2" xfId="2714"/>
    <cellStyle name="Milliers_CANADA1" xfId="2715"/>
    <cellStyle name="mm/dd/yy" xfId="2716"/>
    <cellStyle name="mod1" xfId="2717"/>
    <cellStyle name="modelo1" xfId="2718"/>
    <cellStyle name="Moneda [0]_2AV_M_M " xfId="2719"/>
    <cellStyle name="Moneda_2AV_M_M " xfId="2720"/>
    <cellStyle name="Monétaire [0]_CANADA1" xfId="2721"/>
    <cellStyle name="Monétaire 2" xfId="2722"/>
    <cellStyle name="Monétaire_CANADA1" xfId="2723"/>
    <cellStyle name="Monetario" xfId="2724"/>
    <cellStyle name="MonthYears" xfId="2725"/>
    <cellStyle name="Multiple" xfId="2726"/>
    <cellStyle name="Multiple (no x)" xfId="2727"/>
    <cellStyle name="Multiple (x)" xfId="2728"/>
    <cellStyle name="Multiple [0]" xfId="2729"/>
    <cellStyle name="Multiple [1]" xfId="2730"/>
    <cellStyle name="Multiple [2]" xfId="2731"/>
    <cellStyle name="Multiple [3]" xfId="2732"/>
    <cellStyle name="Multiple_1030171N" xfId="2733"/>
    <cellStyle name="neg0.0_CapitalCost " xfId="2734"/>
    <cellStyle name="Neutral 2" xfId="57"/>
    <cellStyle name="Neutral 2 10" xfId="2736"/>
    <cellStyle name="Neutral 2 11" xfId="2735"/>
    <cellStyle name="Neutral 2 2" xfId="2737"/>
    <cellStyle name="Neutral 2 3" xfId="2738"/>
    <cellStyle name="Neutral 2 4" xfId="2739"/>
    <cellStyle name="Neutral 2 5" xfId="2740"/>
    <cellStyle name="Neutral 2 6" xfId="2741"/>
    <cellStyle name="Neutral 2 7" xfId="2742"/>
    <cellStyle name="Neutral 2 8" xfId="2743"/>
    <cellStyle name="Neutral 2 9" xfId="2744"/>
    <cellStyle name="Neutral 3" xfId="42"/>
    <cellStyle name="New" xfId="2745"/>
    <cellStyle name="Nil" xfId="2746"/>
    <cellStyle name="no dec" xfId="2747"/>
    <cellStyle name="No-definido" xfId="2748"/>
    <cellStyle name="Non_Input_Cell_Figures" xfId="2749"/>
    <cellStyle name="NonPrintingArea" xfId="2750"/>
    <cellStyle name="NORAYAS" xfId="2751"/>
    <cellStyle name="Normal" xfId="0" builtinId="0"/>
    <cellStyle name="Normal--" xfId="2752"/>
    <cellStyle name="Normal - Style1" xfId="122"/>
    <cellStyle name="Normal - Style1 2" xfId="2753"/>
    <cellStyle name="Normal [0]" xfId="2754"/>
    <cellStyle name="Normal [1]" xfId="2755"/>
    <cellStyle name="Normal [3]" xfId="2756"/>
    <cellStyle name="Normal [3] 2" xfId="2757"/>
    <cellStyle name="Normal [3] 3" xfId="2758"/>
    <cellStyle name="Normal 10" xfId="2759"/>
    <cellStyle name="Normal 10 2" xfId="2760"/>
    <cellStyle name="Normal 10 2 2" xfId="2761"/>
    <cellStyle name="Normal 10 2 3" xfId="2762"/>
    <cellStyle name="Normal 10 3" xfId="2763"/>
    <cellStyle name="Normal 10 4" xfId="2764"/>
    <cellStyle name="Normal 10 5" xfId="2765"/>
    <cellStyle name="Normal 10 6" xfId="2766"/>
    <cellStyle name="Normal 10 7" xfId="2767"/>
    <cellStyle name="Normal 11" xfId="2768"/>
    <cellStyle name="Normal 11 2" xfId="2769"/>
    <cellStyle name="Normal 11 2 2" xfId="2770"/>
    <cellStyle name="Normal 11 3" xfId="2771"/>
    <cellStyle name="Normal 11 4" xfId="2772"/>
    <cellStyle name="Normal 11 5" xfId="2773"/>
    <cellStyle name="Normal 11 6" xfId="2774"/>
    <cellStyle name="Normal 11 7" xfId="2775"/>
    <cellStyle name="Normal 12" xfId="2776"/>
    <cellStyle name="Normal 12 2" xfId="2777"/>
    <cellStyle name="Normal 12 3" xfId="2778"/>
    <cellStyle name="Normal 12 4" xfId="2779"/>
    <cellStyle name="Normal 12 5" xfId="2780"/>
    <cellStyle name="Normal 13" xfId="2781"/>
    <cellStyle name="Normal 13 2" xfId="2782"/>
    <cellStyle name="Normal 13 2 2" xfId="2783"/>
    <cellStyle name="Normal 13 2 3" xfId="2784"/>
    <cellStyle name="Normal 13 3" xfId="2785"/>
    <cellStyle name="Normal 13 4" xfId="2786"/>
    <cellStyle name="Normal 14" xfId="2787"/>
    <cellStyle name="Normal 14 2" xfId="2788"/>
    <cellStyle name="Normal 14 2 2" xfId="2789"/>
    <cellStyle name="Normal 14 2 2 2" xfId="2790"/>
    <cellStyle name="Normal 14 2 3" xfId="2791"/>
    <cellStyle name="Normal 14 2 4" xfId="2792"/>
    <cellStyle name="Normal 14 3" xfId="2793"/>
    <cellStyle name="Normal 15" xfId="2794"/>
    <cellStyle name="Normal 15 2" xfId="2795"/>
    <cellStyle name="Normal 15 2 2" xfId="2796"/>
    <cellStyle name="Normal 15 3" xfId="2797"/>
    <cellStyle name="Normal 15 4" xfId="2798"/>
    <cellStyle name="Normal 16" xfId="2799"/>
    <cellStyle name="Normal 16 2" xfId="2800"/>
    <cellStyle name="Normal 16 2 2" xfId="2801"/>
    <cellStyle name="Normal 16 3" xfId="2802"/>
    <cellStyle name="Normal 16 4" xfId="2803"/>
    <cellStyle name="Normal 17" xfId="2804"/>
    <cellStyle name="Normal 17 2" xfId="2805"/>
    <cellStyle name="Normal 17 2 2" xfId="2806"/>
    <cellStyle name="Normal 17 2 2 2" xfId="2807"/>
    <cellStyle name="Normal 17 2 3" xfId="2808"/>
    <cellStyle name="Normal 17 2 4" xfId="2809"/>
    <cellStyle name="Normal 17 3" xfId="2810"/>
    <cellStyle name="Normal 17 3 2" xfId="2811"/>
    <cellStyle name="Normal 17 4" xfId="2812"/>
    <cellStyle name="Normal 17 5" xfId="2813"/>
    <cellStyle name="Normal 18" xfId="2814"/>
    <cellStyle name="Normal 18 2" xfId="2815"/>
    <cellStyle name="Normal 18 2 2" xfId="2816"/>
    <cellStyle name="Normal 18 3" xfId="2817"/>
    <cellStyle name="Normal 18 4" xfId="2818"/>
    <cellStyle name="Normal 19" xfId="2819"/>
    <cellStyle name="Normal 2" xfId="2"/>
    <cellStyle name="Normal-- 2" xfId="2821"/>
    <cellStyle name="Normal 2 10" xfId="2822"/>
    <cellStyle name="Normal 2 10 2" xfId="2823"/>
    <cellStyle name="Normal 2 11" xfId="2824"/>
    <cellStyle name="Normal 2 11 2" xfId="2825"/>
    <cellStyle name="Normal 2 12" xfId="2826"/>
    <cellStyle name="Normal 2 12 2" xfId="2827"/>
    <cellStyle name="Normal 2 13" xfId="2828"/>
    <cellStyle name="Normal 2 13 2" xfId="2829"/>
    <cellStyle name="Normal 2 14" xfId="2830"/>
    <cellStyle name="Normal 2 14 2" xfId="2831"/>
    <cellStyle name="Normal 2 15" xfId="2832"/>
    <cellStyle name="Normal 2 15 2" xfId="2833"/>
    <cellStyle name="Normal 2 16" xfId="2834"/>
    <cellStyle name="Normal 2 16 2" xfId="2835"/>
    <cellStyle name="Normal 2 17" xfId="2836"/>
    <cellStyle name="Normal 2 17 2" xfId="2837"/>
    <cellStyle name="Normal 2 18" xfId="2838"/>
    <cellStyle name="Normal 2 18 2" xfId="2839"/>
    <cellStyle name="Normal 2 19" xfId="2840"/>
    <cellStyle name="Normal 2 19 2" xfId="2841"/>
    <cellStyle name="Normal 2 2" xfId="48"/>
    <cellStyle name="Normal 2 2 2" xfId="2843"/>
    <cellStyle name="Normal 2 2 2 2" xfId="2844"/>
    <cellStyle name="Normal 2 2 2 2 2" xfId="2845"/>
    <cellStyle name="Normal 2 2 2 3" xfId="2846"/>
    <cellStyle name="Normal 2 2 2 4" xfId="2847"/>
    <cellStyle name="Normal 2 2 2 5" xfId="2848"/>
    <cellStyle name="Normal 2 2 2 6" xfId="2849"/>
    <cellStyle name="Normal 2 2 3" xfId="2850"/>
    <cellStyle name="Normal 2 2 4" xfId="2851"/>
    <cellStyle name="Normal 2 2 4 2" xfId="2852"/>
    <cellStyle name="Normal 2 2 4 3" xfId="2853"/>
    <cellStyle name="Normal 2 2 5" xfId="2854"/>
    <cellStyle name="Normal 2 2 6" xfId="2855"/>
    <cellStyle name="Normal 2 2 7" xfId="2856"/>
    <cellStyle name="Normal 2 2 8" xfId="2842"/>
    <cellStyle name="Normal 2 20" xfId="2857"/>
    <cellStyle name="Normal 2 20 2" xfId="2858"/>
    <cellStyle name="Normal 2 21" xfId="2859"/>
    <cellStyle name="Normal 2 21 2" xfId="2860"/>
    <cellStyle name="Normal 2 22" xfId="2861"/>
    <cellStyle name="Normal 2 22 2" xfId="2862"/>
    <cellStyle name="Normal 2 23" xfId="2863"/>
    <cellStyle name="Normal 2 23 2" xfId="2864"/>
    <cellStyle name="Normal 2 24" xfId="2865"/>
    <cellStyle name="Normal 2 24 2" xfId="2866"/>
    <cellStyle name="Normal 2 24 2 2" xfId="2867"/>
    <cellStyle name="Normal 2 24 3" xfId="2868"/>
    <cellStyle name="Normal 2 24 4" xfId="2869"/>
    <cellStyle name="Normal 2 25" xfId="2870"/>
    <cellStyle name="Normal 2 25 2" xfId="2871"/>
    <cellStyle name="Normal 2 26" xfId="2872"/>
    <cellStyle name="Normal 2 26 2" xfId="2873"/>
    <cellStyle name="Normal 2 27" xfId="2874"/>
    <cellStyle name="Normal 2 27 2" xfId="2875"/>
    <cellStyle name="Normal 2 28" xfId="2876"/>
    <cellStyle name="Normal 2 28 2" xfId="2877"/>
    <cellStyle name="Normal 2 29" xfId="2878"/>
    <cellStyle name="Normal 2 29 2" xfId="2879"/>
    <cellStyle name="Normal 2 3" xfId="2880"/>
    <cellStyle name="Normal 2 3 2" xfId="2881"/>
    <cellStyle name="Normal 2 3 3" xfId="2882"/>
    <cellStyle name="Normal 2 30" xfId="2883"/>
    <cellStyle name="Normal 2 30 2" xfId="2884"/>
    <cellStyle name="Normal 2 31" xfId="2885"/>
    <cellStyle name="Normal 2 31 2" xfId="2886"/>
    <cellStyle name="Normal 2 32" xfId="2887"/>
    <cellStyle name="Normal 2 33" xfId="2888"/>
    <cellStyle name="Normal 2 34" xfId="2889"/>
    <cellStyle name="Normal 2 35" xfId="2890"/>
    <cellStyle name="Normal 2 36" xfId="2891"/>
    <cellStyle name="Normal 2 37" xfId="2892"/>
    <cellStyle name="Normal 2 38" xfId="2893"/>
    <cellStyle name="Normal 2 38 2" xfId="2894"/>
    <cellStyle name="Normal 2 39" xfId="2895"/>
    <cellStyle name="Normal 2 4" xfId="2896"/>
    <cellStyle name="Normal 2 4 2" xfId="2897"/>
    <cellStyle name="Normal 2 4 3" xfId="2898"/>
    <cellStyle name="Normal 2 4 4" xfId="2899"/>
    <cellStyle name="Normal 2 40" xfId="2900"/>
    <cellStyle name="Normal 2 41" xfId="2901"/>
    <cellStyle name="Normal 2 42" xfId="2902"/>
    <cellStyle name="Normal 2 43" xfId="2903"/>
    <cellStyle name="Normal 2 44" xfId="2904"/>
    <cellStyle name="Normal 2 45" xfId="2905"/>
    <cellStyle name="Normal 2 46" xfId="2906"/>
    <cellStyle name="Normal 2 47" xfId="2907"/>
    <cellStyle name="Normal 2 48" xfId="2908"/>
    <cellStyle name="Normal 2 49" xfId="2909"/>
    <cellStyle name="Normal 2 5" xfId="2910"/>
    <cellStyle name="Normal 2 5 2" xfId="2911"/>
    <cellStyle name="Normal 2 5 3" xfId="2912"/>
    <cellStyle name="Normal 2 50" xfId="2913"/>
    <cellStyle name="Normal 2 51" xfId="2914"/>
    <cellStyle name="Normal 2 52" xfId="2915"/>
    <cellStyle name="Normal 2 53" xfId="2916"/>
    <cellStyle name="Normal 2 54" xfId="2917"/>
    <cellStyle name="Normal 2 55" xfId="2918"/>
    <cellStyle name="Normal 2 56" xfId="2919"/>
    <cellStyle name="Normal 2 57" xfId="2920"/>
    <cellStyle name="Normal 2 58" xfId="2921"/>
    <cellStyle name="Normal 2 59" xfId="2922"/>
    <cellStyle name="Normal 2 6" xfId="2923"/>
    <cellStyle name="Normal 2 6 2" xfId="2924"/>
    <cellStyle name="Normal 2 60" xfId="2925"/>
    <cellStyle name="Normal 2 61" xfId="2926"/>
    <cellStyle name="Normal 2 62" xfId="2927"/>
    <cellStyle name="Normal 2 63" xfId="2928"/>
    <cellStyle name="Normal 2 64" xfId="2929"/>
    <cellStyle name="Normal 2 65" xfId="2930"/>
    <cellStyle name="Normal 2 66" xfId="2820"/>
    <cellStyle name="Normal 2 67" xfId="129"/>
    <cellStyle name="Normal 2 68" xfId="134"/>
    <cellStyle name="Normal 2 69" xfId="5741"/>
    <cellStyle name="Normal 2 7" xfId="2931"/>
    <cellStyle name="Normal 2 7 2" xfId="2932"/>
    <cellStyle name="Normal 2 70" xfId="5743"/>
    <cellStyle name="Normal 2 71" xfId="5745"/>
    <cellStyle name="Normal 2 72" xfId="5747"/>
    <cellStyle name="Normal 2 73" xfId="5749"/>
    <cellStyle name="Normal 2 8" xfId="2933"/>
    <cellStyle name="Normal 2 8 2" xfId="2934"/>
    <cellStyle name="Normal 2 9" xfId="2935"/>
    <cellStyle name="Normal 2 9 2" xfId="2936"/>
    <cellStyle name="Normal 20" xfId="2937"/>
    <cellStyle name="Normal 20 2" xfId="2938"/>
    <cellStyle name="Normal 21" xfId="2939"/>
    <cellStyle name="Normal 22" xfId="2940"/>
    <cellStyle name="Normal 23" xfId="2941"/>
    <cellStyle name="Normal 24" xfId="2942"/>
    <cellStyle name="Normal 25" xfId="2943"/>
    <cellStyle name="Normal 25 10" xfId="2944"/>
    <cellStyle name="Normal 25 100" xfId="2945"/>
    <cellStyle name="Normal 25 101" xfId="2946"/>
    <cellStyle name="Normal 25 102" xfId="2947"/>
    <cellStyle name="Normal 25 103" xfId="2948"/>
    <cellStyle name="Normal 25 104" xfId="2949"/>
    <cellStyle name="Normal 25 105" xfId="2950"/>
    <cellStyle name="Normal 25 106" xfId="2951"/>
    <cellStyle name="Normal 25 107" xfId="2952"/>
    <cellStyle name="Normal 25 108" xfId="2953"/>
    <cellStyle name="Normal 25 109" xfId="2954"/>
    <cellStyle name="Normal 25 11" xfId="2955"/>
    <cellStyle name="Normal 25 12" xfId="2956"/>
    <cellStyle name="Normal 25 13" xfId="2957"/>
    <cellStyle name="Normal 25 14" xfId="2958"/>
    <cellStyle name="Normal 25 15" xfId="2959"/>
    <cellStyle name="Normal 25 16" xfId="2960"/>
    <cellStyle name="Normal 25 17" xfId="2961"/>
    <cellStyle name="Normal 25 18" xfId="2962"/>
    <cellStyle name="Normal 25 19" xfId="2963"/>
    <cellStyle name="Normal 25 2" xfId="2964"/>
    <cellStyle name="Normal 25 20" xfId="2965"/>
    <cellStyle name="Normal 25 21" xfId="2966"/>
    <cellStyle name="Normal 25 22" xfId="2967"/>
    <cellStyle name="Normal 25 23" xfId="2968"/>
    <cellStyle name="Normal 25 24" xfId="2969"/>
    <cellStyle name="Normal 25 25" xfId="2970"/>
    <cellStyle name="Normal 25 26" xfId="2971"/>
    <cellStyle name="Normal 25 27" xfId="2972"/>
    <cellStyle name="Normal 25 28" xfId="2973"/>
    <cellStyle name="Normal 25 29" xfId="2974"/>
    <cellStyle name="Normal 25 3" xfId="2975"/>
    <cellStyle name="Normal 25 30" xfId="2976"/>
    <cellStyle name="Normal 25 31" xfId="2977"/>
    <cellStyle name="Normal 25 32" xfId="2978"/>
    <cellStyle name="Normal 25 33" xfId="2979"/>
    <cellStyle name="Normal 25 34" xfId="2980"/>
    <cellStyle name="Normal 25 35" xfId="2981"/>
    <cellStyle name="Normal 25 36" xfId="2982"/>
    <cellStyle name="Normal 25 37" xfId="2983"/>
    <cellStyle name="Normal 25 38" xfId="2984"/>
    <cellStyle name="Normal 25 39" xfId="2985"/>
    <cellStyle name="Normal 25 4" xfId="2986"/>
    <cellStyle name="Normal 25 40" xfId="2987"/>
    <cellStyle name="Normal 25 41" xfId="2988"/>
    <cellStyle name="Normal 25 42" xfId="2989"/>
    <cellStyle name="Normal 25 43" xfId="2990"/>
    <cellStyle name="Normal 25 44" xfId="2991"/>
    <cellStyle name="Normal 25 45" xfId="2992"/>
    <cellStyle name="Normal 25 46" xfId="2993"/>
    <cellStyle name="Normal 25 47" xfId="2994"/>
    <cellStyle name="Normal 25 48" xfId="2995"/>
    <cellStyle name="Normal 25 49" xfId="2996"/>
    <cellStyle name="Normal 25 5" xfId="2997"/>
    <cellStyle name="Normal 25 50" xfId="2998"/>
    <cellStyle name="Normal 25 51" xfId="2999"/>
    <cellStyle name="Normal 25 52" xfId="3000"/>
    <cellStyle name="Normal 25 53" xfId="3001"/>
    <cellStyle name="Normal 25 54" xfId="3002"/>
    <cellStyle name="Normal 25 55" xfId="3003"/>
    <cellStyle name="Normal 25 56" xfId="3004"/>
    <cellStyle name="Normal 25 57" xfId="3005"/>
    <cellStyle name="Normal 25 58" xfId="3006"/>
    <cellStyle name="Normal 25 59" xfId="3007"/>
    <cellStyle name="Normal 25 6" xfId="3008"/>
    <cellStyle name="Normal 25 60" xfId="3009"/>
    <cellStyle name="Normal 25 61" xfId="3010"/>
    <cellStyle name="Normal 25 62" xfId="3011"/>
    <cellStyle name="Normal 25 63" xfId="3012"/>
    <cellStyle name="Normal 25 64" xfId="3013"/>
    <cellStyle name="Normal 25 65" xfId="3014"/>
    <cellStyle name="Normal 25 66" xfId="3015"/>
    <cellStyle name="Normal 25 67" xfId="3016"/>
    <cellStyle name="Normal 25 68" xfId="3017"/>
    <cellStyle name="Normal 25 69" xfId="3018"/>
    <cellStyle name="Normal 25 7" xfId="3019"/>
    <cellStyle name="Normal 25 70" xfId="3020"/>
    <cellStyle name="Normal 25 71" xfId="3021"/>
    <cellStyle name="Normal 25 72" xfId="3022"/>
    <cellStyle name="Normal 25 73" xfId="3023"/>
    <cellStyle name="Normal 25 74" xfId="3024"/>
    <cellStyle name="Normal 25 75" xfId="3025"/>
    <cellStyle name="Normal 25 76" xfId="3026"/>
    <cellStyle name="Normal 25 77" xfId="3027"/>
    <cellStyle name="Normal 25 78" xfId="3028"/>
    <cellStyle name="Normal 25 79" xfId="3029"/>
    <cellStyle name="Normal 25 8" xfId="3030"/>
    <cellStyle name="Normal 25 80" xfId="3031"/>
    <cellStyle name="Normal 25 81" xfId="3032"/>
    <cellStyle name="Normal 25 82" xfId="3033"/>
    <cellStyle name="Normal 25 83" xfId="3034"/>
    <cellStyle name="Normal 25 84" xfId="3035"/>
    <cellStyle name="Normal 25 85" xfId="3036"/>
    <cellStyle name="Normal 25 86" xfId="3037"/>
    <cellStyle name="Normal 25 87" xfId="3038"/>
    <cellStyle name="Normal 25 88" xfId="3039"/>
    <cellStyle name="Normal 25 89" xfId="3040"/>
    <cellStyle name="Normal 25 9" xfId="3041"/>
    <cellStyle name="Normal 25 90" xfId="3042"/>
    <cellStyle name="Normal 25 91" xfId="3043"/>
    <cellStyle name="Normal 25 92" xfId="3044"/>
    <cellStyle name="Normal 25 93" xfId="3045"/>
    <cellStyle name="Normal 25 94" xfId="3046"/>
    <cellStyle name="Normal 25 95" xfId="3047"/>
    <cellStyle name="Normal 25 96" xfId="3048"/>
    <cellStyle name="Normal 25 97" xfId="3049"/>
    <cellStyle name="Normal 25 98" xfId="3050"/>
    <cellStyle name="Normal 25 99" xfId="3051"/>
    <cellStyle name="Normal 26" xfId="3052"/>
    <cellStyle name="Normal 26 10" xfId="3053"/>
    <cellStyle name="Normal 26 100" xfId="3054"/>
    <cellStyle name="Normal 26 101" xfId="3055"/>
    <cellStyle name="Normal 26 102" xfId="3056"/>
    <cellStyle name="Normal 26 103" xfId="3057"/>
    <cellStyle name="Normal 26 104" xfId="3058"/>
    <cellStyle name="Normal 26 105" xfId="3059"/>
    <cellStyle name="Normal 26 106" xfId="3060"/>
    <cellStyle name="Normal 26 107" xfId="3061"/>
    <cellStyle name="Normal 26 108" xfId="3062"/>
    <cellStyle name="Normal 26 109" xfId="3063"/>
    <cellStyle name="Normal 26 11" xfId="3064"/>
    <cellStyle name="Normal 26 12" xfId="3065"/>
    <cellStyle name="Normal 26 13" xfId="3066"/>
    <cellStyle name="Normal 26 14" xfId="3067"/>
    <cellStyle name="Normal 26 15" xfId="3068"/>
    <cellStyle name="Normal 26 16" xfId="3069"/>
    <cellStyle name="Normal 26 17" xfId="3070"/>
    <cellStyle name="Normal 26 18" xfId="3071"/>
    <cellStyle name="Normal 26 19" xfId="3072"/>
    <cellStyle name="Normal 26 2" xfId="3073"/>
    <cellStyle name="Normal 26 20" xfId="3074"/>
    <cellStyle name="Normal 26 21" xfId="3075"/>
    <cellStyle name="Normal 26 22" xfId="3076"/>
    <cellStyle name="Normal 26 23" xfId="3077"/>
    <cellStyle name="Normal 26 24" xfId="3078"/>
    <cellStyle name="Normal 26 25" xfId="3079"/>
    <cellStyle name="Normal 26 26" xfId="3080"/>
    <cellStyle name="Normal 26 27" xfId="3081"/>
    <cellStyle name="Normal 26 28" xfId="3082"/>
    <cellStyle name="Normal 26 29" xfId="3083"/>
    <cellStyle name="Normal 26 3" xfId="3084"/>
    <cellStyle name="Normal 26 30" xfId="3085"/>
    <cellStyle name="Normal 26 31" xfId="3086"/>
    <cellStyle name="Normal 26 32" xfId="3087"/>
    <cellStyle name="Normal 26 33" xfId="3088"/>
    <cellStyle name="Normal 26 34" xfId="3089"/>
    <cellStyle name="Normal 26 35" xfId="3090"/>
    <cellStyle name="Normal 26 36" xfId="3091"/>
    <cellStyle name="Normal 26 37" xfId="3092"/>
    <cellStyle name="Normal 26 38" xfId="3093"/>
    <cellStyle name="Normal 26 39" xfId="3094"/>
    <cellStyle name="Normal 26 4" xfId="3095"/>
    <cellStyle name="Normal 26 40" xfId="3096"/>
    <cellStyle name="Normal 26 41" xfId="3097"/>
    <cellStyle name="Normal 26 42" xfId="3098"/>
    <cellStyle name="Normal 26 43" xfId="3099"/>
    <cellStyle name="Normal 26 44" xfId="3100"/>
    <cellStyle name="Normal 26 45" xfId="3101"/>
    <cellStyle name="Normal 26 46" xfId="3102"/>
    <cellStyle name="Normal 26 47" xfId="3103"/>
    <cellStyle name="Normal 26 48" xfId="3104"/>
    <cellStyle name="Normal 26 49" xfId="3105"/>
    <cellStyle name="Normal 26 5" xfId="3106"/>
    <cellStyle name="Normal 26 50" xfId="3107"/>
    <cellStyle name="Normal 26 51" xfId="3108"/>
    <cellStyle name="Normal 26 52" xfId="3109"/>
    <cellStyle name="Normal 26 53" xfId="3110"/>
    <cellStyle name="Normal 26 54" xfId="3111"/>
    <cellStyle name="Normal 26 55" xfId="3112"/>
    <cellStyle name="Normal 26 56" xfId="3113"/>
    <cellStyle name="Normal 26 57" xfId="3114"/>
    <cellStyle name="Normal 26 58" xfId="3115"/>
    <cellStyle name="Normal 26 59" xfId="3116"/>
    <cellStyle name="Normal 26 6" xfId="3117"/>
    <cellStyle name="Normal 26 60" xfId="3118"/>
    <cellStyle name="Normal 26 61" xfId="3119"/>
    <cellStyle name="Normal 26 62" xfId="3120"/>
    <cellStyle name="Normal 26 63" xfId="3121"/>
    <cellStyle name="Normal 26 64" xfId="3122"/>
    <cellStyle name="Normal 26 65" xfId="3123"/>
    <cellStyle name="Normal 26 66" xfId="3124"/>
    <cellStyle name="Normal 26 67" xfId="3125"/>
    <cellStyle name="Normal 26 68" xfId="3126"/>
    <cellStyle name="Normal 26 69" xfId="3127"/>
    <cellStyle name="Normal 26 7" xfId="3128"/>
    <cellStyle name="Normal 26 70" xfId="3129"/>
    <cellStyle name="Normal 26 71" xfId="3130"/>
    <cellStyle name="Normal 26 72" xfId="3131"/>
    <cellStyle name="Normal 26 73" xfId="3132"/>
    <cellStyle name="Normal 26 74" xfId="3133"/>
    <cellStyle name="Normal 26 75" xfId="3134"/>
    <cellStyle name="Normal 26 76" xfId="3135"/>
    <cellStyle name="Normal 26 77" xfId="3136"/>
    <cellStyle name="Normal 26 78" xfId="3137"/>
    <cellStyle name="Normal 26 79" xfId="3138"/>
    <cellStyle name="Normal 26 8" xfId="3139"/>
    <cellStyle name="Normal 26 80" xfId="3140"/>
    <cellStyle name="Normal 26 81" xfId="3141"/>
    <cellStyle name="Normal 26 82" xfId="3142"/>
    <cellStyle name="Normal 26 83" xfId="3143"/>
    <cellStyle name="Normal 26 84" xfId="3144"/>
    <cellStyle name="Normal 26 85" xfId="3145"/>
    <cellStyle name="Normal 26 86" xfId="3146"/>
    <cellStyle name="Normal 26 87" xfId="3147"/>
    <cellStyle name="Normal 26 88" xfId="3148"/>
    <cellStyle name="Normal 26 89" xfId="3149"/>
    <cellStyle name="Normal 26 9" xfId="3150"/>
    <cellStyle name="Normal 26 90" xfId="3151"/>
    <cellStyle name="Normal 26 91" xfId="3152"/>
    <cellStyle name="Normal 26 92" xfId="3153"/>
    <cellStyle name="Normal 26 93" xfId="3154"/>
    <cellStyle name="Normal 26 94" xfId="3155"/>
    <cellStyle name="Normal 26 95" xfId="3156"/>
    <cellStyle name="Normal 26 96" xfId="3157"/>
    <cellStyle name="Normal 26 97" xfId="3158"/>
    <cellStyle name="Normal 26 98" xfId="3159"/>
    <cellStyle name="Normal 26 99" xfId="3160"/>
    <cellStyle name="Normal 27" xfId="3161"/>
    <cellStyle name="Normal 27 10" xfId="3162"/>
    <cellStyle name="Normal 27 100" xfId="3163"/>
    <cellStyle name="Normal 27 101" xfId="3164"/>
    <cellStyle name="Normal 27 102" xfId="3165"/>
    <cellStyle name="Normal 27 103" xfId="3166"/>
    <cellStyle name="Normal 27 104" xfId="3167"/>
    <cellStyle name="Normal 27 105" xfId="3168"/>
    <cellStyle name="Normal 27 106" xfId="3169"/>
    <cellStyle name="Normal 27 107" xfId="3170"/>
    <cellStyle name="Normal 27 108" xfId="3171"/>
    <cellStyle name="Normal 27 109" xfId="3172"/>
    <cellStyle name="Normal 27 11" xfId="3173"/>
    <cellStyle name="Normal 27 12" xfId="3174"/>
    <cellStyle name="Normal 27 13" xfId="3175"/>
    <cellStyle name="Normal 27 14" xfId="3176"/>
    <cellStyle name="Normal 27 15" xfId="3177"/>
    <cellStyle name="Normal 27 16" xfId="3178"/>
    <cellStyle name="Normal 27 17" xfId="3179"/>
    <cellStyle name="Normal 27 18" xfId="3180"/>
    <cellStyle name="Normal 27 19" xfId="3181"/>
    <cellStyle name="Normal 27 2" xfId="3182"/>
    <cellStyle name="Normal 27 20" xfId="3183"/>
    <cellStyle name="Normal 27 21" xfId="3184"/>
    <cellStyle name="Normal 27 22" xfId="3185"/>
    <cellStyle name="Normal 27 23" xfId="3186"/>
    <cellStyle name="Normal 27 24" xfId="3187"/>
    <cellStyle name="Normal 27 25" xfId="3188"/>
    <cellStyle name="Normal 27 26" xfId="3189"/>
    <cellStyle name="Normal 27 27" xfId="3190"/>
    <cellStyle name="Normal 27 28" xfId="3191"/>
    <cellStyle name="Normal 27 29" xfId="3192"/>
    <cellStyle name="Normal 27 3" xfId="3193"/>
    <cellStyle name="Normal 27 30" xfId="3194"/>
    <cellStyle name="Normal 27 31" xfId="3195"/>
    <cellStyle name="Normal 27 32" xfId="3196"/>
    <cellStyle name="Normal 27 33" xfId="3197"/>
    <cellStyle name="Normal 27 34" xfId="3198"/>
    <cellStyle name="Normal 27 35" xfId="3199"/>
    <cellStyle name="Normal 27 36" xfId="3200"/>
    <cellStyle name="Normal 27 37" xfId="3201"/>
    <cellStyle name="Normal 27 38" xfId="3202"/>
    <cellStyle name="Normal 27 39" xfId="3203"/>
    <cellStyle name="Normal 27 4" xfId="3204"/>
    <cellStyle name="Normal 27 40" xfId="3205"/>
    <cellStyle name="Normal 27 41" xfId="3206"/>
    <cellStyle name="Normal 27 42" xfId="3207"/>
    <cellStyle name="Normal 27 43" xfId="3208"/>
    <cellStyle name="Normal 27 44" xfId="3209"/>
    <cellStyle name="Normal 27 45" xfId="3210"/>
    <cellStyle name="Normal 27 46" xfId="3211"/>
    <cellStyle name="Normal 27 47" xfId="3212"/>
    <cellStyle name="Normal 27 48" xfId="3213"/>
    <cellStyle name="Normal 27 49" xfId="3214"/>
    <cellStyle name="Normal 27 5" xfId="3215"/>
    <cellStyle name="Normal 27 50" xfId="3216"/>
    <cellStyle name="Normal 27 51" xfId="3217"/>
    <cellStyle name="Normal 27 52" xfId="3218"/>
    <cellStyle name="Normal 27 53" xfId="3219"/>
    <cellStyle name="Normal 27 54" xfId="3220"/>
    <cellStyle name="Normal 27 55" xfId="3221"/>
    <cellStyle name="Normal 27 56" xfId="3222"/>
    <cellStyle name="Normal 27 57" xfId="3223"/>
    <cellStyle name="Normal 27 58" xfId="3224"/>
    <cellStyle name="Normal 27 59" xfId="3225"/>
    <cellStyle name="Normal 27 6" xfId="3226"/>
    <cellStyle name="Normal 27 60" xfId="3227"/>
    <cellStyle name="Normal 27 61" xfId="3228"/>
    <cellStyle name="Normal 27 62" xfId="3229"/>
    <cellStyle name="Normal 27 63" xfId="3230"/>
    <cellStyle name="Normal 27 64" xfId="3231"/>
    <cellStyle name="Normal 27 65" xfId="3232"/>
    <cellStyle name="Normal 27 66" xfId="3233"/>
    <cellStyle name="Normal 27 67" xfId="3234"/>
    <cellStyle name="Normal 27 68" xfId="3235"/>
    <cellStyle name="Normal 27 69" xfId="3236"/>
    <cellStyle name="Normal 27 7" xfId="3237"/>
    <cellStyle name="Normal 27 70" xfId="3238"/>
    <cellStyle name="Normal 27 71" xfId="3239"/>
    <cellStyle name="Normal 27 72" xfId="3240"/>
    <cellStyle name="Normal 27 73" xfId="3241"/>
    <cellStyle name="Normal 27 74" xfId="3242"/>
    <cellStyle name="Normal 27 75" xfId="3243"/>
    <cellStyle name="Normal 27 76" xfId="3244"/>
    <cellStyle name="Normal 27 77" xfId="3245"/>
    <cellStyle name="Normal 27 78" xfId="3246"/>
    <cellStyle name="Normal 27 79" xfId="3247"/>
    <cellStyle name="Normal 27 8" xfId="3248"/>
    <cellStyle name="Normal 27 80" xfId="3249"/>
    <cellStyle name="Normal 27 81" xfId="3250"/>
    <cellStyle name="Normal 27 82" xfId="3251"/>
    <cellStyle name="Normal 27 83" xfId="3252"/>
    <cellStyle name="Normal 27 84" xfId="3253"/>
    <cellStyle name="Normal 27 85" xfId="3254"/>
    <cellStyle name="Normal 27 86" xfId="3255"/>
    <cellStyle name="Normal 27 87" xfId="3256"/>
    <cellStyle name="Normal 27 88" xfId="3257"/>
    <cellStyle name="Normal 27 89" xfId="3258"/>
    <cellStyle name="Normal 27 9" xfId="3259"/>
    <cellStyle name="Normal 27 90" xfId="3260"/>
    <cellStyle name="Normal 27 91" xfId="3261"/>
    <cellStyle name="Normal 27 92" xfId="3262"/>
    <cellStyle name="Normal 27 93" xfId="3263"/>
    <cellStyle name="Normal 27 94" xfId="3264"/>
    <cellStyle name="Normal 27 95" xfId="3265"/>
    <cellStyle name="Normal 27 96" xfId="3266"/>
    <cellStyle name="Normal 27 97" xfId="3267"/>
    <cellStyle name="Normal 27 98" xfId="3268"/>
    <cellStyle name="Normal 27 99" xfId="3269"/>
    <cellStyle name="Normal 28" xfId="3270"/>
    <cellStyle name="Normal 28 10" xfId="3271"/>
    <cellStyle name="Normal 28 100" xfId="3272"/>
    <cellStyle name="Normal 28 101" xfId="3273"/>
    <cellStyle name="Normal 28 102" xfId="3274"/>
    <cellStyle name="Normal 28 103" xfId="3275"/>
    <cellStyle name="Normal 28 104" xfId="3276"/>
    <cellStyle name="Normal 28 105" xfId="3277"/>
    <cellStyle name="Normal 28 106" xfId="3278"/>
    <cellStyle name="Normal 28 107" xfId="3279"/>
    <cellStyle name="Normal 28 108" xfId="3280"/>
    <cellStyle name="Normal 28 109" xfId="3281"/>
    <cellStyle name="Normal 28 11" xfId="3282"/>
    <cellStyle name="Normal 28 12" xfId="3283"/>
    <cellStyle name="Normal 28 13" xfId="3284"/>
    <cellStyle name="Normal 28 14" xfId="3285"/>
    <cellStyle name="Normal 28 15" xfId="3286"/>
    <cellStyle name="Normal 28 16" xfId="3287"/>
    <cellStyle name="Normal 28 17" xfId="3288"/>
    <cellStyle name="Normal 28 18" xfId="3289"/>
    <cellStyle name="Normal 28 19" xfId="3290"/>
    <cellStyle name="Normal 28 2" xfId="3291"/>
    <cellStyle name="Normal 28 20" xfId="3292"/>
    <cellStyle name="Normal 28 21" xfId="3293"/>
    <cellStyle name="Normal 28 22" xfId="3294"/>
    <cellStyle name="Normal 28 23" xfId="3295"/>
    <cellStyle name="Normal 28 24" xfId="3296"/>
    <cellStyle name="Normal 28 25" xfId="3297"/>
    <cellStyle name="Normal 28 26" xfId="3298"/>
    <cellStyle name="Normal 28 27" xfId="3299"/>
    <cellStyle name="Normal 28 28" xfId="3300"/>
    <cellStyle name="Normal 28 29" xfId="3301"/>
    <cellStyle name="Normal 28 3" xfId="3302"/>
    <cellStyle name="Normal 28 30" xfId="3303"/>
    <cellStyle name="Normal 28 31" xfId="3304"/>
    <cellStyle name="Normal 28 32" xfId="3305"/>
    <cellStyle name="Normal 28 33" xfId="3306"/>
    <cellStyle name="Normal 28 34" xfId="3307"/>
    <cellStyle name="Normal 28 35" xfId="3308"/>
    <cellStyle name="Normal 28 36" xfId="3309"/>
    <cellStyle name="Normal 28 37" xfId="3310"/>
    <cellStyle name="Normal 28 38" xfId="3311"/>
    <cellStyle name="Normal 28 39" xfId="3312"/>
    <cellStyle name="Normal 28 4" xfId="3313"/>
    <cellStyle name="Normal 28 40" xfId="3314"/>
    <cellStyle name="Normal 28 41" xfId="3315"/>
    <cellStyle name="Normal 28 42" xfId="3316"/>
    <cellStyle name="Normal 28 43" xfId="3317"/>
    <cellStyle name="Normal 28 44" xfId="3318"/>
    <cellStyle name="Normal 28 45" xfId="3319"/>
    <cellStyle name="Normal 28 46" xfId="3320"/>
    <cellStyle name="Normal 28 47" xfId="3321"/>
    <cellStyle name="Normal 28 48" xfId="3322"/>
    <cellStyle name="Normal 28 49" xfId="3323"/>
    <cellStyle name="Normal 28 5" xfId="3324"/>
    <cellStyle name="Normal 28 50" xfId="3325"/>
    <cellStyle name="Normal 28 51" xfId="3326"/>
    <cellStyle name="Normal 28 52" xfId="3327"/>
    <cellStyle name="Normal 28 53" xfId="3328"/>
    <cellStyle name="Normal 28 54" xfId="3329"/>
    <cellStyle name="Normal 28 55" xfId="3330"/>
    <cellStyle name="Normal 28 56" xfId="3331"/>
    <cellStyle name="Normal 28 57" xfId="3332"/>
    <cellStyle name="Normal 28 58" xfId="3333"/>
    <cellStyle name="Normal 28 59" xfId="3334"/>
    <cellStyle name="Normal 28 6" xfId="3335"/>
    <cellStyle name="Normal 28 60" xfId="3336"/>
    <cellStyle name="Normal 28 61" xfId="3337"/>
    <cellStyle name="Normal 28 62" xfId="3338"/>
    <cellStyle name="Normal 28 63" xfId="3339"/>
    <cellStyle name="Normal 28 64" xfId="3340"/>
    <cellStyle name="Normal 28 65" xfId="3341"/>
    <cellStyle name="Normal 28 66" xfId="3342"/>
    <cellStyle name="Normal 28 67" xfId="3343"/>
    <cellStyle name="Normal 28 68" xfId="3344"/>
    <cellStyle name="Normal 28 69" xfId="3345"/>
    <cellStyle name="Normal 28 7" xfId="3346"/>
    <cellStyle name="Normal 28 70" xfId="3347"/>
    <cellStyle name="Normal 28 71" xfId="3348"/>
    <cellStyle name="Normal 28 72" xfId="3349"/>
    <cellStyle name="Normal 28 73" xfId="3350"/>
    <cellStyle name="Normal 28 74" xfId="3351"/>
    <cellStyle name="Normal 28 75" xfId="3352"/>
    <cellStyle name="Normal 28 76" xfId="3353"/>
    <cellStyle name="Normal 28 77" xfId="3354"/>
    <cellStyle name="Normal 28 78" xfId="3355"/>
    <cellStyle name="Normal 28 79" xfId="3356"/>
    <cellStyle name="Normal 28 8" xfId="3357"/>
    <cellStyle name="Normal 28 80" xfId="3358"/>
    <cellStyle name="Normal 28 81" xfId="3359"/>
    <cellStyle name="Normal 28 82" xfId="3360"/>
    <cellStyle name="Normal 28 83" xfId="3361"/>
    <cellStyle name="Normal 28 84" xfId="3362"/>
    <cellStyle name="Normal 28 85" xfId="3363"/>
    <cellStyle name="Normal 28 86" xfId="3364"/>
    <cellStyle name="Normal 28 87" xfId="3365"/>
    <cellStyle name="Normal 28 88" xfId="3366"/>
    <cellStyle name="Normal 28 89" xfId="3367"/>
    <cellStyle name="Normal 28 9" xfId="3368"/>
    <cellStyle name="Normal 28 90" xfId="3369"/>
    <cellStyle name="Normal 28 91" xfId="3370"/>
    <cellStyle name="Normal 28 92" xfId="3371"/>
    <cellStyle name="Normal 28 93" xfId="3372"/>
    <cellStyle name="Normal 28 94" xfId="3373"/>
    <cellStyle name="Normal 28 95" xfId="3374"/>
    <cellStyle name="Normal 28 96" xfId="3375"/>
    <cellStyle name="Normal 28 97" xfId="3376"/>
    <cellStyle name="Normal 28 98" xfId="3377"/>
    <cellStyle name="Normal 28 99" xfId="3378"/>
    <cellStyle name="Normal 29" xfId="3379"/>
    <cellStyle name="Normal 29 10" xfId="3380"/>
    <cellStyle name="Normal 29 100" xfId="3381"/>
    <cellStyle name="Normal 29 101" xfId="3382"/>
    <cellStyle name="Normal 29 102" xfId="3383"/>
    <cellStyle name="Normal 29 103" xfId="3384"/>
    <cellStyle name="Normal 29 104" xfId="3385"/>
    <cellStyle name="Normal 29 105" xfId="3386"/>
    <cellStyle name="Normal 29 106" xfId="3387"/>
    <cellStyle name="Normal 29 107" xfId="3388"/>
    <cellStyle name="Normal 29 108" xfId="3389"/>
    <cellStyle name="Normal 29 109" xfId="3390"/>
    <cellStyle name="Normal 29 11" xfId="3391"/>
    <cellStyle name="Normal 29 12" xfId="3392"/>
    <cellStyle name="Normal 29 13" xfId="3393"/>
    <cellStyle name="Normal 29 14" xfId="3394"/>
    <cellStyle name="Normal 29 15" xfId="3395"/>
    <cellStyle name="Normal 29 16" xfId="3396"/>
    <cellStyle name="Normal 29 17" xfId="3397"/>
    <cellStyle name="Normal 29 18" xfId="3398"/>
    <cellStyle name="Normal 29 19" xfId="3399"/>
    <cellStyle name="Normal 29 2" xfId="3400"/>
    <cellStyle name="Normal 29 20" xfId="3401"/>
    <cellStyle name="Normal 29 21" xfId="3402"/>
    <cellStyle name="Normal 29 22" xfId="3403"/>
    <cellStyle name="Normal 29 23" xfId="3404"/>
    <cellStyle name="Normal 29 24" xfId="3405"/>
    <cellStyle name="Normal 29 25" xfId="3406"/>
    <cellStyle name="Normal 29 26" xfId="3407"/>
    <cellStyle name="Normal 29 27" xfId="3408"/>
    <cellStyle name="Normal 29 28" xfId="3409"/>
    <cellStyle name="Normal 29 29" xfId="3410"/>
    <cellStyle name="Normal 29 3" xfId="3411"/>
    <cellStyle name="Normal 29 30" xfId="3412"/>
    <cellStyle name="Normal 29 31" xfId="3413"/>
    <cellStyle name="Normal 29 32" xfId="3414"/>
    <cellStyle name="Normal 29 33" xfId="3415"/>
    <cellStyle name="Normal 29 34" xfId="3416"/>
    <cellStyle name="Normal 29 35" xfId="3417"/>
    <cellStyle name="Normal 29 36" xfId="3418"/>
    <cellStyle name="Normal 29 37" xfId="3419"/>
    <cellStyle name="Normal 29 38" xfId="3420"/>
    <cellStyle name="Normal 29 39" xfId="3421"/>
    <cellStyle name="Normal 29 4" xfId="3422"/>
    <cellStyle name="Normal 29 40" xfId="3423"/>
    <cellStyle name="Normal 29 41" xfId="3424"/>
    <cellStyle name="Normal 29 42" xfId="3425"/>
    <cellStyle name="Normal 29 43" xfId="3426"/>
    <cellStyle name="Normal 29 44" xfId="3427"/>
    <cellStyle name="Normal 29 45" xfId="3428"/>
    <cellStyle name="Normal 29 46" xfId="3429"/>
    <cellStyle name="Normal 29 47" xfId="3430"/>
    <cellStyle name="Normal 29 48" xfId="3431"/>
    <cellStyle name="Normal 29 49" xfId="3432"/>
    <cellStyle name="Normal 29 5" xfId="3433"/>
    <cellStyle name="Normal 29 50" xfId="3434"/>
    <cellStyle name="Normal 29 51" xfId="3435"/>
    <cellStyle name="Normal 29 52" xfId="3436"/>
    <cellStyle name="Normal 29 53" xfId="3437"/>
    <cellStyle name="Normal 29 54" xfId="3438"/>
    <cellStyle name="Normal 29 55" xfId="3439"/>
    <cellStyle name="Normal 29 56" xfId="3440"/>
    <cellStyle name="Normal 29 57" xfId="3441"/>
    <cellStyle name="Normal 29 58" xfId="3442"/>
    <cellStyle name="Normal 29 59" xfId="3443"/>
    <cellStyle name="Normal 29 6" xfId="3444"/>
    <cellStyle name="Normal 29 60" xfId="3445"/>
    <cellStyle name="Normal 29 61" xfId="3446"/>
    <cellStyle name="Normal 29 62" xfId="3447"/>
    <cellStyle name="Normal 29 63" xfId="3448"/>
    <cellStyle name="Normal 29 64" xfId="3449"/>
    <cellStyle name="Normal 29 65" xfId="3450"/>
    <cellStyle name="Normal 29 66" xfId="3451"/>
    <cellStyle name="Normal 29 67" xfId="3452"/>
    <cellStyle name="Normal 29 68" xfId="3453"/>
    <cellStyle name="Normal 29 69" xfId="3454"/>
    <cellStyle name="Normal 29 7" xfId="3455"/>
    <cellStyle name="Normal 29 70" xfId="3456"/>
    <cellStyle name="Normal 29 71" xfId="3457"/>
    <cellStyle name="Normal 29 72" xfId="3458"/>
    <cellStyle name="Normal 29 73" xfId="3459"/>
    <cellStyle name="Normal 29 74" xfId="3460"/>
    <cellStyle name="Normal 29 75" xfId="3461"/>
    <cellStyle name="Normal 29 76" xfId="3462"/>
    <cellStyle name="Normal 29 77" xfId="3463"/>
    <cellStyle name="Normal 29 78" xfId="3464"/>
    <cellStyle name="Normal 29 79" xfId="3465"/>
    <cellStyle name="Normal 29 8" xfId="3466"/>
    <cellStyle name="Normal 29 80" xfId="3467"/>
    <cellStyle name="Normal 29 81" xfId="3468"/>
    <cellStyle name="Normal 29 82" xfId="3469"/>
    <cellStyle name="Normal 29 83" xfId="3470"/>
    <cellStyle name="Normal 29 84" xfId="3471"/>
    <cellStyle name="Normal 29 85" xfId="3472"/>
    <cellStyle name="Normal 29 86" xfId="3473"/>
    <cellStyle name="Normal 29 87" xfId="3474"/>
    <cellStyle name="Normal 29 88" xfId="3475"/>
    <cellStyle name="Normal 29 89" xfId="3476"/>
    <cellStyle name="Normal 29 9" xfId="3477"/>
    <cellStyle name="Normal 29 90" xfId="3478"/>
    <cellStyle name="Normal 29 91" xfId="3479"/>
    <cellStyle name="Normal 29 92" xfId="3480"/>
    <cellStyle name="Normal 29 93" xfId="3481"/>
    <cellStyle name="Normal 29 94" xfId="3482"/>
    <cellStyle name="Normal 29 95" xfId="3483"/>
    <cellStyle name="Normal 29 96" xfId="3484"/>
    <cellStyle name="Normal 29 97" xfId="3485"/>
    <cellStyle name="Normal 29 98" xfId="3486"/>
    <cellStyle name="Normal 29 99" xfId="3487"/>
    <cellStyle name="Normal 3" xfId="52"/>
    <cellStyle name="Normal-- 3" xfId="3489"/>
    <cellStyle name="Normal 3 10" xfId="3490"/>
    <cellStyle name="Normal 3 11" xfId="3491"/>
    <cellStyle name="Normal 3 12" xfId="3492"/>
    <cellStyle name="Normal 3 13" xfId="3493"/>
    <cellStyle name="Normal 3 14" xfId="3494"/>
    <cellStyle name="Normal 3 15" xfId="3495"/>
    <cellStyle name="Normal 3 16" xfId="3496"/>
    <cellStyle name="Normal 3 17" xfId="3497"/>
    <cellStyle name="Normal 3 18" xfId="3498"/>
    <cellStyle name="Normal 3 19" xfId="3499"/>
    <cellStyle name="Normal 3 2" xfId="3500"/>
    <cellStyle name="Normal 3 2 2" xfId="3501"/>
    <cellStyle name="Normal 3 2 2 2" xfId="3502"/>
    <cellStyle name="Normal 3 2 3" xfId="3503"/>
    <cellStyle name="Normal 3 2 4" xfId="3504"/>
    <cellStyle name="Normal 3 2 5" xfId="3505"/>
    <cellStyle name="Normal 3 20" xfId="3506"/>
    <cellStyle name="Normal 3 21" xfId="3507"/>
    <cellStyle name="Normal 3 22" xfId="3508"/>
    <cellStyle name="Normal 3 22 2" xfId="3509"/>
    <cellStyle name="Normal 3 22 2 2" xfId="3510"/>
    <cellStyle name="Normal 3 22 2 2 2" xfId="3511"/>
    <cellStyle name="Normal 3 22 2 3" xfId="3512"/>
    <cellStyle name="Normal 3 22 3" xfId="3513"/>
    <cellStyle name="Normal 3 22 3 2" xfId="3514"/>
    <cellStyle name="Normal 3 22 4" xfId="3515"/>
    <cellStyle name="Normal 3 23" xfId="3516"/>
    <cellStyle name="Normal 3 24" xfId="3517"/>
    <cellStyle name="Normal 3 24 2" xfId="3518"/>
    <cellStyle name="Normal 3 24 2 2" xfId="3519"/>
    <cellStyle name="Normal 3 24 3" xfId="3520"/>
    <cellStyle name="Normal 3 25" xfId="3521"/>
    <cellStyle name="Normal 3 26" xfId="3522"/>
    <cellStyle name="Normal 3 27" xfId="3523"/>
    <cellStyle name="Normal 3 28" xfId="3524"/>
    <cellStyle name="Normal 3 29" xfId="3525"/>
    <cellStyle name="Normal 3 3" xfId="3526"/>
    <cellStyle name="Normal 3 3 2" xfId="3527"/>
    <cellStyle name="Normal 3 3 3" xfId="3528"/>
    <cellStyle name="Normal 3 3 4" xfId="3529"/>
    <cellStyle name="Normal 3 30" xfId="3530"/>
    <cellStyle name="Normal 3 31" xfId="3531"/>
    <cellStyle name="Normal 3 32" xfId="3532"/>
    <cellStyle name="Normal 3 33" xfId="3533"/>
    <cellStyle name="Normal 3 34" xfId="3534"/>
    <cellStyle name="Normal 3 35" xfId="3535"/>
    <cellStyle name="Normal 3 36" xfId="3536"/>
    <cellStyle name="Normal 3 37" xfId="3537"/>
    <cellStyle name="Normal 3 38" xfId="3538"/>
    <cellStyle name="Normal 3 39" xfId="3539"/>
    <cellStyle name="Normal 3 39 2" xfId="3540"/>
    <cellStyle name="Normal 3 4" xfId="3541"/>
    <cellStyle name="Normal 3 4 2" xfId="3542"/>
    <cellStyle name="Normal 3 4 3" xfId="3543"/>
    <cellStyle name="Normal 3 40" xfId="3544"/>
    <cellStyle name="Normal 3 41" xfId="3545"/>
    <cellStyle name="Normal 3 42" xfId="3546"/>
    <cellStyle name="Normal 3 43" xfId="3547"/>
    <cellStyle name="Normal 3 44" xfId="3548"/>
    <cellStyle name="Normal 3 45" xfId="3549"/>
    <cellStyle name="Normal 3 46" xfId="3550"/>
    <cellStyle name="Normal 3 47" xfId="3551"/>
    <cellStyle name="Normal 3 48" xfId="3552"/>
    <cellStyle name="Normal 3 49" xfId="3553"/>
    <cellStyle name="Normal 3 5" xfId="3554"/>
    <cellStyle name="Normal 3 5 2" xfId="3555"/>
    <cellStyle name="Normal 3 50" xfId="3556"/>
    <cellStyle name="Normal 3 51" xfId="3557"/>
    <cellStyle name="Normal 3 52" xfId="3558"/>
    <cellStyle name="Normal 3 53" xfId="3559"/>
    <cellStyle name="Normal 3 54" xfId="3560"/>
    <cellStyle name="Normal 3 55" xfId="3561"/>
    <cellStyle name="Normal 3 56" xfId="3488"/>
    <cellStyle name="Normal 3 57" xfId="136"/>
    <cellStyle name="Normal 3 58" xfId="131"/>
    <cellStyle name="Normal 3 59" xfId="5738"/>
    <cellStyle name="Normal 3 6" xfId="3562"/>
    <cellStyle name="Normal 3 60" xfId="5729"/>
    <cellStyle name="Normal 3 61" xfId="5734"/>
    <cellStyle name="Normal 3 62" xfId="5751"/>
    <cellStyle name="Normal 3 63" xfId="5748"/>
    <cellStyle name="Normal 3 7" xfId="3563"/>
    <cellStyle name="Normal 3 8" xfId="3564"/>
    <cellStyle name="Normal 3 9" xfId="3565"/>
    <cellStyle name="Normal 30" xfId="3566"/>
    <cellStyle name="Normal 30 10" xfId="3567"/>
    <cellStyle name="Normal 30 100" xfId="3568"/>
    <cellStyle name="Normal 30 101" xfId="3569"/>
    <cellStyle name="Normal 30 102" xfId="3570"/>
    <cellStyle name="Normal 30 103" xfId="3571"/>
    <cellStyle name="Normal 30 104" xfId="3572"/>
    <cellStyle name="Normal 30 105" xfId="3573"/>
    <cellStyle name="Normal 30 106" xfId="3574"/>
    <cellStyle name="Normal 30 107" xfId="3575"/>
    <cellStyle name="Normal 30 108" xfId="3576"/>
    <cellStyle name="Normal 30 109" xfId="3577"/>
    <cellStyle name="Normal 30 11" xfId="3578"/>
    <cellStyle name="Normal 30 12" xfId="3579"/>
    <cellStyle name="Normal 30 13" xfId="3580"/>
    <cellStyle name="Normal 30 14" xfId="3581"/>
    <cellStyle name="Normal 30 15" xfId="3582"/>
    <cellStyle name="Normal 30 16" xfId="3583"/>
    <cellStyle name="Normal 30 17" xfId="3584"/>
    <cellStyle name="Normal 30 18" xfId="3585"/>
    <cellStyle name="Normal 30 19" xfId="3586"/>
    <cellStyle name="Normal 30 2" xfId="3587"/>
    <cellStyle name="Normal 30 20" xfId="3588"/>
    <cellStyle name="Normal 30 21" xfId="3589"/>
    <cellStyle name="Normal 30 22" xfId="3590"/>
    <cellStyle name="Normal 30 23" xfId="3591"/>
    <cellStyle name="Normal 30 24" xfId="3592"/>
    <cellStyle name="Normal 30 25" xfId="3593"/>
    <cellStyle name="Normal 30 26" xfId="3594"/>
    <cellStyle name="Normal 30 27" xfId="3595"/>
    <cellStyle name="Normal 30 28" xfId="3596"/>
    <cellStyle name="Normal 30 29" xfId="3597"/>
    <cellStyle name="Normal 30 3" xfId="3598"/>
    <cellStyle name="Normal 30 30" xfId="3599"/>
    <cellStyle name="Normal 30 31" xfId="3600"/>
    <cellStyle name="Normal 30 32" xfId="3601"/>
    <cellStyle name="Normal 30 33" xfId="3602"/>
    <cellStyle name="Normal 30 34" xfId="3603"/>
    <cellStyle name="Normal 30 35" xfId="3604"/>
    <cellStyle name="Normal 30 36" xfId="3605"/>
    <cellStyle name="Normal 30 37" xfId="3606"/>
    <cellStyle name="Normal 30 38" xfId="3607"/>
    <cellStyle name="Normal 30 39" xfId="3608"/>
    <cellStyle name="Normal 30 4" xfId="3609"/>
    <cellStyle name="Normal 30 40" xfId="3610"/>
    <cellStyle name="Normal 30 41" xfId="3611"/>
    <cellStyle name="Normal 30 42" xfId="3612"/>
    <cellStyle name="Normal 30 43" xfId="3613"/>
    <cellStyle name="Normal 30 44" xfId="3614"/>
    <cellStyle name="Normal 30 45" xfId="3615"/>
    <cellStyle name="Normal 30 46" xfId="3616"/>
    <cellStyle name="Normal 30 47" xfId="3617"/>
    <cellStyle name="Normal 30 48" xfId="3618"/>
    <cellStyle name="Normal 30 49" xfId="3619"/>
    <cellStyle name="Normal 30 5" xfId="3620"/>
    <cellStyle name="Normal 30 50" xfId="3621"/>
    <cellStyle name="Normal 30 51" xfId="3622"/>
    <cellStyle name="Normal 30 52" xfId="3623"/>
    <cellStyle name="Normal 30 53" xfId="3624"/>
    <cellStyle name="Normal 30 54" xfId="3625"/>
    <cellStyle name="Normal 30 55" xfId="3626"/>
    <cellStyle name="Normal 30 56" xfId="3627"/>
    <cellStyle name="Normal 30 57" xfId="3628"/>
    <cellStyle name="Normal 30 58" xfId="3629"/>
    <cellStyle name="Normal 30 59" xfId="3630"/>
    <cellStyle name="Normal 30 6" xfId="3631"/>
    <cellStyle name="Normal 30 60" xfId="3632"/>
    <cellStyle name="Normal 30 61" xfId="3633"/>
    <cellStyle name="Normal 30 62" xfId="3634"/>
    <cellStyle name="Normal 30 63" xfId="3635"/>
    <cellStyle name="Normal 30 64" xfId="3636"/>
    <cellStyle name="Normal 30 65" xfId="3637"/>
    <cellStyle name="Normal 30 66" xfId="3638"/>
    <cellStyle name="Normal 30 67" xfId="3639"/>
    <cellStyle name="Normal 30 68" xfId="3640"/>
    <cellStyle name="Normal 30 69" xfId="3641"/>
    <cellStyle name="Normal 30 7" xfId="3642"/>
    <cellStyle name="Normal 30 70" xfId="3643"/>
    <cellStyle name="Normal 30 71" xfId="3644"/>
    <cellStyle name="Normal 30 72" xfId="3645"/>
    <cellStyle name="Normal 30 73" xfId="3646"/>
    <cellStyle name="Normal 30 74" xfId="3647"/>
    <cellStyle name="Normal 30 75" xfId="3648"/>
    <cellStyle name="Normal 30 76" xfId="3649"/>
    <cellStyle name="Normal 30 77" xfId="3650"/>
    <cellStyle name="Normal 30 78" xfId="3651"/>
    <cellStyle name="Normal 30 79" xfId="3652"/>
    <cellStyle name="Normal 30 8" xfId="3653"/>
    <cellStyle name="Normal 30 80" xfId="3654"/>
    <cellStyle name="Normal 30 81" xfId="3655"/>
    <cellStyle name="Normal 30 82" xfId="3656"/>
    <cellStyle name="Normal 30 83" xfId="3657"/>
    <cellStyle name="Normal 30 84" xfId="3658"/>
    <cellStyle name="Normal 30 85" xfId="3659"/>
    <cellStyle name="Normal 30 86" xfId="3660"/>
    <cellStyle name="Normal 30 87" xfId="3661"/>
    <cellStyle name="Normal 30 88" xfId="3662"/>
    <cellStyle name="Normal 30 89" xfId="3663"/>
    <cellStyle name="Normal 30 9" xfId="3664"/>
    <cellStyle name="Normal 30 90" xfId="3665"/>
    <cellStyle name="Normal 30 91" xfId="3666"/>
    <cellStyle name="Normal 30 92" xfId="3667"/>
    <cellStyle name="Normal 30 93" xfId="3668"/>
    <cellStyle name="Normal 30 94" xfId="3669"/>
    <cellStyle name="Normal 30 95" xfId="3670"/>
    <cellStyle name="Normal 30 96" xfId="3671"/>
    <cellStyle name="Normal 30 97" xfId="3672"/>
    <cellStyle name="Normal 30 98" xfId="3673"/>
    <cellStyle name="Normal 30 99" xfId="3674"/>
    <cellStyle name="Normal 31" xfId="3675"/>
    <cellStyle name="Normal 31 10" xfId="3676"/>
    <cellStyle name="Normal 31 100" xfId="3677"/>
    <cellStyle name="Normal 31 101" xfId="3678"/>
    <cellStyle name="Normal 31 102" xfId="3679"/>
    <cellStyle name="Normal 31 103" xfId="3680"/>
    <cellStyle name="Normal 31 104" xfId="3681"/>
    <cellStyle name="Normal 31 105" xfId="3682"/>
    <cellStyle name="Normal 31 106" xfId="3683"/>
    <cellStyle name="Normal 31 107" xfId="3684"/>
    <cellStyle name="Normal 31 108" xfId="3685"/>
    <cellStyle name="Normal 31 109" xfId="3686"/>
    <cellStyle name="Normal 31 11" xfId="3687"/>
    <cellStyle name="Normal 31 12" xfId="3688"/>
    <cellStyle name="Normal 31 13" xfId="3689"/>
    <cellStyle name="Normal 31 14" xfId="3690"/>
    <cellStyle name="Normal 31 15" xfId="3691"/>
    <cellStyle name="Normal 31 16" xfId="3692"/>
    <cellStyle name="Normal 31 17" xfId="3693"/>
    <cellStyle name="Normal 31 18" xfId="3694"/>
    <cellStyle name="Normal 31 19" xfId="3695"/>
    <cellStyle name="Normal 31 2" xfId="3696"/>
    <cellStyle name="Normal 31 20" xfId="3697"/>
    <cellStyle name="Normal 31 21" xfId="3698"/>
    <cellStyle name="Normal 31 22" xfId="3699"/>
    <cellStyle name="Normal 31 23" xfId="3700"/>
    <cellStyle name="Normal 31 24" xfId="3701"/>
    <cellStyle name="Normal 31 25" xfId="3702"/>
    <cellStyle name="Normal 31 26" xfId="3703"/>
    <cellStyle name="Normal 31 27" xfId="3704"/>
    <cellStyle name="Normal 31 28" xfId="3705"/>
    <cellStyle name="Normal 31 29" xfId="3706"/>
    <cellStyle name="Normal 31 3" xfId="3707"/>
    <cellStyle name="Normal 31 30" xfId="3708"/>
    <cellStyle name="Normal 31 31" xfId="3709"/>
    <cellStyle name="Normal 31 32" xfId="3710"/>
    <cellStyle name="Normal 31 33" xfId="3711"/>
    <cellStyle name="Normal 31 34" xfId="3712"/>
    <cellStyle name="Normal 31 35" xfId="3713"/>
    <cellStyle name="Normal 31 36" xfId="3714"/>
    <cellStyle name="Normal 31 37" xfId="3715"/>
    <cellStyle name="Normal 31 38" xfId="3716"/>
    <cellStyle name="Normal 31 39" xfId="3717"/>
    <cellStyle name="Normal 31 4" xfId="3718"/>
    <cellStyle name="Normal 31 40" xfId="3719"/>
    <cellStyle name="Normal 31 41" xfId="3720"/>
    <cellStyle name="Normal 31 42" xfId="3721"/>
    <cellStyle name="Normal 31 43" xfId="3722"/>
    <cellStyle name="Normal 31 44" xfId="3723"/>
    <cellStyle name="Normal 31 45" xfId="3724"/>
    <cellStyle name="Normal 31 46" xfId="3725"/>
    <cellStyle name="Normal 31 47" xfId="3726"/>
    <cellStyle name="Normal 31 48" xfId="3727"/>
    <cellStyle name="Normal 31 49" xfId="3728"/>
    <cellStyle name="Normal 31 5" xfId="3729"/>
    <cellStyle name="Normal 31 50" xfId="3730"/>
    <cellStyle name="Normal 31 51" xfId="3731"/>
    <cellStyle name="Normal 31 52" xfId="3732"/>
    <cellStyle name="Normal 31 53" xfId="3733"/>
    <cellStyle name="Normal 31 54" xfId="3734"/>
    <cellStyle name="Normal 31 55" xfId="3735"/>
    <cellStyle name="Normal 31 56" xfId="3736"/>
    <cellStyle name="Normal 31 57" xfId="3737"/>
    <cellStyle name="Normal 31 58" xfId="3738"/>
    <cellStyle name="Normal 31 59" xfId="3739"/>
    <cellStyle name="Normal 31 6" xfId="3740"/>
    <cellStyle name="Normal 31 60" xfId="3741"/>
    <cellStyle name="Normal 31 61" xfId="3742"/>
    <cellStyle name="Normal 31 62" xfId="3743"/>
    <cellStyle name="Normal 31 63" xfId="3744"/>
    <cellStyle name="Normal 31 64" xfId="3745"/>
    <cellStyle name="Normal 31 65" xfId="3746"/>
    <cellStyle name="Normal 31 66" xfId="3747"/>
    <cellStyle name="Normal 31 67" xfId="3748"/>
    <cellStyle name="Normal 31 68" xfId="3749"/>
    <cellStyle name="Normal 31 69" xfId="3750"/>
    <cellStyle name="Normal 31 7" xfId="3751"/>
    <cellStyle name="Normal 31 70" xfId="3752"/>
    <cellStyle name="Normal 31 71" xfId="3753"/>
    <cellStyle name="Normal 31 72" xfId="3754"/>
    <cellStyle name="Normal 31 73" xfId="3755"/>
    <cellStyle name="Normal 31 74" xfId="3756"/>
    <cellStyle name="Normal 31 75" xfId="3757"/>
    <cellStyle name="Normal 31 76" xfId="3758"/>
    <cellStyle name="Normal 31 77" xfId="3759"/>
    <cellStyle name="Normal 31 78" xfId="3760"/>
    <cellStyle name="Normal 31 79" xfId="3761"/>
    <cellStyle name="Normal 31 8" xfId="3762"/>
    <cellStyle name="Normal 31 80" xfId="3763"/>
    <cellStyle name="Normal 31 81" xfId="3764"/>
    <cellStyle name="Normal 31 82" xfId="3765"/>
    <cellStyle name="Normal 31 83" xfId="3766"/>
    <cellStyle name="Normal 31 84" xfId="3767"/>
    <cellStyle name="Normal 31 85" xfId="3768"/>
    <cellStyle name="Normal 31 86" xfId="3769"/>
    <cellStyle name="Normal 31 87" xfId="3770"/>
    <cellStyle name="Normal 31 88" xfId="3771"/>
    <cellStyle name="Normal 31 89" xfId="3772"/>
    <cellStyle name="Normal 31 9" xfId="3773"/>
    <cellStyle name="Normal 31 90" xfId="3774"/>
    <cellStyle name="Normal 31 91" xfId="3775"/>
    <cellStyle name="Normal 31 92" xfId="3776"/>
    <cellStyle name="Normal 31 93" xfId="3777"/>
    <cellStyle name="Normal 31 94" xfId="3778"/>
    <cellStyle name="Normal 31 95" xfId="3779"/>
    <cellStyle name="Normal 31 96" xfId="3780"/>
    <cellStyle name="Normal 31 97" xfId="3781"/>
    <cellStyle name="Normal 31 98" xfId="3782"/>
    <cellStyle name="Normal 31 99" xfId="3783"/>
    <cellStyle name="Normal 32" xfId="3784"/>
    <cellStyle name="Normal 32 2" xfId="3785"/>
    <cellStyle name="Normal 33" xfId="3786"/>
    <cellStyle name="Normal 33 2" xfId="3787"/>
    <cellStyle name="Normal 34" xfId="3788"/>
    <cellStyle name="Normal 35" xfId="3789"/>
    <cellStyle name="Normal 35 10" xfId="3790"/>
    <cellStyle name="Normal 35 100" xfId="3791"/>
    <cellStyle name="Normal 35 101" xfId="3792"/>
    <cellStyle name="Normal 35 102" xfId="3793"/>
    <cellStyle name="Normal 35 103" xfId="3794"/>
    <cellStyle name="Normal 35 104" xfId="3795"/>
    <cellStyle name="Normal 35 105" xfId="3796"/>
    <cellStyle name="Normal 35 106" xfId="3797"/>
    <cellStyle name="Normal 35 107" xfId="3798"/>
    <cellStyle name="Normal 35 108" xfId="3799"/>
    <cellStyle name="Normal 35 109" xfId="3800"/>
    <cellStyle name="Normal 35 11" xfId="3801"/>
    <cellStyle name="Normal 35 12" xfId="3802"/>
    <cellStyle name="Normal 35 13" xfId="3803"/>
    <cellStyle name="Normal 35 14" xfId="3804"/>
    <cellStyle name="Normal 35 15" xfId="3805"/>
    <cellStyle name="Normal 35 16" xfId="3806"/>
    <cellStyle name="Normal 35 17" xfId="3807"/>
    <cellStyle name="Normal 35 18" xfId="3808"/>
    <cellStyle name="Normal 35 19" xfId="3809"/>
    <cellStyle name="Normal 35 2" xfId="3810"/>
    <cellStyle name="Normal 35 20" xfId="3811"/>
    <cellStyle name="Normal 35 21" xfId="3812"/>
    <cellStyle name="Normal 35 22" xfId="3813"/>
    <cellStyle name="Normal 35 23" xfId="3814"/>
    <cellStyle name="Normal 35 24" xfId="3815"/>
    <cellStyle name="Normal 35 25" xfId="3816"/>
    <cellStyle name="Normal 35 26" xfId="3817"/>
    <cellStyle name="Normal 35 27" xfId="3818"/>
    <cellStyle name="Normal 35 28" xfId="3819"/>
    <cellStyle name="Normal 35 29" xfId="3820"/>
    <cellStyle name="Normal 35 3" xfId="3821"/>
    <cellStyle name="Normal 35 30" xfId="3822"/>
    <cellStyle name="Normal 35 31" xfId="3823"/>
    <cellStyle name="Normal 35 32" xfId="3824"/>
    <cellStyle name="Normal 35 33" xfId="3825"/>
    <cellStyle name="Normal 35 34" xfId="3826"/>
    <cellStyle name="Normal 35 35" xfId="3827"/>
    <cellStyle name="Normal 35 36" xfId="3828"/>
    <cellStyle name="Normal 35 37" xfId="3829"/>
    <cellStyle name="Normal 35 38" xfId="3830"/>
    <cellStyle name="Normal 35 39" xfId="3831"/>
    <cellStyle name="Normal 35 4" xfId="3832"/>
    <cellStyle name="Normal 35 40" xfId="3833"/>
    <cellStyle name="Normal 35 41" xfId="3834"/>
    <cellStyle name="Normal 35 42" xfId="3835"/>
    <cellStyle name="Normal 35 43" xfId="3836"/>
    <cellStyle name="Normal 35 44" xfId="3837"/>
    <cellStyle name="Normal 35 45" xfId="3838"/>
    <cellStyle name="Normal 35 46" xfId="3839"/>
    <cellStyle name="Normal 35 47" xfId="3840"/>
    <cellStyle name="Normal 35 48" xfId="3841"/>
    <cellStyle name="Normal 35 49" xfId="3842"/>
    <cellStyle name="Normal 35 5" xfId="3843"/>
    <cellStyle name="Normal 35 50" xfId="3844"/>
    <cellStyle name="Normal 35 51" xfId="3845"/>
    <cellStyle name="Normal 35 52" xfId="3846"/>
    <cellStyle name="Normal 35 53" xfId="3847"/>
    <cellStyle name="Normal 35 54" xfId="3848"/>
    <cellStyle name="Normal 35 55" xfId="3849"/>
    <cellStyle name="Normal 35 56" xfId="3850"/>
    <cellStyle name="Normal 35 57" xfId="3851"/>
    <cellStyle name="Normal 35 58" xfId="3852"/>
    <cellStyle name="Normal 35 59" xfId="3853"/>
    <cellStyle name="Normal 35 6" xfId="3854"/>
    <cellStyle name="Normal 35 60" xfId="3855"/>
    <cellStyle name="Normal 35 61" xfId="3856"/>
    <cellStyle name="Normal 35 62" xfId="3857"/>
    <cellStyle name="Normal 35 63" xfId="3858"/>
    <cellStyle name="Normal 35 64" xfId="3859"/>
    <cellStyle name="Normal 35 65" xfId="3860"/>
    <cellStyle name="Normal 35 66" xfId="3861"/>
    <cellStyle name="Normal 35 67" xfId="3862"/>
    <cellStyle name="Normal 35 68" xfId="3863"/>
    <cellStyle name="Normal 35 69" xfId="3864"/>
    <cellStyle name="Normal 35 7" xfId="3865"/>
    <cellStyle name="Normal 35 70" xfId="3866"/>
    <cellStyle name="Normal 35 71" xfId="3867"/>
    <cellStyle name="Normal 35 72" xfId="3868"/>
    <cellStyle name="Normal 35 73" xfId="3869"/>
    <cellStyle name="Normal 35 74" xfId="3870"/>
    <cellStyle name="Normal 35 75" xfId="3871"/>
    <cellStyle name="Normal 35 76" xfId="3872"/>
    <cellStyle name="Normal 35 77" xfId="3873"/>
    <cellStyle name="Normal 35 78" xfId="3874"/>
    <cellStyle name="Normal 35 79" xfId="3875"/>
    <cellStyle name="Normal 35 8" xfId="3876"/>
    <cellStyle name="Normal 35 80" xfId="3877"/>
    <cellStyle name="Normal 35 81" xfId="3878"/>
    <cellStyle name="Normal 35 82" xfId="3879"/>
    <cellStyle name="Normal 35 83" xfId="3880"/>
    <cellStyle name="Normal 35 84" xfId="3881"/>
    <cellStyle name="Normal 35 85" xfId="3882"/>
    <cellStyle name="Normal 35 86" xfId="3883"/>
    <cellStyle name="Normal 35 87" xfId="3884"/>
    <cellStyle name="Normal 35 88" xfId="3885"/>
    <cellStyle name="Normal 35 89" xfId="3886"/>
    <cellStyle name="Normal 35 9" xfId="3887"/>
    <cellStyle name="Normal 35 90" xfId="3888"/>
    <cellStyle name="Normal 35 91" xfId="3889"/>
    <cellStyle name="Normal 35 92" xfId="3890"/>
    <cellStyle name="Normal 35 93" xfId="3891"/>
    <cellStyle name="Normal 35 94" xfId="3892"/>
    <cellStyle name="Normal 35 95" xfId="3893"/>
    <cellStyle name="Normal 35 96" xfId="3894"/>
    <cellStyle name="Normal 35 97" xfId="3895"/>
    <cellStyle name="Normal 35 98" xfId="3896"/>
    <cellStyle name="Normal 35 99" xfId="3897"/>
    <cellStyle name="Normal 36" xfId="3898"/>
    <cellStyle name="Normal 36 10" xfId="3899"/>
    <cellStyle name="Normal 36 100" xfId="3900"/>
    <cellStyle name="Normal 36 101" xfId="3901"/>
    <cellStyle name="Normal 36 102" xfId="3902"/>
    <cellStyle name="Normal 36 103" xfId="3903"/>
    <cellStyle name="Normal 36 104" xfId="3904"/>
    <cellStyle name="Normal 36 105" xfId="3905"/>
    <cellStyle name="Normal 36 106" xfId="3906"/>
    <cellStyle name="Normal 36 107" xfId="3907"/>
    <cellStyle name="Normal 36 108" xfId="3908"/>
    <cellStyle name="Normal 36 109" xfId="3909"/>
    <cellStyle name="Normal 36 11" xfId="3910"/>
    <cellStyle name="Normal 36 12" xfId="3911"/>
    <cellStyle name="Normal 36 13" xfId="3912"/>
    <cellStyle name="Normal 36 14" xfId="3913"/>
    <cellStyle name="Normal 36 15" xfId="3914"/>
    <cellStyle name="Normal 36 16" xfId="3915"/>
    <cellStyle name="Normal 36 17" xfId="3916"/>
    <cellStyle name="Normal 36 18" xfId="3917"/>
    <cellStyle name="Normal 36 19" xfId="3918"/>
    <cellStyle name="Normal 36 2" xfId="3919"/>
    <cellStyle name="Normal 36 20" xfId="3920"/>
    <cellStyle name="Normal 36 21" xfId="3921"/>
    <cellStyle name="Normal 36 22" xfId="3922"/>
    <cellStyle name="Normal 36 23" xfId="3923"/>
    <cellStyle name="Normal 36 24" xfId="3924"/>
    <cellStyle name="Normal 36 25" xfId="3925"/>
    <cellStyle name="Normal 36 26" xfId="3926"/>
    <cellStyle name="Normal 36 27" xfId="3927"/>
    <cellStyle name="Normal 36 28" xfId="3928"/>
    <cellStyle name="Normal 36 29" xfId="3929"/>
    <cellStyle name="Normal 36 3" xfId="3930"/>
    <cellStyle name="Normal 36 30" xfId="3931"/>
    <cellStyle name="Normal 36 31" xfId="3932"/>
    <cellStyle name="Normal 36 32" xfId="3933"/>
    <cellStyle name="Normal 36 33" xfId="3934"/>
    <cellStyle name="Normal 36 34" xfId="3935"/>
    <cellStyle name="Normal 36 35" xfId="3936"/>
    <cellStyle name="Normal 36 36" xfId="3937"/>
    <cellStyle name="Normal 36 37" xfId="3938"/>
    <cellStyle name="Normal 36 38" xfId="3939"/>
    <cellStyle name="Normal 36 39" xfId="3940"/>
    <cellStyle name="Normal 36 4" xfId="3941"/>
    <cellStyle name="Normal 36 40" xfId="3942"/>
    <cellStyle name="Normal 36 41" xfId="3943"/>
    <cellStyle name="Normal 36 42" xfId="3944"/>
    <cellStyle name="Normal 36 43" xfId="3945"/>
    <cellStyle name="Normal 36 44" xfId="3946"/>
    <cellStyle name="Normal 36 45" xfId="3947"/>
    <cellStyle name="Normal 36 46" xfId="3948"/>
    <cellStyle name="Normal 36 47" xfId="3949"/>
    <cellStyle name="Normal 36 48" xfId="3950"/>
    <cellStyle name="Normal 36 49" xfId="3951"/>
    <cellStyle name="Normal 36 5" xfId="3952"/>
    <cellStyle name="Normal 36 50" xfId="3953"/>
    <cellStyle name="Normal 36 51" xfId="3954"/>
    <cellStyle name="Normal 36 52" xfId="3955"/>
    <cellStyle name="Normal 36 53" xfId="3956"/>
    <cellStyle name="Normal 36 54" xfId="3957"/>
    <cellStyle name="Normal 36 55" xfId="3958"/>
    <cellStyle name="Normal 36 56" xfId="3959"/>
    <cellStyle name="Normal 36 57" xfId="3960"/>
    <cellStyle name="Normal 36 58" xfId="3961"/>
    <cellStyle name="Normal 36 59" xfId="3962"/>
    <cellStyle name="Normal 36 6" xfId="3963"/>
    <cellStyle name="Normal 36 60" xfId="3964"/>
    <cellStyle name="Normal 36 61" xfId="3965"/>
    <cellStyle name="Normal 36 62" xfId="3966"/>
    <cellStyle name="Normal 36 63" xfId="3967"/>
    <cellStyle name="Normal 36 64" xfId="3968"/>
    <cellStyle name="Normal 36 65" xfId="3969"/>
    <cellStyle name="Normal 36 66" xfId="3970"/>
    <cellStyle name="Normal 36 67" xfId="3971"/>
    <cellStyle name="Normal 36 68" xfId="3972"/>
    <cellStyle name="Normal 36 69" xfId="3973"/>
    <cellStyle name="Normal 36 7" xfId="3974"/>
    <cellStyle name="Normal 36 70" xfId="3975"/>
    <cellStyle name="Normal 36 71" xfId="3976"/>
    <cellStyle name="Normal 36 72" xfId="3977"/>
    <cellStyle name="Normal 36 73" xfId="3978"/>
    <cellStyle name="Normal 36 74" xfId="3979"/>
    <cellStyle name="Normal 36 75" xfId="3980"/>
    <cellStyle name="Normal 36 76" xfId="3981"/>
    <cellStyle name="Normal 36 77" xfId="3982"/>
    <cellStyle name="Normal 36 78" xfId="3983"/>
    <cellStyle name="Normal 36 79" xfId="3984"/>
    <cellStyle name="Normal 36 8" xfId="3985"/>
    <cellStyle name="Normal 36 80" xfId="3986"/>
    <cellStyle name="Normal 36 81" xfId="3987"/>
    <cellStyle name="Normal 36 82" xfId="3988"/>
    <cellStyle name="Normal 36 83" xfId="3989"/>
    <cellStyle name="Normal 36 84" xfId="3990"/>
    <cellStyle name="Normal 36 85" xfId="3991"/>
    <cellStyle name="Normal 36 86" xfId="3992"/>
    <cellStyle name="Normal 36 87" xfId="3993"/>
    <cellStyle name="Normal 36 88" xfId="3994"/>
    <cellStyle name="Normal 36 89" xfId="3995"/>
    <cellStyle name="Normal 36 9" xfId="3996"/>
    <cellStyle name="Normal 36 90" xfId="3997"/>
    <cellStyle name="Normal 36 91" xfId="3998"/>
    <cellStyle name="Normal 36 92" xfId="3999"/>
    <cellStyle name="Normal 36 93" xfId="4000"/>
    <cellStyle name="Normal 36 94" xfId="4001"/>
    <cellStyle name="Normal 36 95" xfId="4002"/>
    <cellStyle name="Normal 36 96" xfId="4003"/>
    <cellStyle name="Normal 36 97" xfId="4004"/>
    <cellStyle name="Normal 36 98" xfId="4005"/>
    <cellStyle name="Normal 36 99" xfId="4006"/>
    <cellStyle name="Normal 37" xfId="4007"/>
    <cellStyle name="Normal 38" xfId="4008"/>
    <cellStyle name="Normal 39" xfId="4009"/>
    <cellStyle name="Normal 4" xfId="91"/>
    <cellStyle name="Normal-- 4" xfId="4011"/>
    <cellStyle name="Normal 4 10" xfId="4012"/>
    <cellStyle name="Normal 4 10 2" xfId="4013"/>
    <cellStyle name="Normal 4 100" xfId="4014"/>
    <cellStyle name="Normal 4 101" xfId="4015"/>
    <cellStyle name="Normal 4 102" xfId="4016"/>
    <cellStyle name="Normal 4 103" xfId="4017"/>
    <cellStyle name="Normal 4 104" xfId="4018"/>
    <cellStyle name="Normal 4 105" xfId="4019"/>
    <cellStyle name="Normal 4 106" xfId="4020"/>
    <cellStyle name="Normal 4 107" xfId="4021"/>
    <cellStyle name="Normal 4 108" xfId="4022"/>
    <cellStyle name="Normal 4 109" xfId="4023"/>
    <cellStyle name="Normal 4 109 2" xfId="4024"/>
    <cellStyle name="Normal 4 109 2 2" xfId="4025"/>
    <cellStyle name="Normal 4 109 3" xfId="4026"/>
    <cellStyle name="Normal 4 109 4" xfId="4027"/>
    <cellStyle name="Normal 4 11" xfId="4028"/>
    <cellStyle name="Normal 4 11 2" xfId="4029"/>
    <cellStyle name="Normal 4 110" xfId="4030"/>
    <cellStyle name="Normal 4 111" xfId="4031"/>
    <cellStyle name="Normal 4 112" xfId="4032"/>
    <cellStyle name="Normal 4 113" xfId="4033"/>
    <cellStyle name="Normal 4 114" xfId="4034"/>
    <cellStyle name="Normal 4 115" xfId="4035"/>
    <cellStyle name="Normal 4 116" xfId="4036"/>
    <cellStyle name="Normal 4 117" xfId="4037"/>
    <cellStyle name="Normal 4 118" xfId="4038"/>
    <cellStyle name="Normal 4 119" xfId="4039"/>
    <cellStyle name="Normal 4 12" xfId="4040"/>
    <cellStyle name="Normal 4 12 2" xfId="4041"/>
    <cellStyle name="Normal 4 120" xfId="4042"/>
    <cellStyle name="Normal 4 121" xfId="4043"/>
    <cellStyle name="Normal 4 122" xfId="4044"/>
    <cellStyle name="Normal 4 123" xfId="4010"/>
    <cellStyle name="Normal 4 124" xfId="150"/>
    <cellStyle name="Normal 4 125" xfId="161"/>
    <cellStyle name="Normal 4 126" xfId="5737"/>
    <cellStyle name="Normal 4 127" xfId="5730"/>
    <cellStyle name="Normal 4 128" xfId="5733"/>
    <cellStyle name="Normal 4 129" xfId="5765"/>
    <cellStyle name="Normal 4 13" xfId="4045"/>
    <cellStyle name="Normal 4 13 2" xfId="4046"/>
    <cellStyle name="Normal 4 130" xfId="5777"/>
    <cellStyle name="Normal 4 14" xfId="4047"/>
    <cellStyle name="Normal 4 14 2" xfId="4048"/>
    <cellStyle name="Normal 4 15" xfId="4049"/>
    <cellStyle name="Normal 4 15 2" xfId="4050"/>
    <cellStyle name="Normal 4 16" xfId="4051"/>
    <cellStyle name="Normal 4 16 2" xfId="4052"/>
    <cellStyle name="Normal 4 17" xfId="4053"/>
    <cellStyle name="Normal 4 17 2" xfId="4054"/>
    <cellStyle name="Normal 4 18" xfId="4055"/>
    <cellStyle name="Normal 4 18 2" xfId="4056"/>
    <cellStyle name="Normal 4 19" xfId="4057"/>
    <cellStyle name="Normal 4 19 2" xfId="4058"/>
    <cellStyle name="Normal 4 2" xfId="4059"/>
    <cellStyle name="Normal 4 2 2" xfId="4060"/>
    <cellStyle name="Normal 4 2 2 2" xfId="4061"/>
    <cellStyle name="Normal 4 2 2 2 2" xfId="4062"/>
    <cellStyle name="Normal 4 2 2 3" xfId="4063"/>
    <cellStyle name="Normal 4 2 2 4" xfId="4064"/>
    <cellStyle name="Normal 4 2 3" xfId="4065"/>
    <cellStyle name="Normal 4 2 4" xfId="4066"/>
    <cellStyle name="Normal 4 2 5" xfId="4067"/>
    <cellStyle name="Normal 4 2 6" xfId="4068"/>
    <cellStyle name="Normal 4 2 7" xfId="4069"/>
    <cellStyle name="Normal 4 2 8" xfId="4070"/>
    <cellStyle name="Normal 4 2 9" xfId="4071"/>
    <cellStyle name="Normal 4 20" xfId="4072"/>
    <cellStyle name="Normal 4 20 2" xfId="4073"/>
    <cellStyle name="Normal 4 21" xfId="4074"/>
    <cellStyle name="Normal 4 21 2" xfId="4075"/>
    <cellStyle name="Normal 4 21 2 2" xfId="4076"/>
    <cellStyle name="Normal 4 21 2 2 2" xfId="4077"/>
    <cellStyle name="Normal 4 21 2 2 2 2" xfId="4078"/>
    <cellStyle name="Normal 4 21 2 2 3" xfId="4079"/>
    <cellStyle name="Normal 4 21 2 3" xfId="4080"/>
    <cellStyle name="Normal 4 21 2 3 2" xfId="4081"/>
    <cellStyle name="Normal 4 21 2 4" xfId="4082"/>
    <cellStyle name="Normal 4 21 3" xfId="4083"/>
    <cellStyle name="Normal 4 21 3 2" xfId="4084"/>
    <cellStyle name="Normal 4 21 3 2 2" xfId="4085"/>
    <cellStyle name="Normal 4 21 3 2 2 2" xfId="4086"/>
    <cellStyle name="Normal 4 21 3 2 3" xfId="4087"/>
    <cellStyle name="Normal 4 21 3 3" xfId="4088"/>
    <cellStyle name="Normal 4 21 3 3 2" xfId="4089"/>
    <cellStyle name="Normal 4 21 3 4" xfId="4090"/>
    <cellStyle name="Normal 4 21 4" xfId="4091"/>
    <cellStyle name="Normal 4 21 4 2" xfId="4092"/>
    <cellStyle name="Normal 4 21 4 2 2" xfId="4093"/>
    <cellStyle name="Normal 4 21 4 2 2 2" xfId="4094"/>
    <cellStyle name="Normal 4 21 4 2 3" xfId="4095"/>
    <cellStyle name="Normal 4 21 4 3" xfId="4096"/>
    <cellStyle name="Normal 4 21 4 3 2" xfId="4097"/>
    <cellStyle name="Normal 4 21 4 4" xfId="4098"/>
    <cellStyle name="Normal 4 21 5" xfId="4099"/>
    <cellStyle name="Normal 4 21 5 2" xfId="4100"/>
    <cellStyle name="Normal 4 21 5 2 2" xfId="4101"/>
    <cellStyle name="Normal 4 21 5 3" xfId="4102"/>
    <cellStyle name="Normal 4 21 6" xfId="4103"/>
    <cellStyle name="Normal 4 21 6 2" xfId="4104"/>
    <cellStyle name="Normal 4 21 7" xfId="4105"/>
    <cellStyle name="Normal 4 21 8" xfId="4106"/>
    <cellStyle name="Normal 4 22" xfId="4107"/>
    <cellStyle name="Normal 4 22 2" xfId="4108"/>
    <cellStyle name="Normal 4 22 2 2" xfId="4109"/>
    <cellStyle name="Normal 4 22 2 2 2" xfId="4110"/>
    <cellStyle name="Normal 4 22 2 3" xfId="4111"/>
    <cellStyle name="Normal 4 22 3" xfId="4112"/>
    <cellStyle name="Normal 4 22 3 2" xfId="4113"/>
    <cellStyle name="Normal 4 22 4" xfId="4114"/>
    <cellStyle name="Normal 4 22 5" xfId="4115"/>
    <cellStyle name="Normal 4 23" xfId="4116"/>
    <cellStyle name="Normal 4 23 2" xfId="4117"/>
    <cellStyle name="Normal 4 23 2 2" xfId="4118"/>
    <cellStyle name="Normal 4 23 2 2 2" xfId="4119"/>
    <cellStyle name="Normal 4 23 2 3" xfId="4120"/>
    <cellStyle name="Normal 4 23 3" xfId="4121"/>
    <cellStyle name="Normal 4 23 3 2" xfId="4122"/>
    <cellStyle name="Normal 4 23 4" xfId="4123"/>
    <cellStyle name="Normal 4 23 5" xfId="4124"/>
    <cellStyle name="Normal 4 24" xfId="4125"/>
    <cellStyle name="Normal 4 24 2" xfId="4126"/>
    <cellStyle name="Normal 4 24 2 2" xfId="4127"/>
    <cellStyle name="Normal 4 24 2 2 2" xfId="4128"/>
    <cellStyle name="Normal 4 24 2 3" xfId="4129"/>
    <cellStyle name="Normal 4 24 3" xfId="4130"/>
    <cellStyle name="Normal 4 24 3 2" xfId="4131"/>
    <cellStyle name="Normal 4 24 4" xfId="4132"/>
    <cellStyle name="Normal 4 24 5" xfId="4133"/>
    <cellStyle name="Normal 4 25" xfId="4134"/>
    <cellStyle name="Normal 4 25 2" xfId="4135"/>
    <cellStyle name="Normal 4 25 2 2" xfId="4136"/>
    <cellStyle name="Normal 4 25 3" xfId="4137"/>
    <cellStyle name="Normal 4 25 4" xfId="4138"/>
    <cellStyle name="Normal 4 26" xfId="4139"/>
    <cellStyle name="Normal 4 26 2" xfId="4140"/>
    <cellStyle name="Normal 4 27" xfId="4141"/>
    <cellStyle name="Normal 4 27 2" xfId="4142"/>
    <cellStyle name="Normal 4 27 2 2" xfId="4143"/>
    <cellStyle name="Normal 4 27 3" xfId="4144"/>
    <cellStyle name="Normal 4 27 4" xfId="4145"/>
    <cellStyle name="Normal 4 28" xfId="4146"/>
    <cellStyle name="Normal 4 28 2" xfId="4147"/>
    <cellStyle name="Normal 4 28 3" xfId="4148"/>
    <cellStyle name="Normal 4 29" xfId="4149"/>
    <cellStyle name="Normal 4 29 2" xfId="4150"/>
    <cellStyle name="Normal 4 3" xfId="4151"/>
    <cellStyle name="Normal 4 3 2" xfId="4152"/>
    <cellStyle name="Normal 4 3 2 2" xfId="4153"/>
    <cellStyle name="Normal 4 3 2 2 2" xfId="4154"/>
    <cellStyle name="Normal 4 3 2 3" xfId="4155"/>
    <cellStyle name="Normal 4 3 2 4" xfId="4156"/>
    <cellStyle name="Normal 4 3 3" xfId="4157"/>
    <cellStyle name="Normal 4 3 4" xfId="4158"/>
    <cellStyle name="Normal 4 30" xfId="4159"/>
    <cellStyle name="Normal 4 30 2" xfId="4160"/>
    <cellStyle name="Normal 4 31" xfId="4161"/>
    <cellStyle name="Normal 4 31 2" xfId="4162"/>
    <cellStyle name="Normal 4 32" xfId="4163"/>
    <cellStyle name="Normal 4 32 2" xfId="4164"/>
    <cellStyle name="Normal 4 33" xfId="4165"/>
    <cellStyle name="Normal 4 33 2" xfId="4166"/>
    <cellStyle name="Normal 4 34" xfId="4167"/>
    <cellStyle name="Normal 4 35" xfId="4168"/>
    <cellStyle name="Normal 4 36" xfId="4169"/>
    <cellStyle name="Normal 4 37" xfId="4170"/>
    <cellStyle name="Normal 4 38" xfId="4171"/>
    <cellStyle name="Normal 4 39" xfId="4172"/>
    <cellStyle name="Normal 4 4" xfId="4173"/>
    <cellStyle name="Normal 4 4 2" xfId="4174"/>
    <cellStyle name="Normal 4 4 3" xfId="4175"/>
    <cellStyle name="Normal 4 4 4" xfId="4176"/>
    <cellStyle name="Normal 4 40" xfId="4177"/>
    <cellStyle name="Normal 4 41" xfId="4178"/>
    <cellStyle name="Normal 4 42" xfId="4179"/>
    <cellStyle name="Normal 4 43" xfId="4180"/>
    <cellStyle name="Normal 4 44" xfId="4181"/>
    <cellStyle name="Normal 4 45" xfId="4182"/>
    <cellStyle name="Normal 4 46" xfId="4183"/>
    <cellStyle name="Normal 4 47" xfId="4184"/>
    <cellStyle name="Normal 4 48" xfId="4185"/>
    <cellStyle name="Normal 4 49" xfId="4186"/>
    <cellStyle name="Normal 4 5" xfId="4187"/>
    <cellStyle name="Normal 4 5 2" xfId="4188"/>
    <cellStyle name="Normal 4 50" xfId="4189"/>
    <cellStyle name="Normal 4 51" xfId="4190"/>
    <cellStyle name="Normal 4 52" xfId="4191"/>
    <cellStyle name="Normal 4 53" xfId="4192"/>
    <cellStyle name="Normal 4 54" xfId="4193"/>
    <cellStyle name="Normal 4 55" xfId="4194"/>
    <cellStyle name="Normal 4 56" xfId="4195"/>
    <cellStyle name="Normal 4 57" xfId="4196"/>
    <cellStyle name="Normal 4 58" xfId="4197"/>
    <cellStyle name="Normal 4 59" xfId="4198"/>
    <cellStyle name="Normal 4 6" xfId="4199"/>
    <cellStyle name="Normal 4 6 2" xfId="4200"/>
    <cellStyle name="Normal 4 60" xfId="4201"/>
    <cellStyle name="Normal 4 61" xfId="4202"/>
    <cellStyle name="Normal 4 62" xfId="4203"/>
    <cellStyle name="Normal 4 63" xfId="4204"/>
    <cellStyle name="Normal 4 64" xfId="4205"/>
    <cellStyle name="Normal 4 65" xfId="4206"/>
    <cellStyle name="Normal 4 66" xfId="4207"/>
    <cellStyle name="Normal 4 67" xfId="4208"/>
    <cellStyle name="Normal 4 68" xfId="4209"/>
    <cellStyle name="Normal 4 69" xfId="4210"/>
    <cellStyle name="Normal 4 7" xfId="4211"/>
    <cellStyle name="Normal 4 7 2" xfId="4212"/>
    <cellStyle name="Normal 4 70" xfId="4213"/>
    <cellStyle name="Normal 4 71" xfId="4214"/>
    <cellStyle name="Normal 4 72" xfId="4215"/>
    <cellStyle name="Normal 4 73" xfId="4216"/>
    <cellStyle name="Normal 4 74" xfId="4217"/>
    <cellStyle name="Normal 4 75" xfId="4218"/>
    <cellStyle name="Normal 4 76" xfId="4219"/>
    <cellStyle name="Normal 4 77" xfId="4220"/>
    <cellStyle name="Normal 4 78" xfId="4221"/>
    <cellStyle name="Normal 4 79" xfId="4222"/>
    <cellStyle name="Normal 4 8" xfId="4223"/>
    <cellStyle name="Normal 4 8 2" xfId="4224"/>
    <cellStyle name="Normal 4 80" xfId="4225"/>
    <cellStyle name="Normal 4 81" xfId="4226"/>
    <cellStyle name="Normal 4 82" xfId="4227"/>
    <cellStyle name="Normal 4 83" xfId="4228"/>
    <cellStyle name="Normal 4 84" xfId="4229"/>
    <cellStyle name="Normal 4 85" xfId="4230"/>
    <cellStyle name="Normal 4 86" xfId="4231"/>
    <cellStyle name="Normal 4 87" xfId="4232"/>
    <cellStyle name="Normal 4 88" xfId="4233"/>
    <cellStyle name="Normal 4 89" xfId="4234"/>
    <cellStyle name="Normal 4 9" xfId="4235"/>
    <cellStyle name="Normal 4 9 2" xfId="4236"/>
    <cellStyle name="Normal 4 90" xfId="4237"/>
    <cellStyle name="Normal 4 91" xfId="4238"/>
    <cellStyle name="Normal 4 92" xfId="4239"/>
    <cellStyle name="Normal 4 93" xfId="4240"/>
    <cellStyle name="Normal 4 94" xfId="4241"/>
    <cellStyle name="Normal 4 95" xfId="4242"/>
    <cellStyle name="Normal 4 96" xfId="4243"/>
    <cellStyle name="Normal 4 97" xfId="4244"/>
    <cellStyle name="Normal 4 98" xfId="4245"/>
    <cellStyle name="Normal 4 99" xfId="4246"/>
    <cellStyle name="Normal 40" xfId="4247"/>
    <cellStyle name="Normal 41" xfId="4248"/>
    <cellStyle name="Normal 42" xfId="4249"/>
    <cellStyle name="Normal 43" xfId="4250"/>
    <cellStyle name="Normal 44" xfId="4251"/>
    <cellStyle name="Normal 45" xfId="4252"/>
    <cellStyle name="Normal 46" xfId="4253"/>
    <cellStyle name="Normal 47" xfId="4254"/>
    <cellStyle name="Normal 47 10" xfId="4255"/>
    <cellStyle name="Normal 47 11" xfId="4256"/>
    <cellStyle name="Normal 47 11 2" xfId="4257"/>
    <cellStyle name="Normal 47 11 3" xfId="4258"/>
    <cellStyle name="Normal 47 11 4" xfId="4259"/>
    <cellStyle name="Normal 47 11 5" xfId="4260"/>
    <cellStyle name="Normal 47 11 6" xfId="4261"/>
    <cellStyle name="Normal 47 11 7" xfId="4262"/>
    <cellStyle name="Normal 47 11 8" xfId="4263"/>
    <cellStyle name="Normal 47 12" xfId="4264"/>
    <cellStyle name="Normal 47 13" xfId="4265"/>
    <cellStyle name="Normal 47 14" xfId="4266"/>
    <cellStyle name="Normal 47 15" xfId="4267"/>
    <cellStyle name="Normal 47 16" xfId="4268"/>
    <cellStyle name="Normal 47 17" xfId="4269"/>
    <cellStyle name="Normal 47 2" xfId="4270"/>
    <cellStyle name="Normal 47 3" xfId="4271"/>
    <cellStyle name="Normal 47 3 2" xfId="4272"/>
    <cellStyle name="Normal 47 3 3" xfId="4273"/>
    <cellStyle name="Normal 47 3 4" xfId="4274"/>
    <cellStyle name="Normal 47 3 5" xfId="4275"/>
    <cellStyle name="Normal 47 3 6" xfId="4276"/>
    <cellStyle name="Normal 47 3 7" xfId="4277"/>
    <cellStyle name="Normal 47 3 8" xfId="4278"/>
    <cellStyle name="Normal 47 4" xfId="4279"/>
    <cellStyle name="Normal 47 4 2" xfId="4280"/>
    <cellStyle name="Normal 47 4 3" xfId="4281"/>
    <cellStyle name="Normal 47 4 4" xfId="4282"/>
    <cellStyle name="Normal 47 4 5" xfId="4283"/>
    <cellStyle name="Normal 47 4 6" xfId="4284"/>
    <cellStyle name="Normal 47 4 7" xfId="4285"/>
    <cellStyle name="Normal 47 4 8" xfId="4286"/>
    <cellStyle name="Normal 47 5" xfId="4287"/>
    <cellStyle name="Normal 47 5 2" xfId="4288"/>
    <cellStyle name="Normal 47 5 3" xfId="4289"/>
    <cellStyle name="Normal 47 5 4" xfId="4290"/>
    <cellStyle name="Normal 47 5 5" xfId="4291"/>
    <cellStyle name="Normal 47 5 6" xfId="4292"/>
    <cellStyle name="Normal 47 5 7" xfId="4293"/>
    <cellStyle name="Normal 47 5 8" xfId="4294"/>
    <cellStyle name="Normal 47 6" xfId="4295"/>
    <cellStyle name="Normal 47 6 2" xfId="4296"/>
    <cellStyle name="Normal 47 6 3" xfId="4297"/>
    <cellStyle name="Normal 47 6 4" xfId="4298"/>
    <cellStyle name="Normal 47 6 5" xfId="4299"/>
    <cellStyle name="Normal 47 6 6" xfId="4300"/>
    <cellStyle name="Normal 47 6 7" xfId="4301"/>
    <cellStyle name="Normal 47 6 8" xfId="4302"/>
    <cellStyle name="Normal 47 7" xfId="4303"/>
    <cellStyle name="Normal 47 7 2" xfId="4304"/>
    <cellStyle name="Normal 47 7 3" xfId="4305"/>
    <cellStyle name="Normal 47 7 4" xfId="4306"/>
    <cellStyle name="Normal 47 7 5" xfId="4307"/>
    <cellStyle name="Normal 47 7 6" xfId="4308"/>
    <cellStyle name="Normal 47 7 7" xfId="4309"/>
    <cellStyle name="Normal 47 7 8" xfId="4310"/>
    <cellStyle name="Normal 47 8" xfId="4311"/>
    <cellStyle name="Normal 47 8 2" xfId="4312"/>
    <cellStyle name="Normal 47 8 3" xfId="4313"/>
    <cellStyle name="Normal 47 8 4" xfId="4314"/>
    <cellStyle name="Normal 47 8 5" xfId="4315"/>
    <cellStyle name="Normal 47 8 6" xfId="4316"/>
    <cellStyle name="Normal 47 8 7" xfId="4317"/>
    <cellStyle name="Normal 47 8 8" xfId="4318"/>
    <cellStyle name="Normal 47 9" xfId="4319"/>
    <cellStyle name="Normal 48" xfId="4320"/>
    <cellStyle name="Normal 49" xfId="4321"/>
    <cellStyle name="Normal 49 2" xfId="4322"/>
    <cellStyle name="Normal 49 2 2" xfId="4323"/>
    <cellStyle name="Normal 49 2 2 2" xfId="4324"/>
    <cellStyle name="Normal 49 2 2 2 2" xfId="4325"/>
    <cellStyle name="Normal 49 2 2 3" xfId="4326"/>
    <cellStyle name="Normal 49 2 3" xfId="4327"/>
    <cellStyle name="Normal 49 2 3 2" xfId="4328"/>
    <cellStyle name="Normal 49 2 4" xfId="4329"/>
    <cellStyle name="Normal 49 3" xfId="4330"/>
    <cellStyle name="Normal 49 3 2" xfId="4331"/>
    <cellStyle name="Normal 49 3 2 2" xfId="4332"/>
    <cellStyle name="Normal 49 3 2 2 2" xfId="4333"/>
    <cellStyle name="Normal 49 3 2 3" xfId="4334"/>
    <cellStyle name="Normal 49 3 3" xfId="4335"/>
    <cellStyle name="Normal 49 3 3 2" xfId="4336"/>
    <cellStyle name="Normal 49 3 4" xfId="4337"/>
    <cellStyle name="Normal 49 4" xfId="4338"/>
    <cellStyle name="Normal 49 4 2" xfId="4339"/>
    <cellStyle name="Normal 49 4 2 2" xfId="4340"/>
    <cellStyle name="Normal 49 4 2 2 2" xfId="4341"/>
    <cellStyle name="Normal 49 4 2 3" xfId="4342"/>
    <cellStyle name="Normal 49 4 3" xfId="4343"/>
    <cellStyle name="Normal 49 4 3 2" xfId="4344"/>
    <cellStyle name="Normal 49 4 4" xfId="4345"/>
    <cellStyle name="Normal 49 5" xfId="4346"/>
    <cellStyle name="Normal 49 5 2" xfId="4347"/>
    <cellStyle name="Normal 49 5 2 2" xfId="4348"/>
    <cellStyle name="Normal 49 5 3" xfId="4349"/>
    <cellStyle name="Normal 49 6" xfId="4350"/>
    <cellStyle name="Normal 49 6 2" xfId="4351"/>
    <cellStyle name="Normal 49 7" xfId="4352"/>
    <cellStyle name="Normal 49 8" xfId="4353"/>
    <cellStyle name="Normal 5" xfId="94"/>
    <cellStyle name="Normal-- 5" xfId="4355"/>
    <cellStyle name="Normal 5 10" xfId="4356"/>
    <cellStyle name="Normal 5 10 2" xfId="4357"/>
    <cellStyle name="Normal 5 100" xfId="4358"/>
    <cellStyle name="Normal 5 101" xfId="4359"/>
    <cellStyle name="Normal 5 102" xfId="4360"/>
    <cellStyle name="Normal 5 103" xfId="4361"/>
    <cellStyle name="Normal 5 104" xfId="4362"/>
    <cellStyle name="Normal 5 105" xfId="4363"/>
    <cellStyle name="Normal 5 106" xfId="4364"/>
    <cellStyle name="Normal 5 107" xfId="4365"/>
    <cellStyle name="Normal 5 108" xfId="4366"/>
    <cellStyle name="Normal 5 109" xfId="4367"/>
    <cellStyle name="Normal 5 11" xfId="4368"/>
    <cellStyle name="Normal 5 11 2" xfId="4369"/>
    <cellStyle name="Normal 5 110" xfId="4370"/>
    <cellStyle name="Normal 5 111" xfId="4371"/>
    <cellStyle name="Normal 5 112" xfId="4372"/>
    <cellStyle name="Normal 5 113" xfId="4373"/>
    <cellStyle name="Normal 5 114" xfId="4354"/>
    <cellStyle name="Normal 5 115" xfId="153"/>
    <cellStyle name="Normal 5 116" xfId="160"/>
    <cellStyle name="Normal 5 117" xfId="5736"/>
    <cellStyle name="Normal 5 118" xfId="5731"/>
    <cellStyle name="Normal 5 119" xfId="5732"/>
    <cellStyle name="Normal 5 12" xfId="4374"/>
    <cellStyle name="Normal 5 12 2" xfId="4375"/>
    <cellStyle name="Normal 5 120" xfId="5768"/>
    <cellStyle name="Normal 5 121" xfId="5776"/>
    <cellStyle name="Normal 5 13" xfId="4376"/>
    <cellStyle name="Normal 5 13 2" xfId="4377"/>
    <cellStyle name="Normal 5 14" xfId="4378"/>
    <cellStyle name="Normal 5 14 2" xfId="4379"/>
    <cellStyle name="Normal 5 15" xfId="4380"/>
    <cellStyle name="Normal 5 15 2" xfId="4381"/>
    <cellStyle name="Normal 5 16" xfId="4382"/>
    <cellStyle name="Normal 5 16 2" xfId="4383"/>
    <cellStyle name="Normal 5 17" xfId="4384"/>
    <cellStyle name="Normal 5 17 2" xfId="4385"/>
    <cellStyle name="Normal 5 18" xfId="4386"/>
    <cellStyle name="Normal 5 18 2" xfId="4387"/>
    <cellStyle name="Normal 5 19" xfId="4388"/>
    <cellStyle name="Normal 5 19 2" xfId="4389"/>
    <cellStyle name="Normal 5 2" xfId="124"/>
    <cellStyle name="Normal 5 2 2" xfId="4391"/>
    <cellStyle name="Normal 5 2 3" xfId="4392"/>
    <cellStyle name="Normal 5 2 4" xfId="4393"/>
    <cellStyle name="Normal 5 2 5" xfId="4394"/>
    <cellStyle name="Normal 5 2 6" xfId="4390"/>
    <cellStyle name="Normal 5 2 7" xfId="163"/>
    <cellStyle name="Normal 5 2 8" xfId="5778"/>
    <cellStyle name="Normal 5 20" xfId="4395"/>
    <cellStyle name="Normal 5 20 2" xfId="4396"/>
    <cellStyle name="Normal 5 21" xfId="4397"/>
    <cellStyle name="Normal 5 21 2" xfId="4398"/>
    <cellStyle name="Normal 5 22" xfId="4399"/>
    <cellStyle name="Normal 5 22 2" xfId="4400"/>
    <cellStyle name="Normal 5 22 2 2" xfId="4401"/>
    <cellStyle name="Normal 5 22 3" xfId="4402"/>
    <cellStyle name="Normal 5 22 4" xfId="4403"/>
    <cellStyle name="Normal 5 23" xfId="4404"/>
    <cellStyle name="Normal 5 23 2" xfId="4405"/>
    <cellStyle name="Normal 5 24" xfId="4406"/>
    <cellStyle name="Normal 5 24 2" xfId="4407"/>
    <cellStyle name="Normal 5 25" xfId="4408"/>
    <cellStyle name="Normal 5 25 2" xfId="4409"/>
    <cellStyle name="Normal 5 26" xfId="4410"/>
    <cellStyle name="Normal 5 26 2" xfId="4411"/>
    <cellStyle name="Normal 5 27" xfId="4412"/>
    <cellStyle name="Normal 5 27 2" xfId="4413"/>
    <cellStyle name="Normal 5 28" xfId="4414"/>
    <cellStyle name="Normal 5 28 2" xfId="4415"/>
    <cellStyle name="Normal 5 29" xfId="4416"/>
    <cellStyle name="Normal 5 29 2" xfId="4417"/>
    <cellStyle name="Normal 5 3" xfId="4418"/>
    <cellStyle name="Normal 5 3 2" xfId="4419"/>
    <cellStyle name="Normal 5 30" xfId="4420"/>
    <cellStyle name="Normal 5 30 2" xfId="4421"/>
    <cellStyle name="Normal 5 31" xfId="4422"/>
    <cellStyle name="Normal 5 31 2" xfId="4423"/>
    <cellStyle name="Normal 5 32" xfId="4424"/>
    <cellStyle name="Normal 5 32 2" xfId="4425"/>
    <cellStyle name="Normal 5 33" xfId="4426"/>
    <cellStyle name="Normal 5 33 2" xfId="4427"/>
    <cellStyle name="Normal 5 34" xfId="4428"/>
    <cellStyle name="Normal 5 34 2" xfId="4429"/>
    <cellStyle name="Normal 5 35" xfId="4430"/>
    <cellStyle name="Normal 5 35 2" xfId="4431"/>
    <cellStyle name="Normal 5 36" xfId="4432"/>
    <cellStyle name="Normal 5 36 2" xfId="4433"/>
    <cellStyle name="Normal 5 37" xfId="4434"/>
    <cellStyle name="Normal 5 37 2" xfId="4435"/>
    <cellStyle name="Normal 5 38" xfId="4436"/>
    <cellStyle name="Normal 5 39" xfId="4437"/>
    <cellStyle name="Normal 5 4" xfId="4438"/>
    <cellStyle name="Normal 5 4 2" xfId="4439"/>
    <cellStyle name="Normal 5 40" xfId="4440"/>
    <cellStyle name="Normal 5 41" xfId="4441"/>
    <cellStyle name="Normal 5 42" xfId="4442"/>
    <cellStyle name="Normal 5 43" xfId="4443"/>
    <cellStyle name="Normal 5 44" xfId="4444"/>
    <cellStyle name="Normal 5 45" xfId="4445"/>
    <cellStyle name="Normal 5 46" xfId="4446"/>
    <cellStyle name="Normal 5 47" xfId="4447"/>
    <cellStyle name="Normal 5 48" xfId="4448"/>
    <cellStyle name="Normal 5 49" xfId="4449"/>
    <cellStyle name="Normal 5 5" xfId="4450"/>
    <cellStyle name="Normal 5 5 2" xfId="4451"/>
    <cellStyle name="Normal 5 50" xfId="4452"/>
    <cellStyle name="Normal 5 51" xfId="4453"/>
    <cellStyle name="Normal 5 52" xfId="4454"/>
    <cellStyle name="Normal 5 53" xfId="4455"/>
    <cellStyle name="Normal 5 54" xfId="4456"/>
    <cellStyle name="Normal 5 55" xfId="4457"/>
    <cellStyle name="Normal 5 56" xfId="4458"/>
    <cellStyle name="Normal 5 57" xfId="4459"/>
    <cellStyle name="Normal 5 58" xfId="4460"/>
    <cellStyle name="Normal 5 59" xfId="4461"/>
    <cellStyle name="Normal 5 6" xfId="4462"/>
    <cellStyle name="Normal 5 6 2" xfId="4463"/>
    <cellStyle name="Normal 5 60" xfId="4464"/>
    <cellStyle name="Normal 5 61" xfId="4465"/>
    <cellStyle name="Normal 5 62" xfId="4466"/>
    <cellStyle name="Normal 5 63" xfId="4467"/>
    <cellStyle name="Normal 5 64" xfId="4468"/>
    <cellStyle name="Normal 5 65" xfId="4469"/>
    <cellStyle name="Normal 5 66" xfId="4470"/>
    <cellStyle name="Normal 5 67" xfId="4471"/>
    <cellStyle name="Normal 5 68" xfId="4472"/>
    <cellStyle name="Normal 5 69" xfId="4473"/>
    <cellStyle name="Normal 5 7" xfId="4474"/>
    <cellStyle name="Normal 5 7 2" xfId="4475"/>
    <cellStyle name="Normal 5 70" xfId="4476"/>
    <cellStyle name="Normal 5 71" xfId="4477"/>
    <cellStyle name="Normal 5 72" xfId="4478"/>
    <cellStyle name="Normal 5 73" xfId="4479"/>
    <cellStyle name="Normal 5 74" xfId="4480"/>
    <cellStyle name="Normal 5 75" xfId="4481"/>
    <cellStyle name="Normal 5 76" xfId="4482"/>
    <cellStyle name="Normal 5 77" xfId="4483"/>
    <cellStyle name="Normal 5 78" xfId="4484"/>
    <cellStyle name="Normal 5 79" xfId="4485"/>
    <cellStyle name="Normal 5 8" xfId="4486"/>
    <cellStyle name="Normal 5 8 2" xfId="4487"/>
    <cellStyle name="Normal 5 80" xfId="4488"/>
    <cellStyle name="Normal 5 81" xfId="4489"/>
    <cellStyle name="Normal 5 82" xfId="4490"/>
    <cellStyle name="Normal 5 83" xfId="4491"/>
    <cellStyle name="Normal 5 84" xfId="4492"/>
    <cellStyle name="Normal 5 85" xfId="4493"/>
    <cellStyle name="Normal 5 86" xfId="4494"/>
    <cellStyle name="Normal 5 87" xfId="4495"/>
    <cellStyle name="Normal 5 88" xfId="4496"/>
    <cellStyle name="Normal 5 89" xfId="4497"/>
    <cellStyle name="Normal 5 9" xfId="4498"/>
    <cellStyle name="Normal 5 9 2" xfId="4499"/>
    <cellStyle name="Normal 5 90" xfId="4500"/>
    <cellStyle name="Normal 5 91" xfId="4501"/>
    <cellStyle name="Normal 5 92" xfId="4502"/>
    <cellStyle name="Normal 5 93" xfId="4503"/>
    <cellStyle name="Normal 5 94" xfId="4504"/>
    <cellStyle name="Normal 5 95" xfId="4505"/>
    <cellStyle name="Normal 5 96" xfId="4506"/>
    <cellStyle name="Normal 5 97" xfId="4507"/>
    <cellStyle name="Normal 5 98" xfId="4508"/>
    <cellStyle name="Normal 5 99" xfId="4509"/>
    <cellStyle name="Normal 50" xfId="4510"/>
    <cellStyle name="Normal 50 2" xfId="4511"/>
    <cellStyle name="Normal 50 3" xfId="4512"/>
    <cellStyle name="Normal 50 4" xfId="4513"/>
    <cellStyle name="Normal 50 5" xfId="4514"/>
    <cellStyle name="Normal 50 6" xfId="4515"/>
    <cellStyle name="Normal 50 7" xfId="4516"/>
    <cellStyle name="Normal 50 8" xfId="4517"/>
    <cellStyle name="Normal 51" xfId="4518"/>
    <cellStyle name="Normal 51 2" xfId="4519"/>
    <cellStyle name="Normal 51 2 2" xfId="4520"/>
    <cellStyle name="Normal 51 2 2 2" xfId="4521"/>
    <cellStyle name="Normal 51 2 2 2 2" xfId="4522"/>
    <cellStyle name="Normal 51 2 2 3" xfId="4523"/>
    <cellStyle name="Normal 51 2 3" xfId="4524"/>
    <cellStyle name="Normal 51 2 3 2" xfId="4525"/>
    <cellStyle name="Normal 51 2 4" xfId="4526"/>
    <cellStyle name="Normal 51 3" xfId="4527"/>
    <cellStyle name="Normal 51 3 2" xfId="4528"/>
    <cellStyle name="Normal 51 3 2 2" xfId="4529"/>
    <cellStyle name="Normal 51 3 3" xfId="4530"/>
    <cellStyle name="Normal 51 4" xfId="4531"/>
    <cellStyle name="Normal 51 4 2" xfId="4532"/>
    <cellStyle name="Normal 51 5" xfId="4533"/>
    <cellStyle name="Normal 51 6" xfId="4534"/>
    <cellStyle name="Normal 51 7" xfId="4535"/>
    <cellStyle name="Normal 51 8" xfId="4536"/>
    <cellStyle name="Normal 52" xfId="4537"/>
    <cellStyle name="Normal 52 2" xfId="4538"/>
    <cellStyle name="Normal 52 2 2" xfId="4539"/>
    <cellStyle name="Normal 52 3" xfId="4540"/>
    <cellStyle name="Normal 52 4" xfId="4541"/>
    <cellStyle name="Normal 52 5" xfId="4542"/>
    <cellStyle name="Normal 52 6" xfId="4543"/>
    <cellStyle name="Normal 52 7" xfId="4544"/>
    <cellStyle name="Normal 52 8" xfId="4545"/>
    <cellStyle name="Normal 53" xfId="4546"/>
    <cellStyle name="Normal 53 2" xfId="4547"/>
    <cellStyle name="Normal 53 2 2" xfId="4548"/>
    <cellStyle name="Normal 53 2 2 2" xfId="4549"/>
    <cellStyle name="Normal 53 2 3" xfId="4550"/>
    <cellStyle name="Normal 53 3" xfId="4551"/>
    <cellStyle name="Normal 53 3 2" xfId="4552"/>
    <cellStyle name="Normal 53 4" xfId="4553"/>
    <cellStyle name="Normal 53 5" xfId="4554"/>
    <cellStyle name="Normal 53 6" xfId="4555"/>
    <cellStyle name="Normal 53 7" xfId="4556"/>
    <cellStyle name="Normal 53 8" xfId="4557"/>
    <cellStyle name="Normal 54" xfId="4558"/>
    <cellStyle name="Normal 54 2" xfId="4559"/>
    <cellStyle name="Normal 54 3" xfId="4560"/>
    <cellStyle name="Normal 54 4" xfId="4561"/>
    <cellStyle name="Normal 54 5" xfId="4562"/>
    <cellStyle name="Normal 54 6" xfId="4563"/>
    <cellStyle name="Normal 54 7" xfId="4564"/>
    <cellStyle name="Normal 54 8" xfId="4565"/>
    <cellStyle name="Normal 55" xfId="4566"/>
    <cellStyle name="Normal 55 2" xfId="4567"/>
    <cellStyle name="Normal 55 3" xfId="4568"/>
    <cellStyle name="Normal 55 4" xfId="4569"/>
    <cellStyle name="Normal 55 5" xfId="4570"/>
    <cellStyle name="Normal 55 6" xfId="4571"/>
    <cellStyle name="Normal 55 7" xfId="4572"/>
    <cellStyle name="Normal 55 8" xfId="4573"/>
    <cellStyle name="Normal 56" xfId="4574"/>
    <cellStyle name="Normal 56 2" xfId="4575"/>
    <cellStyle name="Normal 56 3" xfId="4576"/>
    <cellStyle name="Normal 56 4" xfId="4577"/>
    <cellStyle name="Normal 56 5" xfId="4578"/>
    <cellStyle name="Normal 56 6" xfId="4579"/>
    <cellStyle name="Normal 56 7" xfId="4580"/>
    <cellStyle name="Normal 56 8" xfId="4581"/>
    <cellStyle name="Normal 57" xfId="4582"/>
    <cellStyle name="Normal 57 2" xfId="4583"/>
    <cellStyle name="Normal 57 3" xfId="4584"/>
    <cellStyle name="Normal 57 4" xfId="4585"/>
    <cellStyle name="Normal 57 5" xfId="4586"/>
    <cellStyle name="Normal 57 6" xfId="4587"/>
    <cellStyle name="Normal 57 7" xfId="4588"/>
    <cellStyle name="Normal 57 8" xfId="4589"/>
    <cellStyle name="Normal 58" xfId="4590"/>
    <cellStyle name="Normal 58 2" xfId="4591"/>
    <cellStyle name="Normal 58 3" xfId="4592"/>
    <cellStyle name="Normal 58 4" xfId="4593"/>
    <cellStyle name="Normal 58 5" xfId="4594"/>
    <cellStyle name="Normal 58 6" xfId="4595"/>
    <cellStyle name="Normal 58 7" xfId="4596"/>
    <cellStyle name="Normal 58 8" xfId="4597"/>
    <cellStyle name="Normal 59" xfId="4598"/>
    <cellStyle name="Normal 59 2" xfId="4599"/>
    <cellStyle name="Normal 59 3" xfId="4600"/>
    <cellStyle name="Normal 59 4" xfId="4601"/>
    <cellStyle name="Normal 59 5" xfId="4602"/>
    <cellStyle name="Normal 59 6" xfId="4603"/>
    <cellStyle name="Normal 59 7" xfId="4604"/>
    <cellStyle name="Normal 59 8" xfId="4605"/>
    <cellStyle name="Normal 6" xfId="97"/>
    <cellStyle name="Normal-- 6" xfId="4607"/>
    <cellStyle name="Normal 6 10" xfId="4608"/>
    <cellStyle name="Normal 6 10 2" xfId="4609"/>
    <cellStyle name="Normal 6 100" xfId="4610"/>
    <cellStyle name="Normal 6 101" xfId="4611"/>
    <cellStyle name="Normal 6 102" xfId="4612"/>
    <cellStyle name="Normal 6 103" xfId="4613"/>
    <cellStyle name="Normal 6 104" xfId="4614"/>
    <cellStyle name="Normal 6 105" xfId="4615"/>
    <cellStyle name="Normal 6 106" xfId="4616"/>
    <cellStyle name="Normal 6 107" xfId="4617"/>
    <cellStyle name="Normal 6 108" xfId="4618"/>
    <cellStyle name="Normal 6 109" xfId="4619"/>
    <cellStyle name="Normal 6 11" xfId="4620"/>
    <cellStyle name="Normal 6 11 2" xfId="4621"/>
    <cellStyle name="Normal 6 110" xfId="4622"/>
    <cellStyle name="Normal 6 111" xfId="4623"/>
    <cellStyle name="Normal 6 112" xfId="4624"/>
    <cellStyle name="Normal 6 113" xfId="4625"/>
    <cellStyle name="Normal 6 114" xfId="4626"/>
    <cellStyle name="Normal 6 115" xfId="4627"/>
    <cellStyle name="Normal 6 116" xfId="4628"/>
    <cellStyle name="Normal 6 117" xfId="4629"/>
    <cellStyle name="Normal 6 118" xfId="4606"/>
    <cellStyle name="Normal 6 119" xfId="156"/>
    <cellStyle name="Normal 6 12" xfId="4630"/>
    <cellStyle name="Normal 6 12 2" xfId="4631"/>
    <cellStyle name="Normal 6 120" xfId="5728"/>
    <cellStyle name="Normal 6 121" xfId="5735"/>
    <cellStyle name="Normal 6 122" xfId="135"/>
    <cellStyle name="Normal 6 123" xfId="5739"/>
    <cellStyle name="Normal 6 124" xfId="5771"/>
    <cellStyle name="Normal 6 125" xfId="5775"/>
    <cellStyle name="Normal 6 13" xfId="4632"/>
    <cellStyle name="Normal 6 13 2" xfId="4633"/>
    <cellStyle name="Normal 6 14" xfId="4634"/>
    <cellStyle name="Normal 6 14 2" xfId="4635"/>
    <cellStyle name="Normal 6 15" xfId="4636"/>
    <cellStyle name="Normal 6 15 2" xfId="4637"/>
    <cellStyle name="Normal 6 16" xfId="4638"/>
    <cellStyle name="Normal 6 16 2" xfId="4639"/>
    <cellStyle name="Normal 6 17" xfId="4640"/>
    <cellStyle name="Normal 6 17 2" xfId="4641"/>
    <cellStyle name="Normal 6 18" xfId="4642"/>
    <cellStyle name="Normal 6 18 2" xfId="4643"/>
    <cellStyle name="Normal 6 19" xfId="4644"/>
    <cellStyle name="Normal 6 19 2" xfId="4645"/>
    <cellStyle name="Normal 6 2" xfId="4646"/>
    <cellStyle name="Normal 6 2 2" xfId="4647"/>
    <cellStyle name="Normal 6 2 2 2" xfId="4648"/>
    <cellStyle name="Normal 6 2 2 2 2" xfId="4649"/>
    <cellStyle name="Normal 6 2 2 3" xfId="4650"/>
    <cellStyle name="Normal 6 2 2 4" xfId="4651"/>
    <cellStyle name="Normal 6 2 3" xfId="4652"/>
    <cellStyle name="Normal 6 2 4" xfId="4653"/>
    <cellStyle name="Normal 6 2 5" xfId="4654"/>
    <cellStyle name="Normal 6 20" xfId="4655"/>
    <cellStyle name="Normal 6 20 2" xfId="4656"/>
    <cellStyle name="Normal 6 21" xfId="4657"/>
    <cellStyle name="Normal 6 21 2" xfId="4658"/>
    <cellStyle name="Normal 6 21 2 2" xfId="4659"/>
    <cellStyle name="Normal 6 21 3" xfId="4660"/>
    <cellStyle name="Normal 6 21 4" xfId="4661"/>
    <cellStyle name="Normal 6 22" xfId="4662"/>
    <cellStyle name="Normal 6 22 2" xfId="4663"/>
    <cellStyle name="Normal 6 22 2 2" xfId="4664"/>
    <cellStyle name="Normal 6 22 3" xfId="4665"/>
    <cellStyle name="Normal 6 22 4" xfId="4666"/>
    <cellStyle name="Normal 6 23" xfId="4667"/>
    <cellStyle name="Normal 6 23 2" xfId="4668"/>
    <cellStyle name="Normal 6 24" xfId="4669"/>
    <cellStyle name="Normal 6 24 2" xfId="4670"/>
    <cellStyle name="Normal 6 25" xfId="4671"/>
    <cellStyle name="Normal 6 25 2" xfId="4672"/>
    <cellStyle name="Normal 6 26" xfId="4673"/>
    <cellStyle name="Normal 6 26 2" xfId="4674"/>
    <cellStyle name="Normal 6 27" xfId="4675"/>
    <cellStyle name="Normal 6 27 2" xfId="4676"/>
    <cellStyle name="Normal 6 28" xfId="4677"/>
    <cellStyle name="Normal 6 28 2" xfId="4678"/>
    <cellStyle name="Normal 6 29" xfId="4679"/>
    <cellStyle name="Normal 6 29 2" xfId="4680"/>
    <cellStyle name="Normal 6 3" xfId="4681"/>
    <cellStyle name="Normal 6 3 2" xfId="4682"/>
    <cellStyle name="Normal 6 3 3" xfId="4683"/>
    <cellStyle name="Normal 6 3 4" xfId="4684"/>
    <cellStyle name="Normal 6 30" xfId="4685"/>
    <cellStyle name="Normal 6 31" xfId="4686"/>
    <cellStyle name="Normal 6 32" xfId="4687"/>
    <cellStyle name="Normal 6 33" xfId="4688"/>
    <cellStyle name="Normal 6 34" xfId="4689"/>
    <cellStyle name="Normal 6 35" xfId="4690"/>
    <cellStyle name="Normal 6 36" xfId="4691"/>
    <cellStyle name="Normal 6 37" xfId="4692"/>
    <cellStyle name="Normal 6 38" xfId="4693"/>
    <cellStyle name="Normal 6 39" xfId="4694"/>
    <cellStyle name="Normal 6 4" xfId="4695"/>
    <cellStyle name="Normal 6 4 2" xfId="4696"/>
    <cellStyle name="Normal 6 40" xfId="4697"/>
    <cellStyle name="Normal 6 41" xfId="4698"/>
    <cellStyle name="Normal 6 42" xfId="4699"/>
    <cellStyle name="Normal 6 43" xfId="4700"/>
    <cellStyle name="Normal 6 44" xfId="4701"/>
    <cellStyle name="Normal 6 45" xfId="4702"/>
    <cellStyle name="Normal 6 46" xfId="4703"/>
    <cellStyle name="Normal 6 47" xfId="4704"/>
    <cellStyle name="Normal 6 48" xfId="4705"/>
    <cellStyle name="Normal 6 49" xfId="4706"/>
    <cellStyle name="Normal 6 5" xfId="4707"/>
    <cellStyle name="Normal 6 5 2" xfId="4708"/>
    <cellStyle name="Normal 6 50" xfId="4709"/>
    <cellStyle name="Normal 6 51" xfId="4710"/>
    <cellStyle name="Normal 6 52" xfId="4711"/>
    <cellStyle name="Normal 6 53" xfId="4712"/>
    <cellStyle name="Normal 6 54" xfId="4713"/>
    <cellStyle name="Normal 6 55" xfId="4714"/>
    <cellStyle name="Normal 6 56" xfId="4715"/>
    <cellStyle name="Normal 6 57" xfId="4716"/>
    <cellStyle name="Normal 6 58" xfId="4717"/>
    <cellStyle name="Normal 6 59" xfId="4718"/>
    <cellStyle name="Normal 6 6" xfId="4719"/>
    <cellStyle name="Normal 6 6 2" xfId="4720"/>
    <cellStyle name="Normal 6 60" xfId="4721"/>
    <cellStyle name="Normal 6 61" xfId="4722"/>
    <cellStyle name="Normal 6 62" xfId="4723"/>
    <cellStyle name="Normal 6 63" xfId="4724"/>
    <cellStyle name="Normal 6 64" xfId="4725"/>
    <cellStyle name="Normal 6 65" xfId="4726"/>
    <cellStyle name="Normal 6 66" xfId="4727"/>
    <cellStyle name="Normal 6 67" xfId="4728"/>
    <cellStyle name="Normal 6 68" xfId="4729"/>
    <cellStyle name="Normal 6 69" xfId="4730"/>
    <cellStyle name="Normal 6 7" xfId="4731"/>
    <cellStyle name="Normal 6 7 2" xfId="4732"/>
    <cellStyle name="Normal 6 70" xfId="4733"/>
    <cellStyle name="Normal 6 71" xfId="4734"/>
    <cellStyle name="Normal 6 72" xfId="4735"/>
    <cellStyle name="Normal 6 73" xfId="4736"/>
    <cellStyle name="Normal 6 74" xfId="4737"/>
    <cellStyle name="Normal 6 75" xfId="4738"/>
    <cellStyle name="Normal 6 76" xfId="4739"/>
    <cellStyle name="Normal 6 77" xfId="4740"/>
    <cellStyle name="Normal 6 78" xfId="4741"/>
    <cellStyle name="Normal 6 79" xfId="4742"/>
    <cellStyle name="Normal 6 8" xfId="4743"/>
    <cellStyle name="Normal 6 8 2" xfId="4744"/>
    <cellStyle name="Normal 6 80" xfId="4745"/>
    <cellStyle name="Normal 6 81" xfId="4746"/>
    <cellStyle name="Normal 6 82" xfId="4747"/>
    <cellStyle name="Normal 6 83" xfId="4748"/>
    <cellStyle name="Normal 6 84" xfId="4749"/>
    <cellStyle name="Normal 6 85" xfId="4750"/>
    <cellStyle name="Normal 6 86" xfId="4751"/>
    <cellStyle name="Normal 6 87" xfId="4752"/>
    <cellStyle name="Normal 6 88" xfId="4753"/>
    <cellStyle name="Normal 6 89" xfId="4754"/>
    <cellStyle name="Normal 6 9" xfId="4755"/>
    <cellStyle name="Normal 6 9 2" xfId="4756"/>
    <cellStyle name="Normal 6 90" xfId="4757"/>
    <cellStyle name="Normal 6 91" xfId="4758"/>
    <cellStyle name="Normal 6 92" xfId="4759"/>
    <cellStyle name="Normal 6 93" xfId="4760"/>
    <cellStyle name="Normal 6 94" xfId="4761"/>
    <cellStyle name="Normal 6 95" xfId="4762"/>
    <cellStyle name="Normal 6 96" xfId="4763"/>
    <cellStyle name="Normal 6 97" xfId="4764"/>
    <cellStyle name="Normal 6 98" xfId="4765"/>
    <cellStyle name="Normal 6 99" xfId="4766"/>
    <cellStyle name="Normal 60" xfId="4767"/>
    <cellStyle name="Normal 60 2" xfId="4768"/>
    <cellStyle name="Normal 60 3" xfId="4769"/>
    <cellStyle name="Normal 60 4" xfId="4770"/>
    <cellStyle name="Normal 60 5" xfId="4771"/>
    <cellStyle name="Normal 60 6" xfId="4772"/>
    <cellStyle name="Normal 60 7" xfId="4773"/>
    <cellStyle name="Normal 60 8" xfId="4774"/>
    <cellStyle name="Normal 61" xfId="4775"/>
    <cellStyle name="Normal 61 2" xfId="4776"/>
    <cellStyle name="Normal 61 3" xfId="4777"/>
    <cellStyle name="Normal 61 4" xfId="4778"/>
    <cellStyle name="Normal 61 5" xfId="4779"/>
    <cellStyle name="Normal 61 6" xfId="4780"/>
    <cellStyle name="Normal 61 7" xfId="4781"/>
    <cellStyle name="Normal 61 8" xfId="4782"/>
    <cellStyle name="Normal 62" xfId="4783"/>
    <cellStyle name="Normal 62 2" xfId="4784"/>
    <cellStyle name="Normal 62 3" xfId="4785"/>
    <cellStyle name="Normal 62 4" xfId="4786"/>
    <cellStyle name="Normal 62 5" xfId="4787"/>
    <cellStyle name="Normal 62 6" xfId="4788"/>
    <cellStyle name="Normal 62 7" xfId="4789"/>
    <cellStyle name="Normal 62 8" xfId="4790"/>
    <cellStyle name="Normal 63" xfId="4791"/>
    <cellStyle name="Normal 63 2" xfId="4792"/>
    <cellStyle name="Normal 63 3" xfId="4793"/>
    <cellStyle name="Normal 63 4" xfId="4794"/>
    <cellStyle name="Normal 63 5" xfId="4795"/>
    <cellStyle name="Normal 63 6" xfId="4796"/>
    <cellStyle name="Normal 63 7" xfId="4797"/>
    <cellStyle name="Normal 63 8" xfId="4798"/>
    <cellStyle name="Normal 64" xfId="4799"/>
    <cellStyle name="Normal 64 2" xfId="4800"/>
    <cellStyle name="Normal 64 3" xfId="4801"/>
    <cellStyle name="Normal 64 4" xfId="4802"/>
    <cellStyle name="Normal 64 5" xfId="4803"/>
    <cellStyle name="Normal 64 6" xfId="4804"/>
    <cellStyle name="Normal 64 7" xfId="4805"/>
    <cellStyle name="Normal 64 8" xfId="4806"/>
    <cellStyle name="Normal 65" xfId="4807"/>
    <cellStyle name="Normal 65 2" xfId="4808"/>
    <cellStyle name="Normal 65 3" xfId="4809"/>
    <cellStyle name="Normal 65 4" xfId="4810"/>
    <cellStyle name="Normal 65 5" xfId="4811"/>
    <cellStyle name="Normal 65 6" xfId="4812"/>
    <cellStyle name="Normal 65 7" xfId="4813"/>
    <cellStyle name="Normal 65 8" xfId="4814"/>
    <cellStyle name="Normal 66" xfId="4815"/>
    <cellStyle name="Normal 67" xfId="4816"/>
    <cellStyle name="Normal 67 2" xfId="4817"/>
    <cellStyle name="Normal 67 3" xfId="4818"/>
    <cellStyle name="Normal 67 4" xfId="4819"/>
    <cellStyle name="Normal 67 5" xfId="4820"/>
    <cellStyle name="Normal 67 6" xfId="4821"/>
    <cellStyle name="Normal 67 7" xfId="4822"/>
    <cellStyle name="Normal 67 8" xfId="4823"/>
    <cellStyle name="Normal 68" xfId="4824"/>
    <cellStyle name="Normal 69" xfId="4825"/>
    <cellStyle name="Normal 69 2" xfId="4826"/>
    <cellStyle name="Normal 69 3" xfId="4827"/>
    <cellStyle name="Normal 69 4" xfId="4828"/>
    <cellStyle name="Normal 69 5" xfId="4829"/>
    <cellStyle name="Normal 69 6" xfId="4830"/>
    <cellStyle name="Normal 69 7" xfId="4831"/>
    <cellStyle name="Normal 69 8" xfId="4832"/>
    <cellStyle name="Normal 7" xfId="4833"/>
    <cellStyle name="Normal-- 7" xfId="4834"/>
    <cellStyle name="Normal 7 10" xfId="4835"/>
    <cellStyle name="Normal 7 11" xfId="4836"/>
    <cellStyle name="Normal 7 12" xfId="4837"/>
    <cellStyle name="Normal 7 13" xfId="4838"/>
    <cellStyle name="Normal 7 14" xfId="4839"/>
    <cellStyle name="Normal 7 15" xfId="4840"/>
    <cellStyle name="Normal 7 16" xfId="4841"/>
    <cellStyle name="Normal 7 17" xfId="4842"/>
    <cellStyle name="Normal 7 18" xfId="4843"/>
    <cellStyle name="Normal 7 19" xfId="4844"/>
    <cellStyle name="Normal 7 2" xfId="4845"/>
    <cellStyle name="Normal 7 2 2" xfId="4846"/>
    <cellStyle name="Normal 7 2 3" xfId="4847"/>
    <cellStyle name="Normal 7 2 4" xfId="4848"/>
    <cellStyle name="Normal 7 20" xfId="4849"/>
    <cellStyle name="Normal 7 21" xfId="4850"/>
    <cellStyle name="Normal 7 22" xfId="4851"/>
    <cellStyle name="Normal 7 23" xfId="4852"/>
    <cellStyle name="Normal 7 24" xfId="4853"/>
    <cellStyle name="Normal 7 25" xfId="4854"/>
    <cellStyle name="Normal 7 26" xfId="4855"/>
    <cellStyle name="Normal 7 27" xfId="4856"/>
    <cellStyle name="Normal 7 28" xfId="4857"/>
    <cellStyle name="Normal 7 29" xfId="4858"/>
    <cellStyle name="Normal 7 3" xfId="4859"/>
    <cellStyle name="Normal 7 3 2" xfId="4860"/>
    <cellStyle name="Normal 7 3 2 2" xfId="4861"/>
    <cellStyle name="Normal 7 3 3" xfId="4862"/>
    <cellStyle name="Normal 7 3 4" xfId="4863"/>
    <cellStyle name="Normal 7 30" xfId="4864"/>
    <cellStyle name="Normal 7 31" xfId="4865"/>
    <cellStyle name="Normal 7 32" xfId="4866"/>
    <cellStyle name="Normal 7 33" xfId="4867"/>
    <cellStyle name="Normal 7 34" xfId="4868"/>
    <cellStyle name="Normal 7 35" xfId="4869"/>
    <cellStyle name="Normal 7 36" xfId="4870"/>
    <cellStyle name="Normal 7 37" xfId="4871"/>
    <cellStyle name="Normal 7 38" xfId="4872"/>
    <cellStyle name="Normal 7 4" xfId="4873"/>
    <cellStyle name="Normal 7 5" xfId="4874"/>
    <cellStyle name="Normal 7 5 2" xfId="4875"/>
    <cellStyle name="Normal 7 6" xfId="4876"/>
    <cellStyle name="Normal 7 7" xfId="4877"/>
    <cellStyle name="Normal 7 8" xfId="4878"/>
    <cellStyle name="Normal 7 9" xfId="4879"/>
    <cellStyle name="Normal 70" xfId="4880"/>
    <cellStyle name="Normal 70 2" xfId="4881"/>
    <cellStyle name="Normal 70 3" xfId="4882"/>
    <cellStyle name="Normal 70 4" xfId="4883"/>
    <cellStyle name="Normal 70 5" xfId="4884"/>
    <cellStyle name="Normal 70 6" xfId="4885"/>
    <cellStyle name="Normal 70 7" xfId="4886"/>
    <cellStyle name="Normal 70 8" xfId="4887"/>
    <cellStyle name="Normal 71" xfId="4888"/>
    <cellStyle name="Normal 71 2" xfId="4889"/>
    <cellStyle name="Normal 71 3" xfId="4890"/>
    <cellStyle name="Normal 71 4" xfId="4891"/>
    <cellStyle name="Normal 71 5" xfId="4892"/>
    <cellStyle name="Normal 71 6" xfId="4893"/>
    <cellStyle name="Normal 71 7" xfId="4894"/>
    <cellStyle name="Normal 71 8" xfId="4895"/>
    <cellStyle name="Normal 72" xfId="4896"/>
    <cellStyle name="Normal 72 2" xfId="4897"/>
    <cellStyle name="Normal 72 3" xfId="4898"/>
    <cellStyle name="Normal 72 4" xfId="4899"/>
    <cellStyle name="Normal 72 5" xfId="4900"/>
    <cellStyle name="Normal 72 6" xfId="4901"/>
    <cellStyle name="Normal 72 7" xfId="4902"/>
    <cellStyle name="Normal 72 8" xfId="4903"/>
    <cellStyle name="Normal 73" xfId="4904"/>
    <cellStyle name="Normal 73 2" xfId="4905"/>
    <cellStyle name="Normal 73 3" xfId="4906"/>
    <cellStyle name="Normal 73 4" xfId="4907"/>
    <cellStyle name="Normal 73 5" xfId="4908"/>
    <cellStyle name="Normal 73 6" xfId="4909"/>
    <cellStyle name="Normal 73 7" xfId="4910"/>
    <cellStyle name="Normal 73 8" xfId="4911"/>
    <cellStyle name="Normal 74" xfId="4912"/>
    <cellStyle name="Normal 74 2" xfId="4913"/>
    <cellStyle name="Normal 74 3" xfId="4914"/>
    <cellStyle name="Normal 74 4" xfId="4915"/>
    <cellStyle name="Normal 74 5" xfId="4916"/>
    <cellStyle name="Normal 74 6" xfId="4917"/>
    <cellStyle name="Normal 74 7" xfId="4918"/>
    <cellStyle name="Normal 74 8" xfId="4919"/>
    <cellStyle name="Normal 75" xfId="4920"/>
    <cellStyle name="Normal 75 2" xfId="4921"/>
    <cellStyle name="Normal 75 3" xfId="4922"/>
    <cellStyle name="Normal 75 4" xfId="4923"/>
    <cellStyle name="Normal 75 5" xfId="4924"/>
    <cellStyle name="Normal 75 6" xfId="4925"/>
    <cellStyle name="Normal 75 7" xfId="4926"/>
    <cellStyle name="Normal 75 8" xfId="4927"/>
    <cellStyle name="Normal 76" xfId="4928"/>
    <cellStyle name="Normal 77" xfId="4929"/>
    <cellStyle name="Normal 78" xfId="4930"/>
    <cellStyle name="Normal 79" xfId="4931"/>
    <cellStyle name="Normal 8" xfId="4932"/>
    <cellStyle name="Normal-- 8" xfId="4933"/>
    <cellStyle name="Normal 8 10" xfId="4934"/>
    <cellStyle name="Normal 8 11" xfId="4935"/>
    <cellStyle name="Normal 8 12" xfId="4936"/>
    <cellStyle name="Normal 8 13" xfId="4937"/>
    <cellStyle name="Normal 8 14" xfId="4938"/>
    <cellStyle name="Normal 8 15" xfId="4939"/>
    <cellStyle name="Normal 8 16" xfId="4940"/>
    <cellStyle name="Normal 8 17" xfId="4941"/>
    <cellStyle name="Normal 8 18" xfId="4942"/>
    <cellStyle name="Normal 8 19" xfId="4943"/>
    <cellStyle name="Normal 8 2" xfId="4944"/>
    <cellStyle name="Normal 8 2 2" xfId="4945"/>
    <cellStyle name="Normal 8 2 2 2" xfId="4946"/>
    <cellStyle name="Normal 8 2 2 2 2" xfId="4947"/>
    <cellStyle name="Normal 8 2 2 3" xfId="4948"/>
    <cellStyle name="Normal 8 2 2 4" xfId="4949"/>
    <cellStyle name="Normal 8 2 3" xfId="4950"/>
    <cellStyle name="Normal 8 20" xfId="4951"/>
    <cellStyle name="Normal 8 21" xfId="4952"/>
    <cellStyle name="Normal 8 21 2" xfId="4953"/>
    <cellStyle name="Normal 8 21 2 2" xfId="4954"/>
    <cellStyle name="Normal 8 21 2 2 2" xfId="4955"/>
    <cellStyle name="Normal 8 21 2 3" xfId="4956"/>
    <cellStyle name="Normal 8 21 3" xfId="4957"/>
    <cellStyle name="Normal 8 21 3 2" xfId="4958"/>
    <cellStyle name="Normal 8 21 4" xfId="4959"/>
    <cellStyle name="Normal 8 22" xfId="4960"/>
    <cellStyle name="Normal 8 22 2" xfId="4961"/>
    <cellStyle name="Normal 8 22 2 2" xfId="4962"/>
    <cellStyle name="Normal 8 22 2 2 2" xfId="4963"/>
    <cellStyle name="Normal 8 22 2 3" xfId="4964"/>
    <cellStyle name="Normal 8 22 3" xfId="4965"/>
    <cellStyle name="Normal 8 22 3 2" xfId="4966"/>
    <cellStyle name="Normal 8 22 4" xfId="4967"/>
    <cellStyle name="Normal 8 23" xfId="4968"/>
    <cellStyle name="Normal 8 23 2" xfId="4969"/>
    <cellStyle name="Normal 8 23 2 2" xfId="4970"/>
    <cellStyle name="Normal 8 23 3" xfId="4971"/>
    <cellStyle name="Normal 8 24" xfId="4972"/>
    <cellStyle name="Normal 8 24 2" xfId="4973"/>
    <cellStyle name="Normal 8 25" xfId="4974"/>
    <cellStyle name="Normal 8 26" xfId="4975"/>
    <cellStyle name="Normal 8 27" xfId="4976"/>
    <cellStyle name="Normal 8 28" xfId="4977"/>
    <cellStyle name="Normal 8 29" xfId="4978"/>
    <cellStyle name="Normal 8 3" xfId="4979"/>
    <cellStyle name="Normal 8 3 2" xfId="4980"/>
    <cellStyle name="Normal 8 30" xfId="4981"/>
    <cellStyle name="Normal 8 31" xfId="4982"/>
    <cellStyle name="Normal 8 32" xfId="4983"/>
    <cellStyle name="Normal 8 33" xfId="4984"/>
    <cellStyle name="Normal 8 34" xfId="4985"/>
    <cellStyle name="Normal 8 35" xfId="4986"/>
    <cellStyle name="Normal 8 36" xfId="4987"/>
    <cellStyle name="Normal 8 37" xfId="4988"/>
    <cellStyle name="Normal 8 38" xfId="4989"/>
    <cellStyle name="Normal 8 39" xfId="4990"/>
    <cellStyle name="Normal 8 4" xfId="4991"/>
    <cellStyle name="Normal 8 40" xfId="4992"/>
    <cellStyle name="Normal 8 41" xfId="4993"/>
    <cellStyle name="Normal 8 42" xfId="4994"/>
    <cellStyle name="Normal 8 5" xfId="4995"/>
    <cellStyle name="Normal 8 6" xfId="4996"/>
    <cellStyle name="Normal 8 7" xfId="4997"/>
    <cellStyle name="Normal 8 8" xfId="4998"/>
    <cellStyle name="Normal 8 9" xfId="4999"/>
    <cellStyle name="Normal 80" xfId="5000"/>
    <cellStyle name="Normal 81" xfId="5001"/>
    <cellStyle name="Normal 82" xfId="5002"/>
    <cellStyle name="Normal 82 2" xfId="5003"/>
    <cellStyle name="Normal 83" xfId="5004"/>
    <cellStyle name="Normal 84" xfId="5005"/>
    <cellStyle name="Normal 85" xfId="5006"/>
    <cellStyle name="Normal 86" xfId="5007"/>
    <cellStyle name="Normal 87" xfId="5008"/>
    <cellStyle name="Normal 88" xfId="167"/>
    <cellStyle name="Normal 89" xfId="5746"/>
    <cellStyle name="Normal 9" xfId="5009"/>
    <cellStyle name="Normal 9 2" xfId="5010"/>
    <cellStyle name="Normal 9 2 2" xfId="5011"/>
    <cellStyle name="Normal 9 3" xfId="5012"/>
    <cellStyle name="Normal 9 4" xfId="5013"/>
    <cellStyle name="Normal 9 5" xfId="5014"/>
    <cellStyle name="Normal 9 6" xfId="5015"/>
    <cellStyle name="Normal 90" xfId="5750"/>
    <cellStyle name="Normal2" xfId="5016"/>
    <cellStyle name="Normale_97.98.us" xfId="5017"/>
    <cellStyle name="NormalGB" xfId="5018"/>
    <cellStyle name="Normalx" xfId="5019"/>
    <cellStyle name="Note 2" xfId="64"/>
    <cellStyle name="Note 2 10" xfId="5021"/>
    <cellStyle name="Note 2 11" xfId="5022"/>
    <cellStyle name="Note 2 12" xfId="5023"/>
    <cellStyle name="Note 2 13" xfId="5024"/>
    <cellStyle name="Note 2 14" xfId="5020"/>
    <cellStyle name="Note 2 15" xfId="137"/>
    <cellStyle name="Note 2 16" xfId="5752"/>
    <cellStyle name="Note 2 2" xfId="5025"/>
    <cellStyle name="Note 2 2 2" xfId="5026"/>
    <cellStyle name="Note 2 2 2 2" xfId="5027"/>
    <cellStyle name="Note 2 2 2 2 2" xfId="5028"/>
    <cellStyle name="Note 2 2 2 3" xfId="5029"/>
    <cellStyle name="Note 2 2 3" xfId="5030"/>
    <cellStyle name="Note 2 2 3 2" xfId="5031"/>
    <cellStyle name="Note 2 2 4" xfId="5032"/>
    <cellStyle name="Note 2 2 5" xfId="5033"/>
    <cellStyle name="Note 2 3" xfId="5034"/>
    <cellStyle name="Note 2 3 2" xfId="5035"/>
    <cellStyle name="Note 2 3 2 2" xfId="5036"/>
    <cellStyle name="Note 2 3 2 2 2" xfId="5037"/>
    <cellStyle name="Note 2 3 2 3" xfId="5038"/>
    <cellStyle name="Note 2 3 3" xfId="5039"/>
    <cellStyle name="Note 2 3 3 2" xfId="5040"/>
    <cellStyle name="Note 2 3 4" xfId="5041"/>
    <cellStyle name="Note 2 4" xfId="5042"/>
    <cellStyle name="Note 2 4 2" xfId="5043"/>
    <cellStyle name="Note 2 4 2 2" xfId="5044"/>
    <cellStyle name="Note 2 4 3" xfId="5045"/>
    <cellStyle name="Note 2 5" xfId="5046"/>
    <cellStyle name="Note 2 5 2" xfId="5047"/>
    <cellStyle name="Note 2 6" xfId="5048"/>
    <cellStyle name="Note 2 7" xfId="5049"/>
    <cellStyle name="Note 2 8" xfId="5050"/>
    <cellStyle name="Note 2 9" xfId="5051"/>
    <cellStyle name="Note 3" xfId="43"/>
    <cellStyle name="Note 3 2" xfId="5053"/>
    <cellStyle name="Note 3 3" xfId="5054"/>
    <cellStyle name="Note 3 4" xfId="5052"/>
    <cellStyle name="Note 4" xfId="5055"/>
    <cellStyle name="Note 4 2" xfId="5056"/>
    <cellStyle name="Note 5" xfId="5057"/>
    <cellStyle name="Note 5 2" xfId="5058"/>
    <cellStyle name="Note 6" xfId="5059"/>
    <cellStyle name="Note 6 2" xfId="5060"/>
    <cellStyle name="Note 7" xfId="5061"/>
    <cellStyle name="Note 7 2" xfId="5062"/>
    <cellStyle name="Note 8" xfId="5063"/>
    <cellStyle name="Note 8 2" xfId="5064"/>
    <cellStyle name="Note 8 2 2" xfId="5065"/>
    <cellStyle name="Note 8 2 2 2" xfId="5066"/>
    <cellStyle name="Note 8 2 2 2 2" xfId="5067"/>
    <cellStyle name="Note 8 2 2 3" xfId="5068"/>
    <cellStyle name="Note 8 2 3" xfId="5069"/>
    <cellStyle name="Note 8 2 3 2" xfId="5070"/>
    <cellStyle name="Note 8 2 4" xfId="5071"/>
    <cellStyle name="Note 8 3" xfId="5072"/>
    <cellStyle name="Note 8 3 2" xfId="5073"/>
    <cellStyle name="Note 8 3 2 2" xfId="5074"/>
    <cellStyle name="Note 8 3 2 2 2" xfId="5075"/>
    <cellStyle name="Note 8 3 2 3" xfId="5076"/>
    <cellStyle name="Note 8 3 3" xfId="5077"/>
    <cellStyle name="Note 8 3 3 2" xfId="5078"/>
    <cellStyle name="Note 8 3 4" xfId="5079"/>
    <cellStyle name="Note 8 4" xfId="5080"/>
    <cellStyle name="Note 8 4 2" xfId="5081"/>
    <cellStyle name="Note 8 4 2 2" xfId="5082"/>
    <cellStyle name="Note 8 4 3" xfId="5083"/>
    <cellStyle name="Note 8 5" xfId="5084"/>
    <cellStyle name="Note 8 5 2" xfId="5085"/>
    <cellStyle name="Note 8 6" xfId="5086"/>
    <cellStyle name="Nr 0 dec" xfId="5087"/>
    <cellStyle name="Nr 0 dec - Input" xfId="5088"/>
    <cellStyle name="Nr 0 dec - Subtotal" xfId="5089"/>
    <cellStyle name="Nr 0 dec - Subtotal 2" xfId="5090"/>
    <cellStyle name="Nr 0 dec_Data" xfId="5091"/>
    <cellStyle name="Nr 1 dec" xfId="5092"/>
    <cellStyle name="Nr 1 dec - Input" xfId="5093"/>
    <cellStyle name="Nr, 0 dec" xfId="5094"/>
    <cellStyle name="number" xfId="5095"/>
    <cellStyle name="Number, 1 dec" xfId="5096"/>
    <cellStyle name="Output (1dp#)" xfId="5097"/>
    <cellStyle name="Output (1dpx)_ Pies " xfId="5098"/>
    <cellStyle name="Output 2" xfId="59"/>
    <cellStyle name="Output 2 10" xfId="5100"/>
    <cellStyle name="Output 2 11" xfId="5101"/>
    <cellStyle name="Output 2 12" xfId="5099"/>
    <cellStyle name="Output 2 2" xfId="5102"/>
    <cellStyle name="Output 2 2 2" xfId="5103"/>
    <cellStyle name="Output 2 2 3" xfId="5104"/>
    <cellStyle name="Output 2 2 3 2" xfId="5105"/>
    <cellStyle name="Output 2 2 4" xfId="5106"/>
    <cellStyle name="Output 2 3" xfId="5107"/>
    <cellStyle name="Output 2 3 2" xfId="5108"/>
    <cellStyle name="Output 2 3 3" xfId="5109"/>
    <cellStyle name="Output 2 3 3 2" xfId="5110"/>
    <cellStyle name="Output 2 3 4" xfId="5111"/>
    <cellStyle name="Output 2 4" xfId="5112"/>
    <cellStyle name="Output 2 5" xfId="5113"/>
    <cellStyle name="Output 2 5 2" xfId="5114"/>
    <cellStyle name="Output 2 6" xfId="5115"/>
    <cellStyle name="Output 2 7" xfId="5116"/>
    <cellStyle name="Output 2 8" xfId="5117"/>
    <cellStyle name="Output 2 9" xfId="5118"/>
    <cellStyle name="Output 3" xfId="44"/>
    <cellStyle name="Output 4" xfId="5119"/>
    <cellStyle name="Output 5" xfId="5120"/>
    <cellStyle name="Output 6" xfId="5121"/>
    <cellStyle name="Output 7" xfId="5122"/>
    <cellStyle name="Page Heading" xfId="5123"/>
    <cellStyle name="Page Heading Large" xfId="5124"/>
    <cellStyle name="Page Heading Small" xfId="5125"/>
    <cellStyle name="Page Number" xfId="5126"/>
    <cellStyle name="pb_page_heading_LS" xfId="5127"/>
    <cellStyle name="Per aandeel" xfId="5128"/>
    <cellStyle name="Percent" xfId="3" builtinId="5"/>
    <cellStyle name="Percent (1)" xfId="5129"/>
    <cellStyle name="Percent [0]" xfId="5130"/>
    <cellStyle name="Percent [00]" xfId="5131"/>
    <cellStyle name="Percent [1]" xfId="5132"/>
    <cellStyle name="Percent [1] 2" xfId="5133"/>
    <cellStyle name="Percent [2]" xfId="123"/>
    <cellStyle name="Percent [2] 2" xfId="5135"/>
    <cellStyle name="Percent [2] 3" xfId="5136"/>
    <cellStyle name="Percent [2] 4" xfId="5134"/>
    <cellStyle name="Percent 1 dec" xfId="5137"/>
    <cellStyle name="Percent 1 dec - Input" xfId="5138"/>
    <cellStyle name="Percent 1 dec_Data" xfId="5139"/>
    <cellStyle name="Percent 10" xfId="5140"/>
    <cellStyle name="Percent 11" xfId="5141"/>
    <cellStyle name="Percent 12" xfId="5142"/>
    <cellStyle name="Percent 13" xfId="5143"/>
    <cellStyle name="Percent 14" xfId="5144"/>
    <cellStyle name="Percent 15" xfId="5145"/>
    <cellStyle name="Percent 16" xfId="5146"/>
    <cellStyle name="Percent 17" xfId="5147"/>
    <cellStyle name="Percent 18" xfId="5148"/>
    <cellStyle name="Percent 19" xfId="5149"/>
    <cellStyle name="Percent 2" xfId="93"/>
    <cellStyle name="Percent 2 10" xfId="5151"/>
    <cellStyle name="Percent 2 10 2" xfId="5152"/>
    <cellStyle name="Percent 2 10 2 2" xfId="5153"/>
    <cellStyle name="Percent 2 10 3" xfId="5154"/>
    <cellStyle name="Percent 2 11" xfId="5155"/>
    <cellStyle name="Percent 2 12" xfId="5156"/>
    <cellStyle name="Percent 2 12 2" xfId="5157"/>
    <cellStyle name="Percent 2 12 2 2" xfId="5158"/>
    <cellStyle name="Percent 2 12 3" xfId="5159"/>
    <cellStyle name="Percent 2 13" xfId="5160"/>
    <cellStyle name="Percent 2 13 2" xfId="5161"/>
    <cellStyle name="Percent 2 14" xfId="5162"/>
    <cellStyle name="Percent 2 15" xfId="5163"/>
    <cellStyle name="Percent 2 16" xfId="5164"/>
    <cellStyle name="Percent 2 17" xfId="5165"/>
    <cellStyle name="Percent 2 18" xfId="5166"/>
    <cellStyle name="Percent 2 19" xfId="5167"/>
    <cellStyle name="Percent 2 2" xfId="5168"/>
    <cellStyle name="Percent 2 2 2" xfId="5169"/>
    <cellStyle name="Percent 2 2 3" xfId="5170"/>
    <cellStyle name="Percent 2 2 4" xfId="5171"/>
    <cellStyle name="Percent 2 2 4 2" xfId="5172"/>
    <cellStyle name="Percent 2 2 4 2 2" xfId="5173"/>
    <cellStyle name="Percent 2 2 4 2 2 2" xfId="5174"/>
    <cellStyle name="Percent 2 2 4 2 3" xfId="5175"/>
    <cellStyle name="Percent 2 2 4 3" xfId="5176"/>
    <cellStyle name="Percent 2 2 4 3 2" xfId="5177"/>
    <cellStyle name="Percent 2 2 4 4" xfId="5178"/>
    <cellStyle name="Percent 2 2 5" xfId="5179"/>
    <cellStyle name="Percent 2 2 6" xfId="5180"/>
    <cellStyle name="Percent 2 20" xfId="5150"/>
    <cellStyle name="Percent 2 21" xfId="152"/>
    <cellStyle name="Percent 2 22" xfId="5767"/>
    <cellStyle name="Percent 2 3" xfId="5181"/>
    <cellStyle name="Percent 2 3 2" xfId="5182"/>
    <cellStyle name="Percent 2 4" xfId="5183"/>
    <cellStyle name="Percent 2 5" xfId="5184"/>
    <cellStyle name="Percent 2 5 2" xfId="5185"/>
    <cellStyle name="Percent 2 5 2 2" xfId="5186"/>
    <cellStyle name="Percent 2 5 2 2 2" xfId="5187"/>
    <cellStyle name="Percent 2 5 2 2 2 2" xfId="5188"/>
    <cellStyle name="Percent 2 5 2 2 3" xfId="5189"/>
    <cellStyle name="Percent 2 5 2 3" xfId="5190"/>
    <cellStyle name="Percent 2 5 2 3 2" xfId="5191"/>
    <cellStyle name="Percent 2 5 2 4" xfId="5192"/>
    <cellStyle name="Percent 2 5 3" xfId="5193"/>
    <cellStyle name="Percent 2 5 3 2" xfId="5194"/>
    <cellStyle name="Percent 2 5 3 2 2" xfId="5195"/>
    <cellStyle name="Percent 2 5 3 2 2 2" xfId="5196"/>
    <cellStyle name="Percent 2 5 3 2 3" xfId="5197"/>
    <cellStyle name="Percent 2 5 3 3" xfId="5198"/>
    <cellStyle name="Percent 2 5 3 3 2" xfId="5199"/>
    <cellStyle name="Percent 2 5 3 4" xfId="5200"/>
    <cellStyle name="Percent 2 5 4" xfId="5201"/>
    <cellStyle name="Percent 2 5 4 2" xfId="5202"/>
    <cellStyle name="Percent 2 5 4 2 2" xfId="5203"/>
    <cellStyle name="Percent 2 5 4 3" xfId="5204"/>
    <cellStyle name="Percent 2 5 5" xfId="5205"/>
    <cellStyle name="Percent 2 5 5 2" xfId="5206"/>
    <cellStyle name="Percent 2 5 6" xfId="5207"/>
    <cellStyle name="Percent 2 6" xfId="5208"/>
    <cellStyle name="Percent 2 6 2" xfId="5209"/>
    <cellStyle name="Percent 2 6 2 2" xfId="5210"/>
    <cellStyle name="Percent 2 6 2 2 2" xfId="5211"/>
    <cellStyle name="Percent 2 6 2 2 2 2" xfId="5212"/>
    <cellStyle name="Percent 2 6 2 2 3" xfId="5213"/>
    <cellStyle name="Percent 2 6 2 3" xfId="5214"/>
    <cellStyle name="Percent 2 6 2 3 2" xfId="5215"/>
    <cellStyle name="Percent 2 6 2 4" xfId="5216"/>
    <cellStyle name="Percent 2 6 3" xfId="5217"/>
    <cellStyle name="Percent 2 6 3 2" xfId="5218"/>
    <cellStyle name="Percent 2 6 3 2 2" xfId="5219"/>
    <cellStyle name="Percent 2 6 3 2 2 2" xfId="5220"/>
    <cellStyle name="Percent 2 6 3 2 3" xfId="5221"/>
    <cellStyle name="Percent 2 6 3 3" xfId="5222"/>
    <cellStyle name="Percent 2 6 3 3 2" xfId="5223"/>
    <cellStyle name="Percent 2 6 3 4" xfId="5224"/>
    <cellStyle name="Percent 2 6 4" xfId="5225"/>
    <cellStyle name="Percent 2 6 4 2" xfId="5226"/>
    <cellStyle name="Percent 2 6 4 2 2" xfId="5227"/>
    <cellStyle name="Percent 2 6 4 3" xfId="5228"/>
    <cellStyle name="Percent 2 6 5" xfId="5229"/>
    <cellStyle name="Percent 2 6 5 2" xfId="5230"/>
    <cellStyle name="Percent 2 6 6" xfId="5231"/>
    <cellStyle name="Percent 2 7" xfId="5232"/>
    <cellStyle name="Percent 2 7 2" xfId="5233"/>
    <cellStyle name="Percent 2 7 3" xfId="5234"/>
    <cellStyle name="Percent 2 7 4" xfId="5235"/>
    <cellStyle name="Percent 2 7 4 2" xfId="5236"/>
    <cellStyle name="Percent 2 7 4 2 2" xfId="5237"/>
    <cellStyle name="Percent 2 7 4 3" xfId="5238"/>
    <cellStyle name="Percent 2 7 5" xfId="5239"/>
    <cellStyle name="Percent 2 7 5 2" xfId="5240"/>
    <cellStyle name="Percent 2 7 6" xfId="5241"/>
    <cellStyle name="Percent 2 8" xfId="5242"/>
    <cellStyle name="Percent 2 8 2" xfId="5243"/>
    <cellStyle name="Percent 2 8 2 2" xfId="5244"/>
    <cellStyle name="Percent 2 8 2 2 2" xfId="5245"/>
    <cellStyle name="Percent 2 8 2 3" xfId="5246"/>
    <cellStyle name="Percent 2 8 3" xfId="5247"/>
    <cellStyle name="Percent 2 8 3 2" xfId="5248"/>
    <cellStyle name="Percent 2 8 4" xfId="5249"/>
    <cellStyle name="Percent 2 9" xfId="5250"/>
    <cellStyle name="Percent 20" xfId="5251"/>
    <cellStyle name="Percent 21" xfId="5252"/>
    <cellStyle name="Percent 22" xfId="5253"/>
    <cellStyle name="Percent 23" xfId="5254"/>
    <cellStyle name="Percent 24" xfId="5255"/>
    <cellStyle name="Percent 25" xfId="5256"/>
    <cellStyle name="Percent 26" xfId="5257"/>
    <cellStyle name="Percent 27" xfId="5258"/>
    <cellStyle name="Percent 28" xfId="5259"/>
    <cellStyle name="Percent 29" xfId="5260"/>
    <cellStyle name="Percent 3" xfId="96"/>
    <cellStyle name="Percent 3 2" xfId="126"/>
    <cellStyle name="Percent 3 2 2" xfId="5263"/>
    <cellStyle name="Percent 3 2 2 2" xfId="5264"/>
    <cellStyle name="Percent 3 2 3" xfId="5265"/>
    <cellStyle name="Percent 3 2 4" xfId="5266"/>
    <cellStyle name="Percent 3 2 5" xfId="5262"/>
    <cellStyle name="Percent 3 2 6" xfId="165"/>
    <cellStyle name="Percent 3 2 7" xfId="5780"/>
    <cellStyle name="Percent 3 3" xfId="5267"/>
    <cellStyle name="Percent 3 4" xfId="5268"/>
    <cellStyle name="Percent 3 5" xfId="5261"/>
    <cellStyle name="Percent 3 6" xfId="155"/>
    <cellStyle name="Percent 3 7" xfId="5770"/>
    <cellStyle name="Percent 4" xfId="98"/>
    <cellStyle name="Percent 4 2" xfId="5270"/>
    <cellStyle name="Percent 4 2 2" xfId="5271"/>
    <cellStyle name="Percent 4 2 2 2" xfId="5272"/>
    <cellStyle name="Percent 4 2 2 2 2" xfId="5273"/>
    <cellStyle name="Percent 4 2 2 3" xfId="5274"/>
    <cellStyle name="Percent 4 2 2 4" xfId="5275"/>
    <cellStyle name="Percent 4 2 3" xfId="5276"/>
    <cellStyle name="Percent 4 3" xfId="5277"/>
    <cellStyle name="Percent 4 3 2" xfId="5278"/>
    <cellStyle name="Percent 4 3 2 2" xfId="5279"/>
    <cellStyle name="Percent 4 3 3" xfId="5280"/>
    <cellStyle name="Percent 4 4" xfId="5281"/>
    <cellStyle name="Percent 4 5" xfId="5269"/>
    <cellStyle name="Percent 4 6" xfId="157"/>
    <cellStyle name="Percent 4 7" xfId="5772"/>
    <cellStyle name="Percent 5" xfId="5282"/>
    <cellStyle name="Percent 5 2" xfId="5283"/>
    <cellStyle name="Percent 5 2 2" xfId="5284"/>
    <cellStyle name="Percent 5 2 2 2" xfId="5285"/>
    <cellStyle name="Percent 5 2 2 2 2" xfId="5286"/>
    <cellStyle name="Percent 5 2 2 3" xfId="5287"/>
    <cellStyle name="Percent 5 2 2 4" xfId="5288"/>
    <cellStyle name="Percent 5 2 3" xfId="5289"/>
    <cellStyle name="Percent 6" xfId="5290"/>
    <cellStyle name="Percent 6 2" xfId="5291"/>
    <cellStyle name="Percent 6 2 2" xfId="5292"/>
    <cellStyle name="Percent 6 2 2 2" xfId="5293"/>
    <cellStyle name="Percent 6 2 3" xfId="5294"/>
    <cellStyle name="Percent 6 2 4" xfId="5295"/>
    <cellStyle name="Percent 6 3" xfId="5296"/>
    <cellStyle name="Percent 6 3 2" xfId="5297"/>
    <cellStyle name="Percent 6 3 2 2" xfId="5298"/>
    <cellStyle name="Percent 6 3 3" xfId="5299"/>
    <cellStyle name="Percent 7" xfId="5300"/>
    <cellStyle name="Percent 7 2" xfId="5301"/>
    <cellStyle name="Percent 7 2 2" xfId="5302"/>
    <cellStyle name="Percent 7 2 2 2" xfId="5303"/>
    <cellStyle name="Percent 7 2 3" xfId="5304"/>
    <cellStyle name="Percent 7 3" xfId="5305"/>
    <cellStyle name="Percent 7 3 2" xfId="5306"/>
    <cellStyle name="Percent 7 4" xfId="5307"/>
    <cellStyle name="Percent 7 5" xfId="5308"/>
    <cellStyle name="Percent 8" xfId="5309"/>
    <cellStyle name="Percent 8 2" xfId="5310"/>
    <cellStyle name="Percent 8 2 2" xfId="5311"/>
    <cellStyle name="Percent 8 3" xfId="5312"/>
    <cellStyle name="Percent 8 4" xfId="5313"/>
    <cellStyle name="Percent 9" xfId="5314"/>
    <cellStyle name="Percent 9 2" xfId="5315"/>
    <cellStyle name="Percent 9 2 2" xfId="5316"/>
    <cellStyle name="Percent 9 3" xfId="5317"/>
    <cellStyle name="Percent 9 4" xfId="5318"/>
    <cellStyle name="Percent Hard" xfId="5319"/>
    <cellStyle name="percentage" xfId="5320"/>
    <cellStyle name="PercentChange" xfId="5321"/>
    <cellStyle name="PLAN1" xfId="5322"/>
    <cellStyle name="Porcentaje" xfId="5323"/>
    <cellStyle name="Pourcentage_Profit &amp; Loss" xfId="5324"/>
    <cellStyle name="PrePop Currency (0)" xfId="5325"/>
    <cellStyle name="PrePop Currency (2)" xfId="5326"/>
    <cellStyle name="PrePop Units (0)" xfId="5327"/>
    <cellStyle name="PrePop Units (1)" xfId="5328"/>
    <cellStyle name="PrePop Units (2)" xfId="5329"/>
    <cellStyle name="Procenten" xfId="5330"/>
    <cellStyle name="Procenten estimate" xfId="5331"/>
    <cellStyle name="Procenten_EMI" xfId="5332"/>
    <cellStyle name="Profit figure" xfId="5333"/>
    <cellStyle name="Protected" xfId="5334"/>
    <cellStyle name="ProtectedDates" xfId="5335"/>
    <cellStyle name="PSChar" xfId="5336"/>
    <cellStyle name="PSDate" xfId="5337"/>
    <cellStyle name="PSDec" xfId="5338"/>
    <cellStyle name="PSHeading" xfId="5339"/>
    <cellStyle name="PSInt" xfId="5340"/>
    <cellStyle name="PSSpacer" xfId="5341"/>
    <cellStyle name="RatioX" xfId="5342"/>
    <cellStyle name="Red font" xfId="5343"/>
    <cellStyle name="ref" xfId="5344"/>
    <cellStyle name="Right" xfId="5345"/>
    <cellStyle name="Salomon Logo" xfId="5346"/>
    <cellStyle name="ScripFactor" xfId="5347"/>
    <cellStyle name="SectionHeading" xfId="5348"/>
    <cellStyle name="SectionHeading 2" xfId="5349"/>
    <cellStyle name="Shade" xfId="5350"/>
    <cellStyle name="Shaded" xfId="5351"/>
    <cellStyle name="Single Accounting" xfId="5352"/>
    <cellStyle name="Single Accounting 2" xfId="5353"/>
    <cellStyle name="SingleLineAcctgn" xfId="5354"/>
    <cellStyle name="SingleLineAcctgn 2" xfId="5355"/>
    <cellStyle name="SingleLinePercent" xfId="5356"/>
    <cellStyle name="Source Superscript" xfId="5357"/>
    <cellStyle name="Source Text" xfId="5358"/>
    <cellStyle name="ssp " xfId="5359"/>
    <cellStyle name="Standard" xfId="5360"/>
    <cellStyle name="Style 1" xfId="5361"/>
    <cellStyle name="Style 10" xfId="5362"/>
    <cellStyle name="Style 100" xfId="5363"/>
    <cellStyle name="Style 101" xfId="5364"/>
    <cellStyle name="Style 102" xfId="5365"/>
    <cellStyle name="Style 103" xfId="5366"/>
    <cellStyle name="Style 104" xfId="5367"/>
    <cellStyle name="Style 105" xfId="5368"/>
    <cellStyle name="Style 106" xfId="5369"/>
    <cellStyle name="Style 107" xfId="5370"/>
    <cellStyle name="Style 108" xfId="5371"/>
    <cellStyle name="Style 109" xfId="5372"/>
    <cellStyle name="Style 11" xfId="5373"/>
    <cellStyle name="Style 110" xfId="5374"/>
    <cellStyle name="Style 111" xfId="5375"/>
    <cellStyle name="Style 112" xfId="5376"/>
    <cellStyle name="Style 113" xfId="5377"/>
    <cellStyle name="Style 114" xfId="5378"/>
    <cellStyle name="Style 115" xfId="5379"/>
    <cellStyle name="Style 116" xfId="5380"/>
    <cellStyle name="Style 117" xfId="5381"/>
    <cellStyle name="Style 118" xfId="5382"/>
    <cellStyle name="Style 119" xfId="5383"/>
    <cellStyle name="Style 12" xfId="5384"/>
    <cellStyle name="Style 120" xfId="5385"/>
    <cellStyle name="Style 121" xfId="5386"/>
    <cellStyle name="Style 122" xfId="5387"/>
    <cellStyle name="Style 123" xfId="5388"/>
    <cellStyle name="Style 124" xfId="5389"/>
    <cellStyle name="Style 125" xfId="5390"/>
    <cellStyle name="Style 126" xfId="5391"/>
    <cellStyle name="Style 127" xfId="5392"/>
    <cellStyle name="Style 128" xfId="5393"/>
    <cellStyle name="Style 129" xfId="5394"/>
    <cellStyle name="Style 13" xfId="5395"/>
    <cellStyle name="Style 130" xfId="5396"/>
    <cellStyle name="Style 131" xfId="5397"/>
    <cellStyle name="Style 132" xfId="5398"/>
    <cellStyle name="Style 133" xfId="5399"/>
    <cellStyle name="Style 134" xfId="5400"/>
    <cellStyle name="Style 135" xfId="5401"/>
    <cellStyle name="Style 136" xfId="5402"/>
    <cellStyle name="Style 137" xfId="5403"/>
    <cellStyle name="Style 138" xfId="5404"/>
    <cellStyle name="Style 139" xfId="5405"/>
    <cellStyle name="Style 14" xfId="5406"/>
    <cellStyle name="Style 140" xfId="5407"/>
    <cellStyle name="Style 141" xfId="5408"/>
    <cellStyle name="Style 142" xfId="5409"/>
    <cellStyle name="Style 143" xfId="5410"/>
    <cellStyle name="Style 144" xfId="5411"/>
    <cellStyle name="Style 145" xfId="5412"/>
    <cellStyle name="Style 146" xfId="5413"/>
    <cellStyle name="Style 147" xfId="5414"/>
    <cellStyle name="Style 148" xfId="5415"/>
    <cellStyle name="Style 149" xfId="5416"/>
    <cellStyle name="Style 15" xfId="5417"/>
    <cellStyle name="Style 150" xfId="5418"/>
    <cellStyle name="Style 151" xfId="5419"/>
    <cellStyle name="Style 152" xfId="5420"/>
    <cellStyle name="Style 153" xfId="5421"/>
    <cellStyle name="Style 154" xfId="5422"/>
    <cellStyle name="Style 155" xfId="5423"/>
    <cellStyle name="Style 156" xfId="5424"/>
    <cellStyle name="Style 157" xfId="5425"/>
    <cellStyle name="Style 158" xfId="5426"/>
    <cellStyle name="Style 159" xfId="5427"/>
    <cellStyle name="Style 16" xfId="5428"/>
    <cellStyle name="Style 160" xfId="5429"/>
    <cellStyle name="Style 161" xfId="5430"/>
    <cellStyle name="Style 162" xfId="5431"/>
    <cellStyle name="Style 163" xfId="5432"/>
    <cellStyle name="Style 164" xfId="5433"/>
    <cellStyle name="Style 165" xfId="5434"/>
    <cellStyle name="Style 166" xfId="5435"/>
    <cellStyle name="Style 167" xfId="5436"/>
    <cellStyle name="Style 168" xfId="5437"/>
    <cellStyle name="Style 168 2" xfId="5438"/>
    <cellStyle name="Style 169" xfId="5439"/>
    <cellStyle name="Style 17" xfId="5440"/>
    <cellStyle name="Style 170" xfId="5441"/>
    <cellStyle name="Style 171" xfId="5442"/>
    <cellStyle name="Style 172" xfId="5443"/>
    <cellStyle name="Style 173" xfId="5444"/>
    <cellStyle name="Style 174" xfId="5445"/>
    <cellStyle name="Style 175" xfId="5446"/>
    <cellStyle name="Style 176" xfId="5447"/>
    <cellStyle name="Style 177" xfId="5448"/>
    <cellStyle name="Style 178" xfId="5449"/>
    <cellStyle name="Style 179" xfId="5450"/>
    <cellStyle name="Style 18" xfId="5451"/>
    <cellStyle name="Style 180" xfId="5452"/>
    <cellStyle name="Style 181" xfId="5453"/>
    <cellStyle name="Style 182" xfId="5454"/>
    <cellStyle name="Style 183" xfId="5455"/>
    <cellStyle name="Style 184" xfId="5456"/>
    <cellStyle name="Style 185" xfId="5457"/>
    <cellStyle name="Style 186" xfId="5458"/>
    <cellStyle name="Style 187" xfId="5459"/>
    <cellStyle name="Style 188" xfId="5460"/>
    <cellStyle name="Style 189" xfId="5461"/>
    <cellStyle name="Style 19" xfId="5462"/>
    <cellStyle name="Style 190" xfId="5463"/>
    <cellStyle name="Style 191" xfId="5464"/>
    <cellStyle name="Style 192" xfId="5465"/>
    <cellStyle name="Style 193" xfId="5466"/>
    <cellStyle name="Style 194" xfId="5467"/>
    <cellStyle name="Style 195" xfId="5468"/>
    <cellStyle name="Style 196" xfId="5469"/>
    <cellStyle name="Style 197" xfId="5470"/>
    <cellStyle name="Style 198" xfId="5471"/>
    <cellStyle name="Style 199" xfId="5472"/>
    <cellStyle name="Style 2" xfId="5473"/>
    <cellStyle name="Style 2 2" xfId="5474"/>
    <cellStyle name="Style 20" xfId="5475"/>
    <cellStyle name="Style 200" xfId="5476"/>
    <cellStyle name="Style 201" xfId="5477"/>
    <cellStyle name="Style 202" xfId="5478"/>
    <cellStyle name="Style 203" xfId="5479"/>
    <cellStyle name="Style 204" xfId="5480"/>
    <cellStyle name="Style 205" xfId="5481"/>
    <cellStyle name="Style 206" xfId="5482"/>
    <cellStyle name="Style 207" xfId="5483"/>
    <cellStyle name="Style 208" xfId="5484"/>
    <cellStyle name="Style 209" xfId="5485"/>
    <cellStyle name="Style 21" xfId="5486"/>
    <cellStyle name="Style 21 2" xfId="5487"/>
    <cellStyle name="Style 21 2 2" xfId="5488"/>
    <cellStyle name="Style 21 2 3" xfId="5489"/>
    <cellStyle name="Style 21 3" xfId="5490"/>
    <cellStyle name="Style 21 4" xfId="5491"/>
    <cellStyle name="Style 22" xfId="5492"/>
    <cellStyle name="Style 22 2" xfId="5493"/>
    <cellStyle name="Style 22 2 2" xfId="5494"/>
    <cellStyle name="Style 22 2 2 2" xfId="5495"/>
    <cellStyle name="Style 22 2 2 3" xfId="5496"/>
    <cellStyle name="Style 22 2 3" xfId="5497"/>
    <cellStyle name="Style 22 2 4" xfId="5498"/>
    <cellStyle name="Style 22 3" xfId="5499"/>
    <cellStyle name="Style 22 3 2" xfId="5500"/>
    <cellStyle name="Style 22 3 2 2" xfId="5501"/>
    <cellStyle name="Style 22 3 2 3" xfId="5502"/>
    <cellStyle name="Style 22 3 3" xfId="5503"/>
    <cellStyle name="Style 22 3 4" xfId="5504"/>
    <cellStyle name="Style 22 4" xfId="5505"/>
    <cellStyle name="Style 22 4 2" xfId="5506"/>
    <cellStyle name="Style 22 4 3" xfId="5507"/>
    <cellStyle name="Style 22 5" xfId="5508"/>
    <cellStyle name="Style 22 6" xfId="5509"/>
    <cellStyle name="Style 23" xfId="5510"/>
    <cellStyle name="Style 23 2" xfId="5511"/>
    <cellStyle name="Style 23 2 2" xfId="5512"/>
    <cellStyle name="Style 23 2 2 2" xfId="5513"/>
    <cellStyle name="Style 23 2 2 3" xfId="5514"/>
    <cellStyle name="Style 23 2 3" xfId="5515"/>
    <cellStyle name="Style 23 2 4" xfId="5516"/>
    <cellStyle name="Style 23 3" xfId="5517"/>
    <cellStyle name="Style 23 3 2" xfId="5518"/>
    <cellStyle name="Style 23 3 3" xfId="5519"/>
    <cellStyle name="Style 23 4" xfId="5520"/>
    <cellStyle name="Style 23 5" xfId="5521"/>
    <cellStyle name="Style 24" xfId="5522"/>
    <cellStyle name="Style 24 2" xfId="5523"/>
    <cellStyle name="Style 24 2 2" xfId="5524"/>
    <cellStyle name="Style 24 2 3" xfId="5525"/>
    <cellStyle name="Style 24 3" xfId="5526"/>
    <cellStyle name="Style 24 4" xfId="5527"/>
    <cellStyle name="Style 24 5" xfId="5528"/>
    <cellStyle name="Style 25" xfId="5529"/>
    <cellStyle name="Style 25 2" xfId="5530"/>
    <cellStyle name="Style 25 2 2" xfId="5531"/>
    <cellStyle name="Style 25 2 2 2" xfId="5532"/>
    <cellStyle name="Style 25 2 2 3" xfId="5533"/>
    <cellStyle name="Style 25 2 3" xfId="5534"/>
    <cellStyle name="Style 25 2 4" xfId="5535"/>
    <cellStyle name="Style 25 3" xfId="5536"/>
    <cellStyle name="Style 25 3 2" xfId="5537"/>
    <cellStyle name="Style 25 3 3" xfId="5538"/>
    <cellStyle name="Style 25 4" xfId="5539"/>
    <cellStyle name="Style 25 5" xfId="5540"/>
    <cellStyle name="Style 26" xfId="5541"/>
    <cellStyle name="Style 26 2" xfId="5542"/>
    <cellStyle name="Style 26 2 2" xfId="5543"/>
    <cellStyle name="Style 26 2 3" xfId="5544"/>
    <cellStyle name="Style 26 3" xfId="5545"/>
    <cellStyle name="Style 26 4" xfId="5546"/>
    <cellStyle name="Style 26 5" xfId="5547"/>
    <cellStyle name="Style 27" xfId="5548"/>
    <cellStyle name="Style 28" xfId="5549"/>
    <cellStyle name="Style 29" xfId="5550"/>
    <cellStyle name="Style 3" xfId="5551"/>
    <cellStyle name="Style 30" xfId="5552"/>
    <cellStyle name="Style 31" xfId="5553"/>
    <cellStyle name="Style 32" xfId="5554"/>
    <cellStyle name="Style 33" xfId="5555"/>
    <cellStyle name="Style 34" xfId="5556"/>
    <cellStyle name="Style 35" xfId="5557"/>
    <cellStyle name="Style 36" xfId="5558"/>
    <cellStyle name="Style 37" xfId="5559"/>
    <cellStyle name="Style 38" xfId="5560"/>
    <cellStyle name="Style 39" xfId="5561"/>
    <cellStyle name="Style 4" xfId="5562"/>
    <cellStyle name="Style 40" xfId="5563"/>
    <cellStyle name="Style 41" xfId="5564"/>
    <cellStyle name="Style 42" xfId="5565"/>
    <cellStyle name="Style 43" xfId="5566"/>
    <cellStyle name="Style 44" xfId="5567"/>
    <cellStyle name="Style 45" xfId="5568"/>
    <cellStyle name="Style 46" xfId="5569"/>
    <cellStyle name="Style 47" xfId="5570"/>
    <cellStyle name="Style 48" xfId="5571"/>
    <cellStyle name="Style 49" xfId="5572"/>
    <cellStyle name="Style 5" xfId="5573"/>
    <cellStyle name="Style 5 2" xfId="5574"/>
    <cellStyle name="Style 50" xfId="5575"/>
    <cellStyle name="Style 51" xfId="5576"/>
    <cellStyle name="Style 52" xfId="5577"/>
    <cellStyle name="Style 53" xfId="5578"/>
    <cellStyle name="Style 54" xfId="5579"/>
    <cellStyle name="Style 55" xfId="5580"/>
    <cellStyle name="Style 56" xfId="5581"/>
    <cellStyle name="Style 57" xfId="5582"/>
    <cellStyle name="Style 58" xfId="5583"/>
    <cellStyle name="Style 59" xfId="5584"/>
    <cellStyle name="Style 6" xfId="5585"/>
    <cellStyle name="Style 60" xfId="5586"/>
    <cellStyle name="Style 61" xfId="5587"/>
    <cellStyle name="Style 62" xfId="5588"/>
    <cellStyle name="Style 63" xfId="5589"/>
    <cellStyle name="Style 64" xfId="5590"/>
    <cellStyle name="Style 65" xfId="5591"/>
    <cellStyle name="Style 66" xfId="5592"/>
    <cellStyle name="Style 67" xfId="5593"/>
    <cellStyle name="Style 68" xfId="5594"/>
    <cellStyle name="Style 69" xfId="5595"/>
    <cellStyle name="Style 7" xfId="5596"/>
    <cellStyle name="Style 70" xfId="5597"/>
    <cellStyle name="Style 71" xfId="5598"/>
    <cellStyle name="Style 72" xfId="5599"/>
    <cellStyle name="Style 73" xfId="5600"/>
    <cellStyle name="Style 74" xfId="5601"/>
    <cellStyle name="Style 75" xfId="5602"/>
    <cellStyle name="Style 76" xfId="5603"/>
    <cellStyle name="Style 77" xfId="5604"/>
    <cellStyle name="Style 78" xfId="5605"/>
    <cellStyle name="Style 79" xfId="5606"/>
    <cellStyle name="Style 8" xfId="5607"/>
    <cellStyle name="Style 80" xfId="5608"/>
    <cellStyle name="Style 81" xfId="5609"/>
    <cellStyle name="Style 82" xfId="5610"/>
    <cellStyle name="Style 83" xfId="5611"/>
    <cellStyle name="Style 84" xfId="5612"/>
    <cellStyle name="Style 85" xfId="5613"/>
    <cellStyle name="Style 86" xfId="5614"/>
    <cellStyle name="Style 87" xfId="5615"/>
    <cellStyle name="Style 88" xfId="5616"/>
    <cellStyle name="Style 89" xfId="5617"/>
    <cellStyle name="Style 9" xfId="5618"/>
    <cellStyle name="Style 90" xfId="5619"/>
    <cellStyle name="Style 91" xfId="5620"/>
    <cellStyle name="Style 92" xfId="5621"/>
    <cellStyle name="Style 93" xfId="5622"/>
    <cellStyle name="Style 94" xfId="5623"/>
    <cellStyle name="Style 95" xfId="5624"/>
    <cellStyle name="Style 96" xfId="5625"/>
    <cellStyle name="Style 97" xfId="5626"/>
    <cellStyle name="Style 98" xfId="5627"/>
    <cellStyle name="Style 99" xfId="5628"/>
    <cellStyle name="STYLE1" xfId="5629"/>
    <cellStyle name="STYLE2" xfId="5630"/>
    <cellStyle name="STYLE3" xfId="5631"/>
    <cellStyle name="Subhead" xfId="5632"/>
    <cellStyle name="Subtotal_left" xfId="5633"/>
    <cellStyle name="SwitchCell" xfId="5634"/>
    <cellStyle name="t" xfId="5635"/>
    <cellStyle name="Table Col Head" xfId="5636"/>
    <cellStyle name="Table Head" xfId="5637"/>
    <cellStyle name="Table Head Aligned" xfId="5638"/>
    <cellStyle name="Table Head Blue" xfId="5639"/>
    <cellStyle name="Table Head Green" xfId="5640"/>
    <cellStyle name="Table Head_Val_Sum_Graph" xfId="5641"/>
    <cellStyle name="Table Sub Head" xfId="5642"/>
    <cellStyle name="Table Text" xfId="5643"/>
    <cellStyle name="Table Title" xfId="5644"/>
    <cellStyle name="Table Units" xfId="5645"/>
    <cellStyle name="Table_Header" xfId="5646"/>
    <cellStyle name="TableBorder" xfId="5647"/>
    <cellStyle name="TableColumnHeader" xfId="5648"/>
    <cellStyle name="TableColumnHeader 2" xfId="5649"/>
    <cellStyle name="TableHeading" xfId="5650"/>
    <cellStyle name="TableHighlight" xfId="5651"/>
    <cellStyle name="TableNote" xfId="5652"/>
    <cellStyle name="test a style" xfId="5653"/>
    <cellStyle name="Text 1" xfId="5654"/>
    <cellStyle name="Text Head 1" xfId="5655"/>
    <cellStyle name="Text Indent A" xfId="5656"/>
    <cellStyle name="Text Indent B" xfId="5657"/>
    <cellStyle name="Text Indent C" xfId="5658"/>
    <cellStyle name="Text Wrap" xfId="5659"/>
    <cellStyle name="Time" xfId="5660"/>
    <cellStyle name="Times 10" xfId="5661"/>
    <cellStyle name="Times 12" xfId="5662"/>
    <cellStyle name="Times New Roman" xfId="5663"/>
    <cellStyle name="Title 2" xfId="49"/>
    <cellStyle name="Title 2 2" xfId="5665"/>
    <cellStyle name="Title 2 3" xfId="5664"/>
    <cellStyle name="Title 3" xfId="45"/>
    <cellStyle name="Title 3 2" xfId="5666"/>
    <cellStyle name="title1" xfId="5667"/>
    <cellStyle name="title2" xfId="5668"/>
    <cellStyle name="Title-2" xfId="5669"/>
    <cellStyle name="Titles" xfId="5670"/>
    <cellStyle name="titre_col" xfId="5671"/>
    <cellStyle name="TOC" xfId="5672"/>
    <cellStyle name="Total 2" xfId="66"/>
    <cellStyle name="Total 2 10" xfId="5674"/>
    <cellStyle name="Total 2 11" xfId="5675"/>
    <cellStyle name="Total 2 12" xfId="5676"/>
    <cellStyle name="Total 2 13" xfId="5673"/>
    <cellStyle name="Total 2 2" xfId="5677"/>
    <cellStyle name="Total 2 2 2" xfId="5678"/>
    <cellStyle name="Total 2 2 3" xfId="5679"/>
    <cellStyle name="Total 2 2 3 2" xfId="5680"/>
    <cellStyle name="Total 2 2 4" xfId="5681"/>
    <cellStyle name="Total 2 3" xfId="5682"/>
    <cellStyle name="Total 2 3 2" xfId="5683"/>
    <cellStyle name="Total 2 3 3" xfId="5684"/>
    <cellStyle name="Total 2 3 3 2" xfId="5685"/>
    <cellStyle name="Total 2 3 4" xfId="5686"/>
    <cellStyle name="Total 2 4" xfId="5687"/>
    <cellStyle name="Total 2 5" xfId="5688"/>
    <cellStyle name="Total 2 5 2" xfId="5689"/>
    <cellStyle name="Total 2 6" xfId="5690"/>
    <cellStyle name="Total 2 7" xfId="5691"/>
    <cellStyle name="Total 2 8" xfId="5692"/>
    <cellStyle name="Total 2 9" xfId="5693"/>
    <cellStyle name="Total 3" xfId="46"/>
    <cellStyle name="Total 3 2" xfId="5694"/>
    <cellStyle name="Total Bold" xfId="5695"/>
    <cellStyle name="Total Bold 2" xfId="5696"/>
    <cellStyle name="Totals" xfId="5697"/>
    <cellStyle name="Totals 2" xfId="5698"/>
    <cellStyle name="Underline_Single" xfId="5699"/>
    <cellStyle name="UnProtectedCalc" xfId="5700"/>
    <cellStyle name="Valuta (0)_Sheet1" xfId="5701"/>
    <cellStyle name="Valuta_piv_polio" xfId="5702"/>
    <cellStyle name="Währung [0]_A17 - 31.03.1998" xfId="5703"/>
    <cellStyle name="Währung_A17 - 31.03.1998" xfId="5704"/>
    <cellStyle name="Warburg" xfId="5705"/>
    <cellStyle name="Warning Text 2" xfId="63"/>
    <cellStyle name="Warning Text 2 10" xfId="5707"/>
    <cellStyle name="Warning Text 2 11" xfId="5706"/>
    <cellStyle name="Warning Text 2 2" xfId="5708"/>
    <cellStyle name="Warning Text 2 3" xfId="5709"/>
    <cellStyle name="Warning Text 2 4" xfId="5710"/>
    <cellStyle name="Warning Text 2 5" xfId="5711"/>
    <cellStyle name="Warning Text 2 6" xfId="5712"/>
    <cellStyle name="Warning Text 2 7" xfId="5713"/>
    <cellStyle name="Warning Text 2 8" xfId="5714"/>
    <cellStyle name="Warning Text 2 9" xfId="5715"/>
    <cellStyle name="Warning Text 3" xfId="47"/>
    <cellStyle name="wild guess" xfId="5716"/>
    <cellStyle name="Wildguess" xfId="5717"/>
    <cellStyle name="Year" xfId="5718"/>
    <cellStyle name="Year Estimate" xfId="5719"/>
    <cellStyle name="Year, Actual" xfId="5720"/>
    <cellStyle name="YearE_ Pies " xfId="5721"/>
    <cellStyle name="YearFormat" xfId="5722"/>
    <cellStyle name="Yen" xfId="5723"/>
    <cellStyle name="YesNo" xfId="5724"/>
    <cellStyle name="쬞\?1@" xfId="5725"/>
    <cellStyle name="常规 2" xfId="5726"/>
    <cellStyle name="標準_car_JP" xfId="5727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'Res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'Res Predicted Monthly'!$C$2:$C$73</c:f>
              <c:numCache>
                <c:formatCode>General</c:formatCode>
                <c:ptCount val="72"/>
                <c:pt idx="0">
                  <c:v>24635161.167892549</c:v>
                </c:pt>
                <c:pt idx="1">
                  <c:v>21264941.095677644</c:v>
                </c:pt>
                <c:pt idx="2">
                  <c:v>20320467.289462749</c:v>
                </c:pt>
                <c:pt idx="3">
                  <c:v>15368223.968047846</c:v>
                </c:pt>
                <c:pt idx="4">
                  <c:v>13133840.142032944</c:v>
                </c:pt>
                <c:pt idx="5">
                  <c:v>11976785.90551804</c:v>
                </c:pt>
                <c:pt idx="6">
                  <c:v>12446989.012403144</c:v>
                </c:pt>
                <c:pt idx="7">
                  <c:v>13097395.633788241</c:v>
                </c:pt>
                <c:pt idx="8">
                  <c:v>13232685.497473339</c:v>
                </c:pt>
                <c:pt idx="9">
                  <c:v>14845613.483858436</c:v>
                </c:pt>
                <c:pt idx="10">
                  <c:v>16496996.886043534</c:v>
                </c:pt>
                <c:pt idx="11">
                  <c:v>19900729.077828635</c:v>
                </c:pt>
                <c:pt idx="12">
                  <c:v>23650215.715997804</c:v>
                </c:pt>
                <c:pt idx="13">
                  <c:v>21137330.052274939</c:v>
                </c:pt>
                <c:pt idx="14">
                  <c:v>19339569.887852073</c:v>
                </c:pt>
                <c:pt idx="15">
                  <c:v>14339897.801129207</c:v>
                </c:pt>
                <c:pt idx="16">
                  <c:v>12579503.733506339</c:v>
                </c:pt>
                <c:pt idx="17">
                  <c:v>12709669.92388347</c:v>
                </c:pt>
                <c:pt idx="18">
                  <c:v>14680147.484760607</c:v>
                </c:pt>
                <c:pt idx="19">
                  <c:v>14024711.74603774</c:v>
                </c:pt>
                <c:pt idx="20">
                  <c:v>13142688.407314872</c:v>
                </c:pt>
                <c:pt idx="21">
                  <c:v>14485777.508292003</c:v>
                </c:pt>
                <c:pt idx="22">
                  <c:v>16983251.713569138</c:v>
                </c:pt>
                <c:pt idx="23">
                  <c:v>21020194.500046272</c:v>
                </c:pt>
                <c:pt idx="24">
                  <c:v>23022326.42784144</c:v>
                </c:pt>
                <c:pt idx="25">
                  <c:v>20206438.193256531</c:v>
                </c:pt>
                <c:pt idx="26">
                  <c:v>19343947.481271625</c:v>
                </c:pt>
                <c:pt idx="27">
                  <c:v>15358267.267086715</c:v>
                </c:pt>
                <c:pt idx="28">
                  <c:v>13075508.600401806</c:v>
                </c:pt>
                <c:pt idx="29">
                  <c:v>12318121.995516896</c:v>
                </c:pt>
                <c:pt idx="30">
                  <c:v>14280540.223931987</c:v>
                </c:pt>
                <c:pt idx="31">
                  <c:v>13744542.177247077</c:v>
                </c:pt>
                <c:pt idx="32">
                  <c:v>12475644.696762169</c:v>
                </c:pt>
                <c:pt idx="33">
                  <c:v>13769534.523777261</c:v>
                </c:pt>
                <c:pt idx="34">
                  <c:v>15620490.438992351</c:v>
                </c:pt>
                <c:pt idx="35">
                  <c:v>18996139.590307444</c:v>
                </c:pt>
                <c:pt idx="36">
                  <c:v>20909423.816872794</c:v>
                </c:pt>
                <c:pt idx="37">
                  <c:v>18689053.260874771</c:v>
                </c:pt>
                <c:pt idx="38">
                  <c:v>16791457.429876745</c:v>
                </c:pt>
                <c:pt idx="39">
                  <c:v>14517265.894378716</c:v>
                </c:pt>
                <c:pt idx="40">
                  <c:v>11855286.068080692</c:v>
                </c:pt>
                <c:pt idx="41">
                  <c:v>12561226.314682662</c:v>
                </c:pt>
                <c:pt idx="42">
                  <c:v>14574665.599084636</c:v>
                </c:pt>
                <c:pt idx="43">
                  <c:v>13992873.412486609</c:v>
                </c:pt>
                <c:pt idx="44">
                  <c:v>12679818.294088582</c:v>
                </c:pt>
                <c:pt idx="45">
                  <c:v>13241344.397090556</c:v>
                </c:pt>
                <c:pt idx="46">
                  <c:v>16985573.910692532</c:v>
                </c:pt>
                <c:pt idx="47">
                  <c:v>19688726.2089945</c:v>
                </c:pt>
                <c:pt idx="48">
                  <c:v>22042229.190884668</c:v>
                </c:pt>
                <c:pt idx="49">
                  <c:v>19773607.005250089</c:v>
                </c:pt>
                <c:pt idx="50">
                  <c:v>19002801.376715507</c:v>
                </c:pt>
                <c:pt idx="51">
                  <c:v>15463434.860880928</c:v>
                </c:pt>
                <c:pt idx="52">
                  <c:v>11411798.742946351</c:v>
                </c:pt>
                <c:pt idx="53">
                  <c:v>11995475.306811769</c:v>
                </c:pt>
                <c:pt idx="54">
                  <c:v>13886742.437877189</c:v>
                </c:pt>
                <c:pt idx="55">
                  <c:v>12973729.18644261</c:v>
                </c:pt>
                <c:pt idx="56">
                  <c:v>12414553.238608029</c:v>
                </c:pt>
                <c:pt idx="57">
                  <c:v>13273674.921473451</c:v>
                </c:pt>
                <c:pt idx="58">
                  <c:v>17575993.111538868</c:v>
                </c:pt>
                <c:pt idx="59">
                  <c:v>21455609.37580429</c:v>
                </c:pt>
                <c:pt idx="60">
                  <c:v>24218479.066692788</c:v>
                </c:pt>
                <c:pt idx="61">
                  <c:v>20929638.172979176</c:v>
                </c:pt>
                <c:pt idx="62">
                  <c:v>20664080.366865564</c:v>
                </c:pt>
                <c:pt idx="63">
                  <c:v>15800883.50705195</c:v>
                </c:pt>
                <c:pt idx="64">
                  <c:v>11643889.040738342</c:v>
                </c:pt>
                <c:pt idx="65">
                  <c:v>11658302.50462473</c:v>
                </c:pt>
                <c:pt idx="66">
                  <c:v>12874081.848611118</c:v>
                </c:pt>
                <c:pt idx="67">
                  <c:v>12912263.277197508</c:v>
                </c:pt>
                <c:pt idx="68">
                  <c:v>12625706.091483895</c:v>
                </c:pt>
                <c:pt idx="69">
                  <c:v>13300745.681970283</c:v>
                </c:pt>
                <c:pt idx="70">
                  <c:v>17497032.314156674</c:v>
                </c:pt>
                <c:pt idx="71">
                  <c:v>20471821.27884306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 Predicted Monthly'!$V$1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'Res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'Res Predicted Monthly'!$V$2:$V$73</c:f>
              <c:numCache>
                <c:formatCode>_-* #,##0.00_-;\-* #,##0.00_-;_-* "-"??_-;_-@_-</c:formatCode>
                <c:ptCount val="72"/>
                <c:pt idx="0">
                  <c:v>24737152.27082479</c:v>
                </c:pt>
                <c:pt idx="1">
                  <c:v>20805458.073545806</c:v>
                </c:pt>
                <c:pt idx="2">
                  <c:v>19639244.389717631</c:v>
                </c:pt>
                <c:pt idx="3">
                  <c:v>15461218.886160392</c:v>
                </c:pt>
                <c:pt idx="4">
                  <c:v>12973321.084812781</c:v>
                </c:pt>
                <c:pt idx="5">
                  <c:v>12758300.185877068</c:v>
                </c:pt>
                <c:pt idx="6">
                  <c:v>12338103.914751044</c:v>
                </c:pt>
                <c:pt idx="7">
                  <c:v>14063494.872624004</c:v>
                </c:pt>
                <c:pt idx="8">
                  <c:v>12733554.930299405</c:v>
                </c:pt>
                <c:pt idx="9">
                  <c:v>15389468.917329695</c:v>
                </c:pt>
                <c:pt idx="10">
                  <c:v>16059166.150657978</c:v>
                </c:pt>
                <c:pt idx="11">
                  <c:v>21084637.431507781</c:v>
                </c:pt>
                <c:pt idx="12">
                  <c:v>22856674.221882418</c:v>
                </c:pt>
                <c:pt idx="13">
                  <c:v>20088068.330654614</c:v>
                </c:pt>
                <c:pt idx="14">
                  <c:v>18075164.524465945</c:v>
                </c:pt>
                <c:pt idx="15">
                  <c:v>14285863.258841477</c:v>
                </c:pt>
                <c:pt idx="16">
                  <c:v>12879528.869783645</c:v>
                </c:pt>
                <c:pt idx="17">
                  <c:v>12306917.589553056</c:v>
                </c:pt>
                <c:pt idx="18">
                  <c:v>15569210.444682186</c:v>
                </c:pt>
                <c:pt idx="19">
                  <c:v>13848321.484351849</c:v>
                </c:pt>
                <c:pt idx="20">
                  <c:v>13263331.668073431</c:v>
                </c:pt>
                <c:pt idx="21">
                  <c:v>14578646.139662016</c:v>
                </c:pt>
                <c:pt idx="22">
                  <c:v>16681981.721513182</c:v>
                </c:pt>
                <c:pt idx="23">
                  <c:v>21132715.911525384</c:v>
                </c:pt>
                <c:pt idx="24">
                  <c:v>23908642.207351491</c:v>
                </c:pt>
                <c:pt idx="25">
                  <c:v>20961411.253309183</c:v>
                </c:pt>
                <c:pt idx="26">
                  <c:v>19672093.159260333</c:v>
                </c:pt>
                <c:pt idx="27">
                  <c:v>15493571.803947181</c:v>
                </c:pt>
                <c:pt idx="28">
                  <c:v>12476511.040925635</c:v>
                </c:pt>
                <c:pt idx="29">
                  <c:v>11638855.505249022</c:v>
                </c:pt>
                <c:pt idx="30">
                  <c:v>14381283.567363007</c:v>
                </c:pt>
                <c:pt idx="31">
                  <c:v>12795322.833723055</c:v>
                </c:pt>
                <c:pt idx="32">
                  <c:v>12455588.188956995</c:v>
                </c:pt>
                <c:pt idx="33">
                  <c:v>14010065.936526019</c:v>
                </c:pt>
                <c:pt idx="34">
                  <c:v>15537281.573260579</c:v>
                </c:pt>
                <c:pt idx="35">
                  <c:v>19559412.123910498</c:v>
                </c:pt>
                <c:pt idx="36">
                  <c:v>21714987.146419153</c:v>
                </c:pt>
                <c:pt idx="37">
                  <c:v>19282024.275391757</c:v>
                </c:pt>
                <c:pt idx="38">
                  <c:v>16989938.052997578</c:v>
                </c:pt>
                <c:pt idx="39">
                  <c:v>14977663.917768754</c:v>
                </c:pt>
                <c:pt idx="40">
                  <c:v>11869293.720125375</c:v>
                </c:pt>
                <c:pt idx="41">
                  <c:v>12313761.672332225</c:v>
                </c:pt>
                <c:pt idx="42">
                  <c:v>14166712.624609308</c:v>
                </c:pt>
                <c:pt idx="43">
                  <c:v>13246721.955171617</c:v>
                </c:pt>
                <c:pt idx="44">
                  <c:v>12508803.43873867</c:v>
                </c:pt>
                <c:pt idx="45">
                  <c:v>13749682.798194852</c:v>
                </c:pt>
                <c:pt idx="46">
                  <c:v>16638060.895461392</c:v>
                </c:pt>
                <c:pt idx="47">
                  <c:v>19670650.954974741</c:v>
                </c:pt>
                <c:pt idx="48">
                  <c:v>21966385.00303553</c:v>
                </c:pt>
                <c:pt idx="49">
                  <c:v>20392313.820883043</c:v>
                </c:pt>
                <c:pt idx="50">
                  <c:v>19128214.989267088</c:v>
                </c:pt>
                <c:pt idx="51">
                  <c:v>15380568.733959619</c:v>
                </c:pt>
                <c:pt idx="52">
                  <c:v>12159945.427469077</c:v>
                </c:pt>
                <c:pt idx="53">
                  <c:v>12233677.992589949</c:v>
                </c:pt>
                <c:pt idx="54">
                  <c:v>13586550.554154782</c:v>
                </c:pt>
                <c:pt idx="55">
                  <c:v>12424335.531201607</c:v>
                </c:pt>
                <c:pt idx="56">
                  <c:v>12621729.620643102</c:v>
                </c:pt>
                <c:pt idx="57">
                  <c:v>13612510.027374703</c:v>
                </c:pt>
                <c:pt idx="58">
                  <c:v>16805931.996569354</c:v>
                </c:pt>
                <c:pt idx="59">
                  <c:v>21113639.271928512</c:v>
                </c:pt>
                <c:pt idx="60">
                  <c:v>23293994.536668792</c:v>
                </c:pt>
                <c:pt idx="61">
                  <c:v>20907962.908725098</c:v>
                </c:pt>
                <c:pt idx="62">
                  <c:v>20694961.557761226</c:v>
                </c:pt>
                <c:pt idx="63">
                  <c:v>15249086.697897974</c:v>
                </c:pt>
                <c:pt idx="64">
                  <c:v>12537525.529067053</c:v>
                </c:pt>
                <c:pt idx="65">
                  <c:v>12531286.1887205</c:v>
                </c:pt>
                <c:pt idx="66">
                  <c:v>12661222.675605206</c:v>
                </c:pt>
                <c:pt idx="67">
                  <c:v>12647885.053869242</c:v>
                </c:pt>
                <c:pt idx="68">
                  <c:v>13067714.799014818</c:v>
                </c:pt>
                <c:pt idx="69">
                  <c:v>13920712.235927541</c:v>
                </c:pt>
                <c:pt idx="70">
                  <c:v>17012894.078982383</c:v>
                </c:pt>
                <c:pt idx="71">
                  <c:v>19798640.614355419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054016"/>
        <c:axId val="256055552"/>
      </c:lineChart>
      <c:dateAx>
        <c:axId val="25605401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56055552"/>
        <c:crosses val="autoZero"/>
        <c:auto val="1"/>
        <c:lblOffset val="100"/>
        <c:baseTimeUnit val="months"/>
      </c:dateAx>
      <c:valAx>
        <c:axId val="256055552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56054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Normalized Monthly'!$C$1</c:f>
              <c:strCache>
                <c:ptCount val="1"/>
                <c:pt idx="0">
                  <c:v>GSlt50kWh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&lt; 50 Normalized Monthly'!$C$2:$C$145</c:f>
              <c:numCache>
                <c:formatCode>General</c:formatCode>
                <c:ptCount val="144"/>
                <c:pt idx="0">
                  <c:v>9408092.4600828551</c:v>
                </c:pt>
                <c:pt idx="1">
                  <c:v>8303130.0614485741</c:v>
                </c:pt>
                <c:pt idx="2">
                  <c:v>8616455.7063142881</c:v>
                </c:pt>
                <c:pt idx="3">
                  <c:v>7332910.1634800034</c:v>
                </c:pt>
                <c:pt idx="4">
                  <c:v>6914339.2261457164</c:v>
                </c:pt>
                <c:pt idx="5">
                  <c:v>6923072.5982114328</c:v>
                </c:pt>
                <c:pt idx="6">
                  <c:v>7578625.0371771464</c:v>
                </c:pt>
                <c:pt idx="7">
                  <c:v>7854475.5284428624</c:v>
                </c:pt>
                <c:pt idx="8">
                  <c:v>7127223.8715085778</c:v>
                </c:pt>
                <c:pt idx="9">
                  <c:v>7360544.6932742912</c:v>
                </c:pt>
                <c:pt idx="10">
                  <c:v>7597920.9622400068</c:v>
                </c:pt>
                <c:pt idx="11">
                  <c:v>8675418.3758057225</c:v>
                </c:pt>
                <c:pt idx="12">
                  <c:v>9383974.6045029908</c:v>
                </c:pt>
                <c:pt idx="13">
                  <c:v>8654532.3013318107</c:v>
                </c:pt>
                <c:pt idx="14">
                  <c:v>8273380.9928606292</c:v>
                </c:pt>
                <c:pt idx="15">
                  <c:v>6988849.8994894521</c:v>
                </c:pt>
                <c:pt idx="16">
                  <c:v>7059902.6826182716</c:v>
                </c:pt>
                <c:pt idx="17">
                  <c:v>7262687.729847094</c:v>
                </c:pt>
                <c:pt idx="18">
                  <c:v>8372270.7691759132</c:v>
                </c:pt>
                <c:pt idx="19">
                  <c:v>8176242.1304047331</c:v>
                </c:pt>
                <c:pt idx="20">
                  <c:v>7195797.6649335548</c:v>
                </c:pt>
                <c:pt idx="21">
                  <c:v>7205179.4104623739</c:v>
                </c:pt>
                <c:pt idx="22">
                  <c:v>7687689.7357911961</c:v>
                </c:pt>
                <c:pt idx="23">
                  <c:v>8818324.9083200172</c:v>
                </c:pt>
                <c:pt idx="24">
                  <c:v>9497858.1950556487</c:v>
                </c:pt>
                <c:pt idx="25">
                  <c:v>8561553.1791980918</c:v>
                </c:pt>
                <c:pt idx="26">
                  <c:v>8681746.0780405328</c:v>
                </c:pt>
                <c:pt idx="27">
                  <c:v>7464534.0887829745</c:v>
                </c:pt>
                <c:pt idx="28">
                  <c:v>7490970.5370254153</c:v>
                </c:pt>
                <c:pt idx="29">
                  <c:v>7258377.2131678574</c:v>
                </c:pt>
                <c:pt idx="30">
                  <c:v>8259843.8168102987</c:v>
                </c:pt>
                <c:pt idx="31">
                  <c:v>7945328.4461527411</c:v>
                </c:pt>
                <c:pt idx="32">
                  <c:v>7095765.259495182</c:v>
                </c:pt>
                <c:pt idx="33">
                  <c:v>6962809.929037625</c:v>
                </c:pt>
                <c:pt idx="34">
                  <c:v>7251164.6070800656</c:v>
                </c:pt>
                <c:pt idx="35">
                  <c:v>8093769.1554225087</c:v>
                </c:pt>
                <c:pt idx="36">
                  <c:v>8616766.236348236</c:v>
                </c:pt>
                <c:pt idx="37">
                  <c:v>7990695.766057251</c:v>
                </c:pt>
                <c:pt idx="38">
                  <c:v>7701208.6086662654</c:v>
                </c:pt>
                <c:pt idx="39">
                  <c:v>6920576.3044752814</c:v>
                </c:pt>
                <c:pt idx="40">
                  <c:v>6992836.9937842954</c:v>
                </c:pt>
                <c:pt idx="41">
                  <c:v>7377632.6825933103</c:v>
                </c:pt>
                <c:pt idx="42">
                  <c:v>8108140.1990023255</c:v>
                </c:pt>
                <c:pt idx="43">
                  <c:v>7894188.0266113393</c:v>
                </c:pt>
                <c:pt idx="44">
                  <c:v>7032231.0455203541</c:v>
                </c:pt>
                <c:pt idx="45">
                  <c:v>6851983.3074293695</c:v>
                </c:pt>
                <c:pt idx="46">
                  <c:v>7479887.5906383833</c:v>
                </c:pt>
                <c:pt idx="47">
                  <c:v>8137948.6939473981</c:v>
                </c:pt>
                <c:pt idx="48">
                  <c:v>8754489.4838419612</c:v>
                </c:pt>
                <c:pt idx="49">
                  <c:v>7995622.6666620364</c:v>
                </c:pt>
                <c:pt idx="50">
                  <c:v>8084522.8748821123</c:v>
                </c:pt>
                <c:pt idx="51">
                  <c:v>7130007.7383021899</c:v>
                </c:pt>
                <c:pt idx="52">
                  <c:v>6622024.3470222652</c:v>
                </c:pt>
                <c:pt idx="53">
                  <c:v>6767791.7244423442</c:v>
                </c:pt>
                <c:pt idx="54">
                  <c:v>7689403.0530624194</c:v>
                </c:pt>
                <c:pt idx="55">
                  <c:v>7361716.6433824971</c:v>
                </c:pt>
                <c:pt idx="56">
                  <c:v>6711883.2291025724</c:v>
                </c:pt>
                <c:pt idx="57">
                  <c:v>6707667.7124226503</c:v>
                </c:pt>
                <c:pt idx="58">
                  <c:v>7486656.2001427263</c:v>
                </c:pt>
                <c:pt idx="59">
                  <c:v>8383117.297562805</c:v>
                </c:pt>
                <c:pt idx="60">
                  <c:v>10036274.758248432</c:v>
                </c:pt>
                <c:pt idx="61">
                  <c:v>8988278.2757826578</c:v>
                </c:pt>
                <c:pt idx="62">
                  <c:v>9142728.9840168841</c:v>
                </c:pt>
                <c:pt idx="63">
                  <c:v>7536422.0635511102</c:v>
                </c:pt>
                <c:pt idx="64">
                  <c:v>6910477.3375853375</c:v>
                </c:pt>
                <c:pt idx="65">
                  <c:v>7069107.7411195636</c:v>
                </c:pt>
                <c:pt idx="66">
                  <c:v>7537152.3196537895</c:v>
                </c:pt>
                <c:pt idx="67">
                  <c:v>7504837.8201880157</c:v>
                </c:pt>
                <c:pt idx="68">
                  <c:v>7021986.2948222412</c:v>
                </c:pt>
                <c:pt idx="69">
                  <c:v>7063037.8751564696</c:v>
                </c:pt>
                <c:pt idx="70">
                  <c:v>7874987.3505906966</c:v>
                </c:pt>
                <c:pt idx="71">
                  <c:v>8668499.038524922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&lt; 50 Normalized Monthly'!$T$1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&lt; 50 Normalized Monthly'!$T$2:$T$145</c:f>
              <c:numCache>
                <c:formatCode>_-* #,##0_-;\-* #,##0_-;_-* "-"??_-;_-@_-</c:formatCode>
                <c:ptCount val="144"/>
                <c:pt idx="0">
                  <c:v>9144335.4143446069</c:v>
                </c:pt>
                <c:pt idx="1">
                  <c:v>8828594.6155022159</c:v>
                </c:pt>
                <c:pt idx="2">
                  <c:v>8527251.0840763077</c:v>
                </c:pt>
                <c:pt idx="3">
                  <c:v>7786219.5651039863</c:v>
                </c:pt>
                <c:pt idx="4">
                  <c:v>7305593.7144942647</c:v>
                </c:pt>
                <c:pt idx="5">
                  <c:v>7448165.886161386</c:v>
                </c:pt>
                <c:pt idx="6">
                  <c:v>8126997.1237396123</c:v>
                </c:pt>
                <c:pt idx="7">
                  <c:v>7824343.5469869226</c:v>
                </c:pt>
                <c:pt idx="8">
                  <c:v>7188517.4046970513</c:v>
                </c:pt>
                <c:pt idx="9">
                  <c:v>7447709.1226185365</c:v>
                </c:pt>
                <c:pt idx="10">
                  <c:v>7985392.1446098154</c:v>
                </c:pt>
                <c:pt idx="11">
                  <c:v>8792096.2943510283</c:v>
                </c:pt>
                <c:pt idx="12">
                  <c:v>9111267.9292955082</c:v>
                </c:pt>
                <c:pt idx="13">
                  <c:v>8766593.0810351558</c:v>
                </c:pt>
                <c:pt idx="14">
                  <c:v>8357780.2231996758</c:v>
                </c:pt>
                <c:pt idx="15">
                  <c:v>7625015.5754896281</c:v>
                </c:pt>
                <c:pt idx="16">
                  <c:v>7111322.2398308078</c:v>
                </c:pt>
                <c:pt idx="17">
                  <c:v>7320029.3815961266</c:v>
                </c:pt>
                <c:pt idx="18">
                  <c:v>7957526.2628629794</c:v>
                </c:pt>
                <c:pt idx="19">
                  <c:v>7754075.1412575878</c:v>
                </c:pt>
                <c:pt idx="20">
                  <c:v>7114115.5633365791</c:v>
                </c:pt>
                <c:pt idx="21">
                  <c:v>7443575.6869873991</c:v>
                </c:pt>
                <c:pt idx="22">
                  <c:v>8051527.1147080129</c:v>
                </c:pt>
                <c:pt idx="23">
                  <c:v>8829297.2150312643</c:v>
                </c:pt>
                <c:pt idx="24">
                  <c:v>9144335.4143446069</c:v>
                </c:pt>
                <c:pt idx="25">
                  <c:v>8824461.1798710786</c:v>
                </c:pt>
                <c:pt idx="26">
                  <c:v>8407381.4507733248</c:v>
                </c:pt>
                <c:pt idx="27">
                  <c:v>7666349.9318010015</c:v>
                </c:pt>
                <c:pt idx="28">
                  <c:v>7165056.9030355932</c:v>
                </c:pt>
                <c:pt idx="29">
                  <c:v>7373764.044800912</c:v>
                </c:pt>
                <c:pt idx="30">
                  <c:v>8031928.1042234516</c:v>
                </c:pt>
                <c:pt idx="31">
                  <c:v>7716874.2205773517</c:v>
                </c:pt>
                <c:pt idx="32">
                  <c:v>7085181.5139186177</c:v>
                </c:pt>
                <c:pt idx="33">
                  <c:v>7356773.538733515</c:v>
                </c:pt>
                <c:pt idx="34">
                  <c:v>7890323.1250936566</c:v>
                </c:pt>
                <c:pt idx="35">
                  <c:v>8668093.225416908</c:v>
                </c:pt>
                <c:pt idx="36">
                  <c:v>8995531.7316236626</c:v>
                </c:pt>
                <c:pt idx="37">
                  <c:v>8663257.1902567223</c:v>
                </c:pt>
                <c:pt idx="38">
                  <c:v>8246177.4611589676</c:v>
                </c:pt>
                <c:pt idx="39">
                  <c:v>7472078.4571375465</c:v>
                </c:pt>
                <c:pt idx="40">
                  <c:v>6950118.2502164515</c:v>
                </c:pt>
                <c:pt idx="41">
                  <c:v>7171225.6988751823</c:v>
                </c:pt>
                <c:pt idx="42">
                  <c:v>7833523.1939288592</c:v>
                </c:pt>
                <c:pt idx="43">
                  <c:v>7547403.3597007208</c:v>
                </c:pt>
                <c:pt idx="44">
                  <c:v>6799974.4553701393</c:v>
                </c:pt>
                <c:pt idx="45">
                  <c:v>7096367.0939718606</c:v>
                </c:pt>
                <c:pt idx="46">
                  <c:v>7696051.6504302016</c:v>
                </c:pt>
                <c:pt idx="47">
                  <c:v>8482088.6220157277</c:v>
                </c:pt>
                <c:pt idx="48">
                  <c:v>8784726.5144356582</c:v>
                </c:pt>
                <c:pt idx="49">
                  <c:v>8489652.8937489539</c:v>
                </c:pt>
                <c:pt idx="50">
                  <c:v>8068439.7290200619</c:v>
                </c:pt>
                <c:pt idx="51">
                  <c:v>7343941.9525722889</c:v>
                </c:pt>
                <c:pt idx="52">
                  <c:v>6830248.6169134667</c:v>
                </c:pt>
                <c:pt idx="53">
                  <c:v>7059622.9368344741</c:v>
                </c:pt>
                <c:pt idx="54">
                  <c:v>7738454.1744127003</c:v>
                </c:pt>
                <c:pt idx="55">
                  <c:v>7448200.9045534246</c:v>
                </c:pt>
                <c:pt idx="56">
                  <c:v>6799974.4553701393</c:v>
                </c:pt>
                <c:pt idx="57">
                  <c:v>7009564.9457179764</c:v>
                </c:pt>
                <c:pt idx="58">
                  <c:v>7394310.8493571738</c:v>
                </c:pt>
                <c:pt idx="59">
                  <c:v>8147280.3358936012</c:v>
                </c:pt>
                <c:pt idx="60">
                  <c:v>9478261.9708493054</c:v>
                </c:pt>
                <c:pt idx="61">
                  <c:v>9145987.4294823669</c:v>
                </c:pt>
                <c:pt idx="62">
                  <c:v>8592504.324557079</c:v>
                </c:pt>
                <c:pt idx="63">
                  <c:v>7863873.1124781687</c:v>
                </c:pt>
                <c:pt idx="64">
                  <c:v>7354313.2124504857</c:v>
                </c:pt>
                <c:pt idx="65">
                  <c:v>7529952.8691667039</c:v>
                </c:pt>
                <c:pt idx="66">
                  <c:v>8204650.6711137928</c:v>
                </c:pt>
                <c:pt idx="67">
                  <c:v>7914397.401254517</c:v>
                </c:pt>
                <c:pt idx="68">
                  <c:v>6947896.4084736584</c:v>
                </c:pt>
                <c:pt idx="69">
                  <c:v>7269089.6608622037</c:v>
                </c:pt>
                <c:pt idx="70">
                  <c:v>7815039.5541157573</c:v>
                </c:pt>
                <c:pt idx="71">
                  <c:v>8572142.476283323</c:v>
                </c:pt>
                <c:pt idx="72">
                  <c:v>8975524.0628972799</c:v>
                </c:pt>
                <c:pt idx="73">
                  <c:v>8647382.9571614787</c:v>
                </c:pt>
                <c:pt idx="74">
                  <c:v>8242703.5349571351</c:v>
                </c:pt>
                <c:pt idx="75">
                  <c:v>7505805.4516159501</c:v>
                </c:pt>
                <c:pt idx="76">
                  <c:v>7045846.7791619152</c:v>
                </c:pt>
                <c:pt idx="77">
                  <c:v>7254553.920927234</c:v>
                </c:pt>
                <c:pt idx="78">
                  <c:v>7933385.1585054602</c:v>
                </c:pt>
                <c:pt idx="79">
                  <c:v>7659665.6311707338</c:v>
                </c:pt>
                <c:pt idx="80">
                  <c:v>7027972.9245119998</c:v>
                </c:pt>
                <c:pt idx="81">
                  <c:v>7336765.8700071331</c:v>
                </c:pt>
                <c:pt idx="82">
                  <c:v>7878582.3276295494</c:v>
                </c:pt>
                <c:pt idx="83">
                  <c:v>8652218.9923216626</c:v>
                </c:pt>
                <c:pt idx="84">
                  <c:v>8768400.2113649249</c:v>
                </c:pt>
                <c:pt idx="85">
                  <c:v>8440259.1056291237</c:v>
                </c:pt>
                <c:pt idx="86">
                  <c:v>8035579.6834247801</c:v>
                </c:pt>
                <c:pt idx="87">
                  <c:v>7298681.6000835951</c:v>
                </c:pt>
                <c:pt idx="88">
                  <c:v>6838722.9276295602</c:v>
                </c:pt>
                <c:pt idx="89">
                  <c:v>7047430.069394879</c:v>
                </c:pt>
                <c:pt idx="90">
                  <c:v>7726261.3069731053</c:v>
                </c:pt>
                <c:pt idx="91">
                  <c:v>7452541.7796383789</c:v>
                </c:pt>
                <c:pt idx="92">
                  <c:v>6820849.0729796449</c:v>
                </c:pt>
                <c:pt idx="93">
                  <c:v>7129642.0184747782</c:v>
                </c:pt>
                <c:pt idx="94">
                  <c:v>7671458.4760971945</c:v>
                </c:pt>
                <c:pt idx="95">
                  <c:v>8445095.1407893077</c:v>
                </c:pt>
                <c:pt idx="96">
                  <c:v>8564735.5450616926</c:v>
                </c:pt>
                <c:pt idx="97">
                  <c:v>8236594.4393258886</c:v>
                </c:pt>
                <c:pt idx="98">
                  <c:v>7831915.017121546</c:v>
                </c:pt>
                <c:pt idx="99">
                  <c:v>7095016.933780361</c:v>
                </c:pt>
                <c:pt idx="100">
                  <c:v>6635058.2613263261</c:v>
                </c:pt>
                <c:pt idx="101">
                  <c:v>6843765.4030916449</c:v>
                </c:pt>
                <c:pt idx="102">
                  <c:v>7522596.6406698711</c:v>
                </c:pt>
                <c:pt idx="103">
                  <c:v>7248877.1133351447</c:v>
                </c:pt>
                <c:pt idx="104">
                  <c:v>6617184.4066764107</c:v>
                </c:pt>
                <c:pt idx="105">
                  <c:v>6925977.352171544</c:v>
                </c:pt>
                <c:pt idx="106">
                  <c:v>7467793.8097939603</c:v>
                </c:pt>
                <c:pt idx="107">
                  <c:v>8241430.4744860744</c:v>
                </c:pt>
                <c:pt idx="108">
                  <c:v>8364472.2919716509</c:v>
                </c:pt>
                <c:pt idx="109">
                  <c:v>8036331.1862358479</c:v>
                </c:pt>
                <c:pt idx="110">
                  <c:v>7631651.7640315052</c:v>
                </c:pt>
                <c:pt idx="111">
                  <c:v>6894753.6806903202</c:v>
                </c:pt>
                <c:pt idx="112">
                  <c:v>6434795.0082362853</c:v>
                </c:pt>
                <c:pt idx="113">
                  <c:v>6643502.1500016041</c:v>
                </c:pt>
                <c:pt idx="114">
                  <c:v>7322333.3875798304</c:v>
                </c:pt>
                <c:pt idx="115">
                  <c:v>7048613.8602451039</c:v>
                </c:pt>
                <c:pt idx="116">
                  <c:v>6416921.1535863699</c:v>
                </c:pt>
                <c:pt idx="117">
                  <c:v>6725714.0990815032</c:v>
                </c:pt>
                <c:pt idx="118">
                  <c:v>7267530.5567039195</c:v>
                </c:pt>
                <c:pt idx="119">
                  <c:v>8041167.2213960337</c:v>
                </c:pt>
                <c:pt idx="120">
                  <c:v>8167553.6449320475</c:v>
                </c:pt>
                <c:pt idx="121">
                  <c:v>7839412.5391962444</c:v>
                </c:pt>
                <c:pt idx="122">
                  <c:v>7434733.1169919018</c:v>
                </c:pt>
                <c:pt idx="123">
                  <c:v>6697835.0336507168</c:v>
                </c:pt>
                <c:pt idx="124">
                  <c:v>6237876.3611966819</c:v>
                </c:pt>
                <c:pt idx="125">
                  <c:v>6446583.5029620007</c:v>
                </c:pt>
                <c:pt idx="126">
                  <c:v>7125414.7405402269</c:v>
                </c:pt>
                <c:pt idx="127">
                  <c:v>6851695.2132055005</c:v>
                </c:pt>
                <c:pt idx="128">
                  <c:v>6220002.5065467665</c:v>
                </c:pt>
                <c:pt idx="129">
                  <c:v>6528795.4520418998</c:v>
                </c:pt>
                <c:pt idx="130">
                  <c:v>7070611.9096643161</c:v>
                </c:pt>
                <c:pt idx="131">
                  <c:v>7844248.5743564302</c:v>
                </c:pt>
                <c:pt idx="132">
                  <c:v>7973923.7455192273</c:v>
                </c:pt>
                <c:pt idx="133">
                  <c:v>7645782.6397834243</c:v>
                </c:pt>
                <c:pt idx="134">
                  <c:v>7241103.2175790817</c:v>
                </c:pt>
                <c:pt idx="135">
                  <c:v>6504205.1342378967</c:v>
                </c:pt>
                <c:pt idx="136">
                  <c:v>6044246.4617838617</c:v>
                </c:pt>
                <c:pt idx="137">
                  <c:v>6252953.6035491806</c:v>
                </c:pt>
                <c:pt idx="138">
                  <c:v>6931784.8411274068</c:v>
                </c:pt>
                <c:pt idx="139">
                  <c:v>6658065.3137926804</c:v>
                </c:pt>
                <c:pt idx="140">
                  <c:v>6026372.6071339464</c:v>
                </c:pt>
                <c:pt idx="141">
                  <c:v>6335165.5526290797</c:v>
                </c:pt>
                <c:pt idx="142">
                  <c:v>6876982.010251496</c:v>
                </c:pt>
                <c:pt idx="143">
                  <c:v>7650618.6749436101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252480"/>
        <c:axId val="245254016"/>
      </c:lineChart>
      <c:dateAx>
        <c:axId val="24525248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45254016"/>
        <c:crosses val="autoZero"/>
        <c:auto val="1"/>
        <c:lblOffset val="100"/>
        <c:baseTimeUnit val="months"/>
      </c:dateAx>
      <c:valAx>
        <c:axId val="245254016"/>
        <c:scaling>
          <c:orientation val="minMax"/>
          <c:min val="4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525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Normalized Monthly'!$C$1</c:f>
              <c:strCache>
                <c:ptCount val="1"/>
                <c:pt idx="0">
                  <c:v>GSgt50kWh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&gt; 50 Normalized Monthly'!$C$2:$C$97</c:f>
              <c:numCache>
                <c:formatCode>General</c:formatCode>
                <c:ptCount val="96"/>
                <c:pt idx="0">
                  <c:v>27538204.187447365</c:v>
                </c:pt>
                <c:pt idx="1">
                  <c:v>24304974.191142105</c:v>
                </c:pt>
                <c:pt idx="2">
                  <c:v>24608843.61283683</c:v>
                </c:pt>
                <c:pt idx="3">
                  <c:v>21120456.317131568</c:v>
                </c:pt>
                <c:pt idx="4">
                  <c:v>20015258.117326297</c:v>
                </c:pt>
                <c:pt idx="5">
                  <c:v>20097056.883721031</c:v>
                </c:pt>
                <c:pt idx="6">
                  <c:v>21557347.533615761</c:v>
                </c:pt>
                <c:pt idx="7">
                  <c:v>22341965.693210494</c:v>
                </c:pt>
                <c:pt idx="8">
                  <c:v>20675414.914105225</c:v>
                </c:pt>
                <c:pt idx="9">
                  <c:v>21958766.746799961</c:v>
                </c:pt>
                <c:pt idx="10">
                  <c:v>22285160.608694695</c:v>
                </c:pt>
                <c:pt idx="11">
                  <c:v>24254289.862589426</c:v>
                </c:pt>
                <c:pt idx="12">
                  <c:v>27142755.173439831</c:v>
                </c:pt>
                <c:pt idx="13">
                  <c:v>23537491.120734841</c:v>
                </c:pt>
                <c:pt idx="14">
                  <c:v>23396470.955129851</c:v>
                </c:pt>
                <c:pt idx="15">
                  <c:v>20779762.156024866</c:v>
                </c:pt>
                <c:pt idx="16">
                  <c:v>21178562.235319879</c:v>
                </c:pt>
                <c:pt idx="17">
                  <c:v>21323669.044414893</c:v>
                </c:pt>
                <c:pt idx="18">
                  <c:v>24293426.46420991</c:v>
                </c:pt>
                <c:pt idx="19">
                  <c:v>23473713.540204924</c:v>
                </c:pt>
                <c:pt idx="20">
                  <c:v>20762206.116099935</c:v>
                </c:pt>
                <c:pt idx="21">
                  <c:v>21314314.684494946</c:v>
                </c:pt>
                <c:pt idx="22">
                  <c:v>22646691.283989962</c:v>
                </c:pt>
                <c:pt idx="23">
                  <c:v>25374125.159584977</c:v>
                </c:pt>
                <c:pt idx="24">
                  <c:v>26819955.496768035</c:v>
                </c:pt>
                <c:pt idx="25">
                  <c:v>24243560.417216163</c:v>
                </c:pt>
                <c:pt idx="26">
                  <c:v>24885464.581564292</c:v>
                </c:pt>
                <c:pt idx="27">
                  <c:v>21554917.346312415</c:v>
                </c:pt>
                <c:pt idx="28">
                  <c:v>21110104.172260538</c:v>
                </c:pt>
                <c:pt idx="29">
                  <c:v>21224541.706708666</c:v>
                </c:pt>
                <c:pt idx="30">
                  <c:v>23605421.411356788</c:v>
                </c:pt>
                <c:pt idx="31">
                  <c:v>22936909.924904913</c:v>
                </c:pt>
                <c:pt idx="32">
                  <c:v>21272148.788853042</c:v>
                </c:pt>
                <c:pt idx="33">
                  <c:v>21689864.312401172</c:v>
                </c:pt>
                <c:pt idx="34">
                  <c:v>22036090.227049295</c:v>
                </c:pt>
                <c:pt idx="35">
                  <c:v>24098497.192697417</c:v>
                </c:pt>
                <c:pt idx="36">
                  <c:v>25884369.936335795</c:v>
                </c:pt>
                <c:pt idx="37">
                  <c:v>23846238.243764419</c:v>
                </c:pt>
                <c:pt idx="38">
                  <c:v>23337909.585693043</c:v>
                </c:pt>
                <c:pt idx="39">
                  <c:v>21042150.547521669</c:v>
                </c:pt>
                <c:pt idx="40">
                  <c:v>21123089.636950299</c:v>
                </c:pt>
                <c:pt idx="41">
                  <c:v>22012463.81367892</c:v>
                </c:pt>
                <c:pt idx="42">
                  <c:v>24325640.430607546</c:v>
                </c:pt>
                <c:pt idx="43">
                  <c:v>23912145.189136177</c:v>
                </c:pt>
                <c:pt idx="44">
                  <c:v>21690402.018964801</c:v>
                </c:pt>
                <c:pt idx="45">
                  <c:v>21873357.22849343</c:v>
                </c:pt>
                <c:pt idx="46">
                  <c:v>23887273.539022051</c:v>
                </c:pt>
                <c:pt idx="47">
                  <c:v>25316304.236350678</c:v>
                </c:pt>
                <c:pt idx="48">
                  <c:v>27247888.509537995</c:v>
                </c:pt>
                <c:pt idx="49">
                  <c:v>24661696.396936703</c:v>
                </c:pt>
                <c:pt idx="50">
                  <c:v>25156036.893035416</c:v>
                </c:pt>
                <c:pt idx="51">
                  <c:v>22478377.571534127</c:v>
                </c:pt>
                <c:pt idx="52">
                  <c:v>21098970.468832832</c:v>
                </c:pt>
                <c:pt idx="53">
                  <c:v>21584100.430531546</c:v>
                </c:pt>
                <c:pt idx="54">
                  <c:v>24380210.304030258</c:v>
                </c:pt>
                <c:pt idx="55">
                  <c:v>23693758.831728969</c:v>
                </c:pt>
                <c:pt idx="56">
                  <c:v>21820286.767527681</c:v>
                </c:pt>
                <c:pt idx="57">
                  <c:v>22103727.918226391</c:v>
                </c:pt>
                <c:pt idx="58">
                  <c:v>24077093.308325101</c:v>
                </c:pt>
                <c:pt idx="59">
                  <c:v>27124967.93432381</c:v>
                </c:pt>
                <c:pt idx="60">
                  <c:v>27950268.010342397</c:v>
                </c:pt>
                <c:pt idx="61">
                  <c:v>25183796.294191923</c:v>
                </c:pt>
                <c:pt idx="62">
                  <c:v>26456428.892041452</c:v>
                </c:pt>
                <c:pt idx="63">
                  <c:v>22397499.332090985</c:v>
                </c:pt>
                <c:pt idx="64">
                  <c:v>20822092.799240515</c:v>
                </c:pt>
                <c:pt idx="65">
                  <c:v>21310374.756490044</c:v>
                </c:pt>
                <c:pt idx="66">
                  <c:v>22627282.128939569</c:v>
                </c:pt>
                <c:pt idx="67">
                  <c:v>22450638.6115891</c:v>
                </c:pt>
                <c:pt idx="68">
                  <c:v>21090477.322838631</c:v>
                </c:pt>
                <c:pt idx="69">
                  <c:v>21359556.577988163</c:v>
                </c:pt>
                <c:pt idx="70">
                  <c:v>23170252.922537688</c:v>
                </c:pt>
                <c:pt idx="71">
                  <c:v>25213323.109987214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&gt; 50 Normalized Monthly'!$Z$1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&gt; 50 Normalized Monthly'!$Z$2:$Z$145</c:f>
              <c:numCache>
                <c:formatCode>_-* #,##0_-;\-* #,##0_-;_-* "-"??_-;_-@_-</c:formatCode>
                <c:ptCount val="144"/>
                <c:pt idx="0">
                  <c:v>27216247.750805959</c:v>
                </c:pt>
                <c:pt idx="1">
                  <c:v>24479169.613249913</c:v>
                </c:pt>
                <c:pt idx="2">
                  <c:v>24418716.673497129</c:v>
                </c:pt>
                <c:pt idx="3">
                  <c:v>21037229.500607964</c:v>
                </c:pt>
                <c:pt idx="4">
                  <c:v>20405138.530317329</c:v>
                </c:pt>
                <c:pt idx="5">
                  <c:v>21022857.864033937</c:v>
                </c:pt>
                <c:pt idx="6">
                  <c:v>22624790.039629277</c:v>
                </c:pt>
                <c:pt idx="7">
                  <c:v>22119230.172642887</c:v>
                </c:pt>
                <c:pt idx="8">
                  <c:v>20349689.630069744</c:v>
                </c:pt>
                <c:pt idx="9">
                  <c:v>21184364.311379921</c:v>
                </c:pt>
                <c:pt idx="10">
                  <c:v>22432386.858398024</c:v>
                </c:pt>
                <c:pt idx="11">
                  <c:v>24756225.338188909</c:v>
                </c:pt>
                <c:pt idx="12">
                  <c:v>26445021.510889206</c:v>
                </c:pt>
                <c:pt idx="13">
                  <c:v>23949265.41717238</c:v>
                </c:pt>
                <c:pt idx="14">
                  <c:v>24309906.344466835</c:v>
                </c:pt>
                <c:pt idx="15">
                  <c:v>21074210.825259354</c:v>
                </c:pt>
                <c:pt idx="16">
                  <c:v>20638893.487801243</c:v>
                </c:pt>
                <c:pt idx="17">
                  <c:v>21576744.494959701</c:v>
                </c:pt>
                <c:pt idx="18">
                  <c:v>23327707.767949868</c:v>
                </c:pt>
                <c:pt idx="19">
                  <c:v>22704866.847291812</c:v>
                </c:pt>
                <c:pt idx="20">
                  <c:v>20760986.284958512</c:v>
                </c:pt>
                <c:pt idx="21">
                  <c:v>21420410.610458095</c:v>
                </c:pt>
                <c:pt idx="22">
                  <c:v>22593022.379155718</c:v>
                </c:pt>
                <c:pt idx="23">
                  <c:v>25000890.011932284</c:v>
                </c:pt>
                <c:pt idx="24">
                  <c:v>26762752.748862974</c:v>
                </c:pt>
                <c:pt idx="25">
                  <c:v>24315118.431431398</c:v>
                </c:pt>
                <c:pt idx="26">
                  <c:v>24715626.894766089</c:v>
                </c:pt>
                <c:pt idx="27">
                  <c:v>21489627.047056951</c:v>
                </c:pt>
                <c:pt idx="28">
                  <c:v>21017499.550061654</c:v>
                </c:pt>
                <c:pt idx="29">
                  <c:v>21864675.556025457</c:v>
                </c:pt>
                <c:pt idx="30">
                  <c:v>23542921.29277803</c:v>
                </c:pt>
                <c:pt idx="31">
                  <c:v>23075074.368165553</c:v>
                </c:pt>
                <c:pt idx="32">
                  <c:v>21200687.004784103</c:v>
                </c:pt>
                <c:pt idx="33">
                  <c:v>21815403.51170798</c:v>
                </c:pt>
                <c:pt idx="34">
                  <c:v>22956963.292668033</c:v>
                </c:pt>
                <c:pt idx="35">
                  <c:v>25299844.087462824</c:v>
                </c:pt>
                <c:pt idx="36">
                  <c:v>26965470.825036708</c:v>
                </c:pt>
                <c:pt idx="37">
                  <c:v>24429316.100076772</c:v>
                </c:pt>
                <c:pt idx="38">
                  <c:v>24809355.923581619</c:v>
                </c:pt>
                <c:pt idx="39">
                  <c:v>21630939.203741156</c:v>
                </c:pt>
                <c:pt idx="40">
                  <c:v>21155230.788253613</c:v>
                </c:pt>
                <c:pt idx="41">
                  <c:v>21935439.876565736</c:v>
                </c:pt>
                <c:pt idx="42">
                  <c:v>23557840.691990919</c:v>
                </c:pt>
                <c:pt idx="43">
                  <c:v>23045278.395589057</c:v>
                </c:pt>
                <c:pt idx="44">
                  <c:v>21173212.586656611</c:v>
                </c:pt>
                <c:pt idx="45">
                  <c:v>21842871.232071109</c:v>
                </c:pt>
                <c:pt idx="46">
                  <c:v>23035587.506178405</c:v>
                </c:pt>
                <c:pt idx="47">
                  <c:v>25426939.105251238</c:v>
                </c:pt>
                <c:pt idx="48">
                  <c:v>27193839.298354883</c:v>
                </c:pt>
                <c:pt idx="49">
                  <c:v>24764519.02708685</c:v>
                </c:pt>
                <c:pt idx="50">
                  <c:v>25181733.144549049</c:v>
                </c:pt>
                <c:pt idx="51">
                  <c:v>21973152.113380395</c:v>
                </c:pt>
                <c:pt idx="52">
                  <c:v>21561004.211048681</c:v>
                </c:pt>
                <c:pt idx="53">
                  <c:v>22390404.819265518</c:v>
                </c:pt>
                <c:pt idx="54">
                  <c:v>24105278.648345172</c:v>
                </c:pt>
                <c:pt idx="55">
                  <c:v>23609960.654487386</c:v>
                </c:pt>
                <c:pt idx="56">
                  <c:v>21766799.792839896</c:v>
                </c:pt>
                <c:pt idx="57">
                  <c:v>22459620.320167121</c:v>
                </c:pt>
                <c:pt idx="58">
                  <c:v>23589314.729535148</c:v>
                </c:pt>
                <c:pt idx="59">
                  <c:v>25833615.310883056</c:v>
                </c:pt>
                <c:pt idx="60">
                  <c:v>26974644.600076761</c:v>
                </c:pt>
                <c:pt idx="61">
                  <c:v>24469374.90207167</c:v>
                </c:pt>
                <c:pt idx="62">
                  <c:v>24905798.295320474</c:v>
                </c:pt>
                <c:pt idx="63">
                  <c:v>21693257.104812019</c:v>
                </c:pt>
                <c:pt idx="64">
                  <c:v>21241431.286863863</c:v>
                </c:pt>
                <c:pt idx="65">
                  <c:v>21974239.314517397</c:v>
                </c:pt>
                <c:pt idx="66">
                  <c:v>23624293.26639799</c:v>
                </c:pt>
                <c:pt idx="67">
                  <c:v>23089471.870920151</c:v>
                </c:pt>
                <c:pt idx="68">
                  <c:v>21240560.390686736</c:v>
                </c:pt>
                <c:pt idx="69">
                  <c:v>21980599.911462456</c:v>
                </c:pt>
                <c:pt idx="70">
                  <c:v>23161116.892412301</c:v>
                </c:pt>
                <c:pt idx="71">
                  <c:v>25414931.07804846</c:v>
                </c:pt>
                <c:pt idx="72">
                  <c:v>27159150.839606211</c:v>
                </c:pt>
                <c:pt idx="73">
                  <c:v>24651878.446788296</c:v>
                </c:pt>
                <c:pt idx="74">
                  <c:v>25060656.23656895</c:v>
                </c:pt>
                <c:pt idx="75">
                  <c:v>21867712.699491311</c:v>
                </c:pt>
                <c:pt idx="76">
                  <c:v>21410499.316035286</c:v>
                </c:pt>
                <c:pt idx="77">
                  <c:v>22138672.270018913</c:v>
                </c:pt>
                <c:pt idx="78">
                  <c:v>23791386.606428966</c:v>
                </c:pt>
                <c:pt idx="79">
                  <c:v>23248469.859853134</c:v>
                </c:pt>
                <c:pt idx="80">
                  <c:v>21415642.429429222</c:v>
                </c:pt>
                <c:pt idx="81">
                  <c:v>22155237.565261267</c:v>
                </c:pt>
                <c:pt idx="82">
                  <c:v>23308031.916019395</c:v>
                </c:pt>
                <c:pt idx="83">
                  <c:v>25561188.411938921</c:v>
                </c:pt>
                <c:pt idx="84">
                  <c:v>27401265.441352859</c:v>
                </c:pt>
                <c:pt idx="85">
                  <c:v>24891600.192359947</c:v>
                </c:pt>
                <c:pt idx="86">
                  <c:v>25298891.296351407</c:v>
                </c:pt>
                <c:pt idx="87">
                  <c:v>22108333.535992622</c:v>
                </c:pt>
                <c:pt idx="88">
                  <c:v>21655197.919272684</c:v>
                </c:pt>
                <c:pt idx="89">
                  <c:v>22388347.730922058</c:v>
                </c:pt>
                <c:pt idx="90">
                  <c:v>24044240.743138541</c:v>
                </c:pt>
                <c:pt idx="91">
                  <c:v>23502166.451843262</c:v>
                </c:pt>
                <c:pt idx="92">
                  <c:v>21667526.680647749</c:v>
                </c:pt>
                <c:pt idx="93">
                  <c:v>22406590.857269365</c:v>
                </c:pt>
                <c:pt idx="94">
                  <c:v>23557806.489308495</c:v>
                </c:pt>
                <c:pt idx="95">
                  <c:v>25810177.165596582</c:v>
                </c:pt>
                <c:pt idx="96">
                  <c:v>27688254.994406886</c:v>
                </c:pt>
                <c:pt idx="97">
                  <c:v>25175979.323392913</c:v>
                </c:pt>
                <c:pt idx="98">
                  <c:v>25581648.567548797</c:v>
                </c:pt>
                <c:pt idx="99">
                  <c:v>22393693.506069001</c:v>
                </c:pt>
                <c:pt idx="100">
                  <c:v>21945006.419183776</c:v>
                </c:pt>
                <c:pt idx="101">
                  <c:v>22683585.599711265</c:v>
                </c:pt>
                <c:pt idx="102">
                  <c:v>24342946.302719049</c:v>
                </c:pt>
                <c:pt idx="103">
                  <c:v>23801791.065330587</c:v>
                </c:pt>
                <c:pt idx="104">
                  <c:v>21965174.169764094</c:v>
                </c:pt>
                <c:pt idx="105">
                  <c:v>22703659.110730149</c:v>
                </c:pt>
                <c:pt idx="106">
                  <c:v>23853152.48208674</c:v>
                </c:pt>
                <c:pt idx="107">
                  <c:v>26104665.889604606</c:v>
                </c:pt>
                <c:pt idx="108">
                  <c:v>27945617.291191313</c:v>
                </c:pt>
                <c:pt idx="109">
                  <c:v>25430883.721385796</c:v>
                </c:pt>
                <c:pt idx="110">
                  <c:v>25835025.868659362</c:v>
                </c:pt>
                <c:pt idx="111">
                  <c:v>22649521.434081197</c:v>
                </c:pt>
                <c:pt idx="112">
                  <c:v>22205022.955787476</c:v>
                </c:pt>
                <c:pt idx="113">
                  <c:v>22948714.274925794</c:v>
                </c:pt>
                <c:pt idx="114">
                  <c:v>24611340.056505769</c:v>
                </c:pt>
                <c:pt idx="115">
                  <c:v>24071050.174017292</c:v>
                </c:pt>
                <c:pt idx="116">
                  <c:v>22232571.674632348</c:v>
                </c:pt>
                <c:pt idx="117">
                  <c:v>22970511.223854721</c:v>
                </c:pt>
                <c:pt idx="118">
                  <c:v>24118382.963760082</c:v>
                </c:pt>
                <c:pt idx="119">
                  <c:v>26369089.191497285</c:v>
                </c:pt>
                <c:pt idx="120">
                  <c:v>28210519.88589853</c:v>
                </c:pt>
                <c:pt idx="121">
                  <c:v>25693296.464617174</c:v>
                </c:pt>
                <c:pt idx="122">
                  <c:v>26095891.662748948</c:v>
                </c:pt>
                <c:pt idx="123">
                  <c:v>22912869.713222135</c:v>
                </c:pt>
                <c:pt idx="124">
                  <c:v>22472614.295431614</c:v>
                </c:pt>
                <c:pt idx="125">
                  <c:v>23221484.210982691</c:v>
                </c:pt>
                <c:pt idx="126">
                  <c:v>24887417.51715631</c:v>
                </c:pt>
                <c:pt idx="127">
                  <c:v>24348004.239181511</c:v>
                </c:pt>
                <c:pt idx="128">
                  <c:v>22507639.93512848</c:v>
                </c:pt>
                <c:pt idx="129">
                  <c:v>23245027.002514496</c:v>
                </c:pt>
                <c:pt idx="130">
                  <c:v>24391256.029759772</c:v>
                </c:pt>
                <c:pt idx="131">
                  <c:v>26641144.58437917</c:v>
                </c:pt>
                <c:pt idx="132">
                  <c:v>28483067.583008479</c:v>
                </c:pt>
                <c:pt idx="133">
                  <c:v>25963321.942182112</c:v>
                </c:pt>
                <c:pt idx="134">
                  <c:v>26364350.080833245</c:v>
                </c:pt>
                <c:pt idx="135">
                  <c:v>23183842.888663456</c:v>
                </c:pt>
                <c:pt idx="136">
                  <c:v>22747885.691162664</c:v>
                </c:pt>
                <c:pt idx="137">
                  <c:v>23502001.524879869</c:v>
                </c:pt>
                <c:pt idx="138">
                  <c:v>25171285.353466842</c:v>
                </c:pt>
                <c:pt idx="139">
                  <c:v>24632760.075864401</c:v>
                </c:pt>
                <c:pt idx="140">
                  <c:v>22790485.451682605</c:v>
                </c:pt>
                <c:pt idx="141">
                  <c:v>23527312.854968395</c:v>
                </c:pt>
                <c:pt idx="142">
                  <c:v>24671877.814288992</c:v>
                </c:pt>
                <c:pt idx="143">
                  <c:v>26920938.066040058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23456"/>
        <c:axId val="248325248"/>
      </c:lineChart>
      <c:dateAx>
        <c:axId val="24832345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48325248"/>
        <c:crosses val="autoZero"/>
        <c:auto val="1"/>
        <c:lblOffset val="100"/>
        <c:baseTimeUnit val="months"/>
      </c:dateAx>
      <c:valAx>
        <c:axId val="248325248"/>
        <c:scaling>
          <c:orientation val="minMax"/>
          <c:min val="19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8323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'LU Normalized Monthly'!$C$1</c:f>
              <c:strCache>
                <c:ptCount val="1"/>
                <c:pt idx="0">
                  <c:v>LUkWh</c:v>
                </c:pt>
              </c:strCache>
            </c:strRef>
          </c:tx>
          <c:marker>
            <c:symbol val="none"/>
          </c:marker>
          <c:cat>
            <c:numRef>
              <c:f>'LU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'LU Normalized Monthly'!$C$2:$C$97</c:f>
              <c:numCache>
                <c:formatCode>General</c:formatCode>
                <c:ptCount val="96"/>
                <c:pt idx="0">
                  <c:v>12630235.100299999</c:v>
                </c:pt>
                <c:pt idx="1">
                  <c:v>11333821.4934</c:v>
                </c:pt>
                <c:pt idx="2">
                  <c:v>12370923.8947</c:v>
                </c:pt>
                <c:pt idx="3">
                  <c:v>11402691.3343</c:v>
                </c:pt>
                <c:pt idx="4">
                  <c:v>11555213.605999999</c:v>
                </c:pt>
                <c:pt idx="5">
                  <c:v>12458106.387699999</c:v>
                </c:pt>
                <c:pt idx="6">
                  <c:v>13695389.126600001</c:v>
                </c:pt>
                <c:pt idx="7">
                  <c:v>14408989.219000001</c:v>
                </c:pt>
                <c:pt idx="8">
                  <c:v>12983020.697999999</c:v>
                </c:pt>
                <c:pt idx="9">
                  <c:v>12029943</c:v>
                </c:pt>
                <c:pt idx="10">
                  <c:v>11523934</c:v>
                </c:pt>
                <c:pt idx="11">
                  <c:v>11610601</c:v>
                </c:pt>
                <c:pt idx="12">
                  <c:v>11955217.004000001</c:v>
                </c:pt>
                <c:pt idx="13">
                  <c:v>10874740.4221</c:v>
                </c:pt>
                <c:pt idx="14">
                  <c:v>11920294.521500001</c:v>
                </c:pt>
                <c:pt idx="15">
                  <c:v>11299278.237500001</c:v>
                </c:pt>
                <c:pt idx="16">
                  <c:v>12141816.925799999</c:v>
                </c:pt>
                <c:pt idx="17">
                  <c:v>12649401.524900001</c:v>
                </c:pt>
                <c:pt idx="18">
                  <c:v>14680604.799199998</c:v>
                </c:pt>
                <c:pt idx="19">
                  <c:v>14598500.270999998</c:v>
                </c:pt>
                <c:pt idx="20">
                  <c:v>13203697.476100001</c:v>
                </c:pt>
                <c:pt idx="21">
                  <c:v>12168635.138100002</c:v>
                </c:pt>
                <c:pt idx="22">
                  <c:v>11726856.469900001</c:v>
                </c:pt>
                <c:pt idx="23">
                  <c:v>11839747.178100001</c:v>
                </c:pt>
                <c:pt idx="24">
                  <c:v>12405613.722375479</c:v>
                </c:pt>
                <c:pt idx="25">
                  <c:v>11374508.151626434</c:v>
                </c:pt>
                <c:pt idx="26">
                  <c:v>12423061.406977391</c:v>
                </c:pt>
                <c:pt idx="27">
                  <c:v>11687900.613328347</c:v>
                </c:pt>
                <c:pt idx="28">
                  <c:v>12168060.882579302</c:v>
                </c:pt>
                <c:pt idx="29">
                  <c:v>13362627.250630258</c:v>
                </c:pt>
                <c:pt idx="30">
                  <c:v>15310374.188881215</c:v>
                </c:pt>
                <c:pt idx="31">
                  <c:v>15010910.93713217</c:v>
                </c:pt>
                <c:pt idx="32">
                  <c:v>14264567.369983125</c:v>
                </c:pt>
                <c:pt idx="33">
                  <c:v>12925769.505834082</c:v>
                </c:pt>
                <c:pt idx="34">
                  <c:v>12089342.293885039</c:v>
                </c:pt>
                <c:pt idx="35">
                  <c:v>12086426.369935995</c:v>
                </c:pt>
                <c:pt idx="36">
                  <c:v>12687881.381740851</c:v>
                </c:pt>
                <c:pt idx="37">
                  <c:v>11983197.462399608</c:v>
                </c:pt>
                <c:pt idx="38">
                  <c:v>12365654.656258361</c:v>
                </c:pt>
                <c:pt idx="39">
                  <c:v>11808524.705317117</c:v>
                </c:pt>
                <c:pt idx="40">
                  <c:v>12602122.195275875</c:v>
                </c:pt>
                <c:pt idx="41">
                  <c:v>13366894.89953463</c:v>
                </c:pt>
                <c:pt idx="42">
                  <c:v>15543673.288693383</c:v>
                </c:pt>
                <c:pt idx="43">
                  <c:v>15448054.65755214</c:v>
                </c:pt>
                <c:pt idx="44">
                  <c:v>13925687.582410896</c:v>
                </c:pt>
                <c:pt idx="45">
                  <c:v>13003928.864269651</c:v>
                </c:pt>
                <c:pt idx="46">
                  <c:v>12248431.335128408</c:v>
                </c:pt>
                <c:pt idx="47">
                  <c:v>12006009.248987164</c:v>
                </c:pt>
                <c:pt idx="48">
                  <c:v>12946169.933968732</c:v>
                </c:pt>
                <c:pt idx="49">
                  <c:v>11918008.924639778</c:v>
                </c:pt>
                <c:pt idx="50">
                  <c:v>12785963.206510823</c:v>
                </c:pt>
                <c:pt idx="51">
                  <c:v>12157037.078981869</c:v>
                </c:pt>
                <c:pt idx="52">
                  <c:v>12523396.567452911</c:v>
                </c:pt>
                <c:pt idx="53">
                  <c:v>12722039.760923959</c:v>
                </c:pt>
                <c:pt idx="54">
                  <c:v>15454178.324395005</c:v>
                </c:pt>
                <c:pt idx="55">
                  <c:v>14808216.64886605</c:v>
                </c:pt>
                <c:pt idx="56">
                  <c:v>13501871.533337096</c:v>
                </c:pt>
                <c:pt idx="57">
                  <c:v>13230473.214808144</c:v>
                </c:pt>
                <c:pt idx="58">
                  <c:v>12253923.650279187</c:v>
                </c:pt>
                <c:pt idx="59">
                  <c:v>12130628.233750233</c:v>
                </c:pt>
                <c:pt idx="60">
                  <c:v>13033973.56868916</c:v>
                </c:pt>
                <c:pt idx="61">
                  <c:v>11848081.274361238</c:v>
                </c:pt>
                <c:pt idx="62">
                  <c:v>12980706.140033314</c:v>
                </c:pt>
                <c:pt idx="63">
                  <c:v>11758120.119705392</c:v>
                </c:pt>
                <c:pt idx="64">
                  <c:v>12122237.938377466</c:v>
                </c:pt>
                <c:pt idx="65">
                  <c:v>13083864.686049545</c:v>
                </c:pt>
                <c:pt idx="66">
                  <c:v>14274331.698721621</c:v>
                </c:pt>
                <c:pt idx="67">
                  <c:v>14357715.618393699</c:v>
                </c:pt>
                <c:pt idx="68">
                  <c:v>13829170.520065775</c:v>
                </c:pt>
                <c:pt idx="69">
                  <c:v>13041002.974737853</c:v>
                </c:pt>
                <c:pt idx="70">
                  <c:v>12172721.066409929</c:v>
                </c:pt>
                <c:pt idx="71">
                  <c:v>12198057.892082004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'LU Normalized Monthly'!$X$1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'LU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'LU Normalized Monthly'!$X$2:$X$145</c:f>
              <c:numCache>
                <c:formatCode>_-* #,##0_-;\-* #,##0_-;_-* "-"??_-;_-@_-</c:formatCode>
                <c:ptCount val="144"/>
                <c:pt idx="0">
                  <c:v>12924915.116309179</c:v>
                </c:pt>
                <c:pt idx="1">
                  <c:v>11614027.402661538</c:v>
                </c:pt>
                <c:pt idx="2">
                  <c:v>12399915.266886391</c:v>
                </c:pt>
                <c:pt idx="3">
                  <c:v>11411175.628056102</c:v>
                </c:pt>
                <c:pt idx="4">
                  <c:v>11709797.606635204</c:v>
                </c:pt>
                <c:pt idx="5">
                  <c:v>12501819.744641531</c:v>
                </c:pt>
                <c:pt idx="6">
                  <c:v>14105381.548711002</c:v>
                </c:pt>
                <c:pt idx="7">
                  <c:v>13816775.192334322</c:v>
                </c:pt>
                <c:pt idx="8">
                  <c:v>12750278.724613508</c:v>
                </c:pt>
                <c:pt idx="9">
                  <c:v>12364624.381782386</c:v>
                </c:pt>
                <c:pt idx="10">
                  <c:v>11585690.146834068</c:v>
                </c:pt>
                <c:pt idx="11">
                  <c:v>11502045.465999577</c:v>
                </c:pt>
                <c:pt idx="12">
                  <c:v>12065171.903129984</c:v>
                </c:pt>
                <c:pt idx="13">
                  <c:v>11005573.730100673</c:v>
                </c:pt>
                <c:pt idx="14">
                  <c:v>12078019.842399051</c:v>
                </c:pt>
                <c:pt idx="15">
                  <c:v>11270032.329276687</c:v>
                </c:pt>
                <c:pt idx="16">
                  <c:v>11850174.169150006</c:v>
                </c:pt>
                <c:pt idx="17">
                  <c:v>13037079.870985135</c:v>
                </c:pt>
                <c:pt idx="18">
                  <c:v>14794312.471823713</c:v>
                </c:pt>
                <c:pt idx="19">
                  <c:v>14512633.897268597</c:v>
                </c:pt>
                <c:pt idx="20">
                  <c:v>13232005.991426896</c:v>
                </c:pt>
                <c:pt idx="21">
                  <c:v>12682604.078268046</c:v>
                </c:pt>
                <c:pt idx="22">
                  <c:v>11815498.074681712</c:v>
                </c:pt>
                <c:pt idx="23">
                  <c:v>11830101.93604386</c:v>
                </c:pt>
                <c:pt idx="24">
                  <c:v>12519817.841004552</c:v>
                </c:pt>
                <c:pt idx="25">
                  <c:v>11506194.947336497</c:v>
                </c:pt>
                <c:pt idx="26">
                  <c:v>12594386.018320236</c:v>
                </c:pt>
                <c:pt idx="27">
                  <c:v>11797734.87545133</c:v>
                </c:pt>
                <c:pt idx="28">
                  <c:v>12345127.201259101</c:v>
                </c:pt>
                <c:pt idx="29">
                  <c:v>13436303.554287245</c:v>
                </c:pt>
                <c:pt idx="30">
                  <c:v>15108513.378224891</c:v>
                </c:pt>
                <c:pt idx="31">
                  <c:v>14833132.78714391</c:v>
                </c:pt>
                <c:pt idx="32">
                  <c:v>13602888.74909536</c:v>
                </c:pt>
                <c:pt idx="33">
                  <c:v>13001213.573101111</c:v>
                </c:pt>
                <c:pt idx="34">
                  <c:v>12056642.372782815</c:v>
                </c:pt>
                <c:pt idx="35">
                  <c:v>11954103.741525896</c:v>
                </c:pt>
                <c:pt idx="36">
                  <c:v>12521008.968740784</c:v>
                </c:pt>
                <c:pt idx="37">
                  <c:v>11758158.606212568</c:v>
                </c:pt>
                <c:pt idx="38">
                  <c:v>12478434.6534374</c:v>
                </c:pt>
                <c:pt idx="39">
                  <c:v>11727128.991582321</c:v>
                </c:pt>
                <c:pt idx="40">
                  <c:v>12229175.836376265</c:v>
                </c:pt>
                <c:pt idx="41">
                  <c:v>13221473.848860357</c:v>
                </c:pt>
                <c:pt idx="42">
                  <c:v>14848967.990131581</c:v>
                </c:pt>
                <c:pt idx="43">
                  <c:v>14552174.255238503</c:v>
                </c:pt>
                <c:pt idx="44">
                  <c:v>13376092.875067599</c:v>
                </c:pt>
                <c:pt idx="45">
                  <c:v>12838657.130509606</c:v>
                </c:pt>
                <c:pt idx="46">
                  <c:v>12015637.011242287</c:v>
                </c:pt>
                <c:pt idx="47">
                  <c:v>12000640.350275962</c:v>
                </c:pt>
                <c:pt idx="48">
                  <c:v>12655087.547781441</c:v>
                </c:pt>
                <c:pt idx="49">
                  <c:v>11662877.797925478</c:v>
                </c:pt>
                <c:pt idx="50">
                  <c:v>12739732.498655759</c:v>
                </c:pt>
                <c:pt idx="51">
                  <c:v>11953158.129345484</c:v>
                </c:pt>
                <c:pt idx="52">
                  <c:v>12529521.179134315</c:v>
                </c:pt>
                <c:pt idx="53">
                  <c:v>13599914.18669779</c:v>
                </c:pt>
                <c:pt idx="54">
                  <c:v>15314950.298259608</c:v>
                </c:pt>
                <c:pt idx="55">
                  <c:v>15007449.991460493</c:v>
                </c:pt>
                <c:pt idx="56">
                  <c:v>13875454.495608581</c:v>
                </c:pt>
                <c:pt idx="57">
                  <c:v>13365100.079989422</c:v>
                </c:pt>
                <c:pt idx="58">
                  <c:v>12468393.554074615</c:v>
                </c:pt>
                <c:pt idx="59">
                  <c:v>12281461.94426417</c:v>
                </c:pt>
                <c:pt idx="60">
                  <c:v>12780348.949958313</c:v>
                </c:pt>
                <c:pt idx="61">
                  <c:v>11699337.633116912</c:v>
                </c:pt>
                <c:pt idx="62">
                  <c:v>12808941.847912742</c:v>
                </c:pt>
                <c:pt idx="63">
                  <c:v>12058895.782752497</c:v>
                </c:pt>
                <c:pt idx="64">
                  <c:v>12578576.981274042</c:v>
                </c:pt>
                <c:pt idx="65">
                  <c:v>13515452.739185669</c:v>
                </c:pt>
                <c:pt idx="66">
                  <c:v>15164989.822616395</c:v>
                </c:pt>
                <c:pt idx="67">
                  <c:v>14821591.010014657</c:v>
                </c:pt>
                <c:pt idx="68">
                  <c:v>13703451.077805873</c:v>
                </c:pt>
                <c:pt idx="69">
                  <c:v>13258595.690317797</c:v>
                </c:pt>
                <c:pt idx="70">
                  <c:v>12380153.316478012</c:v>
                </c:pt>
                <c:pt idx="71">
                  <c:v>12214634.850479649</c:v>
                </c:pt>
                <c:pt idx="72">
                  <c:v>12845572.305474505</c:v>
                </c:pt>
                <c:pt idx="73">
                  <c:v>11762219.398377428</c:v>
                </c:pt>
                <c:pt idx="74">
                  <c:v>12870368.778990719</c:v>
                </c:pt>
                <c:pt idx="75">
                  <c:v>12122657.376304347</c:v>
                </c:pt>
                <c:pt idx="76">
                  <c:v>12646328.977155106</c:v>
                </c:pt>
                <c:pt idx="77">
                  <c:v>13588074.96568729</c:v>
                </c:pt>
                <c:pt idx="78">
                  <c:v>15240722.623155896</c:v>
                </c:pt>
                <c:pt idx="79">
                  <c:v>14898148.216590919</c:v>
                </c:pt>
                <c:pt idx="80">
                  <c:v>13778234.772235813</c:v>
                </c:pt>
                <c:pt idx="81">
                  <c:v>13332859.801111124</c:v>
                </c:pt>
                <c:pt idx="82">
                  <c:v>12452872.531925131</c:v>
                </c:pt>
                <c:pt idx="83">
                  <c:v>12286585.082144573</c:v>
                </c:pt>
                <c:pt idx="84">
                  <c:v>13002654.724498682</c:v>
                </c:pt>
                <c:pt idx="85">
                  <c:v>12260486.729346905</c:v>
                </c:pt>
                <c:pt idx="86">
                  <c:v>13022915.161070222</c:v>
                </c:pt>
                <c:pt idx="87">
                  <c:v>12277993.255556026</c:v>
                </c:pt>
                <c:pt idx="88">
                  <c:v>12806432.661662504</c:v>
                </c:pt>
                <c:pt idx="89">
                  <c:v>13753997.690289769</c:v>
                </c:pt>
                <c:pt idx="90">
                  <c:v>15410361.918174732</c:v>
                </c:pt>
                <c:pt idx="91">
                  <c:v>15068772.526931681</c:v>
                </c:pt>
                <c:pt idx="92">
                  <c:v>13946740.058018483</c:v>
                </c:pt>
                <c:pt idx="93">
                  <c:v>13500744.278917788</c:v>
                </c:pt>
                <c:pt idx="94">
                  <c:v>12618911.140683139</c:v>
                </c:pt>
                <c:pt idx="95">
                  <c:v>12451704.895098096</c:v>
                </c:pt>
                <c:pt idx="96">
                  <c:v>13210960.552113693</c:v>
                </c:pt>
                <c:pt idx="97">
                  <c:v>12465740.400073806</c:v>
                </c:pt>
                <c:pt idx="98">
                  <c:v>13226272.521304503</c:v>
                </c:pt>
                <c:pt idx="99">
                  <c:v>12484393.742628463</c:v>
                </c:pt>
                <c:pt idx="100">
                  <c:v>13018034.457514679</c:v>
                </c:pt>
                <c:pt idx="101">
                  <c:v>13971947.611267211</c:v>
                </c:pt>
                <c:pt idx="102">
                  <c:v>15632366.331586376</c:v>
                </c:pt>
                <c:pt idx="103">
                  <c:v>15291851.516289148</c:v>
                </c:pt>
                <c:pt idx="104">
                  <c:v>14167507.354584945</c:v>
                </c:pt>
                <c:pt idx="105">
                  <c:v>13720834.321736898</c:v>
                </c:pt>
                <c:pt idx="106">
                  <c:v>12836987.482360087</c:v>
                </c:pt>
                <c:pt idx="107">
                  <c:v>12668778.901228946</c:v>
                </c:pt>
                <c:pt idx="108">
                  <c:v>13383356.516823243</c:v>
                </c:pt>
                <c:pt idx="109">
                  <c:v>12635262.54106199</c:v>
                </c:pt>
                <c:pt idx="110">
                  <c:v>13394009.150513146</c:v>
                </c:pt>
                <c:pt idx="111">
                  <c:v>12654995.693121416</c:v>
                </c:pt>
                <c:pt idx="112">
                  <c:v>13193533.811745811</c:v>
                </c:pt>
                <c:pt idx="113">
                  <c:v>14153424.178741299</c:v>
                </c:pt>
                <c:pt idx="114">
                  <c:v>15817660.49329387</c:v>
                </c:pt>
                <c:pt idx="115">
                  <c:v>15478157.46800505</c:v>
                </c:pt>
                <c:pt idx="116">
                  <c:v>14351636.682417218</c:v>
                </c:pt>
                <c:pt idx="117">
                  <c:v>13904325.966790752</c:v>
                </c:pt>
                <c:pt idx="118">
                  <c:v>13018583.083952812</c:v>
                </c:pt>
                <c:pt idx="119">
                  <c:v>12849430.732309626</c:v>
                </c:pt>
                <c:pt idx="120">
                  <c:v>13563275.378313534</c:v>
                </c:pt>
                <c:pt idx="121">
                  <c:v>12812270.21912255</c:v>
                </c:pt>
                <c:pt idx="122">
                  <c:v>13569208.105141025</c:v>
                </c:pt>
                <c:pt idx="123">
                  <c:v>12833097.218210306</c:v>
                </c:pt>
                <c:pt idx="124">
                  <c:v>13376596.406821476</c:v>
                </c:pt>
                <c:pt idx="125">
                  <c:v>14342541.690832086</c:v>
                </c:pt>
                <c:pt idx="126">
                  <c:v>16010645.228343096</c:v>
                </c:pt>
                <c:pt idx="127">
                  <c:v>15672167.146332785</c:v>
                </c:pt>
                <c:pt idx="128">
                  <c:v>14543441.440750832</c:v>
                </c:pt>
                <c:pt idx="129">
                  <c:v>14095484.752469845</c:v>
                </c:pt>
                <c:pt idx="130">
                  <c:v>13207821.177605774</c:v>
                </c:pt>
                <c:pt idx="131">
                  <c:v>13037712.78643389</c:v>
                </c:pt>
                <c:pt idx="132">
                  <c:v>13750814.93424274</c:v>
                </c:pt>
                <c:pt idx="133">
                  <c:v>12996860.746237431</c:v>
                </c:pt>
                <c:pt idx="134">
                  <c:v>13751966.395418607</c:v>
                </c:pt>
                <c:pt idx="135">
                  <c:v>13018795.812364893</c:v>
                </c:pt>
                <c:pt idx="136">
                  <c:v>13567320.56487266</c:v>
                </c:pt>
                <c:pt idx="137">
                  <c:v>14539399.47981957</c:v>
                </c:pt>
                <c:pt idx="138">
                  <c:v>16211420.514187489</c:v>
                </c:pt>
                <c:pt idx="139">
                  <c:v>15873980.699718319</c:v>
                </c:pt>
                <c:pt idx="140">
                  <c:v>14743021.41018232</c:v>
                </c:pt>
                <c:pt idx="141">
                  <c:v>14294410.35160229</c:v>
                </c:pt>
                <c:pt idx="142">
                  <c:v>13404801.115715751</c:v>
                </c:pt>
                <c:pt idx="143">
                  <c:v>13233724.256501293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63264"/>
        <c:axId val="248365056"/>
      </c:lineChart>
      <c:dateAx>
        <c:axId val="24836326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48365056"/>
        <c:crosses val="autoZero"/>
        <c:auto val="1"/>
        <c:lblOffset val="100"/>
        <c:baseTimeUnit val="months"/>
      </c:dateAx>
      <c:valAx>
        <c:axId val="248365056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8363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Summary'!$C$4:$C$9</c:f>
              <c:numCache>
                <c:formatCode>_-* #,##0_-;\-* #,##0_-;_-* "-"??_-;_-@_-</c:formatCode>
                <c:ptCount val="6"/>
                <c:pt idx="0">
                  <c:v>196461749.94190001</c:v>
                </c:pt>
                <c:pt idx="1">
                  <c:v>197410764.39520001</c:v>
                </c:pt>
                <c:pt idx="2">
                  <c:v>191104338.41010001</c:v>
                </c:pt>
                <c:pt idx="3">
                  <c:v>184953208.6112</c:v>
                </c:pt>
                <c:pt idx="4">
                  <c:v>189348695.8743</c:v>
                </c:pt>
                <c:pt idx="5">
                  <c:v>192061408.34380001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Summary'!$E$3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Summary'!$G$4:$G$15</c:f>
              <c:numCache>
                <c:formatCode>#,##0</c:formatCode>
                <c:ptCount val="12"/>
                <c:pt idx="0">
                  <c:v>198958273.94464436</c:v>
                </c:pt>
                <c:pt idx="1">
                  <c:v>195624799.88426104</c:v>
                </c:pt>
                <c:pt idx="2">
                  <c:v>192153156.59533206</c:v>
                </c:pt>
                <c:pt idx="3">
                  <c:v>187402174.2487331</c:v>
                </c:pt>
                <c:pt idx="4">
                  <c:v>188206092.28869328</c:v>
                </c:pt>
                <c:pt idx="5">
                  <c:v>190844180.13022214</c:v>
                </c:pt>
                <c:pt idx="6">
                  <c:v>189443308.96773425</c:v>
                </c:pt>
                <c:pt idx="7">
                  <c:v>188569905.37743795</c:v>
                </c:pt>
                <c:pt idx="8">
                  <c:v>187803715.12183088</c:v>
                </c:pt>
                <c:pt idx="9">
                  <c:v>186833546.47174954</c:v>
                </c:pt>
                <c:pt idx="10">
                  <c:v>185896905.49487236</c:v>
                </c:pt>
                <c:pt idx="11">
                  <c:v>185045761.48540792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33056"/>
        <c:axId val="257534592"/>
      </c:lineChart>
      <c:catAx>
        <c:axId val="25753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7534592"/>
        <c:crosses val="autoZero"/>
        <c:auto val="1"/>
        <c:lblAlgn val="ctr"/>
        <c:lblOffset val="100"/>
        <c:noMultiLvlLbl val="0"/>
      </c:catAx>
      <c:valAx>
        <c:axId val="257534592"/>
        <c:scaling>
          <c:orientation val="minMax"/>
          <c:min val="150000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257533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Summary'!$K$3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Summary'!$K$4:$K$9</c:f>
              <c:numCache>
                <c:formatCode>#,##0</c:formatCode>
                <c:ptCount val="6"/>
                <c:pt idx="0">
                  <c:v>93350686.924999997</c:v>
                </c:pt>
                <c:pt idx="1">
                  <c:v>94126083.127000004</c:v>
                </c:pt>
                <c:pt idx="2">
                  <c:v>93008634.910999998</c:v>
                </c:pt>
                <c:pt idx="3">
                  <c:v>88608640.897100002</c:v>
                </c:pt>
                <c:pt idx="4">
                  <c:v>86375577.059599996</c:v>
                </c:pt>
                <c:pt idx="5">
                  <c:v>91470554.884800017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Summary'!$M$3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Summary'!$O$4:$O$15</c:f>
              <c:numCache>
                <c:formatCode>#,##0</c:formatCode>
                <c:ptCount val="12"/>
                <c:pt idx="0">
                  <c:v>96063694.157554254</c:v>
                </c:pt>
                <c:pt idx="1">
                  <c:v>94489375.711892679</c:v>
                </c:pt>
                <c:pt idx="2">
                  <c:v>93775437.058321089</c:v>
                </c:pt>
                <c:pt idx="3">
                  <c:v>90458342.606712252</c:v>
                </c:pt>
                <c:pt idx="4">
                  <c:v>87795092.397601336</c:v>
                </c:pt>
                <c:pt idx="5">
                  <c:v>92804874.116647243</c:v>
                </c:pt>
                <c:pt idx="6">
                  <c:v>90168614.170137078</c:v>
                </c:pt>
                <c:pt idx="7">
                  <c:v>87786118.915764078</c:v>
                </c:pt>
                <c:pt idx="8">
                  <c:v>86684641.852639943</c:v>
                </c:pt>
                <c:pt idx="9">
                  <c:v>85098474.924981415</c:v>
                </c:pt>
                <c:pt idx="10">
                  <c:v>82735586.038014501</c:v>
                </c:pt>
                <c:pt idx="11">
                  <c:v>80532114.427670196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47264"/>
        <c:axId val="259048192"/>
      </c:lineChart>
      <c:catAx>
        <c:axId val="257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9048192"/>
        <c:crosses val="autoZero"/>
        <c:auto val="1"/>
        <c:lblAlgn val="ctr"/>
        <c:lblOffset val="100"/>
        <c:noMultiLvlLbl val="0"/>
      </c:catAx>
      <c:valAx>
        <c:axId val="259048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57547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Summary'!$S$3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Summary'!$S$4:$S$9</c:f>
              <c:numCache>
                <c:formatCode>#,##0</c:formatCode>
                <c:ptCount val="6"/>
                <c:pt idx="0">
                  <c:v>270117289.67619997</c:v>
                </c:pt>
                <c:pt idx="1">
                  <c:v>273806097.95489997</c:v>
                </c:pt>
                <c:pt idx="2">
                  <c:v>273712584.15109998</c:v>
                </c:pt>
                <c:pt idx="3">
                  <c:v>274473667.94679999</c:v>
                </c:pt>
                <c:pt idx="4">
                  <c:v>279458000.47820002</c:v>
                </c:pt>
                <c:pt idx="5">
                  <c:v>272498127.16669995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Summary'!$U$3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Summary'!$W$4:$W$15</c:f>
              <c:numCache>
                <c:formatCode>#,##0</c:formatCode>
                <c:ptCount val="12"/>
                <c:pt idx="0">
                  <c:v>271405597.29040021</c:v>
                </c:pt>
                <c:pt idx="1">
                  <c:v>272384836.00354624</c:v>
                </c:pt>
                <c:pt idx="2">
                  <c:v>276291302.35877836</c:v>
                </c:pt>
                <c:pt idx="3">
                  <c:v>275229805.7752741</c:v>
                </c:pt>
                <c:pt idx="4">
                  <c:v>278460127.21357238</c:v>
                </c:pt>
                <c:pt idx="5">
                  <c:v>272235855.3220126</c:v>
                </c:pt>
                <c:pt idx="6">
                  <c:v>273748533.95650232</c:v>
                </c:pt>
                <c:pt idx="7">
                  <c:v>277111320.66699499</c:v>
                </c:pt>
                <c:pt idx="8">
                  <c:v>281134399.79727244</c:v>
                </c:pt>
                <c:pt idx="9">
                  <c:v>284556078.57407808</c:v>
                </c:pt>
                <c:pt idx="10">
                  <c:v>288057108.86130565</c:v>
                </c:pt>
                <c:pt idx="11">
                  <c:v>292168850.51814729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883072"/>
        <c:axId val="268884608"/>
      </c:lineChart>
      <c:catAx>
        <c:axId val="2688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8884608"/>
        <c:crosses val="autoZero"/>
        <c:auto val="1"/>
        <c:lblAlgn val="ctr"/>
        <c:lblOffset val="100"/>
        <c:noMultiLvlLbl val="0"/>
      </c:catAx>
      <c:valAx>
        <c:axId val="2688846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8883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Summary'!$AA$2</c:f>
              <c:strCache>
                <c:ptCount val="1"/>
                <c:pt idx="0">
                  <c:v>LU kWh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Summary'!$AA$4:$AA$9</c:f>
              <c:numCache>
                <c:formatCode>#,##0</c:formatCode>
                <c:ptCount val="6"/>
                <c:pt idx="0">
                  <c:v>148002868.85999998</c:v>
                </c:pt>
                <c:pt idx="1">
                  <c:v>149058789.9682</c:v>
                </c:pt>
                <c:pt idx="2">
                  <c:v>154491718.44549999</c:v>
                </c:pt>
                <c:pt idx="3">
                  <c:v>155448434.65640002</c:v>
                </c:pt>
                <c:pt idx="4">
                  <c:v>153943745.77000001</c:v>
                </c:pt>
                <c:pt idx="5">
                  <c:v>151518193.477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Summary'!$AC$3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Summary'!$AE$4:$AE$15</c:f>
              <c:numCache>
                <c:formatCode>#,##0</c:formatCode>
                <c:ptCount val="12"/>
                <c:pt idx="0">
                  <c:v>148686446.22546479</c:v>
                </c:pt>
                <c:pt idx="1">
                  <c:v>150173208.29455435</c:v>
                </c:pt>
                <c:pt idx="2">
                  <c:v>154138614.79186413</c:v>
                </c:pt>
                <c:pt idx="3">
                  <c:v>152025924.89650714</c:v>
                </c:pt>
                <c:pt idx="4">
                  <c:v>154964940.3952834</c:v>
                </c:pt>
                <c:pt idx="5">
                  <c:v>153803179.68128556</c:v>
                </c:pt>
                <c:pt idx="6">
                  <c:v>154608449.63329509</c:v>
                </c:pt>
                <c:pt idx="7">
                  <c:v>156975907.95068988</c:v>
                </c:pt>
                <c:pt idx="8">
                  <c:v>159595988.02808896</c:v>
                </c:pt>
                <c:pt idx="9">
                  <c:v>161738180.4980275</c:v>
                </c:pt>
                <c:pt idx="10">
                  <c:v>163968065.7296285</c:v>
                </c:pt>
                <c:pt idx="11">
                  <c:v>166460328.47111398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582528"/>
        <c:axId val="275309312"/>
      </c:lineChart>
      <c:catAx>
        <c:axId val="2745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5309312"/>
        <c:crosses val="autoZero"/>
        <c:auto val="1"/>
        <c:lblAlgn val="ctr"/>
        <c:lblOffset val="100"/>
        <c:noMultiLvlLbl val="0"/>
      </c:catAx>
      <c:valAx>
        <c:axId val="2753093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74582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Predicted Monthly'!$C$1</c:f>
              <c:strCache>
                <c:ptCount val="1"/>
                <c:pt idx="0">
                  <c:v>GSlt50noCDM</c:v>
                </c:pt>
              </c:strCache>
            </c:strRef>
          </c:tx>
          <c:marker>
            <c:symbol val="none"/>
          </c:marker>
          <c:cat>
            <c:numRef>
              <c:f>'GS &lt;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&lt; 50 Predicted Monthly'!$C$2:$C$73</c:f>
              <c:numCache>
                <c:formatCode>General</c:formatCode>
                <c:ptCount val="72"/>
                <c:pt idx="0">
                  <c:v>9408092.4600828551</c:v>
                </c:pt>
                <c:pt idx="1">
                  <c:v>8303130.0614485741</c:v>
                </c:pt>
                <c:pt idx="2">
                  <c:v>8616455.7063142881</c:v>
                </c:pt>
                <c:pt idx="3">
                  <c:v>7332910.1634800034</c:v>
                </c:pt>
                <c:pt idx="4">
                  <c:v>6914339.2261457164</c:v>
                </c:pt>
                <c:pt idx="5">
                  <c:v>6923072.5982114328</c:v>
                </c:pt>
                <c:pt idx="6">
                  <c:v>7578625.0371771464</c:v>
                </c:pt>
                <c:pt idx="7">
                  <c:v>7854475.5284428624</c:v>
                </c:pt>
                <c:pt idx="8">
                  <c:v>7127223.8715085778</c:v>
                </c:pt>
                <c:pt idx="9">
                  <c:v>7360544.6932742912</c:v>
                </c:pt>
                <c:pt idx="10">
                  <c:v>7597920.9622400068</c:v>
                </c:pt>
                <c:pt idx="11">
                  <c:v>8675418.3758057225</c:v>
                </c:pt>
                <c:pt idx="12">
                  <c:v>9383974.6045029908</c:v>
                </c:pt>
                <c:pt idx="13">
                  <c:v>8654532.3013318107</c:v>
                </c:pt>
                <c:pt idx="14">
                  <c:v>8273380.9928606292</c:v>
                </c:pt>
                <c:pt idx="15">
                  <c:v>6988849.8994894521</c:v>
                </c:pt>
                <c:pt idx="16">
                  <c:v>7059902.6826182716</c:v>
                </c:pt>
                <c:pt idx="17">
                  <c:v>7262687.729847094</c:v>
                </c:pt>
                <c:pt idx="18">
                  <c:v>8372270.7691759132</c:v>
                </c:pt>
                <c:pt idx="19">
                  <c:v>8176242.1304047331</c:v>
                </c:pt>
                <c:pt idx="20">
                  <c:v>7195797.6649335548</c:v>
                </c:pt>
                <c:pt idx="21">
                  <c:v>7205179.4104623739</c:v>
                </c:pt>
                <c:pt idx="22">
                  <c:v>7687689.7357911961</c:v>
                </c:pt>
                <c:pt idx="23">
                  <c:v>8818324.9083200172</c:v>
                </c:pt>
                <c:pt idx="24">
                  <c:v>9497858.1950556487</c:v>
                </c:pt>
                <c:pt idx="25">
                  <c:v>8561553.1791980918</c:v>
                </c:pt>
                <c:pt idx="26">
                  <c:v>8681746.0780405328</c:v>
                </c:pt>
                <c:pt idx="27">
                  <c:v>7464534.0887829745</c:v>
                </c:pt>
                <c:pt idx="28">
                  <c:v>7490970.5370254153</c:v>
                </c:pt>
                <c:pt idx="29">
                  <c:v>7258377.2131678574</c:v>
                </c:pt>
                <c:pt idx="30">
                  <c:v>8259843.8168102987</c:v>
                </c:pt>
                <c:pt idx="31">
                  <c:v>7945328.4461527411</c:v>
                </c:pt>
                <c:pt idx="32">
                  <c:v>7095765.259495182</c:v>
                </c:pt>
                <c:pt idx="33">
                  <c:v>6962809.929037625</c:v>
                </c:pt>
                <c:pt idx="34">
                  <c:v>7251164.6070800656</c:v>
                </c:pt>
                <c:pt idx="35">
                  <c:v>8093769.1554225087</c:v>
                </c:pt>
                <c:pt idx="36">
                  <c:v>8616766.236348236</c:v>
                </c:pt>
                <c:pt idx="37">
                  <c:v>7990695.766057251</c:v>
                </c:pt>
                <c:pt idx="38">
                  <c:v>7701208.6086662654</c:v>
                </c:pt>
                <c:pt idx="39">
                  <c:v>6920576.3044752814</c:v>
                </c:pt>
                <c:pt idx="40">
                  <c:v>6992836.9937842954</c:v>
                </c:pt>
                <c:pt idx="41">
                  <c:v>7377632.6825933103</c:v>
                </c:pt>
                <c:pt idx="42">
                  <c:v>8108140.1990023255</c:v>
                </c:pt>
                <c:pt idx="43">
                  <c:v>7894188.0266113393</c:v>
                </c:pt>
                <c:pt idx="44">
                  <c:v>7032231.0455203541</c:v>
                </c:pt>
                <c:pt idx="45">
                  <c:v>6851983.3074293695</c:v>
                </c:pt>
                <c:pt idx="46">
                  <c:v>7479887.5906383833</c:v>
                </c:pt>
                <c:pt idx="47">
                  <c:v>8137948.6939473981</c:v>
                </c:pt>
                <c:pt idx="48">
                  <c:v>8754489.4838419612</c:v>
                </c:pt>
                <c:pt idx="49">
                  <c:v>7995622.6666620364</c:v>
                </c:pt>
                <c:pt idx="50">
                  <c:v>8084522.8748821123</c:v>
                </c:pt>
                <c:pt idx="51">
                  <c:v>7130007.7383021899</c:v>
                </c:pt>
                <c:pt idx="52">
                  <c:v>6622024.3470222652</c:v>
                </c:pt>
                <c:pt idx="53">
                  <c:v>6767791.7244423442</c:v>
                </c:pt>
                <c:pt idx="54">
                  <c:v>7689403.0530624194</c:v>
                </c:pt>
                <c:pt idx="55">
                  <c:v>7361716.6433824971</c:v>
                </c:pt>
                <c:pt idx="56">
                  <c:v>6711883.2291025724</c:v>
                </c:pt>
                <c:pt idx="57">
                  <c:v>6707667.7124226503</c:v>
                </c:pt>
                <c:pt idx="58">
                  <c:v>7486656.2001427263</c:v>
                </c:pt>
                <c:pt idx="59">
                  <c:v>8383117.297562805</c:v>
                </c:pt>
                <c:pt idx="60">
                  <c:v>10036274.758248432</c:v>
                </c:pt>
                <c:pt idx="61">
                  <c:v>8988278.2757826578</c:v>
                </c:pt>
                <c:pt idx="62">
                  <c:v>9142728.9840168841</c:v>
                </c:pt>
                <c:pt idx="63">
                  <c:v>7536422.0635511102</c:v>
                </c:pt>
                <c:pt idx="64">
                  <c:v>6910477.3375853375</c:v>
                </c:pt>
                <c:pt idx="65">
                  <c:v>7069107.7411195636</c:v>
                </c:pt>
                <c:pt idx="66">
                  <c:v>7537152.3196537895</c:v>
                </c:pt>
                <c:pt idx="67">
                  <c:v>7504837.8201880157</c:v>
                </c:pt>
                <c:pt idx="68">
                  <c:v>7021986.2948222412</c:v>
                </c:pt>
                <c:pt idx="69">
                  <c:v>7063037.8751564696</c:v>
                </c:pt>
                <c:pt idx="70">
                  <c:v>7874987.3505906966</c:v>
                </c:pt>
                <c:pt idx="71">
                  <c:v>8668499.038524922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&lt; 50 Predicted Monthly'!$T$1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'GS &lt;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&lt; 50 Predicted Monthly'!$T$2:$T$73</c:f>
              <c:numCache>
                <c:formatCode>_-* #,##0_-;\-* #,##0_-;_-* "-"??_-;_-@_-</c:formatCode>
                <c:ptCount val="72"/>
                <c:pt idx="0">
                  <c:v>9475797.2642237376</c:v>
                </c:pt>
                <c:pt idx="1">
                  <c:v>8409122.8383203465</c:v>
                </c:pt>
                <c:pt idx="2">
                  <c:v>8522769.6914945357</c:v>
                </c:pt>
                <c:pt idx="3">
                  <c:v>7360883.2719092024</c:v>
                </c:pt>
                <c:pt idx="4">
                  <c:v>7239632.7290273812</c:v>
                </c:pt>
                <c:pt idx="5">
                  <c:v>7326022.4688168745</c:v>
                </c:pt>
                <c:pt idx="6">
                  <c:v>7218718.5059345905</c:v>
                </c:pt>
                <c:pt idx="7">
                  <c:v>7970666.3660255307</c:v>
                </c:pt>
                <c:pt idx="8">
                  <c:v>6836633.3672646815</c:v>
                </c:pt>
                <c:pt idx="9">
                  <c:v>7456511.4339693971</c:v>
                </c:pt>
                <c:pt idx="10">
                  <c:v>7627442.4711369835</c:v>
                </c:pt>
                <c:pt idx="11">
                  <c:v>8833331.5541502126</c:v>
                </c:pt>
                <c:pt idx="12">
                  <c:v>9002650.5795977376</c:v>
                </c:pt>
                <c:pt idx="13">
                  <c:v>8239438.920953149</c:v>
                </c:pt>
                <c:pt idx="14">
                  <c:v>8018967.5998770623</c:v>
                </c:pt>
                <c:pt idx="15">
                  <c:v>6940315.9328158544</c:v>
                </c:pt>
                <c:pt idx="16">
                  <c:v>7263695.8719754955</c:v>
                </c:pt>
                <c:pt idx="17">
                  <c:v>7147192.6153522087</c:v>
                </c:pt>
                <c:pt idx="18">
                  <c:v>8603044.7682651877</c:v>
                </c:pt>
                <c:pt idx="19">
                  <c:v>7943920.7860801909</c:v>
                </c:pt>
                <c:pt idx="20">
                  <c:v>7133650.7423619302</c:v>
                </c:pt>
                <c:pt idx="21">
                  <c:v>7305684.9318126254</c:v>
                </c:pt>
                <c:pt idx="22">
                  <c:v>7909264.6093794648</c:v>
                </c:pt>
                <c:pt idx="23">
                  <c:v>8924373.6662805155</c:v>
                </c:pt>
                <c:pt idx="24">
                  <c:v>9366502.8696035407</c:v>
                </c:pt>
                <c:pt idx="25">
                  <c:v>8555228.8949989788</c:v>
                </c:pt>
                <c:pt idx="26">
                  <c:v>8532183.398140518</c:v>
                </c:pt>
                <c:pt idx="27">
                  <c:v>7308509.7513960535</c:v>
                </c:pt>
                <c:pt idx="28">
                  <c:v>7069491.4164793016</c:v>
                </c:pt>
                <c:pt idx="29">
                  <c:v>7025182.6434979206</c:v>
                </c:pt>
                <c:pt idx="30">
                  <c:v>8340295.9013088765</c:v>
                </c:pt>
                <c:pt idx="31">
                  <c:v>7561433.4144792911</c:v>
                </c:pt>
                <c:pt idx="32">
                  <c:v>6943649.707044648</c:v>
                </c:pt>
                <c:pt idx="33">
                  <c:v>7167791.3483117511</c:v>
                </c:pt>
                <c:pt idx="34">
                  <c:v>7565258.4907100871</c:v>
                </c:pt>
                <c:pt idx="35">
                  <c:v>8471717.9576789662</c:v>
                </c:pt>
                <c:pt idx="36">
                  <c:v>8764723.8935451992</c:v>
                </c:pt>
                <c:pt idx="37">
                  <c:v>8084518.6551327351</c:v>
                </c:pt>
                <c:pt idx="38">
                  <c:v>7779371.1072634384</c:v>
                </c:pt>
                <c:pt idx="39">
                  <c:v>7151845.328090799</c:v>
                </c:pt>
                <c:pt idx="40">
                  <c:v>6959233.2062719623</c:v>
                </c:pt>
                <c:pt idx="41">
                  <c:v>7282666.650301801</c:v>
                </c:pt>
                <c:pt idx="42">
                  <c:v>8178947.5942459758</c:v>
                </c:pt>
                <c:pt idx="43">
                  <c:v>7681189.8324387381</c:v>
                </c:pt>
                <c:pt idx="44">
                  <c:v>6702176.8350482835</c:v>
                </c:pt>
                <c:pt idx="45">
                  <c:v>6875941.3387299161</c:v>
                </c:pt>
                <c:pt idx="46">
                  <c:v>7706930.2585075358</c:v>
                </c:pt>
                <c:pt idx="47">
                  <c:v>8366636.3426248934</c:v>
                </c:pt>
                <c:pt idx="48">
                  <c:v>8654508.207689058</c:v>
                </c:pt>
                <c:pt idx="49">
                  <c:v>8198174.8471399993</c:v>
                </c:pt>
                <c:pt idx="50">
                  <c:v>8169383.9029303398</c:v>
                </c:pt>
                <c:pt idx="51">
                  <c:v>7102166.6160117984</c:v>
                </c:pt>
                <c:pt idx="52">
                  <c:v>6777333.6025565434</c:v>
                </c:pt>
                <c:pt idx="53">
                  <c:v>6952082.9753038213</c:v>
                </c:pt>
                <c:pt idx="54">
                  <c:v>7740659.730208314</c:v>
                </c:pt>
                <c:pt idx="55">
                  <c:v>7170609.9365059165</c:v>
                </c:pt>
                <c:pt idx="56">
                  <c:v>6685052.6625856254</c:v>
                </c:pt>
                <c:pt idx="57">
                  <c:v>6736454.4160669269</c:v>
                </c:pt>
                <c:pt idx="58">
                  <c:v>7413571.91837883</c:v>
                </c:pt>
                <c:pt idx="59">
                  <c:v>8382601.8067882396</c:v>
                </c:pt>
                <c:pt idx="60">
                  <c:v>9672380.4221791625</c:v>
                </c:pt>
                <c:pt idx="61">
                  <c:v>9007328.0939352829</c:v>
                </c:pt>
                <c:pt idx="62">
                  <c:v>9118697.1902196892</c:v>
                </c:pt>
                <c:pt idx="63">
                  <c:v>7509579.3578573558</c:v>
                </c:pt>
                <c:pt idx="64">
                  <c:v>7355256.5714438995</c:v>
                </c:pt>
                <c:pt idx="65">
                  <c:v>7524344.0909306658</c:v>
                </c:pt>
                <c:pt idx="66">
                  <c:v>7600486.3545291517</c:v>
                </c:pt>
                <c:pt idx="67">
                  <c:v>7551865.2362681804</c:v>
                </c:pt>
                <c:pt idx="68">
                  <c:v>6878051.4479757939</c:v>
                </c:pt>
                <c:pt idx="69">
                  <c:v>6967967.969283862</c:v>
                </c:pt>
                <c:pt idx="70">
                  <c:v>7802382.7910801871</c:v>
                </c:pt>
                <c:pt idx="71">
                  <c:v>8365450.3335369835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052672"/>
        <c:axId val="259054208"/>
      </c:lineChart>
      <c:dateAx>
        <c:axId val="25905267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59054208"/>
        <c:crosses val="autoZero"/>
        <c:auto val="1"/>
        <c:lblOffset val="100"/>
        <c:baseTimeUnit val="months"/>
      </c:dateAx>
      <c:valAx>
        <c:axId val="259054208"/>
        <c:scaling>
          <c:orientation val="minMax"/>
          <c:min val="6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59052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Predicted Monthly'!$C$1</c:f>
              <c:strCache>
                <c:ptCount val="1"/>
                <c:pt idx="0">
                  <c:v>GSgt50noCDM</c:v>
                </c:pt>
              </c:strCache>
            </c:strRef>
          </c:tx>
          <c:marker>
            <c:symbol val="none"/>
          </c:marker>
          <c:cat>
            <c:numRef>
              <c:f>'GS &gt;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&gt; 50 Predicted Monthly'!$C$2:$C$73</c:f>
              <c:numCache>
                <c:formatCode>General</c:formatCode>
                <c:ptCount val="72"/>
                <c:pt idx="0">
                  <c:v>27538204.187447365</c:v>
                </c:pt>
                <c:pt idx="1">
                  <c:v>24304974.191142105</c:v>
                </c:pt>
                <c:pt idx="2">
                  <c:v>24608843.61283683</c:v>
                </c:pt>
                <c:pt idx="3">
                  <c:v>21120456.317131568</c:v>
                </c:pt>
                <c:pt idx="4">
                  <c:v>20015258.117326297</c:v>
                </c:pt>
                <c:pt idx="5">
                  <c:v>20097056.883721031</c:v>
                </c:pt>
                <c:pt idx="6">
                  <c:v>21557347.533615761</c:v>
                </c:pt>
                <c:pt idx="7">
                  <c:v>22341965.693210494</c:v>
                </c:pt>
                <c:pt idx="8">
                  <c:v>20675414.914105225</c:v>
                </c:pt>
                <c:pt idx="9">
                  <c:v>21958766.746799961</c:v>
                </c:pt>
                <c:pt idx="10">
                  <c:v>22285160.608694695</c:v>
                </c:pt>
                <c:pt idx="11">
                  <c:v>24254289.862589426</c:v>
                </c:pt>
                <c:pt idx="12">
                  <c:v>27142755.173439831</c:v>
                </c:pt>
                <c:pt idx="13">
                  <c:v>23537491.120734841</c:v>
                </c:pt>
                <c:pt idx="14">
                  <c:v>23396470.955129851</c:v>
                </c:pt>
                <c:pt idx="15">
                  <c:v>20779762.156024866</c:v>
                </c:pt>
                <c:pt idx="16">
                  <c:v>21178562.235319879</c:v>
                </c:pt>
                <c:pt idx="17">
                  <c:v>21323669.044414893</c:v>
                </c:pt>
                <c:pt idx="18">
                  <c:v>24293426.46420991</c:v>
                </c:pt>
                <c:pt idx="19">
                  <c:v>23473713.540204924</c:v>
                </c:pt>
                <c:pt idx="20">
                  <c:v>20762206.116099935</c:v>
                </c:pt>
                <c:pt idx="21">
                  <c:v>21314314.684494946</c:v>
                </c:pt>
                <c:pt idx="22">
                  <c:v>22646691.283989962</c:v>
                </c:pt>
                <c:pt idx="23">
                  <c:v>25374125.159584977</c:v>
                </c:pt>
                <c:pt idx="24">
                  <c:v>26819955.496768035</c:v>
                </c:pt>
                <c:pt idx="25">
                  <c:v>24243560.417216163</c:v>
                </c:pt>
                <c:pt idx="26">
                  <c:v>24885464.581564292</c:v>
                </c:pt>
                <c:pt idx="27">
                  <c:v>21554917.346312415</c:v>
                </c:pt>
                <c:pt idx="28">
                  <c:v>21110104.172260538</c:v>
                </c:pt>
                <c:pt idx="29">
                  <c:v>21224541.706708666</c:v>
                </c:pt>
                <c:pt idx="30">
                  <c:v>23605421.411356788</c:v>
                </c:pt>
                <c:pt idx="31">
                  <c:v>22936909.924904913</c:v>
                </c:pt>
                <c:pt idx="32">
                  <c:v>21272148.788853042</c:v>
                </c:pt>
                <c:pt idx="33">
                  <c:v>21689864.312401172</c:v>
                </c:pt>
                <c:pt idx="34">
                  <c:v>22036090.227049295</c:v>
                </c:pt>
                <c:pt idx="35">
                  <c:v>24098497.192697417</c:v>
                </c:pt>
                <c:pt idx="36">
                  <c:v>25884369.936335795</c:v>
                </c:pt>
                <c:pt idx="37">
                  <c:v>23846238.243764419</c:v>
                </c:pt>
                <c:pt idx="38">
                  <c:v>23337909.585693043</c:v>
                </c:pt>
                <c:pt idx="39">
                  <c:v>21042150.547521669</c:v>
                </c:pt>
                <c:pt idx="40">
                  <c:v>21123089.636950299</c:v>
                </c:pt>
                <c:pt idx="41">
                  <c:v>22012463.81367892</c:v>
                </c:pt>
                <c:pt idx="42">
                  <c:v>24325640.430607546</c:v>
                </c:pt>
                <c:pt idx="43">
                  <c:v>23912145.189136177</c:v>
                </c:pt>
                <c:pt idx="44">
                  <c:v>21690402.018964801</c:v>
                </c:pt>
                <c:pt idx="45">
                  <c:v>21873357.22849343</c:v>
                </c:pt>
                <c:pt idx="46">
                  <c:v>23887273.539022051</c:v>
                </c:pt>
                <c:pt idx="47">
                  <c:v>25316304.236350678</c:v>
                </c:pt>
                <c:pt idx="48">
                  <c:v>27247888.509537995</c:v>
                </c:pt>
                <c:pt idx="49">
                  <c:v>24661696.396936703</c:v>
                </c:pt>
                <c:pt idx="50">
                  <c:v>25156036.893035416</c:v>
                </c:pt>
                <c:pt idx="51">
                  <c:v>22478377.571534127</c:v>
                </c:pt>
                <c:pt idx="52">
                  <c:v>21098970.468832832</c:v>
                </c:pt>
                <c:pt idx="53">
                  <c:v>21584100.430531546</c:v>
                </c:pt>
                <c:pt idx="54">
                  <c:v>24380210.304030258</c:v>
                </c:pt>
                <c:pt idx="55">
                  <c:v>23693758.831728969</c:v>
                </c:pt>
                <c:pt idx="56">
                  <c:v>21820286.767527681</c:v>
                </c:pt>
                <c:pt idx="57">
                  <c:v>22103727.918226391</c:v>
                </c:pt>
                <c:pt idx="58">
                  <c:v>24077093.308325101</c:v>
                </c:pt>
                <c:pt idx="59">
                  <c:v>27124967.93432381</c:v>
                </c:pt>
                <c:pt idx="60">
                  <c:v>27950268.010342397</c:v>
                </c:pt>
                <c:pt idx="61">
                  <c:v>25183796.294191923</c:v>
                </c:pt>
                <c:pt idx="62">
                  <c:v>26456428.892041452</c:v>
                </c:pt>
                <c:pt idx="63">
                  <c:v>22397499.332090985</c:v>
                </c:pt>
                <c:pt idx="64">
                  <c:v>20822092.799240515</c:v>
                </c:pt>
                <c:pt idx="65">
                  <c:v>21310374.756490044</c:v>
                </c:pt>
                <c:pt idx="66">
                  <c:v>22627282.128939569</c:v>
                </c:pt>
                <c:pt idx="67">
                  <c:v>22450638.6115891</c:v>
                </c:pt>
                <c:pt idx="68">
                  <c:v>21090477.322838631</c:v>
                </c:pt>
                <c:pt idx="69">
                  <c:v>21359556.577988163</c:v>
                </c:pt>
                <c:pt idx="70">
                  <c:v>23170252.922537688</c:v>
                </c:pt>
                <c:pt idx="71">
                  <c:v>25213323.109987214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&gt; 50 Predicted Monthly'!$Z$1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'GS &gt;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&gt; 50 Predicted Monthly'!$Z$2:$Z$73</c:f>
              <c:numCache>
                <c:formatCode>_-* #,##0_-;\-* #,##0_-;_-* "-"??_-;_-@_-</c:formatCode>
                <c:ptCount val="72"/>
                <c:pt idx="0">
                  <c:v>28008167.808293406</c:v>
                </c:pt>
                <c:pt idx="1">
                  <c:v>24258023.568599932</c:v>
                </c:pt>
                <c:pt idx="2">
                  <c:v>24408009.846535672</c:v>
                </c:pt>
                <c:pt idx="3">
                  <c:v>21048380.972581387</c:v>
                </c:pt>
                <c:pt idx="4">
                  <c:v>20278763.03205429</c:v>
                </c:pt>
                <c:pt idx="5">
                  <c:v>20773558.48666944</c:v>
                </c:pt>
                <c:pt idx="6">
                  <c:v>20675504.103475954</c:v>
                </c:pt>
                <c:pt idx="7">
                  <c:v>22440124.465793006</c:v>
                </c:pt>
                <c:pt idx="8">
                  <c:v>19960570.968479838</c:v>
                </c:pt>
                <c:pt idx="9">
                  <c:v>21606256.357446928</c:v>
                </c:pt>
                <c:pt idx="10">
                  <c:v>21973687.904761437</c:v>
                </c:pt>
                <c:pt idx="11">
                  <c:v>24854743.551740747</c:v>
                </c:pt>
                <c:pt idx="12">
                  <c:v>26185515.75525501</c:v>
                </c:pt>
                <c:pt idx="13">
                  <c:v>23470847.415319007</c:v>
                </c:pt>
                <c:pt idx="14">
                  <c:v>23500424.009661317</c:v>
                </c:pt>
                <c:pt idx="15">
                  <c:v>20463897.831964038</c:v>
                </c:pt>
                <c:pt idx="16">
                  <c:v>20940183.013417356</c:v>
                </c:pt>
                <c:pt idx="17">
                  <c:v>21202369.276597362</c:v>
                </c:pt>
                <c:pt idx="18">
                  <c:v>24715536.207568604</c:v>
                </c:pt>
                <c:pt idx="19">
                  <c:v>23111381.936768487</c:v>
                </c:pt>
                <c:pt idx="20">
                  <c:v>21169959.118005022</c:v>
                </c:pt>
                <c:pt idx="21">
                  <c:v>21491827.385484554</c:v>
                </c:pt>
                <c:pt idx="22">
                  <c:v>22649637.615246885</c:v>
                </c:pt>
                <c:pt idx="23">
                  <c:v>25228044.204085819</c:v>
                </c:pt>
                <c:pt idx="24">
                  <c:v>27293549.472542189</c:v>
                </c:pt>
                <c:pt idx="25">
                  <c:v>24452920.686352614</c:v>
                </c:pt>
                <c:pt idx="26">
                  <c:v>25013800.471512891</c:v>
                </c:pt>
                <c:pt idx="27">
                  <c:v>21664918.922520787</c:v>
                </c:pt>
                <c:pt idx="28">
                  <c:v>20815713.028972186</c:v>
                </c:pt>
                <c:pt idx="29">
                  <c:v>21102100.661940135</c:v>
                </c:pt>
                <c:pt idx="30">
                  <c:v>24202649.850286461</c:v>
                </c:pt>
                <c:pt idx="31">
                  <c:v>22736212.200903267</c:v>
                </c:pt>
                <c:pt idx="32">
                  <c:v>21242485.471659128</c:v>
                </c:pt>
                <c:pt idx="33">
                  <c:v>21762953.678811181</c:v>
                </c:pt>
                <c:pt idx="34">
                  <c:v>22576832.421770211</c:v>
                </c:pt>
                <c:pt idx="35">
                  <c:v>24830669.389461074</c:v>
                </c:pt>
                <c:pt idx="36">
                  <c:v>26414030.722755548</c:v>
                </c:pt>
                <c:pt idx="37">
                  <c:v>23827654.046868481</c:v>
                </c:pt>
                <c:pt idx="38">
                  <c:v>23694074.286351707</c:v>
                </c:pt>
                <c:pt idx="39">
                  <c:v>21893200.430350222</c:v>
                </c:pt>
                <c:pt idx="40">
                  <c:v>21135853.705957323</c:v>
                </c:pt>
                <c:pt idx="41">
                  <c:v>22175083.635677688</c:v>
                </c:pt>
                <c:pt idx="42">
                  <c:v>24297462.602507502</c:v>
                </c:pt>
                <c:pt idx="43">
                  <c:v>23329020.073022254</c:v>
                </c:pt>
                <c:pt idx="44">
                  <c:v>21334982.007779423</c:v>
                </c:pt>
                <c:pt idx="45">
                  <c:v>21717097.524929699</c:v>
                </c:pt>
                <c:pt idx="46">
                  <c:v>23458083.519729484</c:v>
                </c:pt>
                <c:pt idx="47">
                  <c:v>25151103.512812514</c:v>
                </c:pt>
                <c:pt idx="48">
                  <c:v>26882725.096215814</c:v>
                </c:pt>
                <c:pt idx="49">
                  <c:v>24849172.284861259</c:v>
                </c:pt>
                <c:pt idx="50">
                  <c:v>25422906.347544204</c:v>
                </c:pt>
                <c:pt idx="51">
                  <c:v>22425743.104392797</c:v>
                </c:pt>
                <c:pt idx="52">
                  <c:v>21443114.336829111</c:v>
                </c:pt>
                <c:pt idx="53">
                  <c:v>22182476.631852228</c:v>
                </c:pt>
                <c:pt idx="54">
                  <c:v>24109864.000358462</c:v>
                </c:pt>
                <c:pt idx="55">
                  <c:v>23008785.00638729</c:v>
                </c:pt>
                <c:pt idx="56">
                  <c:v>21900978.624151938</c:v>
                </c:pt>
                <c:pt idx="57">
                  <c:v>22202572.689398032</c:v>
                </c:pt>
                <c:pt idx="58">
                  <c:v>24031837.9014314</c:v>
                </c:pt>
                <c:pt idx="59">
                  <c:v>26395839.267657775</c:v>
                </c:pt>
                <c:pt idx="60">
                  <c:v>27438427.370831739</c:v>
                </c:pt>
                <c:pt idx="61">
                  <c:v>24919138.661985025</c:v>
                </c:pt>
                <c:pt idx="62">
                  <c:v>26162964.646672729</c:v>
                </c:pt>
                <c:pt idx="63">
                  <c:v>21877022.008806504</c:v>
                </c:pt>
                <c:pt idx="64">
                  <c:v>21230255.080142245</c:v>
                </c:pt>
                <c:pt idx="65">
                  <c:v>21950073.31922023</c:v>
                </c:pt>
                <c:pt idx="66">
                  <c:v>22328498.146407325</c:v>
                </c:pt>
                <c:pt idx="67">
                  <c:v>22314161.326202065</c:v>
                </c:pt>
                <c:pt idx="68">
                  <c:v>21450390.716223374</c:v>
                </c:pt>
                <c:pt idx="69">
                  <c:v>21655548.57357135</c:v>
                </c:pt>
                <c:pt idx="70">
                  <c:v>23527382.807532698</c:v>
                </c:pt>
                <c:pt idx="71">
                  <c:v>24921107.569775723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777664"/>
        <c:axId val="279779584"/>
      </c:lineChart>
      <c:dateAx>
        <c:axId val="27977766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79779584"/>
        <c:crosses val="autoZero"/>
        <c:auto val="1"/>
        <c:lblOffset val="100"/>
        <c:baseTimeUnit val="months"/>
      </c:dateAx>
      <c:valAx>
        <c:axId val="279779584"/>
        <c:scaling>
          <c:orientation val="minMax"/>
          <c:min val="18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79777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'LU Predicted Monthly'!$C$1</c:f>
              <c:strCache>
                <c:ptCount val="1"/>
                <c:pt idx="0">
                  <c:v>LUnoCDM</c:v>
                </c:pt>
              </c:strCache>
            </c:strRef>
          </c:tx>
          <c:marker>
            <c:symbol val="none"/>
          </c:marker>
          <c:cat>
            <c:numRef>
              <c:f>'LU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'LU Predicted Monthly'!$C$2:$C$73</c:f>
              <c:numCache>
                <c:formatCode>#,##0</c:formatCode>
                <c:ptCount val="72"/>
                <c:pt idx="0">
                  <c:v>12630235.100299999</c:v>
                </c:pt>
                <c:pt idx="1">
                  <c:v>11333821.4934</c:v>
                </c:pt>
                <c:pt idx="2">
                  <c:v>12370923.8947</c:v>
                </c:pt>
                <c:pt idx="3">
                  <c:v>11402691.3343</c:v>
                </c:pt>
                <c:pt idx="4">
                  <c:v>11555213.605999999</c:v>
                </c:pt>
                <c:pt idx="5">
                  <c:v>12458106.387699999</c:v>
                </c:pt>
                <c:pt idx="6">
                  <c:v>13695389.126600001</c:v>
                </c:pt>
                <c:pt idx="7">
                  <c:v>14408989.219000001</c:v>
                </c:pt>
                <c:pt idx="8">
                  <c:v>12983020.697999999</c:v>
                </c:pt>
                <c:pt idx="9">
                  <c:v>12029943</c:v>
                </c:pt>
                <c:pt idx="10">
                  <c:v>11523934</c:v>
                </c:pt>
                <c:pt idx="11">
                  <c:v>11610601</c:v>
                </c:pt>
                <c:pt idx="12">
                  <c:v>11955217.004000001</c:v>
                </c:pt>
                <c:pt idx="13">
                  <c:v>10874740.4221</c:v>
                </c:pt>
                <c:pt idx="14">
                  <c:v>11920294.521500001</c:v>
                </c:pt>
                <c:pt idx="15">
                  <c:v>11299278.237500001</c:v>
                </c:pt>
                <c:pt idx="16">
                  <c:v>12141816.925799999</c:v>
                </c:pt>
                <c:pt idx="17">
                  <c:v>12649401.524900001</c:v>
                </c:pt>
                <c:pt idx="18">
                  <c:v>14680604.799199998</c:v>
                </c:pt>
                <c:pt idx="19">
                  <c:v>14598500.270999998</c:v>
                </c:pt>
                <c:pt idx="20">
                  <c:v>13203697.476100001</c:v>
                </c:pt>
                <c:pt idx="21">
                  <c:v>12168635.138100002</c:v>
                </c:pt>
                <c:pt idx="22">
                  <c:v>11726856.469900001</c:v>
                </c:pt>
                <c:pt idx="23">
                  <c:v>11839747.178100001</c:v>
                </c:pt>
                <c:pt idx="24">
                  <c:v>12405613.722375479</c:v>
                </c:pt>
                <c:pt idx="25">
                  <c:v>11374508.151626434</c:v>
                </c:pt>
                <c:pt idx="26">
                  <c:v>12423061.406977391</c:v>
                </c:pt>
                <c:pt idx="27">
                  <c:v>11687900.613328347</c:v>
                </c:pt>
                <c:pt idx="28">
                  <c:v>12168060.882579302</c:v>
                </c:pt>
                <c:pt idx="29">
                  <c:v>13362627.250630258</c:v>
                </c:pt>
                <c:pt idx="30">
                  <c:v>15310374.188881215</c:v>
                </c:pt>
                <c:pt idx="31">
                  <c:v>15010910.93713217</c:v>
                </c:pt>
                <c:pt idx="32">
                  <c:v>14264567.369983125</c:v>
                </c:pt>
                <c:pt idx="33">
                  <c:v>12925769.505834082</c:v>
                </c:pt>
                <c:pt idx="34">
                  <c:v>12089342.293885039</c:v>
                </c:pt>
                <c:pt idx="35">
                  <c:v>12086426.369935995</c:v>
                </c:pt>
                <c:pt idx="36">
                  <c:v>12687881.381740851</c:v>
                </c:pt>
                <c:pt idx="37">
                  <c:v>11983197.462399608</c:v>
                </c:pt>
                <c:pt idx="38">
                  <c:v>12365654.656258361</c:v>
                </c:pt>
                <c:pt idx="39">
                  <c:v>11808524.705317117</c:v>
                </c:pt>
                <c:pt idx="40">
                  <c:v>12602122.195275875</c:v>
                </c:pt>
                <c:pt idx="41">
                  <c:v>13366894.89953463</c:v>
                </c:pt>
                <c:pt idx="42">
                  <c:v>15543673.288693383</c:v>
                </c:pt>
                <c:pt idx="43">
                  <c:v>15448054.65755214</c:v>
                </c:pt>
                <c:pt idx="44">
                  <c:v>13925687.582410896</c:v>
                </c:pt>
                <c:pt idx="45">
                  <c:v>13003928.864269651</c:v>
                </c:pt>
                <c:pt idx="46">
                  <c:v>12248431.335128408</c:v>
                </c:pt>
                <c:pt idx="47">
                  <c:v>12006009.248987164</c:v>
                </c:pt>
                <c:pt idx="48">
                  <c:v>12946169.933968732</c:v>
                </c:pt>
                <c:pt idx="49">
                  <c:v>11918008.924639778</c:v>
                </c:pt>
                <c:pt idx="50">
                  <c:v>12785963.206510823</c:v>
                </c:pt>
                <c:pt idx="51">
                  <c:v>12157037.078981869</c:v>
                </c:pt>
                <c:pt idx="52">
                  <c:v>12523396.567452911</c:v>
                </c:pt>
                <c:pt idx="53">
                  <c:v>12722039.760923959</c:v>
                </c:pt>
                <c:pt idx="54">
                  <c:v>15454178.324395005</c:v>
                </c:pt>
                <c:pt idx="55">
                  <c:v>14808216.64886605</c:v>
                </c:pt>
                <c:pt idx="56">
                  <c:v>13501871.533337096</c:v>
                </c:pt>
                <c:pt idx="57">
                  <c:v>13230473.214808144</c:v>
                </c:pt>
                <c:pt idx="58">
                  <c:v>12253923.650279187</c:v>
                </c:pt>
                <c:pt idx="59">
                  <c:v>12130628.233750233</c:v>
                </c:pt>
                <c:pt idx="60">
                  <c:v>13033973.56868916</c:v>
                </c:pt>
                <c:pt idx="61">
                  <c:v>11848081.274361238</c:v>
                </c:pt>
                <c:pt idx="62">
                  <c:v>12980706.140033314</c:v>
                </c:pt>
                <c:pt idx="63">
                  <c:v>11758120.119705392</c:v>
                </c:pt>
                <c:pt idx="64">
                  <c:v>12122237.938377466</c:v>
                </c:pt>
                <c:pt idx="65">
                  <c:v>13083864.686049545</c:v>
                </c:pt>
                <c:pt idx="66">
                  <c:v>14274331.698721621</c:v>
                </c:pt>
                <c:pt idx="67">
                  <c:v>14357715.618393699</c:v>
                </c:pt>
                <c:pt idx="68">
                  <c:v>13829170.520065775</c:v>
                </c:pt>
                <c:pt idx="69">
                  <c:v>13041002.974737853</c:v>
                </c:pt>
                <c:pt idx="70">
                  <c:v>12172721.066409929</c:v>
                </c:pt>
                <c:pt idx="71">
                  <c:v>12198057.892082004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'LU Predicted Monthly'!$X$1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'LU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'LU Predicted Monthly'!$X$2:$X$73</c:f>
              <c:numCache>
                <c:formatCode>_-* #,##0_-;\-* #,##0_-;_-* "-"??_-;_-@_-</c:formatCode>
                <c:ptCount val="72"/>
                <c:pt idx="0">
                  <c:v>12725248.81211946</c:v>
                </c:pt>
                <c:pt idx="1">
                  <c:v>11669784.815299286</c:v>
                </c:pt>
                <c:pt idx="2">
                  <c:v>12402614.772409424</c:v>
                </c:pt>
                <c:pt idx="3">
                  <c:v>11419437.041177228</c:v>
                </c:pt>
                <c:pt idx="4">
                  <c:v>11507506.577386452</c:v>
                </c:pt>
                <c:pt idx="5">
                  <c:v>12245718.255262244</c:v>
                </c:pt>
                <c:pt idx="6">
                  <c:v>12941031.177364297</c:v>
                </c:pt>
                <c:pt idx="7">
                  <c:v>13951117.153065166</c:v>
                </c:pt>
                <c:pt idx="8">
                  <c:v>12435174.019155128</c:v>
                </c:pt>
                <c:pt idx="9">
                  <c:v>12225574.074042935</c:v>
                </c:pt>
                <c:pt idx="10">
                  <c:v>11701341.624457814</c:v>
                </c:pt>
                <c:pt idx="11">
                  <c:v>11477206.131007005</c:v>
                </c:pt>
                <c:pt idx="12">
                  <c:v>12130600.925483372</c:v>
                </c:pt>
                <c:pt idx="13">
                  <c:v>11126196.958903547</c:v>
                </c:pt>
                <c:pt idx="14">
                  <c:v>12282114.112482673</c:v>
                </c:pt>
                <c:pt idx="15">
                  <c:v>11448486.876832781</c:v>
                </c:pt>
                <c:pt idx="16">
                  <c:v>12244948.903348099</c:v>
                </c:pt>
                <c:pt idx="17">
                  <c:v>12842221.794884101</c:v>
                </c:pt>
                <c:pt idx="18">
                  <c:v>15602746.786849149</c:v>
                </c:pt>
                <c:pt idx="19">
                  <c:v>14763125.989994112</c:v>
                </c:pt>
                <c:pt idx="20">
                  <c:v>13385462.060290944</c:v>
                </c:pt>
                <c:pt idx="21">
                  <c:v>12631918.879376294</c:v>
                </c:pt>
                <c:pt idx="22">
                  <c:v>11801223.71094477</c:v>
                </c:pt>
                <c:pt idx="23">
                  <c:v>11772829.692968721</c:v>
                </c:pt>
                <c:pt idx="24">
                  <c:v>12385988.398132132</c:v>
                </c:pt>
                <c:pt idx="25">
                  <c:v>11471450.951791765</c:v>
                </c:pt>
                <c:pt idx="26">
                  <c:v>12519207.702639032</c:v>
                </c:pt>
                <c:pt idx="27">
                  <c:v>11743005.76647881</c:v>
                </c:pt>
                <c:pt idx="28">
                  <c:v>12196959.10247835</c:v>
                </c:pt>
                <c:pt idx="29">
                  <c:v>13101657.053833609</c:v>
                </c:pt>
                <c:pt idx="30">
                  <c:v>15519864.33917151</c:v>
                </c:pt>
                <c:pt idx="31">
                  <c:v>14674693.23001706</c:v>
                </c:pt>
                <c:pt idx="32">
                  <c:v>13716584.086241329</c:v>
                </c:pt>
                <c:pt idx="33">
                  <c:v>12995262.47498364</c:v>
                </c:pt>
                <c:pt idx="34">
                  <c:v>12152484.529302243</c:v>
                </c:pt>
                <c:pt idx="35">
                  <c:v>12072396.461963557</c:v>
                </c:pt>
                <c:pt idx="36">
                  <c:v>12660043.213628851</c:v>
                </c:pt>
                <c:pt idx="37">
                  <c:v>11909855.279884961</c:v>
                </c:pt>
                <c:pt idx="38">
                  <c:v>12759629.908603529</c:v>
                </c:pt>
                <c:pt idx="39">
                  <c:v>11672078.260781797</c:v>
                </c:pt>
                <c:pt idx="40">
                  <c:v>12542755.746682353</c:v>
                </c:pt>
                <c:pt idx="41">
                  <c:v>13360637.173760522</c:v>
                </c:pt>
                <c:pt idx="42">
                  <c:v>15304993.207746286</c:v>
                </c:pt>
                <c:pt idx="43">
                  <c:v>14749898.245957941</c:v>
                </c:pt>
                <c:pt idx="44">
                  <c:v>13343408.267703988</c:v>
                </c:pt>
                <c:pt idx="45">
                  <c:v>12837689.443409091</c:v>
                </c:pt>
                <c:pt idx="46">
                  <c:v>11909113.358048955</c:v>
                </c:pt>
                <c:pt idx="47">
                  <c:v>12070186.604074558</c:v>
                </c:pt>
                <c:pt idx="48">
                  <c:v>12733528.575173941</c:v>
                </c:pt>
                <c:pt idx="49">
                  <c:v>11641534.225480726</c:v>
                </c:pt>
                <c:pt idx="50">
                  <c:v>12678925.651226714</c:v>
                </c:pt>
                <c:pt idx="51">
                  <c:v>11828513.769416541</c:v>
                </c:pt>
                <c:pt idx="52">
                  <c:v>12495237.182840316</c:v>
                </c:pt>
                <c:pt idx="53">
                  <c:v>13284768.5173153</c:v>
                </c:pt>
                <c:pt idx="54">
                  <c:v>15318925.598972894</c:v>
                </c:pt>
                <c:pt idx="55">
                  <c:v>14693686.832463322</c:v>
                </c:pt>
                <c:pt idx="56">
                  <c:v>13749798.972021921</c:v>
                </c:pt>
                <c:pt idx="57">
                  <c:v>13437741.477716174</c:v>
                </c:pt>
                <c:pt idx="58">
                  <c:v>12356820.466089986</c:v>
                </c:pt>
                <c:pt idx="59">
                  <c:v>12139708.77295002</c:v>
                </c:pt>
                <c:pt idx="60">
                  <c:v>12663415.692733694</c:v>
                </c:pt>
                <c:pt idx="61">
                  <c:v>11585938.980246197</c:v>
                </c:pt>
                <c:pt idx="62">
                  <c:v>12491973.289340576</c:v>
                </c:pt>
                <c:pt idx="63">
                  <c:v>12002030.374445198</c:v>
                </c:pt>
                <c:pt idx="64">
                  <c:v>12682132.366901617</c:v>
                </c:pt>
                <c:pt idx="65">
                  <c:v>13602297.769163854</c:v>
                </c:pt>
                <c:pt idx="66">
                  <c:v>14384125.08338402</c:v>
                </c:pt>
                <c:pt idx="67">
                  <c:v>14335673.31481519</c:v>
                </c:pt>
                <c:pt idx="68">
                  <c:v>13799087.29249699</c:v>
                </c:pt>
                <c:pt idx="69">
                  <c:v>13356485.034459563</c:v>
                </c:pt>
                <c:pt idx="70">
                  <c:v>12287806.922506398</c:v>
                </c:pt>
                <c:pt idx="71">
                  <c:v>12339142.259891214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466176"/>
        <c:axId val="319999360"/>
      </c:lineChart>
      <c:dateAx>
        <c:axId val="28046617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319999360"/>
        <c:crosses val="autoZero"/>
        <c:auto val="1"/>
        <c:lblOffset val="100"/>
        <c:baseTimeUnit val="months"/>
      </c:dateAx>
      <c:valAx>
        <c:axId val="319999360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80466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Summary'!$C$4:$C$9</c:f>
              <c:numCache>
                <c:formatCode>#,##0</c:formatCode>
                <c:ptCount val="6"/>
                <c:pt idx="0">
                  <c:v>196719829.16002709</c:v>
                </c:pt>
                <c:pt idx="1">
                  <c:v>198092958.47466445</c:v>
                </c:pt>
                <c:pt idx="2">
                  <c:v>192211501.61639327</c:v>
                </c:pt>
                <c:pt idx="3">
                  <c:v>186486714.60720381</c:v>
                </c:pt>
                <c:pt idx="4">
                  <c:v>191269648.75523376</c:v>
                </c:pt>
                <c:pt idx="5">
                  <c:v>194596923.15121508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Summary'!$D$4:$D$9</c:f>
              <c:numCache>
                <c:formatCode>#,##0</c:formatCode>
                <c:ptCount val="6"/>
                <c:pt idx="0">
                  <c:v>198043121.1081084</c:v>
                </c:pt>
                <c:pt idx="1">
                  <c:v>195566424.16498923</c:v>
                </c:pt>
                <c:pt idx="2">
                  <c:v>192890039.19378299</c:v>
                </c:pt>
                <c:pt idx="3">
                  <c:v>187128301.45218539</c:v>
                </c:pt>
                <c:pt idx="4">
                  <c:v>191425802.9690764</c:v>
                </c:pt>
                <c:pt idx="5">
                  <c:v>194323886.87659526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3248"/>
        <c:axId val="550292864"/>
      </c:lineChart>
      <c:catAx>
        <c:axId val="35373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0292864"/>
        <c:crosses val="autoZero"/>
        <c:auto val="1"/>
        <c:lblAlgn val="ctr"/>
        <c:lblOffset val="100"/>
        <c:noMultiLvlLbl val="0"/>
      </c:catAx>
      <c:valAx>
        <c:axId val="550292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53733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Summary'!$H$3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Summary'!$H$4:$H$9</c:f>
              <c:numCache>
                <c:formatCode>#,##0</c:formatCode>
                <c:ptCount val="6"/>
                <c:pt idx="0">
                  <c:v>93692208.684131473</c:v>
                </c:pt>
                <c:pt idx="1">
                  <c:v>95078832.829738051</c:v>
                </c:pt>
                <c:pt idx="2">
                  <c:v>94563720.505268946</c:v>
                </c:pt>
                <c:pt idx="3">
                  <c:v>91104095.455073819</c:v>
                </c:pt>
                <c:pt idx="4">
                  <c:v>89694902.970828578</c:v>
                </c:pt>
                <c:pt idx="5">
                  <c:v>95353789.85924013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Summary'!$I$3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Summary'!$I$4:$I$9</c:f>
              <c:numCache>
                <c:formatCode>#,##0</c:formatCode>
                <c:ptCount val="6"/>
                <c:pt idx="0">
                  <c:v>94277531.962273479</c:v>
                </c:pt>
                <c:pt idx="1">
                  <c:v>94432201.024751425</c:v>
                </c:pt>
                <c:pt idx="2">
                  <c:v>93907245.793649942</c:v>
                </c:pt>
                <c:pt idx="3">
                  <c:v>91534181.042201281</c:v>
                </c:pt>
                <c:pt idx="4">
                  <c:v>89982600.622165412</c:v>
                </c:pt>
                <c:pt idx="5">
                  <c:v>95353789.859240219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893504"/>
        <c:axId val="661895040"/>
      </c:lineChart>
      <c:catAx>
        <c:axId val="6618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1895040"/>
        <c:crosses val="autoZero"/>
        <c:auto val="1"/>
        <c:lblAlgn val="ctr"/>
        <c:lblOffset val="100"/>
        <c:noMultiLvlLbl val="0"/>
      </c:catAx>
      <c:valAx>
        <c:axId val="6618950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61893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Summary'!$M$3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Summary'!$M$4:$M$9</c:f>
              <c:numCache>
                <c:formatCode>#,##0</c:formatCode>
                <c:ptCount val="6"/>
                <c:pt idx="0">
                  <c:v>270757738.66862077</c:v>
                </c:pt>
                <c:pt idx="1">
                  <c:v>275223187.93364877</c:v>
                </c:pt>
                <c:pt idx="2">
                  <c:v>275477475.57809275</c:v>
                </c:pt>
                <c:pt idx="3">
                  <c:v>278251344.40651882</c:v>
                </c:pt>
                <c:pt idx="4">
                  <c:v>285427115.33457083</c:v>
                </c:pt>
                <c:pt idx="5">
                  <c:v>280031990.75827765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Summary'!$N$3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Summary'!$N$4:$N$9</c:f>
              <c:numCache>
                <c:formatCode>#,##0</c:formatCode>
                <c:ptCount val="6"/>
                <c:pt idx="0">
                  <c:v>270285791.06643206</c:v>
                </c:pt>
                <c:pt idx="1">
                  <c:v>274129623.76937348</c:v>
                </c:pt>
                <c:pt idx="2">
                  <c:v>277694806.25673211</c:v>
                </c:pt>
                <c:pt idx="3">
                  <c:v>278427646.06874186</c:v>
                </c:pt>
                <c:pt idx="4">
                  <c:v>284856015.2910803</c:v>
                </c:pt>
                <c:pt idx="5">
                  <c:v>279774970.22737098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665536"/>
        <c:axId val="219667072"/>
      </c:lineChart>
      <c:catAx>
        <c:axId val="2196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9667072"/>
        <c:crosses val="autoZero"/>
        <c:auto val="1"/>
        <c:lblAlgn val="ctr"/>
        <c:lblOffset val="100"/>
        <c:noMultiLvlLbl val="0"/>
      </c:catAx>
      <c:valAx>
        <c:axId val="2196670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9665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Summary'!$R$3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Summary'!$R$4:$R$9</c:f>
              <c:numCache>
                <c:formatCode>#,##0</c:formatCode>
                <c:ptCount val="6"/>
                <c:pt idx="0">
                  <c:v>148002868.85999998</c:v>
                </c:pt>
                <c:pt idx="1">
                  <c:v>149058789.9682</c:v>
                </c:pt>
                <c:pt idx="2">
                  <c:v>155109162.69316885</c:v>
                </c:pt>
                <c:pt idx="3">
                  <c:v>156990060.27756807</c:v>
                </c:pt>
                <c:pt idx="4">
                  <c:v>156431907.07791379</c:v>
                </c:pt>
                <c:pt idx="5">
                  <c:v>154699983.49762699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Summary'!$S$3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Summary'!$S$4:$S$9</c:f>
              <c:numCache>
                <c:formatCode>#,##0</c:formatCode>
                <c:ptCount val="6"/>
                <c:pt idx="0">
                  <c:v>146701754.45274645</c:v>
                </c:pt>
                <c:pt idx="1">
                  <c:v>152031876.69235855</c:v>
                </c:pt>
                <c:pt idx="2">
                  <c:v>154549554.09703305</c:v>
                </c:pt>
                <c:pt idx="3">
                  <c:v>155120288.71028283</c:v>
                </c:pt>
                <c:pt idx="4">
                  <c:v>156359190.04166785</c:v>
                </c:pt>
                <c:pt idx="5">
                  <c:v>155530108.3803845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980736"/>
        <c:axId val="244982528"/>
      </c:lineChart>
      <c:catAx>
        <c:axId val="2449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4982528"/>
        <c:crosses val="autoZero"/>
        <c:auto val="1"/>
        <c:lblAlgn val="ctr"/>
        <c:lblOffset val="100"/>
        <c:noMultiLvlLbl val="0"/>
      </c:catAx>
      <c:valAx>
        <c:axId val="2449825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4980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Normalized Monthly'!$C$1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'Res Normalized Monthly'!$C$2:$C$97</c:f>
              <c:numCache>
                <c:formatCode>General</c:formatCode>
                <c:ptCount val="96"/>
                <c:pt idx="0">
                  <c:v>24635161.167892549</c:v>
                </c:pt>
                <c:pt idx="1">
                  <c:v>21264941.095677644</c:v>
                </c:pt>
                <c:pt idx="2">
                  <c:v>20320467.289462749</c:v>
                </c:pt>
                <c:pt idx="3">
                  <c:v>15368223.968047846</c:v>
                </c:pt>
                <c:pt idx="4">
                  <c:v>13133840.142032944</c:v>
                </c:pt>
                <c:pt idx="5">
                  <c:v>11976785.90551804</c:v>
                </c:pt>
                <c:pt idx="6">
                  <c:v>12446989.012403144</c:v>
                </c:pt>
                <c:pt idx="7">
                  <c:v>13097395.633788241</c:v>
                </c:pt>
                <c:pt idx="8">
                  <c:v>13232685.497473339</c:v>
                </c:pt>
                <c:pt idx="9">
                  <c:v>14845613.483858436</c:v>
                </c:pt>
                <c:pt idx="10">
                  <c:v>16496996.886043534</c:v>
                </c:pt>
                <c:pt idx="11">
                  <c:v>19900729.077828635</c:v>
                </c:pt>
                <c:pt idx="12">
                  <c:v>23650215.715997804</c:v>
                </c:pt>
                <c:pt idx="13">
                  <c:v>21137330.052274939</c:v>
                </c:pt>
                <c:pt idx="14">
                  <c:v>19339569.887852073</c:v>
                </c:pt>
                <c:pt idx="15">
                  <c:v>14339897.801129207</c:v>
                </c:pt>
                <c:pt idx="16">
                  <c:v>12579503.733506339</c:v>
                </c:pt>
                <c:pt idx="17">
                  <c:v>12709669.92388347</c:v>
                </c:pt>
                <c:pt idx="18">
                  <c:v>14680147.484760607</c:v>
                </c:pt>
                <c:pt idx="19">
                  <c:v>14024711.74603774</c:v>
                </c:pt>
                <c:pt idx="20">
                  <c:v>13142688.407314872</c:v>
                </c:pt>
                <c:pt idx="21">
                  <c:v>14485777.508292003</c:v>
                </c:pt>
                <c:pt idx="22">
                  <c:v>16983251.713569138</c:v>
                </c:pt>
                <c:pt idx="23">
                  <c:v>21020194.500046272</c:v>
                </c:pt>
                <c:pt idx="24">
                  <c:v>23022326.42784144</c:v>
                </c:pt>
                <c:pt idx="25">
                  <c:v>20206438.193256531</c:v>
                </c:pt>
                <c:pt idx="26">
                  <c:v>19343947.481271625</c:v>
                </c:pt>
                <c:pt idx="27">
                  <c:v>15358267.267086715</c:v>
                </c:pt>
                <c:pt idx="28">
                  <c:v>13075508.600401806</c:v>
                </c:pt>
                <c:pt idx="29">
                  <c:v>12318121.995516896</c:v>
                </c:pt>
                <c:pt idx="30">
                  <c:v>14280540.223931987</c:v>
                </c:pt>
                <c:pt idx="31">
                  <c:v>13744542.177247077</c:v>
                </c:pt>
                <c:pt idx="32">
                  <c:v>12475644.696762169</c:v>
                </c:pt>
                <c:pt idx="33">
                  <c:v>13769534.523777261</c:v>
                </c:pt>
                <c:pt idx="34">
                  <c:v>15620490.438992351</c:v>
                </c:pt>
                <c:pt idx="35">
                  <c:v>18996139.590307444</c:v>
                </c:pt>
                <c:pt idx="36">
                  <c:v>20909423.816872794</c:v>
                </c:pt>
                <c:pt idx="37">
                  <c:v>18689053.260874771</c:v>
                </c:pt>
                <c:pt idx="38">
                  <c:v>16791457.429876745</c:v>
                </c:pt>
                <c:pt idx="39">
                  <c:v>14517265.894378716</c:v>
                </c:pt>
                <c:pt idx="40">
                  <c:v>11855286.068080692</c:v>
                </c:pt>
                <c:pt idx="41">
                  <c:v>12561226.314682662</c:v>
                </c:pt>
                <c:pt idx="42">
                  <c:v>14574665.599084636</c:v>
                </c:pt>
                <c:pt idx="43">
                  <c:v>13992873.412486609</c:v>
                </c:pt>
                <c:pt idx="44">
                  <c:v>12679818.294088582</c:v>
                </c:pt>
                <c:pt idx="45">
                  <c:v>13241344.397090556</c:v>
                </c:pt>
                <c:pt idx="46">
                  <c:v>16985573.910692532</c:v>
                </c:pt>
                <c:pt idx="47">
                  <c:v>19688726.2089945</c:v>
                </c:pt>
                <c:pt idx="48">
                  <c:v>22042229.190884668</c:v>
                </c:pt>
                <c:pt idx="49">
                  <c:v>19773607.005250089</c:v>
                </c:pt>
                <c:pt idx="50">
                  <c:v>19002801.376715507</c:v>
                </c:pt>
                <c:pt idx="51">
                  <c:v>15463434.860880928</c:v>
                </c:pt>
                <c:pt idx="52">
                  <c:v>11411798.742946351</c:v>
                </c:pt>
                <c:pt idx="53">
                  <c:v>11995475.306811769</c:v>
                </c:pt>
                <c:pt idx="54">
                  <c:v>13886742.437877189</c:v>
                </c:pt>
                <c:pt idx="55">
                  <c:v>12973729.18644261</c:v>
                </c:pt>
                <c:pt idx="56">
                  <c:v>12414553.238608029</c:v>
                </c:pt>
                <c:pt idx="57">
                  <c:v>13273674.921473451</c:v>
                </c:pt>
                <c:pt idx="58">
                  <c:v>17575993.111538868</c:v>
                </c:pt>
                <c:pt idx="59">
                  <c:v>21455609.37580429</c:v>
                </c:pt>
                <c:pt idx="60">
                  <c:v>24218479.066692788</c:v>
                </c:pt>
                <c:pt idx="61">
                  <c:v>20929638.172979176</c:v>
                </c:pt>
                <c:pt idx="62">
                  <c:v>20664080.366865564</c:v>
                </c:pt>
                <c:pt idx="63">
                  <c:v>15800883.50705195</c:v>
                </c:pt>
                <c:pt idx="64">
                  <c:v>11643889.040738342</c:v>
                </c:pt>
                <c:pt idx="65">
                  <c:v>11658302.50462473</c:v>
                </c:pt>
                <c:pt idx="66">
                  <c:v>12874081.848611118</c:v>
                </c:pt>
                <c:pt idx="67">
                  <c:v>12912263.277197508</c:v>
                </c:pt>
                <c:pt idx="68">
                  <c:v>12625706.091483895</c:v>
                </c:pt>
                <c:pt idx="69">
                  <c:v>13300745.681970283</c:v>
                </c:pt>
                <c:pt idx="70">
                  <c:v>17497032.314156674</c:v>
                </c:pt>
                <c:pt idx="71">
                  <c:v>20471821.27884306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 Normalized Monthly'!$V$1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'Res Normalized Monthly'!$V$2:$V$145</c:f>
              <c:numCache>
                <c:formatCode>_-* #,##0_-;\-* #,##0_-;_-* "-"??_-;_-@_-</c:formatCode>
                <c:ptCount val="144"/>
                <c:pt idx="0">
                  <c:v>23505759.125186808</c:v>
                </c:pt>
                <c:pt idx="1">
                  <c:v>21149328.292505696</c:v>
                </c:pt>
                <c:pt idx="2">
                  <c:v>19655892.930447489</c:v>
                </c:pt>
                <c:pt idx="3">
                  <c:v>15451009.582436096</c:v>
                </c:pt>
                <c:pt idx="4">
                  <c:v>13019041.32935941</c:v>
                </c:pt>
                <c:pt idx="5">
                  <c:v>12940550.221135529</c:v>
                </c:pt>
                <c:pt idx="6">
                  <c:v>14302847.849727267</c:v>
                </c:pt>
                <c:pt idx="7">
                  <c:v>13703134.095245803</c:v>
                </c:pt>
                <c:pt idx="8">
                  <c:v>13072519.075189523</c:v>
                </c:pt>
                <c:pt idx="9">
                  <c:v>14712405.378272664</c:v>
                </c:pt>
                <c:pt idx="10">
                  <c:v>16772418.381206971</c:v>
                </c:pt>
                <c:pt idx="11">
                  <c:v>20931446.902058214</c:v>
                </c:pt>
                <c:pt idx="12">
                  <c:v>23260191.730651446</c:v>
                </c:pt>
                <c:pt idx="13">
                  <c:v>20831982.621828377</c:v>
                </c:pt>
                <c:pt idx="14">
                  <c:v>19333866.06784787</c:v>
                </c:pt>
                <c:pt idx="15">
                  <c:v>15250693.709816314</c:v>
                </c:pt>
                <c:pt idx="16">
                  <c:v>12714178.83714156</c:v>
                </c:pt>
                <c:pt idx="17">
                  <c:v>12702784.813137336</c:v>
                </c:pt>
                <c:pt idx="18">
                  <c:v>14157145.882867666</c:v>
                </c:pt>
                <c:pt idx="19">
                  <c:v>13443523.124943534</c:v>
                </c:pt>
                <c:pt idx="20">
                  <c:v>12792622.939890616</c:v>
                </c:pt>
                <c:pt idx="21">
                  <c:v>14446552.818740655</c:v>
                </c:pt>
                <c:pt idx="22">
                  <c:v>16593948.070891269</c:v>
                </c:pt>
                <c:pt idx="23">
                  <c:v>20779503.34596888</c:v>
                </c:pt>
                <c:pt idx="24">
                  <c:v>23083281.817643166</c:v>
                </c:pt>
                <c:pt idx="25">
                  <c:v>20747136.149958696</c:v>
                </c:pt>
                <c:pt idx="26">
                  <c:v>19208449.265984908</c:v>
                </c:pt>
                <c:pt idx="27">
                  <c:v>15214219.554477081</c:v>
                </c:pt>
                <c:pt idx="28">
                  <c:v>12662100.708727995</c:v>
                </c:pt>
                <c:pt idx="29">
                  <c:v>12485304.570135778</c:v>
                </c:pt>
                <c:pt idx="30">
                  <c:v>13727451.606055109</c:v>
                </c:pt>
                <c:pt idx="31">
                  <c:v>13165187.386952063</c:v>
                </c:pt>
                <c:pt idx="32">
                  <c:v>12470596.077290993</c:v>
                </c:pt>
                <c:pt idx="33">
                  <c:v>14079274.434225451</c:v>
                </c:pt>
                <c:pt idx="34">
                  <c:v>16128364.656007729</c:v>
                </c:pt>
                <c:pt idx="35">
                  <c:v>20288953.574166406</c:v>
                </c:pt>
                <c:pt idx="36">
                  <c:v>22572446.880844049</c:v>
                </c:pt>
                <c:pt idx="37">
                  <c:v>20217576.445470378</c:v>
                </c:pt>
                <c:pt idx="38">
                  <c:v>18724141.083412167</c:v>
                </c:pt>
                <c:pt idx="39">
                  <c:v>14576992.435775824</c:v>
                </c:pt>
                <c:pt idx="40">
                  <c:v>12098212.263476128</c:v>
                </c:pt>
                <c:pt idx="41">
                  <c:v>12069653.869090123</c:v>
                </c:pt>
                <c:pt idx="42">
                  <c:v>13430391.100374429</c:v>
                </c:pt>
                <c:pt idx="43">
                  <c:v>12978915.090099184</c:v>
                </c:pt>
                <c:pt idx="44">
                  <c:v>12262478.218134042</c:v>
                </c:pt>
                <c:pt idx="45">
                  <c:v>13924210.083521254</c:v>
                </c:pt>
                <c:pt idx="46">
                  <c:v>15981102.291840699</c:v>
                </c:pt>
                <c:pt idx="47">
                  <c:v>20099560.482698664</c:v>
                </c:pt>
                <c:pt idx="48">
                  <c:v>22450150.87359596</c:v>
                </c:pt>
                <c:pt idx="49">
                  <c:v>20260682.552810274</c:v>
                </c:pt>
                <c:pt idx="50">
                  <c:v>18753203.614985157</c:v>
                </c:pt>
                <c:pt idx="51">
                  <c:v>14670031.256953601</c:v>
                </c:pt>
                <c:pt idx="52">
                  <c:v>12302039.293481706</c:v>
                </c:pt>
                <c:pt idx="53">
                  <c:v>12320292.818318719</c:v>
                </c:pt>
                <c:pt idx="54">
                  <c:v>13582725.019234685</c:v>
                </c:pt>
                <c:pt idx="55">
                  <c:v>13059470.732817484</c:v>
                </c:pt>
                <c:pt idx="56">
                  <c:v>12353956.642004382</c:v>
                </c:pt>
                <c:pt idx="57">
                  <c:v>14017248.904699028</c:v>
                </c:pt>
                <c:pt idx="58">
                  <c:v>16117832.237626623</c:v>
                </c:pt>
                <c:pt idx="59">
                  <c:v>20239411.223099448</c:v>
                </c:pt>
                <c:pt idx="60">
                  <c:v>22572837.243614972</c:v>
                </c:pt>
                <c:pt idx="61">
                  <c:v>20208604.424396701</c:v>
                </c:pt>
                <c:pt idx="62">
                  <c:v>18740135.419257428</c:v>
                </c:pt>
                <c:pt idx="63">
                  <c:v>14956559.344253164</c:v>
                </c:pt>
                <c:pt idx="64">
                  <c:v>12619775.326929947</c:v>
                </c:pt>
                <c:pt idx="65">
                  <c:v>12620864.481385188</c:v>
                </c:pt>
                <c:pt idx="66">
                  <c:v>13962876.944980288</c:v>
                </c:pt>
                <c:pt idx="67">
                  <c:v>13414656.301644141</c:v>
                </c:pt>
                <c:pt idx="68">
                  <c:v>12837094.790040612</c:v>
                </c:pt>
                <c:pt idx="69">
                  <c:v>14436410.763130471</c:v>
                </c:pt>
                <c:pt idx="70">
                  <c:v>16443370.257612031</c:v>
                </c:pt>
                <c:pt idx="71">
                  <c:v>20566509.640392296</c:v>
                </c:pt>
                <c:pt idx="72">
                  <c:v>22797691.928366929</c:v>
                </c:pt>
                <c:pt idx="73">
                  <c:v>20428777.917226344</c:v>
                </c:pt>
                <c:pt idx="74">
                  <c:v>18897893.019789726</c:v>
                </c:pt>
                <c:pt idx="75">
                  <c:v>14905223.705589332</c:v>
                </c:pt>
                <c:pt idx="76">
                  <c:v>12685469.486323645</c:v>
                </c:pt>
                <c:pt idx="77">
                  <c:v>12611659.570022063</c:v>
                </c:pt>
                <c:pt idx="78">
                  <c:v>13899058.127856979</c:v>
                </c:pt>
                <c:pt idx="79">
                  <c:v>13307146.359912688</c:v>
                </c:pt>
                <c:pt idx="80">
                  <c:v>12483042.073734611</c:v>
                </c:pt>
                <c:pt idx="81">
                  <c:v>14032425.33298659</c:v>
                </c:pt>
                <c:pt idx="82">
                  <c:v>16045626.41669789</c:v>
                </c:pt>
                <c:pt idx="83">
                  <c:v>20171886.594093017</c:v>
                </c:pt>
                <c:pt idx="84">
                  <c:v>22706385.017039575</c:v>
                </c:pt>
                <c:pt idx="85">
                  <c:v>20337471.005898993</c:v>
                </c:pt>
                <c:pt idx="86">
                  <c:v>18806586.108462371</c:v>
                </c:pt>
                <c:pt idx="87">
                  <c:v>14813916.794261977</c:v>
                </c:pt>
                <c:pt idx="88">
                  <c:v>12594162.574996294</c:v>
                </c:pt>
                <c:pt idx="89">
                  <c:v>12520352.658694712</c:v>
                </c:pt>
                <c:pt idx="90">
                  <c:v>13807751.216529628</c:v>
                </c:pt>
                <c:pt idx="91">
                  <c:v>13215839.448585333</c:v>
                </c:pt>
                <c:pt idx="92">
                  <c:v>12391735.162407257</c:v>
                </c:pt>
                <c:pt idx="93">
                  <c:v>13941118.421659235</c:v>
                </c:pt>
                <c:pt idx="94">
                  <c:v>15954319.505370535</c:v>
                </c:pt>
                <c:pt idx="95">
                  <c:v>20080579.682765666</c:v>
                </c:pt>
                <c:pt idx="96">
                  <c:v>22616597.005910113</c:v>
                </c:pt>
                <c:pt idx="97">
                  <c:v>20247682.994769532</c:v>
                </c:pt>
                <c:pt idx="98">
                  <c:v>18716798.09733291</c:v>
                </c:pt>
                <c:pt idx="99">
                  <c:v>14724128.783132516</c:v>
                </c:pt>
                <c:pt idx="100">
                  <c:v>12504374.563866833</c:v>
                </c:pt>
                <c:pt idx="101">
                  <c:v>12430564.647565251</c:v>
                </c:pt>
                <c:pt idx="102">
                  <c:v>13717963.205400167</c:v>
                </c:pt>
                <c:pt idx="103">
                  <c:v>13126051.437455876</c:v>
                </c:pt>
                <c:pt idx="104">
                  <c:v>12301947.151277799</c:v>
                </c:pt>
                <c:pt idx="105">
                  <c:v>13851330.410529774</c:v>
                </c:pt>
                <c:pt idx="106">
                  <c:v>15864531.494241074</c:v>
                </c:pt>
                <c:pt idx="107">
                  <c:v>19990791.671636205</c:v>
                </c:pt>
                <c:pt idx="108">
                  <c:v>22528337.567287236</c:v>
                </c:pt>
                <c:pt idx="109">
                  <c:v>20159423.556146659</c:v>
                </c:pt>
                <c:pt idx="110">
                  <c:v>18628538.658710036</c:v>
                </c:pt>
                <c:pt idx="111">
                  <c:v>14635869.344509643</c:v>
                </c:pt>
                <c:pt idx="112">
                  <c:v>12416115.12524396</c:v>
                </c:pt>
                <c:pt idx="113">
                  <c:v>12342305.208942374</c:v>
                </c:pt>
                <c:pt idx="114">
                  <c:v>13629703.76677729</c:v>
                </c:pt>
                <c:pt idx="115">
                  <c:v>13037791.998832999</c:v>
                </c:pt>
                <c:pt idx="116">
                  <c:v>12213687.712654922</c:v>
                </c:pt>
                <c:pt idx="117">
                  <c:v>13763070.9719069</c:v>
                </c:pt>
                <c:pt idx="118">
                  <c:v>15776272.0556182</c:v>
                </c:pt>
                <c:pt idx="119">
                  <c:v>19902532.233013332</c:v>
                </c:pt>
                <c:pt idx="120">
                  <c:v>22441616.435072586</c:v>
                </c:pt>
                <c:pt idx="121">
                  <c:v>20072702.423932008</c:v>
                </c:pt>
                <c:pt idx="122">
                  <c:v>18541817.526495386</c:v>
                </c:pt>
                <c:pt idx="123">
                  <c:v>14549148.212294992</c:v>
                </c:pt>
                <c:pt idx="124">
                  <c:v>12329393.993029309</c:v>
                </c:pt>
                <c:pt idx="125">
                  <c:v>12255584.076727727</c:v>
                </c:pt>
                <c:pt idx="126">
                  <c:v>13542982.634562643</c:v>
                </c:pt>
                <c:pt idx="127">
                  <c:v>12951070.866618348</c:v>
                </c:pt>
                <c:pt idx="128">
                  <c:v>12126966.580440272</c:v>
                </c:pt>
                <c:pt idx="129">
                  <c:v>13676349.83969225</c:v>
                </c:pt>
                <c:pt idx="130">
                  <c:v>15689550.92340355</c:v>
                </c:pt>
                <c:pt idx="131">
                  <c:v>19815811.100798681</c:v>
                </c:pt>
                <c:pt idx="132">
                  <c:v>22356443.405152999</c:v>
                </c:pt>
                <c:pt idx="133">
                  <c:v>19987529.394012414</c:v>
                </c:pt>
                <c:pt idx="134">
                  <c:v>18456644.496575795</c:v>
                </c:pt>
                <c:pt idx="135">
                  <c:v>14463975.182375398</c:v>
                </c:pt>
                <c:pt idx="136">
                  <c:v>12244220.963109715</c:v>
                </c:pt>
                <c:pt idx="137">
                  <c:v>12170411.046808133</c:v>
                </c:pt>
                <c:pt idx="138">
                  <c:v>13457809.604643049</c:v>
                </c:pt>
                <c:pt idx="139">
                  <c:v>12865897.836698757</c:v>
                </c:pt>
                <c:pt idx="140">
                  <c:v>12041793.550520681</c:v>
                </c:pt>
                <c:pt idx="141">
                  <c:v>13591176.809772659</c:v>
                </c:pt>
                <c:pt idx="142">
                  <c:v>15604377.893483955</c:v>
                </c:pt>
                <c:pt idx="143">
                  <c:v>19730638.070879087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028736"/>
        <c:axId val="245030272"/>
      </c:lineChart>
      <c:dateAx>
        <c:axId val="24502873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45030272"/>
        <c:crosses val="autoZero"/>
        <c:auto val="1"/>
        <c:lblOffset val="100"/>
        <c:baseTimeUnit val="months"/>
      </c:dateAx>
      <c:valAx>
        <c:axId val="245030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5028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371476</xdr:colOff>
      <xdr:row>7</xdr:row>
      <xdr:rowOff>114299</xdr:rowOff>
    </xdr:from>
    <xdr:to>
      <xdr:col>34</xdr:col>
      <xdr:colOff>85726</xdr:colOff>
      <xdr:row>28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17</xdr:row>
      <xdr:rowOff>85725</xdr:rowOff>
    </xdr:from>
    <xdr:to>
      <xdr:col>10</xdr:col>
      <xdr:colOff>333375</xdr:colOff>
      <xdr:row>34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514349</xdr:colOff>
      <xdr:row>35</xdr:row>
      <xdr:rowOff>0</xdr:rowOff>
    </xdr:from>
    <xdr:to>
      <xdr:col>19</xdr:col>
      <xdr:colOff>279449</xdr:colOff>
      <xdr:row>51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26</xdr:col>
      <xdr:colOff>460425</xdr:colOff>
      <xdr:row>32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514349</xdr:colOff>
      <xdr:row>34</xdr:row>
      <xdr:rowOff>0</xdr:rowOff>
    </xdr:from>
    <xdr:to>
      <xdr:col>33</xdr:col>
      <xdr:colOff>60374</xdr:colOff>
      <xdr:row>50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152400</xdr:colOff>
      <xdr:row>7</xdr:row>
      <xdr:rowOff>114299</xdr:rowOff>
    </xdr:from>
    <xdr:to>
      <xdr:col>33</xdr:col>
      <xdr:colOff>85725</xdr:colOff>
      <xdr:row>28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304800</xdr:colOff>
      <xdr:row>7</xdr:row>
      <xdr:rowOff>114299</xdr:rowOff>
    </xdr:from>
    <xdr:to>
      <xdr:col>38</xdr:col>
      <xdr:colOff>85725</xdr:colOff>
      <xdr:row>28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381000</xdr:colOff>
      <xdr:row>7</xdr:row>
      <xdr:rowOff>114299</xdr:rowOff>
    </xdr:from>
    <xdr:to>
      <xdr:col>36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7</xdr:col>
      <xdr:colOff>0</xdr:colOff>
      <xdr:row>30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32</xdr:row>
      <xdr:rowOff>0</xdr:rowOff>
    </xdr:from>
    <xdr:to>
      <xdr:col>12</xdr:col>
      <xdr:colOff>0</xdr:colOff>
      <xdr:row>48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14</xdr:row>
      <xdr:rowOff>0</xdr:rowOff>
    </xdr:from>
    <xdr:to>
      <xdr:col>17</xdr:col>
      <xdr:colOff>457200</xdr:colOff>
      <xdr:row>30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32</xdr:row>
      <xdr:rowOff>0</xdr:rowOff>
    </xdr:from>
    <xdr:to>
      <xdr:col>20</xdr:col>
      <xdr:colOff>495300</xdr:colOff>
      <xdr:row>48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266699</xdr:colOff>
      <xdr:row>7</xdr:row>
      <xdr:rowOff>104775</xdr:rowOff>
    </xdr:from>
    <xdr:to>
      <xdr:col>31</xdr:col>
      <xdr:colOff>200024</xdr:colOff>
      <xdr:row>29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295274</xdr:colOff>
      <xdr:row>7</xdr:row>
      <xdr:rowOff>114299</xdr:rowOff>
    </xdr:from>
    <xdr:to>
      <xdr:col>31</xdr:col>
      <xdr:colOff>342899</xdr:colOff>
      <xdr:row>28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7</xdr:row>
      <xdr:rowOff>114299</xdr:rowOff>
    </xdr:from>
    <xdr:to>
      <xdr:col>37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295275</xdr:colOff>
      <xdr:row>7</xdr:row>
      <xdr:rowOff>114299</xdr:rowOff>
    </xdr:from>
    <xdr:to>
      <xdr:col>35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/>
  </sheetViews>
  <sheetFormatPr defaultRowHeight="12.75"/>
  <cols>
    <col min="2" max="2" width="9.140625" style="6"/>
    <col min="3" max="3" width="14.28515625" bestFit="1" customWidth="1"/>
    <col min="4" max="4" width="11.28515625" bestFit="1" customWidth="1"/>
    <col min="5" max="6" width="11.28515625" style="30" customWidth="1"/>
    <col min="7" max="7" width="11.28515625" bestFit="1" customWidth="1"/>
    <col min="8" max="9" width="11.28515625" style="30" customWidth="1"/>
    <col min="10" max="11" width="15.28515625" bestFit="1" customWidth="1"/>
    <col min="12" max="12" width="15.28515625" customWidth="1"/>
    <col min="13" max="14" width="15.28515625" style="30" customWidth="1"/>
    <col min="15" max="15" width="11.28515625" bestFit="1" customWidth="1"/>
    <col min="16" max="17" width="11.28515625" style="30" customWidth="1"/>
    <col min="18" max="18" width="9.85546875" bestFit="1" customWidth="1"/>
    <col min="19" max="19" width="9.85546875" customWidth="1"/>
    <col min="21" max="22" width="4.85546875" bestFit="1" customWidth="1"/>
    <col min="23" max="23" width="9.5703125" bestFit="1" customWidth="1"/>
    <col min="24" max="24" width="10.42578125" bestFit="1" customWidth="1"/>
    <col min="25" max="26" width="10.85546875" style="30" customWidth="1"/>
    <col min="29" max="29" width="11.28515625" bestFit="1" customWidth="1"/>
    <col min="30" max="30" width="14.85546875" bestFit="1" customWidth="1"/>
    <col min="31" max="31" width="12.7109375" bestFit="1" customWidth="1"/>
    <col min="32" max="32" width="11.28515625" bestFit="1" customWidth="1"/>
    <col min="33" max="33" width="11.28515625" style="30" customWidth="1"/>
    <col min="35" max="35" width="11.28515625" bestFit="1" customWidth="1"/>
    <col min="36" max="37" width="11.28515625" customWidth="1"/>
    <col min="38" max="39" width="11.28515625" style="30" customWidth="1"/>
    <col min="40" max="42" width="11.28515625" customWidth="1"/>
  </cols>
  <sheetData>
    <row r="1" spans="1:45">
      <c r="A1" s="2" t="s">
        <v>0</v>
      </c>
      <c r="B1" s="19" t="s">
        <v>33</v>
      </c>
      <c r="C1" s="2" t="s">
        <v>1</v>
      </c>
      <c r="D1" s="2" t="s">
        <v>2</v>
      </c>
      <c r="E1" s="2" t="s">
        <v>165</v>
      </c>
      <c r="F1" s="2" t="s">
        <v>169</v>
      </c>
      <c r="G1" s="2" t="s">
        <v>3</v>
      </c>
      <c r="H1" s="2" t="s">
        <v>166</v>
      </c>
      <c r="I1" s="2" t="s">
        <v>170</v>
      </c>
      <c r="J1" s="2" t="s">
        <v>4</v>
      </c>
      <c r="K1" s="2" t="s">
        <v>5</v>
      </c>
      <c r="L1" s="2" t="s">
        <v>26</v>
      </c>
      <c r="M1" s="2" t="s">
        <v>167</v>
      </c>
      <c r="N1" s="2" t="s">
        <v>171</v>
      </c>
      <c r="O1" s="2" t="s">
        <v>6</v>
      </c>
      <c r="P1" s="2" t="s">
        <v>168</v>
      </c>
      <c r="Q1" s="2" t="s">
        <v>172</v>
      </c>
      <c r="R1" s="2" t="s">
        <v>7</v>
      </c>
      <c r="S1" s="2" t="s">
        <v>36</v>
      </c>
      <c r="T1" s="2" t="s">
        <v>8</v>
      </c>
      <c r="U1" s="16" t="s">
        <v>9</v>
      </c>
      <c r="V1" s="16" t="s">
        <v>10</v>
      </c>
      <c r="W1" s="2" t="s">
        <v>11</v>
      </c>
      <c r="X1" s="2" t="s">
        <v>12</v>
      </c>
      <c r="Y1" s="30" t="s">
        <v>142</v>
      </c>
      <c r="Z1" s="30" t="s">
        <v>147</v>
      </c>
      <c r="AA1" s="16" t="s">
        <v>76</v>
      </c>
      <c r="AB1" s="2" t="s">
        <v>22</v>
      </c>
      <c r="AC1" s="2" t="s">
        <v>21</v>
      </c>
      <c r="AD1" s="2" t="s">
        <v>39</v>
      </c>
      <c r="AE1" s="2" t="s">
        <v>40</v>
      </c>
      <c r="AF1" s="16" t="s">
        <v>99</v>
      </c>
      <c r="AG1" s="57" t="s">
        <v>144</v>
      </c>
      <c r="AH1" s="2" t="s">
        <v>23</v>
      </c>
      <c r="AI1" s="2" t="s">
        <v>24</v>
      </c>
      <c r="AJ1" s="2" t="s">
        <v>25</v>
      </c>
      <c r="AK1" s="2" t="s">
        <v>43</v>
      </c>
      <c r="AL1" s="2" t="s">
        <v>140</v>
      </c>
      <c r="AM1" s="2" t="s">
        <v>141</v>
      </c>
      <c r="AN1" s="2" t="s">
        <v>30</v>
      </c>
      <c r="AO1" s="2" t="s">
        <v>31</v>
      </c>
      <c r="AP1" s="2" t="s">
        <v>32</v>
      </c>
      <c r="AQ1" s="57" t="s">
        <v>160</v>
      </c>
      <c r="AR1" s="2" t="s">
        <v>145</v>
      </c>
      <c r="AS1" s="2" t="s">
        <v>146</v>
      </c>
    </row>
    <row r="2" spans="1:45">
      <c r="A2" s="1">
        <v>39814</v>
      </c>
      <c r="B2" s="6">
        <f>YEAR(A2)</f>
        <v>2009</v>
      </c>
      <c r="C2" s="3">
        <v>78090233.917599991</v>
      </c>
      <c r="D2" s="3">
        <v>24633368.951099999</v>
      </c>
      <c r="E2" s="3">
        <f>'Annual CDM'!$B$10*1/144</f>
        <v>1792.2167925493075</v>
      </c>
      <c r="F2" s="3">
        <f>D2+E2</f>
        <v>24635161.167892549</v>
      </c>
      <c r="G2" s="3">
        <v>9405720.7811999973</v>
      </c>
      <c r="H2" s="95">
        <f>'Annual CDM'!$B$20*1/144</f>
        <v>2371.6788828574645</v>
      </c>
      <c r="I2" s="3">
        <f>G2+H2</f>
        <v>9408092.4600828551</v>
      </c>
      <c r="J2" s="3">
        <v>9921525.8462000024</v>
      </c>
      <c r="K2" s="3">
        <v>17612230.7788</v>
      </c>
      <c r="L2" s="3">
        <f t="shared" ref="L2:L58" si="0">J2+K2</f>
        <v>27533756.625</v>
      </c>
      <c r="M2" s="95">
        <f>'Annual CDM'!$B$30*1/144</f>
        <v>4447.562447366352</v>
      </c>
      <c r="N2" s="3">
        <f>L2+M2</f>
        <v>27538204.187447365</v>
      </c>
      <c r="O2" s="3">
        <v>12630235.100299999</v>
      </c>
      <c r="P2" s="95">
        <f>'Annual CDM'!$B$40*1/144</f>
        <v>0</v>
      </c>
      <c r="Q2" s="3">
        <f>O2+P2</f>
        <v>12630235.100299999</v>
      </c>
      <c r="R2" s="3">
        <v>427665</v>
      </c>
      <c r="S2" s="3">
        <v>936.23599999999999</v>
      </c>
      <c r="T2" s="3">
        <v>192266.65</v>
      </c>
      <c r="U2" s="4">
        <v>887.09999999999991</v>
      </c>
      <c r="V2" s="4">
        <v>0</v>
      </c>
      <c r="W2">
        <v>21</v>
      </c>
      <c r="X2">
        <v>31</v>
      </c>
      <c r="Y2" s="30">
        <v>6506.5</v>
      </c>
      <c r="Z2" s="30">
        <v>79.5</v>
      </c>
      <c r="AA2">
        <v>1</v>
      </c>
      <c r="AB2" s="4">
        <v>23190</v>
      </c>
      <c r="AC2" s="4">
        <v>3262</v>
      </c>
      <c r="AD2" s="4">
        <f t="shared" ref="AD2:AD13" si="1">AF2-AE2</f>
        <v>365</v>
      </c>
      <c r="AE2" s="4">
        <v>0</v>
      </c>
      <c r="AF2">
        <v>365</v>
      </c>
      <c r="AG2" s="4">
        <v>0</v>
      </c>
      <c r="AH2">
        <v>3</v>
      </c>
      <c r="AI2" s="4">
        <v>5107</v>
      </c>
      <c r="AJ2" s="4">
        <v>165</v>
      </c>
      <c r="AK2" s="4">
        <v>0</v>
      </c>
      <c r="AL2" s="4">
        <v>0</v>
      </c>
      <c r="AM2" s="4">
        <v>0</v>
      </c>
      <c r="AN2" s="4">
        <v>0</v>
      </c>
      <c r="AO2" s="4">
        <v>0</v>
      </c>
      <c r="AP2" s="4">
        <v>0</v>
      </c>
      <c r="AQ2" s="4">
        <v>0</v>
      </c>
      <c r="AR2" s="4">
        <v>1</v>
      </c>
      <c r="AS2" s="4">
        <v>0</v>
      </c>
    </row>
    <row r="3" spans="1:45">
      <c r="A3" s="1">
        <v>39845</v>
      </c>
      <c r="B3" s="6">
        <f t="shared" ref="B3:B61" si="2">YEAR(A3)</f>
        <v>2009</v>
      </c>
      <c r="C3" s="3">
        <v>66114223.934500001</v>
      </c>
      <c r="D3" s="3">
        <v>21259564.445299998</v>
      </c>
      <c r="E3" s="95">
        <f>'Annual CDM'!$B$10*3/144</f>
        <v>5376.6503776479221</v>
      </c>
      <c r="F3" s="3">
        <f t="shared" ref="F3:F66" si="3">D3+E3</f>
        <v>21264941.095677644</v>
      </c>
      <c r="G3" s="3">
        <v>8296015.0248000016</v>
      </c>
      <c r="H3" s="95">
        <f>'Annual CDM'!$B$20*3/144</f>
        <v>7115.0366485723935</v>
      </c>
      <c r="I3" s="3">
        <f t="shared" ref="I3:I66" si="4">G3+H3</f>
        <v>8303130.0614485741</v>
      </c>
      <c r="J3" s="3">
        <v>8734547.7158000004</v>
      </c>
      <c r="K3" s="3">
        <v>15557083.788000003</v>
      </c>
      <c r="L3" s="3">
        <f t="shared" si="0"/>
        <v>24291631.503800005</v>
      </c>
      <c r="M3" s="95">
        <f>'Annual CDM'!$B$30*3/144</f>
        <v>13342.687342099054</v>
      </c>
      <c r="N3" s="3">
        <f t="shared" ref="N3:N66" si="5">L3+M3</f>
        <v>24304974.191142105</v>
      </c>
      <c r="O3" s="3">
        <v>11333821.4934</v>
      </c>
      <c r="P3" s="95">
        <f>'Annual CDM'!$B$40*3/144</f>
        <v>0</v>
      </c>
      <c r="Q3" s="3">
        <f t="shared" ref="Q3:Q66" si="6">O3+P3</f>
        <v>11333821.4934</v>
      </c>
      <c r="R3" s="3">
        <v>355742</v>
      </c>
      <c r="S3" s="3">
        <v>936.82</v>
      </c>
      <c r="T3" s="3">
        <v>173660.2</v>
      </c>
      <c r="U3" s="4">
        <v>653.80000000000007</v>
      </c>
      <c r="V3" s="4">
        <v>0</v>
      </c>
      <c r="W3">
        <v>19</v>
      </c>
      <c r="X3">
        <v>28</v>
      </c>
      <c r="Y3" s="30">
        <v>6436.2</v>
      </c>
      <c r="Z3" s="30">
        <v>78.900000000000006</v>
      </c>
      <c r="AA3">
        <v>2</v>
      </c>
      <c r="AB3" s="4">
        <v>23198</v>
      </c>
      <c r="AC3" s="4">
        <v>3265</v>
      </c>
      <c r="AD3" s="4">
        <f t="shared" si="1"/>
        <v>361</v>
      </c>
      <c r="AE3" s="4">
        <v>0</v>
      </c>
      <c r="AF3">
        <v>361</v>
      </c>
      <c r="AG3" s="4">
        <v>0</v>
      </c>
      <c r="AH3">
        <v>3</v>
      </c>
      <c r="AI3" s="4">
        <v>5111</v>
      </c>
      <c r="AJ3" s="4">
        <v>166</v>
      </c>
      <c r="AK3" s="4">
        <v>0</v>
      </c>
      <c r="AL3" s="4">
        <v>0</v>
      </c>
      <c r="AM3" s="4">
        <v>0</v>
      </c>
      <c r="AN3" s="4">
        <v>1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</row>
    <row r="4" spans="1:45">
      <c r="A4" s="1">
        <v>39873</v>
      </c>
      <c r="B4" s="6">
        <f t="shared" si="2"/>
        <v>2009</v>
      </c>
      <c r="C4" s="3">
        <v>67704548.678800002</v>
      </c>
      <c r="D4" s="3">
        <v>20311506.205500003</v>
      </c>
      <c r="E4" s="95">
        <f>'Annual CDM'!$B$10*5/144</f>
        <v>8961.0839627465375</v>
      </c>
      <c r="F4" s="3">
        <f t="shared" si="3"/>
        <v>20320467.289462749</v>
      </c>
      <c r="G4" s="3">
        <v>8604597.311900001</v>
      </c>
      <c r="H4" s="95">
        <f>'Annual CDM'!$B$20*5/144</f>
        <v>11858.394414287322</v>
      </c>
      <c r="I4" s="3">
        <f t="shared" si="4"/>
        <v>8616455.7063142881</v>
      </c>
      <c r="J4" s="3">
        <v>8517387.6423000004</v>
      </c>
      <c r="K4" s="3">
        <v>16069218.158300001</v>
      </c>
      <c r="L4" s="3">
        <f t="shared" si="0"/>
        <v>24586605.8006</v>
      </c>
      <c r="M4" s="95">
        <f>'Annual CDM'!$B$30*5/144</f>
        <v>22237.812236831756</v>
      </c>
      <c r="N4" s="3">
        <f t="shared" si="5"/>
        <v>24608843.61283683</v>
      </c>
      <c r="O4" s="3">
        <v>12370923.8947</v>
      </c>
      <c r="P4" s="95">
        <f>'Annual CDM'!$B$40*5/144</f>
        <v>0</v>
      </c>
      <c r="Q4" s="3">
        <f t="shared" si="6"/>
        <v>12370923.8947</v>
      </c>
      <c r="R4" s="3">
        <v>350654</v>
      </c>
      <c r="S4" s="3">
        <v>936.82</v>
      </c>
      <c r="T4" s="3">
        <v>192266.65</v>
      </c>
      <c r="U4" s="4">
        <v>555.60000000000014</v>
      </c>
      <c r="V4" s="4">
        <v>0</v>
      </c>
      <c r="W4">
        <v>22</v>
      </c>
      <c r="X4">
        <v>31</v>
      </c>
      <c r="Y4" s="30">
        <v>6363.8</v>
      </c>
      <c r="Z4" s="30">
        <v>78</v>
      </c>
      <c r="AA4">
        <v>3</v>
      </c>
      <c r="AB4" s="4">
        <v>23222</v>
      </c>
      <c r="AC4" s="4">
        <v>3290</v>
      </c>
      <c r="AD4" s="4">
        <f t="shared" si="1"/>
        <v>339</v>
      </c>
      <c r="AE4" s="4">
        <v>0</v>
      </c>
      <c r="AF4">
        <v>339</v>
      </c>
      <c r="AG4" s="4">
        <v>0</v>
      </c>
      <c r="AH4">
        <v>3</v>
      </c>
      <c r="AI4" s="4">
        <v>5111</v>
      </c>
      <c r="AJ4" s="4">
        <v>166</v>
      </c>
      <c r="AK4" s="4">
        <v>1</v>
      </c>
      <c r="AL4" s="4">
        <v>1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1</v>
      </c>
    </row>
    <row r="5" spans="1:45">
      <c r="A5" s="1">
        <v>39904</v>
      </c>
      <c r="B5" s="6">
        <f t="shared" si="2"/>
        <v>2009</v>
      </c>
      <c r="C5" s="3">
        <v>56956687.641800001</v>
      </c>
      <c r="D5" s="3">
        <v>15355678.4505</v>
      </c>
      <c r="E5" s="95">
        <f>'Annual CDM'!$B$10*7/144</f>
        <v>12545.517547845151</v>
      </c>
      <c r="F5" s="3">
        <f t="shared" si="3"/>
        <v>15368223.968047846</v>
      </c>
      <c r="G5" s="3">
        <v>7316308.4113000007</v>
      </c>
      <c r="H5" s="95">
        <f>'Annual CDM'!$B$20*7/144</f>
        <v>16601.752180002251</v>
      </c>
      <c r="I5" s="3">
        <f t="shared" si="4"/>
        <v>7332910.1634800034</v>
      </c>
      <c r="J5" s="3">
        <v>7286827.567400001</v>
      </c>
      <c r="K5" s="3">
        <v>13802495.8126</v>
      </c>
      <c r="L5" s="3">
        <f t="shared" si="0"/>
        <v>21089323.380000003</v>
      </c>
      <c r="M5" s="95">
        <f>'Annual CDM'!$B$30*7/144</f>
        <v>31132.937131564464</v>
      </c>
      <c r="N5" s="3">
        <f t="shared" si="5"/>
        <v>21120456.317131568</v>
      </c>
      <c r="O5" s="3">
        <v>11402691.3343</v>
      </c>
      <c r="P5" s="95">
        <f>'Annual CDM'!$B$40*7/144</f>
        <v>0</v>
      </c>
      <c r="Q5" s="3">
        <f t="shared" si="6"/>
        <v>11402691.3343</v>
      </c>
      <c r="R5" s="3">
        <v>295647</v>
      </c>
      <c r="S5" s="3">
        <v>936.82</v>
      </c>
      <c r="T5" s="3">
        <v>186064.5</v>
      </c>
      <c r="U5" s="4">
        <v>326.29999999999995</v>
      </c>
      <c r="V5" s="4">
        <v>0.8</v>
      </c>
      <c r="W5">
        <v>20</v>
      </c>
      <c r="X5">
        <v>30</v>
      </c>
      <c r="Y5" s="30">
        <v>6359.6</v>
      </c>
      <c r="Z5" s="30">
        <v>77.2</v>
      </c>
      <c r="AA5">
        <v>4</v>
      </c>
      <c r="AB5" s="4">
        <v>23086</v>
      </c>
      <c r="AC5" s="4">
        <v>3289</v>
      </c>
      <c r="AD5" s="4">
        <f t="shared" si="1"/>
        <v>341</v>
      </c>
      <c r="AE5" s="4">
        <v>0</v>
      </c>
      <c r="AF5">
        <v>341</v>
      </c>
      <c r="AG5" s="4">
        <v>0</v>
      </c>
      <c r="AH5">
        <v>3</v>
      </c>
      <c r="AI5" s="4">
        <v>5111</v>
      </c>
      <c r="AJ5" s="4">
        <v>166</v>
      </c>
      <c r="AK5" s="4">
        <v>1</v>
      </c>
      <c r="AL5" s="4">
        <v>1</v>
      </c>
      <c r="AM5" s="4">
        <v>0</v>
      </c>
      <c r="AN5" s="4">
        <v>0</v>
      </c>
      <c r="AO5" s="4">
        <v>1</v>
      </c>
      <c r="AP5" s="4">
        <v>0</v>
      </c>
      <c r="AQ5" s="4">
        <v>0</v>
      </c>
      <c r="AR5" s="4">
        <v>0</v>
      </c>
      <c r="AS5" s="4">
        <v>0</v>
      </c>
    </row>
    <row r="6" spans="1:45">
      <c r="A6" s="1">
        <v>39934</v>
      </c>
      <c r="B6" s="6">
        <f t="shared" si="2"/>
        <v>2009</v>
      </c>
      <c r="C6" s="3">
        <v>52049491.908100002</v>
      </c>
      <c r="D6" s="3">
        <v>13117710.1909</v>
      </c>
      <c r="E6" s="95">
        <f>'Annual CDM'!$B$10*9/144</f>
        <v>16129.951132943766</v>
      </c>
      <c r="F6" s="3">
        <f t="shared" si="3"/>
        <v>13133840.142032944</v>
      </c>
      <c r="G6" s="3">
        <v>6892994.1161999991</v>
      </c>
      <c r="H6" s="95">
        <f>'Annual CDM'!$B$20*9/144</f>
        <v>21345.10994571718</v>
      </c>
      <c r="I6" s="3">
        <f t="shared" si="4"/>
        <v>6914339.2261457164</v>
      </c>
      <c r="J6" s="3">
        <v>7113135.8810000001</v>
      </c>
      <c r="K6" s="3">
        <v>12862094.1743</v>
      </c>
      <c r="L6" s="3">
        <f t="shared" si="0"/>
        <v>19975230.055300001</v>
      </c>
      <c r="M6" s="95">
        <f>'Annual CDM'!$B$30*9/144</f>
        <v>40028.062026297164</v>
      </c>
      <c r="N6" s="3">
        <f t="shared" si="5"/>
        <v>20015258.117326297</v>
      </c>
      <c r="O6" s="3">
        <v>11555213.605999999</v>
      </c>
      <c r="P6" s="95">
        <f>'Annual CDM'!$B$40*9/144</f>
        <v>0</v>
      </c>
      <c r="Q6" s="3">
        <f t="shared" si="6"/>
        <v>11555213.605999999</v>
      </c>
      <c r="R6" s="3">
        <v>266705</v>
      </c>
      <c r="S6" s="3">
        <v>937.45</v>
      </c>
      <c r="T6" s="3">
        <v>192266.65</v>
      </c>
      <c r="U6" s="4">
        <v>165.29999999999995</v>
      </c>
      <c r="V6" s="4">
        <v>0</v>
      </c>
      <c r="W6">
        <v>20</v>
      </c>
      <c r="X6">
        <v>31</v>
      </c>
      <c r="Y6" s="30">
        <v>6382.1</v>
      </c>
      <c r="Z6" s="30">
        <v>76.900000000000006</v>
      </c>
      <c r="AA6">
        <v>5</v>
      </c>
      <c r="AB6" s="4">
        <v>22950</v>
      </c>
      <c r="AC6" s="4">
        <v>3284</v>
      </c>
      <c r="AD6" s="4">
        <f t="shared" si="1"/>
        <v>343</v>
      </c>
      <c r="AE6" s="4">
        <v>0</v>
      </c>
      <c r="AF6">
        <v>343</v>
      </c>
      <c r="AG6" s="4">
        <v>0</v>
      </c>
      <c r="AH6">
        <v>3</v>
      </c>
      <c r="AI6" s="4">
        <v>5116</v>
      </c>
      <c r="AJ6" s="4">
        <v>166</v>
      </c>
      <c r="AK6" s="4">
        <v>1</v>
      </c>
      <c r="AL6" s="4">
        <v>1</v>
      </c>
      <c r="AM6" s="4">
        <v>0</v>
      </c>
      <c r="AN6" s="4">
        <v>0</v>
      </c>
      <c r="AO6" s="4">
        <v>0</v>
      </c>
      <c r="AP6" s="4">
        <v>0</v>
      </c>
      <c r="AQ6" s="4">
        <v>1</v>
      </c>
      <c r="AR6" s="4">
        <v>0</v>
      </c>
      <c r="AS6" s="4">
        <v>0</v>
      </c>
    </row>
    <row r="7" spans="1:45">
      <c r="A7" s="1">
        <v>39965</v>
      </c>
      <c r="B7" s="6">
        <f t="shared" si="2"/>
        <v>2009</v>
      </c>
      <c r="C7" s="3">
        <v>53222452.300999999</v>
      </c>
      <c r="D7" s="3">
        <v>11957071.520799998</v>
      </c>
      <c r="E7" s="95">
        <f>'Annual CDM'!$B$10*11/144</f>
        <v>19714.38471804238</v>
      </c>
      <c r="F7" s="3">
        <f t="shared" si="3"/>
        <v>11976785.90551804</v>
      </c>
      <c r="G7" s="3">
        <v>6896984.1305000009</v>
      </c>
      <c r="H7" s="95">
        <f>'Annual CDM'!$B$20*11/144</f>
        <v>26088.467711432109</v>
      </c>
      <c r="I7" s="3">
        <f t="shared" si="4"/>
        <v>6923072.5982114328</v>
      </c>
      <c r="J7" s="3">
        <v>6933478.6116000004</v>
      </c>
      <c r="K7" s="3">
        <v>13114655.085199999</v>
      </c>
      <c r="L7" s="3">
        <f t="shared" si="0"/>
        <v>20048133.696800001</v>
      </c>
      <c r="M7" s="95">
        <f>'Annual CDM'!$B$30*11/144</f>
        <v>48923.186921029868</v>
      </c>
      <c r="N7" s="3">
        <f t="shared" si="5"/>
        <v>20097056.883721031</v>
      </c>
      <c r="O7" s="3">
        <v>12458106.387699999</v>
      </c>
      <c r="P7" s="95">
        <f>'Annual CDM'!$B$40*11/144</f>
        <v>0</v>
      </c>
      <c r="Q7" s="3">
        <f t="shared" si="6"/>
        <v>12458106.387699999</v>
      </c>
      <c r="R7" s="3">
        <v>238688</v>
      </c>
      <c r="S7" s="3">
        <v>937.45</v>
      </c>
      <c r="T7" s="3">
        <v>185317.5</v>
      </c>
      <c r="U7" s="4">
        <v>59.20000000000001</v>
      </c>
      <c r="V7" s="4">
        <v>32.6</v>
      </c>
      <c r="W7">
        <v>22</v>
      </c>
      <c r="X7">
        <v>30</v>
      </c>
      <c r="Y7" s="30">
        <v>6429.4</v>
      </c>
      <c r="Z7" s="30">
        <v>77.400000000000006</v>
      </c>
      <c r="AA7">
        <v>6</v>
      </c>
      <c r="AB7" s="4">
        <v>22947</v>
      </c>
      <c r="AC7" s="4">
        <v>3268</v>
      </c>
      <c r="AD7" s="4">
        <f t="shared" si="1"/>
        <v>345</v>
      </c>
      <c r="AE7" s="4">
        <v>0</v>
      </c>
      <c r="AF7">
        <v>345</v>
      </c>
      <c r="AG7" s="4">
        <v>0</v>
      </c>
      <c r="AH7">
        <v>3</v>
      </c>
      <c r="AI7" s="4">
        <v>5116</v>
      </c>
      <c r="AJ7" s="4">
        <v>162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1</v>
      </c>
      <c r="AR7" s="4">
        <v>0</v>
      </c>
      <c r="AS7" s="4">
        <v>0</v>
      </c>
    </row>
    <row r="8" spans="1:45">
      <c r="A8" s="1">
        <v>39995</v>
      </c>
      <c r="B8" s="6">
        <f t="shared" si="2"/>
        <v>2009</v>
      </c>
      <c r="C8" s="3">
        <v>57043131.938000001</v>
      </c>
      <c r="D8" s="3">
        <v>12423690.194100002</v>
      </c>
      <c r="E8" s="95">
        <f>'Annual CDM'!$B$10*13/144</f>
        <v>23298.818303140997</v>
      </c>
      <c r="F8" s="3">
        <f t="shared" si="3"/>
        <v>12446989.012403144</v>
      </c>
      <c r="G8" s="3">
        <v>7547793.2116999989</v>
      </c>
      <c r="H8" s="95">
        <f>'Annual CDM'!$B$20*13/144</f>
        <v>30831.825477147035</v>
      </c>
      <c r="I8" s="3">
        <f t="shared" si="4"/>
        <v>7578625.0371771464</v>
      </c>
      <c r="J8" s="3">
        <v>7322883.2422000002</v>
      </c>
      <c r="K8" s="3">
        <v>14176645.979599999</v>
      </c>
      <c r="L8" s="3">
        <f t="shared" si="0"/>
        <v>21499529.221799999</v>
      </c>
      <c r="M8" s="95">
        <f>'Annual CDM'!$B$30*13/144</f>
        <v>57818.311815762572</v>
      </c>
      <c r="N8" s="3">
        <f t="shared" si="5"/>
        <v>21557347.533615761</v>
      </c>
      <c r="O8" s="3">
        <v>13695389.126600001</v>
      </c>
      <c r="P8" s="95">
        <f>'Annual CDM'!$B$40*13/144</f>
        <v>0</v>
      </c>
      <c r="Q8" s="3">
        <f t="shared" si="6"/>
        <v>13695389.126600001</v>
      </c>
      <c r="R8" s="3">
        <v>256302</v>
      </c>
      <c r="S8" s="3">
        <v>937.45</v>
      </c>
      <c r="T8" s="3">
        <v>190499.65</v>
      </c>
      <c r="U8" s="4">
        <v>11.799999999999999</v>
      </c>
      <c r="V8" s="4">
        <v>35.6</v>
      </c>
      <c r="W8">
        <v>22</v>
      </c>
      <c r="X8">
        <v>31</v>
      </c>
      <c r="Y8" s="30">
        <v>6467</v>
      </c>
      <c r="Z8" s="30">
        <v>78.400000000000006</v>
      </c>
      <c r="AA8">
        <v>7</v>
      </c>
      <c r="AB8" s="4">
        <v>22995</v>
      </c>
      <c r="AC8" s="4">
        <v>3268</v>
      </c>
      <c r="AD8" s="4">
        <f t="shared" si="1"/>
        <v>344</v>
      </c>
      <c r="AE8" s="4">
        <v>0</v>
      </c>
      <c r="AF8">
        <v>344</v>
      </c>
      <c r="AG8" s="4">
        <v>0</v>
      </c>
      <c r="AH8">
        <v>3</v>
      </c>
      <c r="AI8" s="4">
        <v>5116</v>
      </c>
      <c r="AJ8" s="4">
        <v>162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1</v>
      </c>
      <c r="AR8" s="4">
        <v>0</v>
      </c>
      <c r="AS8" s="4">
        <v>0</v>
      </c>
    </row>
    <row r="9" spans="1:45">
      <c r="A9" s="1">
        <v>40026</v>
      </c>
      <c r="B9" s="6">
        <f t="shared" si="2"/>
        <v>2009</v>
      </c>
      <c r="C9" s="3">
        <v>60742363.776199996</v>
      </c>
      <c r="D9" s="3">
        <v>13070512.381900001</v>
      </c>
      <c r="E9" s="95">
        <f>'Annual CDM'!$B$10*15/144</f>
        <v>26883.251888239611</v>
      </c>
      <c r="F9" s="3">
        <f t="shared" si="3"/>
        <v>13097395.633788241</v>
      </c>
      <c r="G9" s="3">
        <v>7818900.3452000003</v>
      </c>
      <c r="H9" s="95">
        <f>'Annual CDM'!$B$20*15/144</f>
        <v>35575.183242861967</v>
      </c>
      <c r="I9" s="3">
        <f t="shared" si="4"/>
        <v>7854475.5284428624</v>
      </c>
      <c r="J9" s="3">
        <v>7456540.977500001</v>
      </c>
      <c r="K9" s="3">
        <v>14818711.278999999</v>
      </c>
      <c r="L9" s="3">
        <f t="shared" si="0"/>
        <v>22275252.256499998</v>
      </c>
      <c r="M9" s="95">
        <f>'Annual CDM'!$B$30*15/144</f>
        <v>66713.436710495269</v>
      </c>
      <c r="N9" s="3">
        <f t="shared" si="5"/>
        <v>22341965.693210494</v>
      </c>
      <c r="O9" s="3">
        <v>14408989.219000001</v>
      </c>
      <c r="P9" s="95">
        <f>'Annual CDM'!$B$40*15/144</f>
        <v>0</v>
      </c>
      <c r="Q9" s="3">
        <f t="shared" si="6"/>
        <v>14408989.219000001</v>
      </c>
      <c r="R9" s="3">
        <v>290139</v>
      </c>
      <c r="S9" s="3">
        <v>937.45</v>
      </c>
      <c r="T9" s="3">
        <v>190499.65</v>
      </c>
      <c r="U9" s="4">
        <v>20.6</v>
      </c>
      <c r="V9" s="4">
        <v>85.199999999999989</v>
      </c>
      <c r="W9">
        <v>20</v>
      </c>
      <c r="X9">
        <v>31</v>
      </c>
      <c r="Y9" s="30">
        <v>6487.6</v>
      </c>
      <c r="Z9" s="30">
        <v>79.3</v>
      </c>
      <c r="AA9">
        <v>8</v>
      </c>
      <c r="AB9" s="4">
        <v>22990</v>
      </c>
      <c r="AC9" s="4">
        <v>3261</v>
      </c>
      <c r="AD9" s="4">
        <f t="shared" si="1"/>
        <v>343</v>
      </c>
      <c r="AE9" s="4">
        <v>0</v>
      </c>
      <c r="AF9">
        <v>343</v>
      </c>
      <c r="AG9" s="4">
        <v>0</v>
      </c>
      <c r="AH9">
        <v>3</v>
      </c>
      <c r="AI9" s="4">
        <v>5116</v>
      </c>
      <c r="AJ9" s="4">
        <v>162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1</v>
      </c>
      <c r="AR9" s="4">
        <v>0</v>
      </c>
      <c r="AS9" s="4">
        <v>0</v>
      </c>
    </row>
    <row r="10" spans="1:45">
      <c r="A10" s="1">
        <v>40057</v>
      </c>
      <c r="B10" s="6">
        <f t="shared" si="2"/>
        <v>2009</v>
      </c>
      <c r="C10" s="3">
        <v>54447224.579199992</v>
      </c>
      <c r="D10" s="3">
        <v>13202217.812000001</v>
      </c>
      <c r="E10" s="95">
        <f>'Annual CDM'!$B$10*17/144</f>
        <v>30467.685473338221</v>
      </c>
      <c r="F10" s="3">
        <f t="shared" si="3"/>
        <v>13232685.497473339</v>
      </c>
      <c r="G10" s="3">
        <v>7086905.3305000011</v>
      </c>
      <c r="H10" s="95">
        <f>'Annual CDM'!$B$20*17/144</f>
        <v>40318.541008576896</v>
      </c>
      <c r="I10" s="3">
        <f t="shared" si="4"/>
        <v>7127223.8715085778</v>
      </c>
      <c r="J10" s="3">
        <v>6634197.0669999998</v>
      </c>
      <c r="K10" s="3">
        <v>13965609.285500001</v>
      </c>
      <c r="L10" s="3">
        <f t="shared" si="0"/>
        <v>20599806.352499999</v>
      </c>
      <c r="M10" s="95">
        <f>'Annual CDM'!$B$30*17/144</f>
        <v>75608.56160522798</v>
      </c>
      <c r="N10" s="3">
        <f t="shared" si="5"/>
        <v>20675414.914105225</v>
      </c>
      <c r="O10" s="3">
        <v>12983020.697999999</v>
      </c>
      <c r="P10" s="95">
        <f>'Annual CDM'!$B$40*17/144</f>
        <v>0</v>
      </c>
      <c r="Q10" s="3">
        <f t="shared" si="6"/>
        <v>12983020.697999999</v>
      </c>
      <c r="R10" s="3">
        <v>322623</v>
      </c>
      <c r="S10" s="3">
        <v>937.45</v>
      </c>
      <c r="T10" s="3">
        <v>185349.5</v>
      </c>
      <c r="U10" s="4">
        <v>100.9</v>
      </c>
      <c r="V10" s="4">
        <v>4.5999999999999996</v>
      </c>
      <c r="W10">
        <v>21</v>
      </c>
      <c r="X10">
        <v>30</v>
      </c>
      <c r="Y10" s="30">
        <v>6470.2</v>
      </c>
      <c r="Z10" s="30">
        <v>80</v>
      </c>
      <c r="AA10">
        <v>9</v>
      </c>
      <c r="AB10" s="4">
        <v>23114</v>
      </c>
      <c r="AC10" s="4">
        <v>3260</v>
      </c>
      <c r="AD10" s="4">
        <f t="shared" si="1"/>
        <v>345</v>
      </c>
      <c r="AE10" s="4">
        <v>0</v>
      </c>
      <c r="AF10">
        <v>345</v>
      </c>
      <c r="AG10" s="4">
        <v>0</v>
      </c>
      <c r="AH10">
        <v>3</v>
      </c>
      <c r="AI10" s="4">
        <v>5116</v>
      </c>
      <c r="AJ10" s="4">
        <v>159</v>
      </c>
      <c r="AK10" s="4">
        <v>1</v>
      </c>
      <c r="AL10" s="4">
        <v>0</v>
      </c>
      <c r="AM10" s="4">
        <v>1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</row>
    <row r="11" spans="1:45">
      <c r="A11" s="1">
        <v>40087</v>
      </c>
      <c r="B11" s="6">
        <f t="shared" si="2"/>
        <v>2009</v>
      </c>
      <c r="C11" s="3">
        <v>58258830.390099995</v>
      </c>
      <c r="D11" s="3">
        <v>14811561.364799999</v>
      </c>
      <c r="E11" s="95">
        <f>'Annual CDM'!$B$10*19/144</f>
        <v>34052.119058436845</v>
      </c>
      <c r="F11" s="3">
        <f t="shared" si="3"/>
        <v>14845613.483858436</v>
      </c>
      <c r="G11" s="3">
        <v>7315482.7944999998</v>
      </c>
      <c r="H11" s="95">
        <f>'Annual CDM'!$B$20*19/144</f>
        <v>45061.898774291825</v>
      </c>
      <c r="I11" s="3">
        <f t="shared" si="4"/>
        <v>7360544.6932742912</v>
      </c>
      <c r="J11" s="3">
        <v>6931927.7296000002</v>
      </c>
      <c r="K11" s="3">
        <v>14942335.330699999</v>
      </c>
      <c r="L11" s="3">
        <f t="shared" si="0"/>
        <v>21874263.0603</v>
      </c>
      <c r="M11" s="95">
        <f>'Annual CDM'!$B$30*19/144</f>
        <v>84503.686499960677</v>
      </c>
      <c r="N11" s="3">
        <f t="shared" si="5"/>
        <v>21958766.746799961</v>
      </c>
      <c r="O11" s="3">
        <v>12029943</v>
      </c>
      <c r="P11" s="95">
        <f>'Annual CDM'!$B$40*19/144</f>
        <v>0</v>
      </c>
      <c r="Q11" s="3">
        <f t="shared" si="6"/>
        <v>12029943</v>
      </c>
      <c r="R11" s="3">
        <v>378253</v>
      </c>
      <c r="S11" s="3">
        <v>937.45</v>
      </c>
      <c r="T11" s="3">
        <v>191646.65</v>
      </c>
      <c r="U11" s="4">
        <v>330.19999999999993</v>
      </c>
      <c r="V11" s="4">
        <v>0</v>
      </c>
      <c r="W11">
        <v>21</v>
      </c>
      <c r="X11">
        <v>31</v>
      </c>
      <c r="Y11" s="30">
        <v>6472.1</v>
      </c>
      <c r="Z11" s="30">
        <v>80.900000000000006</v>
      </c>
      <c r="AA11">
        <v>10</v>
      </c>
      <c r="AB11" s="4">
        <v>23172</v>
      </c>
      <c r="AC11" s="4">
        <v>3248</v>
      </c>
      <c r="AD11" s="4">
        <f t="shared" si="1"/>
        <v>350</v>
      </c>
      <c r="AE11" s="4">
        <v>0</v>
      </c>
      <c r="AF11">
        <v>350</v>
      </c>
      <c r="AG11" s="4">
        <v>0</v>
      </c>
      <c r="AH11">
        <v>3</v>
      </c>
      <c r="AI11" s="4">
        <v>5116</v>
      </c>
      <c r="AJ11" s="4">
        <v>159</v>
      </c>
      <c r="AK11" s="4">
        <v>1</v>
      </c>
      <c r="AL11" s="4">
        <v>0</v>
      </c>
      <c r="AM11" s="4">
        <v>1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</row>
    <row r="12" spans="1:45">
      <c r="A12" s="1">
        <v>40118</v>
      </c>
      <c r="B12" s="6">
        <f t="shared" si="2"/>
        <v>2009</v>
      </c>
      <c r="C12" s="3">
        <v>58858168.195700005</v>
      </c>
      <c r="D12" s="3">
        <v>16459360.333399998</v>
      </c>
      <c r="E12" s="95">
        <f>'Annual CDM'!$B$10*21/144</f>
        <v>37636.552643535455</v>
      </c>
      <c r="F12" s="3">
        <f t="shared" si="3"/>
        <v>16496996.886043534</v>
      </c>
      <c r="G12" s="3">
        <v>7548115.7056999998</v>
      </c>
      <c r="H12" s="95">
        <f>'Annual CDM'!$B$20*21/144</f>
        <v>49805.256540006754</v>
      </c>
      <c r="I12" s="3">
        <f t="shared" si="4"/>
        <v>7597920.9622400068</v>
      </c>
      <c r="J12" s="3">
        <v>7031098.8247000007</v>
      </c>
      <c r="K12" s="3">
        <v>15160662.972599998</v>
      </c>
      <c r="L12" s="3">
        <f t="shared" si="0"/>
        <v>22191761.7973</v>
      </c>
      <c r="M12" s="95">
        <f>'Annual CDM'!$B$30*21/144</f>
        <v>93398.811394693388</v>
      </c>
      <c r="N12" s="3">
        <f t="shared" si="5"/>
        <v>22285160.608694695</v>
      </c>
      <c r="O12" s="3">
        <v>11523934</v>
      </c>
      <c r="P12" s="95">
        <f>'Annual CDM'!$B$40*21/144</f>
        <v>0</v>
      </c>
      <c r="Q12" s="3">
        <f t="shared" si="6"/>
        <v>11523934</v>
      </c>
      <c r="R12" s="3">
        <v>388261</v>
      </c>
      <c r="S12" s="3">
        <v>937.45</v>
      </c>
      <c r="T12" s="3">
        <v>185464.5</v>
      </c>
      <c r="U12" s="4">
        <v>384.49999999999989</v>
      </c>
      <c r="V12" s="4">
        <v>0</v>
      </c>
      <c r="W12">
        <v>21</v>
      </c>
      <c r="X12">
        <v>30</v>
      </c>
      <c r="Y12" s="30">
        <v>6465.6</v>
      </c>
      <c r="Z12" s="30">
        <v>81.2</v>
      </c>
      <c r="AA12">
        <v>11</v>
      </c>
      <c r="AB12" s="4">
        <v>23202</v>
      </c>
      <c r="AC12" s="4">
        <v>3247</v>
      </c>
      <c r="AD12" s="4">
        <f t="shared" si="1"/>
        <v>351</v>
      </c>
      <c r="AE12" s="4">
        <v>0</v>
      </c>
      <c r="AF12">
        <v>351</v>
      </c>
      <c r="AG12" s="4">
        <v>0</v>
      </c>
      <c r="AH12">
        <v>3</v>
      </c>
      <c r="AI12" s="4">
        <v>5116</v>
      </c>
      <c r="AJ12" s="4">
        <v>159</v>
      </c>
      <c r="AK12" s="4">
        <v>1</v>
      </c>
      <c r="AL12" s="4">
        <v>0</v>
      </c>
      <c r="AM12" s="4">
        <v>1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</row>
    <row r="13" spans="1:45">
      <c r="A13" s="1">
        <v>40148</v>
      </c>
      <c r="B13" s="6">
        <f t="shared" si="2"/>
        <v>2009</v>
      </c>
      <c r="C13" s="3">
        <v>69917491.56750001</v>
      </c>
      <c r="D13" s="3">
        <v>19859508.091600001</v>
      </c>
      <c r="E13" s="95">
        <f>'Annual CDM'!$B$10*23/144</f>
        <v>41220.986228634072</v>
      </c>
      <c r="F13" s="3">
        <f t="shared" si="3"/>
        <v>19900729.077828635</v>
      </c>
      <c r="G13" s="3">
        <v>8620869.761500001</v>
      </c>
      <c r="H13" s="95">
        <f>'Annual CDM'!$B$20*23/144</f>
        <v>54548.614305721683</v>
      </c>
      <c r="I13" s="3">
        <f t="shared" si="4"/>
        <v>8675418.3758057225</v>
      </c>
      <c r="J13" s="3">
        <v>8074994.0290999999</v>
      </c>
      <c r="K13" s="3">
        <v>16077001.8972</v>
      </c>
      <c r="L13" s="3">
        <f t="shared" si="0"/>
        <v>24151995.9263</v>
      </c>
      <c r="M13" s="95">
        <f>'Annual CDM'!$B$30*23/144</f>
        <v>102293.93628942608</v>
      </c>
      <c r="N13" s="3">
        <f t="shared" si="5"/>
        <v>24254289.862589426</v>
      </c>
      <c r="O13" s="3">
        <v>11610601</v>
      </c>
      <c r="P13" s="95">
        <f>'Annual CDM'!$B$40*23/144</f>
        <v>0</v>
      </c>
      <c r="Q13" s="3">
        <f t="shared" si="6"/>
        <v>11610601</v>
      </c>
      <c r="R13" s="3">
        <v>421505.54216867464</v>
      </c>
      <c r="S13" s="3">
        <v>937.45</v>
      </c>
      <c r="T13" s="3">
        <v>191646.65</v>
      </c>
      <c r="U13" s="4">
        <v>696.79999999999984</v>
      </c>
      <c r="V13" s="4">
        <v>0</v>
      </c>
      <c r="W13">
        <v>21</v>
      </c>
      <c r="X13">
        <v>31</v>
      </c>
      <c r="Y13" s="30">
        <v>6467.5</v>
      </c>
      <c r="Z13" s="30">
        <v>81.2</v>
      </c>
      <c r="AA13">
        <v>12</v>
      </c>
      <c r="AB13" s="4">
        <v>23223</v>
      </c>
      <c r="AC13" s="4">
        <v>3255</v>
      </c>
      <c r="AD13" s="4">
        <f t="shared" si="1"/>
        <v>351</v>
      </c>
      <c r="AE13" s="4">
        <v>0</v>
      </c>
      <c r="AF13">
        <v>351</v>
      </c>
      <c r="AG13" s="4">
        <v>0</v>
      </c>
      <c r="AH13">
        <v>3</v>
      </c>
      <c r="AI13" s="4">
        <v>5116</v>
      </c>
      <c r="AJ13" s="4">
        <v>159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1</v>
      </c>
      <c r="AQ13" s="4">
        <v>0</v>
      </c>
      <c r="AR13" s="4">
        <v>0</v>
      </c>
      <c r="AS13" s="4">
        <v>0</v>
      </c>
    </row>
    <row r="14" spans="1:45">
      <c r="A14" s="1">
        <v>40179</v>
      </c>
      <c r="B14" s="6">
        <f t="shared" si="2"/>
        <v>2010</v>
      </c>
      <c r="C14" s="3">
        <v>73399760.891204804</v>
      </c>
      <c r="D14" s="3">
        <v>23606855.725399997</v>
      </c>
      <c r="E14" s="95">
        <f>'Annual CDM'!$C$3/12+'Annual CDM'!$C$4*1/144</f>
        <v>43359.990597805489</v>
      </c>
      <c r="F14" s="3">
        <f t="shared" si="3"/>
        <v>23650215.715997804</v>
      </c>
      <c r="G14" s="3">
        <v>9325181.3517000005</v>
      </c>
      <c r="H14" s="95">
        <f>'Annual CDM'!$C$13/12+'Annual CDM'!$C$14*1/144</f>
        <v>58793.252802989497</v>
      </c>
      <c r="I14" s="3">
        <f t="shared" si="4"/>
        <v>9383974.6045029908</v>
      </c>
      <c r="J14" s="3">
        <v>9087152.9148999993</v>
      </c>
      <c r="K14" s="3">
        <v>17990863.344799999</v>
      </c>
      <c r="L14" s="3">
        <f t="shared" si="0"/>
        <v>27078016.2597</v>
      </c>
      <c r="M14" s="95">
        <f>'Annual CDM'!$C$23/12+'Annual CDM'!$C$24*1/144</f>
        <v>64738.913739828546</v>
      </c>
      <c r="N14" s="3">
        <f t="shared" si="5"/>
        <v>27142755.173439831</v>
      </c>
      <c r="O14" s="3">
        <v>11955217.004000001</v>
      </c>
      <c r="P14" s="95">
        <f>'Annual CDM'!$C$33/12+'Annual CDM'!$C$34*1/144</f>
        <v>0</v>
      </c>
      <c r="Q14" s="3">
        <f t="shared" si="6"/>
        <v>11955217.004000001</v>
      </c>
      <c r="R14" s="3">
        <v>428329</v>
      </c>
      <c r="S14" s="3">
        <v>937.45</v>
      </c>
      <c r="T14" s="3">
        <v>187330.21000000002</v>
      </c>
      <c r="U14" s="4">
        <v>750.59999999999991</v>
      </c>
      <c r="V14" s="4">
        <v>0</v>
      </c>
      <c r="W14">
        <v>20</v>
      </c>
      <c r="X14">
        <v>31</v>
      </c>
      <c r="Y14" s="30">
        <v>6434.5</v>
      </c>
      <c r="Z14" s="30">
        <v>80</v>
      </c>
      <c r="AA14">
        <v>13</v>
      </c>
      <c r="AB14" s="4">
        <v>23244</v>
      </c>
      <c r="AC14" s="4">
        <v>3254</v>
      </c>
      <c r="AD14" s="4">
        <v>227</v>
      </c>
      <c r="AE14" s="4">
        <v>128</v>
      </c>
      <c r="AF14" s="4">
        <f>AD14+AE14</f>
        <v>355</v>
      </c>
      <c r="AG14" s="4">
        <v>0</v>
      </c>
      <c r="AH14">
        <v>3</v>
      </c>
      <c r="AI14" s="4">
        <v>5116</v>
      </c>
      <c r="AJ14" s="4">
        <v>159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f>AQ2</f>
        <v>0</v>
      </c>
      <c r="AR14" s="4">
        <v>1</v>
      </c>
      <c r="AS14" s="4">
        <v>0</v>
      </c>
    </row>
    <row r="15" spans="1:45">
      <c r="A15" s="1">
        <v>40210</v>
      </c>
      <c r="B15" s="6">
        <f t="shared" si="2"/>
        <v>2010</v>
      </c>
      <c r="C15" s="3">
        <v>64846296.512289159</v>
      </c>
      <c r="D15" s="3">
        <v>21091517.422400001</v>
      </c>
      <c r="E15" s="95">
        <f>'Annual CDM'!$C$3/12+'Annual CDM'!$C$4*3/144</f>
        <v>45812.629874938779</v>
      </c>
      <c r="F15" s="3">
        <f t="shared" si="3"/>
        <v>21137330.052274939</v>
      </c>
      <c r="G15" s="3">
        <v>8591993.1293000001</v>
      </c>
      <c r="H15" s="95">
        <f>'Annual CDM'!$C$13/12+'Annual CDM'!$C$14*3/144</f>
        <v>62539.172031810187</v>
      </c>
      <c r="I15" s="3">
        <f t="shared" si="4"/>
        <v>8654532.3013318107</v>
      </c>
      <c r="J15" s="3">
        <v>7587383.9426000006</v>
      </c>
      <c r="K15" s="3">
        <v>15875667.9157</v>
      </c>
      <c r="L15" s="3">
        <f t="shared" si="0"/>
        <v>23463051.8583</v>
      </c>
      <c r="M15" s="95">
        <f>'Annual CDM'!$C$23/12+'Annual CDM'!$C$24*3/144</f>
        <v>74439.262434841759</v>
      </c>
      <c r="N15" s="3">
        <f t="shared" si="5"/>
        <v>23537491.120734841</v>
      </c>
      <c r="O15" s="3">
        <v>10874740.4221</v>
      </c>
      <c r="P15" s="95">
        <f>'Annual CDM'!$C$33/12+'Annual CDM'!$C$34*3/144</f>
        <v>0</v>
      </c>
      <c r="Q15" s="3">
        <f t="shared" si="6"/>
        <v>10874740.4221</v>
      </c>
      <c r="R15" s="3">
        <v>363977</v>
      </c>
      <c r="S15" s="3">
        <v>937.45</v>
      </c>
      <c r="T15" s="3">
        <v>169201.47999999998</v>
      </c>
      <c r="U15" s="4">
        <v>620.40000000000009</v>
      </c>
      <c r="V15" s="4">
        <v>0</v>
      </c>
      <c r="W15">
        <v>19</v>
      </c>
      <c r="X15">
        <v>28</v>
      </c>
      <c r="Y15" s="30">
        <v>6404.1</v>
      </c>
      <c r="Z15" s="30">
        <v>77.7</v>
      </c>
      <c r="AA15">
        <v>14</v>
      </c>
      <c r="AB15" s="4">
        <v>23206</v>
      </c>
      <c r="AC15" s="4">
        <v>3250</v>
      </c>
      <c r="AD15" s="4">
        <v>227</v>
      </c>
      <c r="AE15" s="4">
        <v>127</v>
      </c>
      <c r="AF15" s="4">
        <f t="shared" ref="AF15:AF73" si="7">AD15+AE15</f>
        <v>354</v>
      </c>
      <c r="AG15" s="4">
        <v>0</v>
      </c>
      <c r="AH15">
        <v>3</v>
      </c>
      <c r="AI15" s="4">
        <v>5116</v>
      </c>
      <c r="AJ15" s="4">
        <v>159</v>
      </c>
      <c r="AK15" s="4">
        <v>0</v>
      </c>
      <c r="AL15" s="4">
        <v>0</v>
      </c>
      <c r="AM15" s="4">
        <v>0</v>
      </c>
      <c r="AN15" s="4">
        <v>1</v>
      </c>
      <c r="AO15" s="4">
        <v>0</v>
      </c>
      <c r="AP15" s="4">
        <v>0</v>
      </c>
      <c r="AQ15" s="4">
        <f t="shared" ref="AQ15:AQ73" si="8">AQ3</f>
        <v>0</v>
      </c>
      <c r="AR15" s="4">
        <v>0</v>
      </c>
      <c r="AS15" s="4">
        <v>0</v>
      </c>
    </row>
    <row r="16" spans="1:45">
      <c r="A16" s="1">
        <v>40238</v>
      </c>
      <c r="B16" s="6">
        <f t="shared" si="2"/>
        <v>2010</v>
      </c>
      <c r="C16" s="3">
        <v>63763855.911325291</v>
      </c>
      <c r="D16" s="3">
        <v>19291304.618700001</v>
      </c>
      <c r="E16" s="95">
        <f>'Annual CDM'!$C$3/12+'Annual CDM'!$C$4*5/144</f>
        <v>48265.269152072069</v>
      </c>
      <c r="F16" s="3">
        <f t="shared" si="3"/>
        <v>19339569.887852073</v>
      </c>
      <c r="G16" s="3">
        <v>8207095.9015999986</v>
      </c>
      <c r="H16" s="95">
        <f>'Annual CDM'!$C$13/12+'Annual CDM'!$C$14*5/144</f>
        <v>66285.091260630885</v>
      </c>
      <c r="I16" s="3">
        <f t="shared" si="4"/>
        <v>8273380.9928606292</v>
      </c>
      <c r="J16" s="3">
        <v>7379983.5450999988</v>
      </c>
      <c r="K16" s="3">
        <v>15932347.798899999</v>
      </c>
      <c r="L16" s="3">
        <f t="shared" si="0"/>
        <v>23312331.343999997</v>
      </c>
      <c r="M16" s="95">
        <f>'Annual CDM'!$C$23/12+'Annual CDM'!$C$24*5/144</f>
        <v>84139.61112985498</v>
      </c>
      <c r="N16" s="3">
        <f t="shared" si="5"/>
        <v>23396470.955129851</v>
      </c>
      <c r="O16" s="3">
        <v>11920294.521500001</v>
      </c>
      <c r="P16" s="95">
        <f>'Annual CDM'!$C$33/12+'Annual CDM'!$C$34*5/144</f>
        <v>0</v>
      </c>
      <c r="Q16" s="3">
        <f t="shared" si="6"/>
        <v>11920294.521500001</v>
      </c>
      <c r="R16" s="3">
        <v>306930</v>
      </c>
      <c r="S16" s="3">
        <v>937.58</v>
      </c>
      <c r="T16" s="3">
        <v>187330.21000000002</v>
      </c>
      <c r="U16" s="4">
        <v>451.89999999999992</v>
      </c>
      <c r="V16" s="4">
        <v>0</v>
      </c>
      <c r="W16">
        <v>23</v>
      </c>
      <c r="X16">
        <v>31</v>
      </c>
      <c r="Y16" s="30">
        <v>6377.2</v>
      </c>
      <c r="Z16" s="30">
        <v>76.400000000000006</v>
      </c>
      <c r="AA16">
        <v>15</v>
      </c>
      <c r="AB16" s="4">
        <v>23227</v>
      </c>
      <c r="AC16" s="4">
        <v>3249</v>
      </c>
      <c r="AD16" s="4">
        <v>225</v>
      </c>
      <c r="AE16" s="4">
        <v>127</v>
      </c>
      <c r="AF16" s="4">
        <f t="shared" si="7"/>
        <v>352</v>
      </c>
      <c r="AG16" s="4">
        <v>0</v>
      </c>
      <c r="AH16">
        <v>3</v>
      </c>
      <c r="AI16" s="4">
        <v>5117</v>
      </c>
      <c r="AJ16" s="4">
        <v>159</v>
      </c>
      <c r="AK16" s="4">
        <v>1</v>
      </c>
      <c r="AL16" s="4">
        <v>1</v>
      </c>
      <c r="AM16" s="4">
        <v>0</v>
      </c>
      <c r="AN16" s="4">
        <v>0</v>
      </c>
      <c r="AO16" s="4">
        <v>0</v>
      </c>
      <c r="AP16" s="4">
        <v>0</v>
      </c>
      <c r="AQ16" s="4">
        <f t="shared" si="8"/>
        <v>0</v>
      </c>
      <c r="AR16" s="4">
        <v>0</v>
      </c>
      <c r="AS16" s="4">
        <v>1</v>
      </c>
    </row>
    <row r="17" spans="1:45">
      <c r="A17" s="1">
        <v>40269</v>
      </c>
      <c r="B17" s="6">
        <f t="shared" si="2"/>
        <v>2010</v>
      </c>
      <c r="C17" s="3">
        <v>53617814.283493981</v>
      </c>
      <c r="D17" s="3">
        <v>14289179.892700002</v>
      </c>
      <c r="E17" s="95">
        <f>'Annual CDM'!$C$3/12+'Annual CDM'!$C$4*7/144</f>
        <v>50717.908429205359</v>
      </c>
      <c r="F17" s="3">
        <f t="shared" si="3"/>
        <v>14339897.801129207</v>
      </c>
      <c r="G17" s="3">
        <v>6918818.8890000004</v>
      </c>
      <c r="H17" s="95">
        <f>'Annual CDM'!$C$13/12+'Annual CDM'!$C$14*7/144</f>
        <v>70031.010489451583</v>
      </c>
      <c r="I17" s="3">
        <f t="shared" si="4"/>
        <v>6988849.8994894521</v>
      </c>
      <c r="J17" s="3">
        <v>6484352.4947999995</v>
      </c>
      <c r="K17" s="3">
        <v>14201569.701399997</v>
      </c>
      <c r="L17" s="3">
        <f t="shared" si="0"/>
        <v>20685922.196199998</v>
      </c>
      <c r="M17" s="95">
        <f>'Annual CDM'!$C$23/12+'Annual CDM'!$C$24*7/144</f>
        <v>93839.959824868187</v>
      </c>
      <c r="N17" s="3">
        <f t="shared" si="5"/>
        <v>20779762.156024866</v>
      </c>
      <c r="O17" s="3">
        <v>11299278.237500001</v>
      </c>
      <c r="P17" s="95">
        <f>'Annual CDM'!$C$33/12+'Annual CDM'!$C$34*7/144</f>
        <v>0</v>
      </c>
      <c r="Q17" s="3">
        <f t="shared" si="6"/>
        <v>11299278.237500001</v>
      </c>
      <c r="R17" s="3">
        <v>295834</v>
      </c>
      <c r="S17" s="3">
        <v>937.58</v>
      </c>
      <c r="T17" s="3">
        <v>181278.3</v>
      </c>
      <c r="U17" s="4">
        <v>243.49999999999989</v>
      </c>
      <c r="V17" s="4">
        <v>1.3</v>
      </c>
      <c r="W17">
        <v>20</v>
      </c>
      <c r="X17">
        <v>30</v>
      </c>
      <c r="Y17" s="30">
        <v>6401.7</v>
      </c>
      <c r="Z17" s="30">
        <v>76.400000000000006</v>
      </c>
      <c r="AA17">
        <v>16</v>
      </c>
      <c r="AB17" s="4">
        <v>23169</v>
      </c>
      <c r="AC17" s="4">
        <v>3250</v>
      </c>
      <c r="AD17" s="4">
        <v>223</v>
      </c>
      <c r="AE17" s="4">
        <v>130</v>
      </c>
      <c r="AF17" s="4">
        <f t="shared" si="7"/>
        <v>353</v>
      </c>
      <c r="AG17" s="4">
        <v>0</v>
      </c>
      <c r="AH17">
        <v>3</v>
      </c>
      <c r="AI17" s="4">
        <v>5117</v>
      </c>
      <c r="AJ17" s="4">
        <v>158</v>
      </c>
      <c r="AK17" s="4">
        <v>1</v>
      </c>
      <c r="AL17" s="4">
        <v>1</v>
      </c>
      <c r="AM17" s="4">
        <v>0</v>
      </c>
      <c r="AN17" s="4">
        <v>0</v>
      </c>
      <c r="AO17" s="4">
        <v>1</v>
      </c>
      <c r="AP17" s="4">
        <v>0</v>
      </c>
      <c r="AQ17" s="4">
        <f t="shared" si="8"/>
        <v>0</v>
      </c>
      <c r="AR17" s="4">
        <v>0</v>
      </c>
      <c r="AS17" s="4">
        <v>0</v>
      </c>
    </row>
    <row r="18" spans="1:45">
      <c r="A18" s="1">
        <v>40299</v>
      </c>
      <c r="B18" s="6">
        <f t="shared" si="2"/>
        <v>2010</v>
      </c>
      <c r="C18" s="3">
        <v>54126625.276024096</v>
      </c>
      <c r="D18" s="3">
        <v>12526333.185799999</v>
      </c>
      <c r="E18" s="95">
        <f>'Annual CDM'!$C$3/12+'Annual CDM'!$C$4*9/144</f>
        <v>53170.54770633865</v>
      </c>
      <c r="F18" s="3">
        <f t="shared" si="3"/>
        <v>12579503.733506339</v>
      </c>
      <c r="G18" s="3">
        <v>6986125.7528999997</v>
      </c>
      <c r="H18" s="95">
        <f>'Annual CDM'!$C$13/12+'Annual CDM'!$C$14*9/144</f>
        <v>73776.929718272266</v>
      </c>
      <c r="I18" s="3">
        <f t="shared" si="4"/>
        <v>7059902.6826182716</v>
      </c>
      <c r="J18" s="3">
        <v>6858406.1645999998</v>
      </c>
      <c r="K18" s="3">
        <v>14216615.762199998</v>
      </c>
      <c r="L18" s="3">
        <f t="shared" si="0"/>
        <v>21075021.926799998</v>
      </c>
      <c r="M18" s="95">
        <f>'Annual CDM'!$C$23/12+'Annual CDM'!$C$24*9/144</f>
        <v>103540.30851988141</v>
      </c>
      <c r="N18" s="3">
        <f t="shared" si="5"/>
        <v>21178562.235319879</v>
      </c>
      <c r="O18" s="3">
        <v>12141816.925799999</v>
      </c>
      <c r="P18" s="95">
        <f>'Annual CDM'!$C$33/12+'Annual CDM'!$C$34*9/144</f>
        <v>0</v>
      </c>
      <c r="Q18" s="3">
        <f t="shared" si="6"/>
        <v>12141816.925799999</v>
      </c>
      <c r="R18" s="3">
        <v>280852</v>
      </c>
      <c r="S18" s="3">
        <v>937.58</v>
      </c>
      <c r="T18" s="3">
        <v>187299.21000000002</v>
      </c>
      <c r="U18" s="4">
        <v>110.2</v>
      </c>
      <c r="V18" s="4">
        <v>26.100000000000005</v>
      </c>
      <c r="W18">
        <v>20</v>
      </c>
      <c r="X18">
        <v>31</v>
      </c>
      <c r="Y18" s="30">
        <v>6468.9</v>
      </c>
      <c r="Z18" s="30">
        <v>77.599999999999994</v>
      </c>
      <c r="AA18">
        <v>17</v>
      </c>
      <c r="AB18" s="4">
        <v>22966</v>
      </c>
      <c r="AC18" s="4">
        <v>3237</v>
      </c>
      <c r="AD18" s="4">
        <v>221</v>
      </c>
      <c r="AE18" s="4">
        <v>129</v>
      </c>
      <c r="AF18" s="4">
        <f t="shared" si="7"/>
        <v>350</v>
      </c>
      <c r="AG18" s="4">
        <v>0</v>
      </c>
      <c r="AH18">
        <v>3</v>
      </c>
      <c r="AI18" s="4">
        <v>5117</v>
      </c>
      <c r="AJ18" s="4">
        <v>158</v>
      </c>
      <c r="AK18" s="4">
        <v>1</v>
      </c>
      <c r="AL18" s="4">
        <v>1</v>
      </c>
      <c r="AM18" s="4">
        <v>0</v>
      </c>
      <c r="AN18" s="4">
        <v>0</v>
      </c>
      <c r="AO18" s="4">
        <v>0</v>
      </c>
      <c r="AP18" s="4">
        <v>0</v>
      </c>
      <c r="AQ18" s="4">
        <f t="shared" si="8"/>
        <v>1</v>
      </c>
      <c r="AR18" s="4">
        <v>0</v>
      </c>
      <c r="AS18" s="4">
        <v>0</v>
      </c>
    </row>
    <row r="19" spans="1:45">
      <c r="A19" s="1">
        <v>40330</v>
      </c>
      <c r="B19" s="6">
        <f t="shared" si="2"/>
        <v>2010</v>
      </c>
      <c r="C19" s="3">
        <v>54670951.406867467</v>
      </c>
      <c r="D19" s="3">
        <v>12654046.736899998</v>
      </c>
      <c r="E19" s="95">
        <f>'Annual CDM'!$C$3/12+'Annual CDM'!$C$4*11/144</f>
        <v>55623.18698347194</v>
      </c>
      <c r="F19" s="3">
        <f t="shared" si="3"/>
        <v>12709669.92388347</v>
      </c>
      <c r="G19" s="3">
        <v>7185164.8809000012</v>
      </c>
      <c r="H19" s="95">
        <f>'Annual CDM'!$C$13/12+'Annual CDM'!$C$14*11/144</f>
        <v>77522.848947092963</v>
      </c>
      <c r="I19" s="3">
        <f t="shared" si="4"/>
        <v>7262687.729847094</v>
      </c>
      <c r="J19" s="3">
        <v>6964512.6540999999</v>
      </c>
      <c r="K19" s="3">
        <v>14245915.733099999</v>
      </c>
      <c r="L19" s="3">
        <f t="shared" si="0"/>
        <v>21210428.387199998</v>
      </c>
      <c r="M19" s="95">
        <f>'Annual CDM'!$C$23/12+'Annual CDM'!$C$24*11/144</f>
        <v>113240.65721489463</v>
      </c>
      <c r="N19" s="3">
        <f t="shared" si="5"/>
        <v>21323669.044414893</v>
      </c>
      <c r="O19" s="3">
        <v>12649401.524900001</v>
      </c>
      <c r="P19" s="95">
        <f>'Annual CDM'!$C$33/12+'Annual CDM'!$C$34*11/144</f>
        <v>0</v>
      </c>
      <c r="Q19" s="3">
        <f t="shared" si="6"/>
        <v>12649401.524900001</v>
      </c>
      <c r="R19" s="3">
        <v>247760</v>
      </c>
      <c r="S19" s="3">
        <v>937.58</v>
      </c>
      <c r="T19" s="3">
        <v>181257.3</v>
      </c>
      <c r="U19" s="4">
        <v>38.300000000000004</v>
      </c>
      <c r="V19" s="4">
        <v>33.700000000000003</v>
      </c>
      <c r="W19">
        <v>22</v>
      </c>
      <c r="X19">
        <v>30</v>
      </c>
      <c r="Y19" s="30">
        <v>6578.9</v>
      </c>
      <c r="Z19" s="30">
        <v>77.7</v>
      </c>
      <c r="AA19">
        <v>18</v>
      </c>
      <c r="AB19" s="4">
        <v>23006</v>
      </c>
      <c r="AC19" s="4">
        <v>3237</v>
      </c>
      <c r="AD19" s="4">
        <v>220</v>
      </c>
      <c r="AE19" s="4">
        <v>130</v>
      </c>
      <c r="AF19" s="4">
        <f t="shared" si="7"/>
        <v>350</v>
      </c>
      <c r="AG19" s="4">
        <v>0</v>
      </c>
      <c r="AH19">
        <v>3</v>
      </c>
      <c r="AI19" s="4">
        <v>5117</v>
      </c>
      <c r="AJ19" s="4">
        <v>158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f t="shared" si="8"/>
        <v>1</v>
      </c>
      <c r="AR19" s="4">
        <v>0</v>
      </c>
      <c r="AS19" s="4">
        <v>0</v>
      </c>
    </row>
    <row r="20" spans="1:45">
      <c r="A20" s="1">
        <v>40360</v>
      </c>
      <c r="B20" s="6">
        <f t="shared" si="2"/>
        <v>2010</v>
      </c>
      <c r="C20" s="3">
        <v>63606113.927951805</v>
      </c>
      <c r="D20" s="3">
        <v>14622071.658500001</v>
      </c>
      <c r="E20" s="95">
        <f>'Annual CDM'!$C$3/12+'Annual CDM'!$C$4*13/144</f>
        <v>58075.826260605238</v>
      </c>
      <c r="F20" s="3">
        <f t="shared" si="3"/>
        <v>14680147.484760607</v>
      </c>
      <c r="G20" s="3">
        <v>8291002.0009999992</v>
      </c>
      <c r="H20" s="95">
        <f>'Annual CDM'!$C$13/12+'Annual CDM'!$C$14*13/144</f>
        <v>81268.768175913661</v>
      </c>
      <c r="I20" s="3">
        <f t="shared" si="4"/>
        <v>8372270.7691759132</v>
      </c>
      <c r="J20" s="3">
        <v>7910089.5114000011</v>
      </c>
      <c r="K20" s="3">
        <v>16260395.946899999</v>
      </c>
      <c r="L20" s="3">
        <f t="shared" si="0"/>
        <v>24170485.458300002</v>
      </c>
      <c r="M20" s="95">
        <f>'Annual CDM'!$C$23/12+'Annual CDM'!$C$24*13/144</f>
        <v>122941.00590990784</v>
      </c>
      <c r="N20" s="3">
        <f t="shared" si="5"/>
        <v>24293426.46420991</v>
      </c>
      <c r="O20" s="3">
        <v>14680604.799199998</v>
      </c>
      <c r="P20" s="95">
        <f>'Annual CDM'!$C$33/12+'Annual CDM'!$C$34*13/144</f>
        <v>0</v>
      </c>
      <c r="Q20" s="3">
        <f t="shared" si="6"/>
        <v>14680604.799199998</v>
      </c>
      <c r="R20" s="3">
        <v>257789</v>
      </c>
      <c r="S20" s="3">
        <v>937.58</v>
      </c>
      <c r="T20" s="3">
        <v>187299.21000000002</v>
      </c>
      <c r="U20" s="4">
        <v>3.4000000000000004</v>
      </c>
      <c r="V20" s="4">
        <v>139.79999999999995</v>
      </c>
      <c r="W20">
        <v>21</v>
      </c>
      <c r="X20">
        <v>31</v>
      </c>
      <c r="Y20" s="30">
        <v>6640.9</v>
      </c>
      <c r="Z20" s="30">
        <v>78.5</v>
      </c>
      <c r="AA20">
        <v>19</v>
      </c>
      <c r="AB20" s="4">
        <v>23113</v>
      </c>
      <c r="AC20" s="4">
        <v>3227</v>
      </c>
      <c r="AD20" s="4">
        <v>220</v>
      </c>
      <c r="AE20" s="4">
        <v>131</v>
      </c>
      <c r="AF20" s="4">
        <f t="shared" si="7"/>
        <v>351</v>
      </c>
      <c r="AG20" s="4">
        <v>0</v>
      </c>
      <c r="AH20">
        <v>3</v>
      </c>
      <c r="AI20" s="4">
        <v>5117</v>
      </c>
      <c r="AJ20" s="4">
        <v>158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f t="shared" si="8"/>
        <v>1</v>
      </c>
      <c r="AR20" s="4">
        <v>0</v>
      </c>
      <c r="AS20" s="4">
        <v>0</v>
      </c>
    </row>
    <row r="21" spans="1:45">
      <c r="A21" s="1">
        <v>40391</v>
      </c>
      <c r="B21" s="6">
        <f t="shared" si="2"/>
        <v>2010</v>
      </c>
      <c r="C21" s="3">
        <v>61367637.602289155</v>
      </c>
      <c r="D21" s="3">
        <v>13964183.280500002</v>
      </c>
      <c r="E21" s="95">
        <f>'Annual CDM'!$C$3/12+'Annual CDM'!$C$4*15/144</f>
        <v>60528.465537738528</v>
      </c>
      <c r="F21" s="3">
        <f t="shared" si="3"/>
        <v>14024711.74603774</v>
      </c>
      <c r="G21" s="3">
        <v>8091227.442999999</v>
      </c>
      <c r="H21" s="95">
        <f>'Annual CDM'!$C$13/12+'Annual CDM'!$C$14*15/144</f>
        <v>85014.687404734359</v>
      </c>
      <c r="I21" s="3">
        <f t="shared" si="4"/>
        <v>8176242.1304047331</v>
      </c>
      <c r="J21" s="3">
        <v>7351681.6341000013</v>
      </c>
      <c r="K21" s="3">
        <v>15989390.5515</v>
      </c>
      <c r="L21" s="3">
        <f t="shared" si="0"/>
        <v>23341072.185600001</v>
      </c>
      <c r="M21" s="95">
        <f>'Annual CDM'!$C$23/12+'Annual CDM'!$C$24*15/144</f>
        <v>132641.35460492107</v>
      </c>
      <c r="N21" s="3">
        <f t="shared" si="5"/>
        <v>23473713.540204924</v>
      </c>
      <c r="O21" s="3">
        <v>14598500.270999998</v>
      </c>
      <c r="P21" s="95">
        <f>'Annual CDM'!$C$33/12+'Annual CDM'!$C$34*15/144</f>
        <v>0</v>
      </c>
      <c r="Q21" s="3">
        <f t="shared" si="6"/>
        <v>14598500.270999998</v>
      </c>
      <c r="R21" s="3">
        <v>292093</v>
      </c>
      <c r="S21" s="3">
        <v>937.66700000000003</v>
      </c>
      <c r="T21" s="3">
        <v>187299.21000000002</v>
      </c>
      <c r="U21" s="4">
        <v>10.100000000000001</v>
      </c>
      <c r="V21" s="4">
        <v>90.299999999999969</v>
      </c>
      <c r="W21">
        <v>21</v>
      </c>
      <c r="X21">
        <v>31</v>
      </c>
      <c r="Y21" s="30">
        <v>6662.6</v>
      </c>
      <c r="Z21" s="30">
        <v>78.099999999999994</v>
      </c>
      <c r="AA21">
        <v>20</v>
      </c>
      <c r="AB21" s="4">
        <v>23035</v>
      </c>
      <c r="AC21" s="4">
        <v>3244</v>
      </c>
      <c r="AD21" s="4">
        <v>210</v>
      </c>
      <c r="AE21" s="4">
        <v>126</v>
      </c>
      <c r="AF21" s="4">
        <f t="shared" si="7"/>
        <v>336</v>
      </c>
      <c r="AG21" s="4">
        <v>0</v>
      </c>
      <c r="AH21">
        <v>3</v>
      </c>
      <c r="AI21" s="4">
        <v>5118</v>
      </c>
      <c r="AJ21" s="4">
        <v>158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f t="shared" si="8"/>
        <v>1</v>
      </c>
      <c r="AR21" s="4">
        <v>0</v>
      </c>
      <c r="AS21" s="4">
        <v>0</v>
      </c>
    </row>
    <row r="22" spans="1:45">
      <c r="A22" s="1">
        <v>40422</v>
      </c>
      <c r="B22" s="6">
        <f t="shared" si="2"/>
        <v>2010</v>
      </c>
      <c r="C22" s="3">
        <v>55295706.378915668</v>
      </c>
      <c r="D22" s="3">
        <v>13079707.3025</v>
      </c>
      <c r="E22" s="95">
        <f>'Annual CDM'!$C$3/12+'Annual CDM'!$C$4*17/144</f>
        <v>62981.104814871818</v>
      </c>
      <c r="F22" s="3">
        <f t="shared" si="3"/>
        <v>13142688.407314872</v>
      </c>
      <c r="G22" s="3">
        <v>7107037.0582999997</v>
      </c>
      <c r="H22" s="95">
        <f>'Annual CDM'!$C$13/12+'Annual CDM'!$C$14*17/144</f>
        <v>88760.606633555057</v>
      </c>
      <c r="I22" s="3">
        <f t="shared" si="4"/>
        <v>7195797.6649335548</v>
      </c>
      <c r="J22" s="3">
        <v>6380834.2884</v>
      </c>
      <c r="K22" s="3">
        <v>14239030.124399999</v>
      </c>
      <c r="L22" s="3">
        <f t="shared" si="0"/>
        <v>20619864.412799999</v>
      </c>
      <c r="M22" s="95">
        <f>'Annual CDM'!$C$23/12+'Annual CDM'!$C$24*17/144</f>
        <v>142341.70329993428</v>
      </c>
      <c r="N22" s="3">
        <f t="shared" si="5"/>
        <v>20762206.116099935</v>
      </c>
      <c r="O22" s="3">
        <v>13203697.476100001</v>
      </c>
      <c r="P22" s="95">
        <f>'Annual CDM'!$C$33/12+'Annual CDM'!$C$34*17/144</f>
        <v>0</v>
      </c>
      <c r="Q22" s="3">
        <f t="shared" si="6"/>
        <v>13203697.476100001</v>
      </c>
      <c r="R22" s="3">
        <v>334884</v>
      </c>
      <c r="S22" s="3">
        <v>937.66700000000003</v>
      </c>
      <c r="T22" s="3">
        <v>181257.3</v>
      </c>
      <c r="U22" s="4">
        <v>99.40000000000002</v>
      </c>
      <c r="V22" s="4">
        <v>29.400000000000002</v>
      </c>
      <c r="W22">
        <v>21</v>
      </c>
      <c r="X22">
        <v>30</v>
      </c>
      <c r="Y22" s="30">
        <v>6611.2</v>
      </c>
      <c r="Z22" s="30">
        <v>77.2</v>
      </c>
      <c r="AA22">
        <v>21</v>
      </c>
      <c r="AB22" s="4">
        <v>23146</v>
      </c>
      <c r="AC22" s="4">
        <v>3242</v>
      </c>
      <c r="AD22" s="4">
        <v>207</v>
      </c>
      <c r="AE22" s="4">
        <v>132</v>
      </c>
      <c r="AF22" s="4">
        <f t="shared" si="7"/>
        <v>339</v>
      </c>
      <c r="AG22" s="4">
        <v>0</v>
      </c>
      <c r="AH22">
        <v>3</v>
      </c>
      <c r="AI22" s="4">
        <v>5118</v>
      </c>
      <c r="AJ22" s="4">
        <v>158</v>
      </c>
      <c r="AK22" s="4">
        <v>1</v>
      </c>
      <c r="AL22" s="4">
        <v>0</v>
      </c>
      <c r="AM22" s="4">
        <v>1</v>
      </c>
      <c r="AN22" s="4">
        <v>0</v>
      </c>
      <c r="AO22" s="4">
        <v>0</v>
      </c>
      <c r="AP22" s="4">
        <v>0</v>
      </c>
      <c r="AQ22" s="4">
        <f t="shared" si="8"/>
        <v>0</v>
      </c>
      <c r="AR22" s="4">
        <v>0</v>
      </c>
      <c r="AS22" s="4">
        <v>0</v>
      </c>
    </row>
    <row r="23" spans="1:45">
      <c r="A23" s="1">
        <v>40452</v>
      </c>
      <c r="B23" s="6">
        <f t="shared" si="2"/>
        <v>2010</v>
      </c>
      <c r="C23" s="3">
        <v>55883354.997590363</v>
      </c>
      <c r="D23" s="3">
        <v>14420343.764199998</v>
      </c>
      <c r="E23" s="95">
        <f>'Annual CDM'!$C$3/12+'Annual CDM'!$C$4*19/144</f>
        <v>65433.744092005109</v>
      </c>
      <c r="F23" s="3">
        <f t="shared" si="3"/>
        <v>14485777.508292003</v>
      </c>
      <c r="G23" s="3">
        <v>7112672.8845999986</v>
      </c>
      <c r="H23" s="95">
        <f>'Annual CDM'!$C$13/12+'Annual CDM'!$C$14*19/144</f>
        <v>92506.52586237574</v>
      </c>
      <c r="I23" s="3">
        <f t="shared" si="4"/>
        <v>7205179.4104623739</v>
      </c>
      <c r="J23" s="3">
        <v>6188270.4846999999</v>
      </c>
      <c r="K23" s="3">
        <v>14974002.147799999</v>
      </c>
      <c r="L23" s="3">
        <f t="shared" si="0"/>
        <v>21162272.6325</v>
      </c>
      <c r="M23" s="95">
        <f>'Annual CDM'!$C$23/12+'Annual CDM'!$C$24*19/144</f>
        <v>152042.05199494748</v>
      </c>
      <c r="N23" s="3">
        <f t="shared" si="5"/>
        <v>21314314.684494946</v>
      </c>
      <c r="O23" s="3">
        <v>12168635.138100002</v>
      </c>
      <c r="P23" s="95">
        <f>'Annual CDM'!$C$33/12+'Annual CDM'!$C$34*19/144</f>
        <v>0</v>
      </c>
      <c r="Q23" s="3">
        <f t="shared" si="6"/>
        <v>12168635.138100002</v>
      </c>
      <c r="R23" s="3">
        <v>392625</v>
      </c>
      <c r="S23" s="3">
        <v>937.66700000000003</v>
      </c>
      <c r="T23" s="3">
        <v>207535.53</v>
      </c>
      <c r="U23" s="4">
        <v>284.69999999999993</v>
      </c>
      <c r="V23" s="4">
        <v>0</v>
      </c>
      <c r="W23">
        <v>20</v>
      </c>
      <c r="X23">
        <v>31</v>
      </c>
      <c r="Y23" s="30">
        <v>6587.1</v>
      </c>
      <c r="Z23" s="30">
        <v>75.099999999999994</v>
      </c>
      <c r="AA23">
        <v>22</v>
      </c>
      <c r="AB23" s="4">
        <v>23213</v>
      </c>
      <c r="AC23" s="4">
        <v>3247</v>
      </c>
      <c r="AD23" s="4">
        <v>208</v>
      </c>
      <c r="AE23" s="4">
        <v>132</v>
      </c>
      <c r="AF23" s="4">
        <f t="shared" si="7"/>
        <v>340</v>
      </c>
      <c r="AG23" s="4">
        <v>0</v>
      </c>
      <c r="AH23">
        <v>3</v>
      </c>
      <c r="AI23" s="4">
        <v>5118</v>
      </c>
      <c r="AJ23" s="4">
        <v>158</v>
      </c>
      <c r="AK23" s="4">
        <v>1</v>
      </c>
      <c r="AL23" s="4">
        <v>0</v>
      </c>
      <c r="AM23" s="4">
        <v>1</v>
      </c>
      <c r="AN23" s="4">
        <v>0</v>
      </c>
      <c r="AO23" s="4">
        <v>0</v>
      </c>
      <c r="AP23" s="4">
        <v>0</v>
      </c>
      <c r="AQ23" s="4">
        <f t="shared" si="8"/>
        <v>0</v>
      </c>
      <c r="AR23" s="4">
        <v>0</v>
      </c>
      <c r="AS23" s="4">
        <v>0</v>
      </c>
    </row>
    <row r="24" spans="1:45">
      <c r="A24" s="1">
        <v>40483</v>
      </c>
      <c r="B24" s="6">
        <f t="shared" si="2"/>
        <v>2010</v>
      </c>
      <c r="C24" s="3">
        <v>60810558.492530122</v>
      </c>
      <c r="D24" s="3">
        <v>16915365.330200002</v>
      </c>
      <c r="E24" s="95">
        <f>'Annual CDM'!$C$3/12+'Annual CDM'!$C$4*21/144</f>
        <v>67886.383369138406</v>
      </c>
      <c r="F24" s="3">
        <f t="shared" si="3"/>
        <v>16983251.713569138</v>
      </c>
      <c r="G24" s="3">
        <v>7591437.2906999998</v>
      </c>
      <c r="H24" s="95">
        <f>'Annual CDM'!$C$13/12+'Annual CDM'!$C$14*21/144</f>
        <v>96252.445091196438</v>
      </c>
      <c r="I24" s="3">
        <f t="shared" si="4"/>
        <v>7687689.7357911961</v>
      </c>
      <c r="J24" s="3">
        <v>6717315.1308000004</v>
      </c>
      <c r="K24" s="3">
        <v>15767633.752500001</v>
      </c>
      <c r="L24" s="3">
        <f t="shared" si="0"/>
        <v>22484948.883300003</v>
      </c>
      <c r="M24" s="95">
        <f>'Annual CDM'!$C$23/12+'Annual CDM'!$C$24*21/144</f>
        <v>161742.40068996069</v>
      </c>
      <c r="N24" s="3">
        <f t="shared" si="5"/>
        <v>22646691.283989962</v>
      </c>
      <c r="O24" s="3">
        <v>11726856.469900001</v>
      </c>
      <c r="P24" s="95">
        <f>'Annual CDM'!$C$33/12+'Annual CDM'!$C$34*21/144</f>
        <v>0</v>
      </c>
      <c r="Q24" s="3">
        <f t="shared" si="6"/>
        <v>11726856.469900001</v>
      </c>
      <c r="R24" s="3">
        <v>419923</v>
      </c>
      <c r="S24" s="3">
        <v>937.66700000000003</v>
      </c>
      <c r="T24" s="3">
        <v>207881.46999999997</v>
      </c>
      <c r="U24" s="4">
        <v>451.4</v>
      </c>
      <c r="V24" s="4">
        <v>0</v>
      </c>
      <c r="W24">
        <v>22</v>
      </c>
      <c r="X24">
        <v>30</v>
      </c>
      <c r="Y24" s="30">
        <v>6566.6</v>
      </c>
      <c r="Z24" s="30">
        <v>74.5</v>
      </c>
      <c r="AA24">
        <v>23</v>
      </c>
      <c r="AB24" s="4">
        <v>23299</v>
      </c>
      <c r="AC24" s="4">
        <v>3263</v>
      </c>
      <c r="AD24" s="4">
        <v>212</v>
      </c>
      <c r="AE24" s="4">
        <v>129</v>
      </c>
      <c r="AF24" s="4">
        <f t="shared" si="7"/>
        <v>341</v>
      </c>
      <c r="AG24" s="4">
        <v>0</v>
      </c>
      <c r="AH24">
        <v>3</v>
      </c>
      <c r="AI24" s="4">
        <v>5118</v>
      </c>
      <c r="AJ24" s="4">
        <v>158</v>
      </c>
      <c r="AK24" s="4">
        <v>1</v>
      </c>
      <c r="AL24" s="4">
        <v>0</v>
      </c>
      <c r="AM24" s="4">
        <v>1</v>
      </c>
      <c r="AN24" s="4">
        <v>0</v>
      </c>
      <c r="AO24" s="4">
        <v>0</v>
      </c>
      <c r="AP24" s="4">
        <v>0</v>
      </c>
      <c r="AQ24" s="4">
        <f t="shared" si="8"/>
        <v>0</v>
      </c>
      <c r="AR24" s="4">
        <v>0</v>
      </c>
      <c r="AS24" s="4">
        <v>0</v>
      </c>
    </row>
    <row r="25" spans="1:45">
      <c r="A25" s="1">
        <v>40513</v>
      </c>
      <c r="B25" s="6">
        <f t="shared" si="2"/>
        <v>2010</v>
      </c>
      <c r="C25" s="3">
        <v>70200560.516746983</v>
      </c>
      <c r="D25" s="3">
        <v>20949855.477400001</v>
      </c>
      <c r="E25" s="95">
        <f>'Annual CDM'!$C$3/12+'Annual CDM'!$C$4*23/144</f>
        <v>70339.022646271696</v>
      </c>
      <c r="F25" s="3">
        <f t="shared" si="3"/>
        <v>21020194.500046272</v>
      </c>
      <c r="G25" s="3">
        <v>8718326.5439999998</v>
      </c>
      <c r="H25" s="95">
        <f>'Annual CDM'!$C$13/12+'Annual CDM'!$C$14*23/144</f>
        <v>99998.364320017135</v>
      </c>
      <c r="I25" s="3">
        <f t="shared" si="4"/>
        <v>8818324.9083200172</v>
      </c>
      <c r="J25" s="3">
        <v>7765334.9057000009</v>
      </c>
      <c r="K25" s="3">
        <v>17437347.504500002</v>
      </c>
      <c r="L25" s="3">
        <f t="shared" si="0"/>
        <v>25202682.410200004</v>
      </c>
      <c r="M25" s="95">
        <f>'Annual CDM'!$C$23/12+'Annual CDM'!$C$24*23/144</f>
        <v>171442.74938497393</v>
      </c>
      <c r="N25" s="3">
        <f t="shared" si="5"/>
        <v>25374125.159584977</v>
      </c>
      <c r="O25" s="3">
        <v>11839747.178100001</v>
      </c>
      <c r="P25" s="95">
        <f>'Annual CDM'!$C$33/12+'Annual CDM'!$C$34*23/144</f>
        <v>0</v>
      </c>
      <c r="Q25" s="3">
        <f t="shared" si="6"/>
        <v>11839747.178100001</v>
      </c>
      <c r="R25" s="3">
        <v>455828</v>
      </c>
      <c r="S25" s="3">
        <v>937.66700000000003</v>
      </c>
      <c r="T25" s="3">
        <v>164042.60999999999</v>
      </c>
      <c r="U25" s="4">
        <v>713.49999999999989</v>
      </c>
      <c r="V25" s="4">
        <v>0</v>
      </c>
      <c r="W25">
        <v>21</v>
      </c>
      <c r="X25">
        <v>31</v>
      </c>
      <c r="Y25" s="30">
        <v>6584.1</v>
      </c>
      <c r="Z25" s="30">
        <v>75.5</v>
      </c>
      <c r="AA25">
        <v>24</v>
      </c>
      <c r="AB25" s="4">
        <v>23337</v>
      </c>
      <c r="AC25" s="4">
        <v>3264</v>
      </c>
      <c r="AD25" s="4">
        <v>212</v>
      </c>
      <c r="AE25" s="4">
        <v>129</v>
      </c>
      <c r="AF25" s="4">
        <f t="shared" si="7"/>
        <v>341</v>
      </c>
      <c r="AG25" s="4">
        <v>0</v>
      </c>
      <c r="AH25">
        <v>3</v>
      </c>
      <c r="AI25" s="4">
        <v>5118</v>
      </c>
      <c r="AJ25" s="4">
        <v>158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1</v>
      </c>
      <c r="AQ25" s="4">
        <f t="shared" si="8"/>
        <v>0</v>
      </c>
      <c r="AR25" s="4">
        <v>0</v>
      </c>
      <c r="AS25" s="4">
        <v>0</v>
      </c>
    </row>
    <row r="26" spans="1:45">
      <c r="A26" s="1">
        <v>40544</v>
      </c>
      <c r="B26" s="6">
        <f t="shared" si="2"/>
        <v>2011</v>
      </c>
      <c r="C26" s="3">
        <v>74817443.472409651</v>
      </c>
      <c r="D26" s="3">
        <v>22949860.934299998</v>
      </c>
      <c r="E26" s="95">
        <f>SUM('Annual CDM'!$D$3:$D$4)/12+'Annual CDM'!$D$5*1/144</f>
        <v>72465.493541441727</v>
      </c>
      <c r="F26" s="3">
        <f t="shared" si="3"/>
        <v>23022326.42784144</v>
      </c>
      <c r="G26" s="3">
        <v>9393676.9426000006</v>
      </c>
      <c r="H26" s="95">
        <f>SUM('Annual CDM'!$D$13:$D$14)/12+'Annual CDM'!$D$15*1/144</f>
        <v>104181.25245564837</v>
      </c>
      <c r="I26" s="3">
        <f t="shared" si="4"/>
        <v>9497858.1950556487</v>
      </c>
      <c r="J26" s="3">
        <v>8155987.8699999992</v>
      </c>
      <c r="K26" s="3">
        <v>18563434.959099997</v>
      </c>
      <c r="L26" s="3">
        <f t="shared" si="0"/>
        <v>26719422.829099998</v>
      </c>
      <c r="M26" s="95">
        <f>SUM('Annual CDM'!$D$23:$D$24)/12+'Annual CDM'!$D$25*1/144</f>
        <v>100532.66766803867</v>
      </c>
      <c r="N26" s="3">
        <f t="shared" si="5"/>
        <v>26819955.496768035</v>
      </c>
      <c r="O26" s="3">
        <v>12401325.915100001</v>
      </c>
      <c r="P26" s="95">
        <f>SUM('Annual CDM'!$D$33:$D$34)/12+'Annual CDM'!$D$35*1/144</f>
        <v>4287.8072754780469</v>
      </c>
      <c r="Q26" s="3">
        <f t="shared" si="6"/>
        <v>12405613.722375479</v>
      </c>
      <c r="R26" s="3">
        <v>444393</v>
      </c>
      <c r="S26" s="3">
        <v>937.66700000000003</v>
      </c>
      <c r="T26" s="3">
        <v>132836.85999999999</v>
      </c>
      <c r="U26" s="4">
        <v>853.19999999999982</v>
      </c>
      <c r="V26" s="4">
        <v>0</v>
      </c>
      <c r="W26">
        <v>20</v>
      </c>
      <c r="X26">
        <v>31</v>
      </c>
      <c r="Y26" s="30">
        <v>6571.2</v>
      </c>
      <c r="Z26" s="30">
        <v>76.2</v>
      </c>
      <c r="AA26">
        <v>25</v>
      </c>
      <c r="AB26" s="4">
        <v>23342</v>
      </c>
      <c r="AC26" s="4">
        <v>3262</v>
      </c>
      <c r="AD26" s="4">
        <v>212</v>
      </c>
      <c r="AE26" s="4">
        <v>129</v>
      </c>
      <c r="AF26" s="4">
        <f t="shared" si="7"/>
        <v>341</v>
      </c>
      <c r="AG26" s="4">
        <v>0</v>
      </c>
      <c r="AH26">
        <v>3</v>
      </c>
      <c r="AI26" s="4">
        <v>5118</v>
      </c>
      <c r="AJ26" s="4">
        <v>158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f t="shared" si="8"/>
        <v>0</v>
      </c>
      <c r="AR26" s="4">
        <v>1</v>
      </c>
      <c r="AS26" s="4">
        <v>0</v>
      </c>
    </row>
    <row r="27" spans="1:45">
      <c r="A27" s="1">
        <v>40575</v>
      </c>
      <c r="B27" s="6">
        <f t="shared" si="2"/>
        <v>2011</v>
      </c>
      <c r="C27" s="3">
        <v>66878967.871445782</v>
      </c>
      <c r="D27" s="3">
        <v>20130373.043899998</v>
      </c>
      <c r="E27" s="95">
        <f>SUM('Annual CDM'!$D$3:$D$4)/12+'Annual CDM'!$D$5*3/144</f>
        <v>76065.149356532813</v>
      </c>
      <c r="F27" s="3">
        <f t="shared" si="3"/>
        <v>20206438.193256531</v>
      </c>
      <c r="G27" s="3">
        <v>8452752.0697000008</v>
      </c>
      <c r="H27" s="95">
        <f>SUM('Annual CDM'!$D$13:$D$14)/12+'Annual CDM'!$D$15*3/144</f>
        <v>108801.10949809014</v>
      </c>
      <c r="I27" s="3">
        <f t="shared" si="4"/>
        <v>8561553.1791980918</v>
      </c>
      <c r="J27" s="3">
        <v>7442987.6205000002</v>
      </c>
      <c r="K27" s="3">
        <v>16691578.0167</v>
      </c>
      <c r="L27" s="3">
        <f t="shared" si="0"/>
        <v>24134565.637199998</v>
      </c>
      <c r="M27" s="95">
        <f>SUM('Annual CDM'!$D$23:$D$24)/12+'Annual CDM'!$D$25*3/144</f>
        <v>108994.78001616393</v>
      </c>
      <c r="N27" s="3">
        <f t="shared" si="5"/>
        <v>24243560.417216163</v>
      </c>
      <c r="O27" s="3">
        <v>11361644.729800001</v>
      </c>
      <c r="P27" s="95">
        <f>SUM('Annual CDM'!$D$33:$D$34)/12+'Annual CDM'!$D$35*3/144</f>
        <v>12863.42182643414</v>
      </c>
      <c r="Q27" s="3">
        <f t="shared" si="6"/>
        <v>11374508.151626434</v>
      </c>
      <c r="R27" s="3">
        <v>369262</v>
      </c>
      <c r="S27" s="3">
        <v>937.66700000000003</v>
      </c>
      <c r="T27" s="3">
        <v>119381.92</v>
      </c>
      <c r="U27" s="4">
        <v>700.39999999999986</v>
      </c>
      <c r="V27" s="4">
        <v>0</v>
      </c>
      <c r="W27">
        <v>19</v>
      </c>
      <c r="X27">
        <v>28</v>
      </c>
      <c r="Y27" s="30">
        <v>6548.1</v>
      </c>
      <c r="Z27" s="30">
        <v>76.2</v>
      </c>
      <c r="AA27">
        <v>26</v>
      </c>
      <c r="AB27" s="4">
        <v>23363</v>
      </c>
      <c r="AC27" s="4">
        <v>3264</v>
      </c>
      <c r="AD27" s="4">
        <v>212</v>
      </c>
      <c r="AE27" s="4">
        <v>129</v>
      </c>
      <c r="AF27" s="4">
        <f t="shared" si="7"/>
        <v>341</v>
      </c>
      <c r="AG27" s="4">
        <v>0</v>
      </c>
      <c r="AH27">
        <v>3</v>
      </c>
      <c r="AI27" s="4">
        <v>5118</v>
      </c>
      <c r="AJ27" s="4">
        <v>158</v>
      </c>
      <c r="AK27" s="4">
        <v>0</v>
      </c>
      <c r="AL27" s="4">
        <v>0</v>
      </c>
      <c r="AM27" s="4">
        <v>0</v>
      </c>
      <c r="AN27" s="4">
        <v>1</v>
      </c>
      <c r="AO27" s="4">
        <v>0</v>
      </c>
      <c r="AP27" s="4">
        <v>0</v>
      </c>
      <c r="AQ27" s="4">
        <f t="shared" si="8"/>
        <v>0</v>
      </c>
      <c r="AR27" s="4">
        <v>0</v>
      </c>
      <c r="AS27" s="4">
        <v>0</v>
      </c>
    </row>
    <row r="28" spans="1:45">
      <c r="A28" s="1">
        <v>40603</v>
      </c>
      <c r="B28" s="6">
        <f t="shared" si="2"/>
        <v>2011</v>
      </c>
      <c r="C28" s="3">
        <v>67707390.619397581</v>
      </c>
      <c r="D28" s="3">
        <v>19264282.676100001</v>
      </c>
      <c r="E28" s="95">
        <f>SUM('Annual CDM'!$D$3:$D$4)/12+'Annual CDM'!$D$5*5/144</f>
        <v>79664.805171623884</v>
      </c>
      <c r="F28" s="3">
        <f t="shared" si="3"/>
        <v>19343947.481271625</v>
      </c>
      <c r="G28" s="3">
        <v>8568325.1115000006</v>
      </c>
      <c r="H28" s="95">
        <f>SUM('Annual CDM'!$D$13:$D$14)/12+'Annual CDM'!$D$15*5/144</f>
        <v>113420.96654053191</v>
      </c>
      <c r="I28" s="3">
        <f t="shared" si="4"/>
        <v>8681746.0780405328</v>
      </c>
      <c r="J28" s="3">
        <v>7467918.3195000002</v>
      </c>
      <c r="K28" s="3">
        <v>17300089.369700003</v>
      </c>
      <c r="L28" s="3">
        <f t="shared" si="0"/>
        <v>24768007.689200003</v>
      </c>
      <c r="M28" s="95">
        <f>SUM('Annual CDM'!$D$23:$D$24)/12+'Annual CDM'!$D$25*5/144</f>
        <v>117456.8923642892</v>
      </c>
      <c r="N28" s="3">
        <f t="shared" si="5"/>
        <v>24885464.581564292</v>
      </c>
      <c r="O28" s="3">
        <v>12401622.3706</v>
      </c>
      <c r="P28" s="95">
        <f>SUM('Annual CDM'!$D$33:$D$34)/12+'Annual CDM'!$D$35*5/144</f>
        <v>21439.036377390232</v>
      </c>
      <c r="Q28" s="3">
        <f t="shared" si="6"/>
        <v>12423061.406977391</v>
      </c>
      <c r="R28" s="3">
        <v>326640</v>
      </c>
      <c r="S28" s="3">
        <v>937.66700000000003</v>
      </c>
      <c r="T28" s="3">
        <v>132172.84</v>
      </c>
      <c r="U28" s="4">
        <v>595.70000000000016</v>
      </c>
      <c r="V28" s="4">
        <v>0</v>
      </c>
      <c r="W28">
        <v>23</v>
      </c>
      <c r="X28">
        <v>31</v>
      </c>
      <c r="Y28" s="30">
        <v>6523.7</v>
      </c>
      <c r="Z28" s="30">
        <v>75.900000000000006</v>
      </c>
      <c r="AA28">
        <v>27</v>
      </c>
      <c r="AB28" s="4">
        <v>23358</v>
      </c>
      <c r="AC28" s="4">
        <v>3261</v>
      </c>
      <c r="AD28" s="4">
        <v>213</v>
      </c>
      <c r="AE28" s="4">
        <v>129</v>
      </c>
      <c r="AF28" s="4">
        <f t="shared" si="7"/>
        <v>342</v>
      </c>
      <c r="AG28" s="4">
        <v>0</v>
      </c>
      <c r="AH28">
        <v>3</v>
      </c>
      <c r="AI28" s="4">
        <v>5118</v>
      </c>
      <c r="AJ28" s="4">
        <v>158</v>
      </c>
      <c r="AK28" s="4">
        <v>1</v>
      </c>
      <c r="AL28" s="4">
        <v>1</v>
      </c>
      <c r="AM28" s="4">
        <v>0</v>
      </c>
      <c r="AN28" s="4">
        <v>0</v>
      </c>
      <c r="AO28" s="4">
        <v>0</v>
      </c>
      <c r="AP28" s="4">
        <v>0</v>
      </c>
      <c r="AQ28" s="4">
        <f t="shared" si="8"/>
        <v>0</v>
      </c>
      <c r="AR28" s="4">
        <v>0</v>
      </c>
      <c r="AS28" s="4">
        <v>1</v>
      </c>
    </row>
    <row r="29" spans="1:45">
      <c r="A29" s="1">
        <v>40634</v>
      </c>
      <c r="B29" s="6">
        <f t="shared" si="2"/>
        <v>2011</v>
      </c>
      <c r="C29" s="3">
        <v>57529315.16084338</v>
      </c>
      <c r="D29" s="3">
        <v>15275002.8061</v>
      </c>
      <c r="E29" s="95">
        <f>SUM('Annual CDM'!$D$3:$D$4)/12+'Annual CDM'!$D$5*7/144</f>
        <v>83264.460986714956</v>
      </c>
      <c r="F29" s="3">
        <f t="shared" si="3"/>
        <v>15358267.267086715</v>
      </c>
      <c r="G29" s="3">
        <v>7346493.2652000012</v>
      </c>
      <c r="H29" s="95">
        <f>SUM('Annual CDM'!$D$13:$D$14)/12+'Annual CDM'!$D$15*7/144</f>
        <v>118040.82358297368</v>
      </c>
      <c r="I29" s="3">
        <f t="shared" si="4"/>
        <v>7464534.0887829745</v>
      </c>
      <c r="J29" s="3">
        <v>6510677.1981999995</v>
      </c>
      <c r="K29" s="3">
        <v>14918321.143400002</v>
      </c>
      <c r="L29" s="3">
        <f t="shared" si="0"/>
        <v>21428998.341600001</v>
      </c>
      <c r="M29" s="95">
        <f>SUM('Annual CDM'!$D$23:$D$24)/12+'Annual CDM'!$D$25*7/144</f>
        <v>125919.00471241446</v>
      </c>
      <c r="N29" s="3">
        <f t="shared" si="5"/>
        <v>21554917.346312415</v>
      </c>
      <c r="O29" s="3">
        <v>11657885.962400001</v>
      </c>
      <c r="P29" s="95">
        <f>SUM('Annual CDM'!$D$33:$D$34)/12+'Annual CDM'!$D$35*7/144</f>
        <v>30014.650928346324</v>
      </c>
      <c r="Q29" s="3">
        <f t="shared" si="6"/>
        <v>11687900.613328347</v>
      </c>
      <c r="R29" s="3">
        <v>306887</v>
      </c>
      <c r="S29" s="3">
        <v>937.66700000000003</v>
      </c>
      <c r="T29" s="3">
        <v>127909.2</v>
      </c>
      <c r="U29" s="4">
        <v>350.99999999999989</v>
      </c>
      <c r="V29" s="4">
        <v>0</v>
      </c>
      <c r="W29">
        <v>19</v>
      </c>
      <c r="X29">
        <v>30</v>
      </c>
      <c r="Y29" s="30">
        <v>6550</v>
      </c>
      <c r="Z29" s="30">
        <v>77.7</v>
      </c>
      <c r="AA29">
        <v>28</v>
      </c>
      <c r="AB29" s="4">
        <v>23357</v>
      </c>
      <c r="AC29" s="4">
        <v>3260</v>
      </c>
      <c r="AD29" s="4">
        <v>214</v>
      </c>
      <c r="AE29" s="4">
        <v>129</v>
      </c>
      <c r="AF29" s="4">
        <f t="shared" si="7"/>
        <v>343</v>
      </c>
      <c r="AG29" s="4">
        <v>0</v>
      </c>
      <c r="AH29">
        <v>3</v>
      </c>
      <c r="AI29" s="4">
        <v>5118</v>
      </c>
      <c r="AJ29" s="4">
        <v>158</v>
      </c>
      <c r="AK29" s="4">
        <v>1</v>
      </c>
      <c r="AL29" s="4">
        <v>1</v>
      </c>
      <c r="AM29" s="4">
        <v>0</v>
      </c>
      <c r="AN29" s="4">
        <v>0</v>
      </c>
      <c r="AO29" s="4">
        <v>1</v>
      </c>
      <c r="AP29" s="4">
        <v>0</v>
      </c>
      <c r="AQ29" s="4">
        <f t="shared" si="8"/>
        <v>0</v>
      </c>
      <c r="AR29" s="4">
        <v>0</v>
      </c>
      <c r="AS29" s="4">
        <v>0</v>
      </c>
    </row>
    <row r="30" spans="1:45">
      <c r="A30" s="1">
        <v>40664</v>
      </c>
      <c r="B30" s="6">
        <f t="shared" si="2"/>
        <v>2011</v>
      </c>
      <c r="C30" s="3">
        <v>53752482.291325293</v>
      </c>
      <c r="D30" s="3">
        <v>12988644.4836</v>
      </c>
      <c r="E30" s="95">
        <f>SUM('Annual CDM'!$D$3:$D$4)/12+'Annual CDM'!$D$5*9/144</f>
        <v>86864.116801806042</v>
      </c>
      <c r="F30" s="3">
        <f t="shared" si="3"/>
        <v>13075508.600401806</v>
      </c>
      <c r="G30" s="3">
        <v>7368309.8563999999</v>
      </c>
      <c r="H30" s="95">
        <f>SUM('Annual CDM'!$D$13:$D$14)/12+'Annual CDM'!$D$15*9/144</f>
        <v>122660.68062541545</v>
      </c>
      <c r="I30" s="3">
        <f t="shared" si="4"/>
        <v>7490970.5370254153</v>
      </c>
      <c r="J30" s="3">
        <v>6400199.0625</v>
      </c>
      <c r="K30" s="3">
        <v>14575523.992699999</v>
      </c>
      <c r="L30" s="3">
        <f t="shared" si="0"/>
        <v>20975723.055199999</v>
      </c>
      <c r="M30" s="95">
        <f>SUM('Annual CDM'!$D$23:$D$24)/12+'Annual CDM'!$D$25*9/144</f>
        <v>134381.11706053972</v>
      </c>
      <c r="N30" s="3">
        <f t="shared" si="5"/>
        <v>21110104.172260538</v>
      </c>
      <c r="O30" s="3">
        <v>12129470.6171</v>
      </c>
      <c r="P30" s="95">
        <f>SUM('Annual CDM'!$D$33:$D$34)/12+'Annual CDM'!$D$35*9/144</f>
        <v>38590.265479302419</v>
      </c>
      <c r="Q30" s="3">
        <f t="shared" si="6"/>
        <v>12168060.882579302</v>
      </c>
      <c r="R30" s="3">
        <v>276844</v>
      </c>
      <c r="S30" s="3">
        <v>937.66700000000003</v>
      </c>
      <c r="T30" s="3">
        <v>132172.84</v>
      </c>
      <c r="U30" s="4">
        <v>150</v>
      </c>
      <c r="V30" s="4">
        <v>1.2999999999999998</v>
      </c>
      <c r="W30">
        <v>21</v>
      </c>
      <c r="X30">
        <v>31</v>
      </c>
      <c r="Y30" s="30">
        <v>6612</v>
      </c>
      <c r="Z30" s="30">
        <v>78.8</v>
      </c>
      <c r="AA30">
        <v>29</v>
      </c>
      <c r="AB30" s="4">
        <v>23144</v>
      </c>
      <c r="AC30" s="4">
        <v>3250</v>
      </c>
      <c r="AD30" s="4">
        <v>210</v>
      </c>
      <c r="AE30" s="4">
        <v>129</v>
      </c>
      <c r="AF30" s="4">
        <f t="shared" si="7"/>
        <v>339</v>
      </c>
      <c r="AG30" s="4">
        <v>0</v>
      </c>
      <c r="AH30">
        <v>3</v>
      </c>
      <c r="AI30" s="4">
        <v>5118</v>
      </c>
      <c r="AJ30" s="4">
        <v>158</v>
      </c>
      <c r="AK30" s="4">
        <v>1</v>
      </c>
      <c r="AL30" s="4">
        <v>1</v>
      </c>
      <c r="AM30" s="4">
        <v>0</v>
      </c>
      <c r="AN30" s="4">
        <v>0</v>
      </c>
      <c r="AO30" s="4">
        <v>0</v>
      </c>
      <c r="AP30" s="4">
        <v>0</v>
      </c>
      <c r="AQ30" s="4">
        <f t="shared" si="8"/>
        <v>1</v>
      </c>
      <c r="AR30" s="4">
        <v>0</v>
      </c>
      <c r="AS30" s="4">
        <v>0</v>
      </c>
    </row>
    <row r="31" spans="1:45">
      <c r="A31" s="1">
        <v>40695</v>
      </c>
      <c r="B31" s="6">
        <f t="shared" si="2"/>
        <v>2011</v>
      </c>
      <c r="C31" s="3">
        <v>55061503.610843383</v>
      </c>
      <c r="D31" s="3">
        <v>12227658.222899999</v>
      </c>
      <c r="E31" s="95">
        <f>SUM('Annual CDM'!$D$3:$D$4)/12+'Annual CDM'!$D$5*11/144</f>
        <v>90463.772616897113</v>
      </c>
      <c r="F31" s="3">
        <f t="shared" si="3"/>
        <v>12318121.995516896</v>
      </c>
      <c r="G31" s="3">
        <v>7131096.6754999999</v>
      </c>
      <c r="H31" s="95">
        <f>SUM('Annual CDM'!$D$13:$D$14)/12+'Annual CDM'!$D$15*11/144</f>
        <v>127280.53766785722</v>
      </c>
      <c r="I31" s="3">
        <f t="shared" si="4"/>
        <v>7258377.2131678574</v>
      </c>
      <c r="J31" s="3">
        <v>6436061.5691999998</v>
      </c>
      <c r="K31" s="3">
        <v>14645636.9081</v>
      </c>
      <c r="L31" s="3">
        <f t="shared" si="0"/>
        <v>21081698.477299999</v>
      </c>
      <c r="M31" s="95">
        <f>SUM('Annual CDM'!$D$23:$D$24)/12+'Annual CDM'!$D$25*11/144</f>
        <v>142843.22940866498</v>
      </c>
      <c r="N31" s="3">
        <f t="shared" si="5"/>
        <v>21224541.706708666</v>
      </c>
      <c r="O31" s="3">
        <v>13315461.3706</v>
      </c>
      <c r="P31" s="95">
        <f>SUM('Annual CDM'!$D$33:$D$34)/12+'Annual CDM'!$D$35*11/144</f>
        <v>47165.880030258515</v>
      </c>
      <c r="Q31" s="3">
        <f t="shared" si="6"/>
        <v>13362627.250630258</v>
      </c>
      <c r="R31" s="3">
        <v>247760</v>
      </c>
      <c r="S31" s="3">
        <v>937.92700000000002</v>
      </c>
      <c r="T31" s="3">
        <v>125252.6</v>
      </c>
      <c r="U31" s="4">
        <v>25.199999999999996</v>
      </c>
      <c r="V31" s="4">
        <v>24.900000000000002</v>
      </c>
      <c r="W31">
        <v>22</v>
      </c>
      <c r="X31">
        <v>30</v>
      </c>
      <c r="Y31" s="30">
        <v>6706.8</v>
      </c>
      <c r="Z31" s="30">
        <v>81</v>
      </c>
      <c r="AA31">
        <v>30</v>
      </c>
      <c r="AB31" s="4">
        <v>23078</v>
      </c>
      <c r="AC31" s="4">
        <v>3250</v>
      </c>
      <c r="AD31" s="4">
        <v>207</v>
      </c>
      <c r="AE31" s="4">
        <v>131</v>
      </c>
      <c r="AF31" s="4">
        <f t="shared" si="7"/>
        <v>338</v>
      </c>
      <c r="AG31" s="4">
        <v>0</v>
      </c>
      <c r="AH31">
        <v>3</v>
      </c>
      <c r="AI31" s="4">
        <v>5120</v>
      </c>
      <c r="AJ31" s="4">
        <v>158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f t="shared" si="8"/>
        <v>1</v>
      </c>
      <c r="AR31" s="4">
        <v>0</v>
      </c>
      <c r="AS31" s="4">
        <v>0</v>
      </c>
    </row>
    <row r="32" spans="1:45">
      <c r="A32" s="1">
        <v>40725</v>
      </c>
      <c r="B32" s="6">
        <f t="shared" si="2"/>
        <v>2011</v>
      </c>
      <c r="C32" s="3">
        <v>63454852.060843371</v>
      </c>
      <c r="D32" s="3">
        <v>14186476.795499999</v>
      </c>
      <c r="E32" s="95">
        <f>SUM('Annual CDM'!$D$3:$D$4)/12+'Annual CDM'!$D$5*13/144</f>
        <v>94063.428431988184</v>
      </c>
      <c r="F32" s="3">
        <f t="shared" si="3"/>
        <v>14280540.223931987</v>
      </c>
      <c r="G32" s="3">
        <v>8127943.4221000001</v>
      </c>
      <c r="H32" s="95">
        <f>SUM('Annual CDM'!$D$13:$D$14)/12+'Annual CDM'!$D$15*13/144</f>
        <v>131900.39471029898</v>
      </c>
      <c r="I32" s="3">
        <f t="shared" si="4"/>
        <v>8259843.8168102987</v>
      </c>
      <c r="J32" s="3">
        <v>6951498.0145000005</v>
      </c>
      <c r="K32" s="3">
        <v>16502618.055099998</v>
      </c>
      <c r="L32" s="3">
        <f t="shared" si="0"/>
        <v>23454116.069599997</v>
      </c>
      <c r="M32" s="95">
        <f>SUM('Annual CDM'!$D$23:$D$24)/12+'Annual CDM'!$D$25*13/144</f>
        <v>151305.34175679024</v>
      </c>
      <c r="N32" s="3">
        <f t="shared" si="5"/>
        <v>23605421.411356788</v>
      </c>
      <c r="O32" s="3">
        <v>15254632.6943</v>
      </c>
      <c r="P32" s="95">
        <f>SUM('Annual CDM'!$D$33:$D$34)/12+'Annual CDM'!$D$35*13/144</f>
        <v>55741.494581214603</v>
      </c>
      <c r="Q32" s="3">
        <f t="shared" si="6"/>
        <v>15310374.188881215</v>
      </c>
      <c r="R32" s="3">
        <v>266041</v>
      </c>
      <c r="S32" s="3">
        <v>937.92700000000002</v>
      </c>
      <c r="T32" s="3">
        <v>123890.66</v>
      </c>
      <c r="U32" s="4">
        <v>0</v>
      </c>
      <c r="V32" s="4">
        <v>118.30000000000003</v>
      </c>
      <c r="W32">
        <v>20</v>
      </c>
      <c r="X32">
        <v>31</v>
      </c>
      <c r="Y32" s="30">
        <v>6755.3</v>
      </c>
      <c r="Z32" s="30">
        <v>81.2</v>
      </c>
      <c r="AA32">
        <v>31</v>
      </c>
      <c r="AB32" s="4">
        <v>23049</v>
      </c>
      <c r="AC32" s="4">
        <v>3245</v>
      </c>
      <c r="AD32" s="4">
        <v>208</v>
      </c>
      <c r="AE32" s="4">
        <v>131</v>
      </c>
      <c r="AF32" s="4">
        <f t="shared" si="7"/>
        <v>339</v>
      </c>
      <c r="AG32" s="4">
        <v>0</v>
      </c>
      <c r="AH32">
        <v>3</v>
      </c>
      <c r="AI32" s="4">
        <v>5120</v>
      </c>
      <c r="AJ32" s="4">
        <v>154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f t="shared" si="8"/>
        <v>1</v>
      </c>
      <c r="AR32" s="4">
        <v>0</v>
      </c>
      <c r="AS32" s="4">
        <v>0</v>
      </c>
    </row>
    <row r="33" spans="1:45">
      <c r="A33" s="1">
        <v>40756</v>
      </c>
      <c r="B33" s="6">
        <f t="shared" si="2"/>
        <v>2011</v>
      </c>
      <c r="C33" s="3">
        <v>61597112.417108439</v>
      </c>
      <c r="D33" s="3">
        <v>13646879.092999998</v>
      </c>
      <c r="E33" s="95">
        <f>SUM('Annual CDM'!$D$3:$D$4)/12+'Annual CDM'!$D$5*15/144</f>
        <v>97663.08424707927</v>
      </c>
      <c r="F33" s="3">
        <f t="shared" si="3"/>
        <v>13744542.177247077</v>
      </c>
      <c r="G33" s="3">
        <v>7808808.1944000004</v>
      </c>
      <c r="H33" s="95">
        <f>SUM('Annual CDM'!$D$13:$D$14)/12+'Annual CDM'!$D$15*15/144</f>
        <v>136520.25175274076</v>
      </c>
      <c r="I33" s="3">
        <f t="shared" si="4"/>
        <v>7945328.4461527411</v>
      </c>
      <c r="J33" s="3">
        <v>6782880.2512999997</v>
      </c>
      <c r="K33" s="3">
        <v>15994262.2195</v>
      </c>
      <c r="L33" s="3">
        <f t="shared" si="0"/>
        <v>22777142.470799997</v>
      </c>
      <c r="M33" s="95">
        <f>SUM('Annual CDM'!$D$23:$D$24)/12+'Annual CDM'!$D$25*15/144</f>
        <v>159767.45410491549</v>
      </c>
      <c r="N33" s="3">
        <f t="shared" si="5"/>
        <v>22936909.924904913</v>
      </c>
      <c r="O33" s="3">
        <v>14946593.828</v>
      </c>
      <c r="P33" s="95">
        <f>SUM('Annual CDM'!$D$33:$D$34)/12+'Annual CDM'!$D$35*15/144</f>
        <v>64317.109132170706</v>
      </c>
      <c r="Q33" s="3">
        <f t="shared" si="6"/>
        <v>15010910.93713217</v>
      </c>
      <c r="R33" s="3">
        <v>301168</v>
      </c>
      <c r="S33" s="3">
        <v>937.99900000000002</v>
      </c>
      <c r="T33" s="3">
        <v>123831.98</v>
      </c>
      <c r="U33" s="4">
        <v>7</v>
      </c>
      <c r="V33" s="4">
        <v>68.2</v>
      </c>
      <c r="W33">
        <v>22</v>
      </c>
      <c r="X33">
        <v>31</v>
      </c>
      <c r="Y33" s="30">
        <v>6778</v>
      </c>
      <c r="Z33" s="30">
        <v>82</v>
      </c>
      <c r="AA33">
        <v>32</v>
      </c>
      <c r="AB33" s="4">
        <v>23068</v>
      </c>
      <c r="AC33" s="4">
        <v>3235</v>
      </c>
      <c r="AD33" s="4">
        <v>209</v>
      </c>
      <c r="AE33" s="4">
        <v>132</v>
      </c>
      <c r="AF33" s="4">
        <f t="shared" si="7"/>
        <v>341</v>
      </c>
      <c r="AG33" s="4">
        <v>0</v>
      </c>
      <c r="AH33">
        <v>3</v>
      </c>
      <c r="AI33" s="4">
        <v>5121</v>
      </c>
      <c r="AJ33" s="4">
        <v>153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f t="shared" si="8"/>
        <v>1</v>
      </c>
      <c r="AR33" s="4">
        <v>0</v>
      </c>
      <c r="AS33" s="4">
        <v>0</v>
      </c>
    </row>
    <row r="34" spans="1:45">
      <c r="A34" s="1">
        <v>40787</v>
      </c>
      <c r="B34" s="6">
        <f t="shared" si="2"/>
        <v>2011</v>
      </c>
      <c r="C34" s="3">
        <v>57151638.737228915</v>
      </c>
      <c r="D34" s="3">
        <v>12374381.956699999</v>
      </c>
      <c r="E34" s="95">
        <f>SUM('Annual CDM'!$D$3:$D$4)/12+'Annual CDM'!$D$5*17/144</f>
        <v>101262.74006217034</v>
      </c>
      <c r="F34" s="3">
        <f t="shared" si="3"/>
        <v>12475644.696762169</v>
      </c>
      <c r="G34" s="3">
        <v>6954625.1506999992</v>
      </c>
      <c r="H34" s="95">
        <f>SUM('Annual CDM'!$D$13:$D$14)/12+'Annual CDM'!$D$15*17/144</f>
        <v>141140.10879518255</v>
      </c>
      <c r="I34" s="3">
        <f t="shared" si="4"/>
        <v>7095765.259495182</v>
      </c>
      <c r="J34" s="3">
        <v>6332825.8656000001</v>
      </c>
      <c r="K34" s="3">
        <v>14771093.356800001</v>
      </c>
      <c r="L34" s="3">
        <f t="shared" si="0"/>
        <v>21103919.222400002</v>
      </c>
      <c r="M34" s="95">
        <f>SUM('Annual CDM'!$D$23:$D$24)/12+'Annual CDM'!$D$25*17/144</f>
        <v>168229.56645304075</v>
      </c>
      <c r="N34" s="3">
        <f t="shared" si="5"/>
        <v>21272148.788853042</v>
      </c>
      <c r="O34" s="3">
        <v>14191674.646299999</v>
      </c>
      <c r="P34" s="95">
        <f>SUM('Annual CDM'!$D$33:$D$34)/12+'Annual CDM'!$D$35*17/144</f>
        <v>72892.723683126795</v>
      </c>
      <c r="Q34" s="3">
        <f t="shared" si="6"/>
        <v>14264567.369983125</v>
      </c>
      <c r="R34" s="3">
        <v>334881</v>
      </c>
      <c r="S34" s="3">
        <v>937.99900000000002</v>
      </c>
      <c r="T34" s="3">
        <v>119837.4</v>
      </c>
      <c r="U34" s="4">
        <v>72.5</v>
      </c>
      <c r="V34" s="4">
        <v>24.500000000000004</v>
      </c>
      <c r="W34">
        <v>21</v>
      </c>
      <c r="X34">
        <v>30</v>
      </c>
      <c r="Y34" s="30">
        <v>6734.6</v>
      </c>
      <c r="Z34" s="30">
        <v>80.5</v>
      </c>
      <c r="AA34">
        <v>33</v>
      </c>
      <c r="AB34" s="4">
        <v>23151</v>
      </c>
      <c r="AC34" s="4">
        <v>3235</v>
      </c>
      <c r="AD34" s="4">
        <v>215</v>
      </c>
      <c r="AE34" s="4">
        <v>132</v>
      </c>
      <c r="AF34" s="4">
        <f t="shared" si="7"/>
        <v>347</v>
      </c>
      <c r="AG34" s="4">
        <v>0</v>
      </c>
      <c r="AH34">
        <v>3</v>
      </c>
      <c r="AI34" s="4">
        <v>5121</v>
      </c>
      <c r="AJ34" s="4">
        <v>153</v>
      </c>
      <c r="AK34" s="4">
        <v>1</v>
      </c>
      <c r="AL34" s="4">
        <v>0</v>
      </c>
      <c r="AM34" s="4">
        <v>1</v>
      </c>
      <c r="AN34" s="4">
        <v>0</v>
      </c>
      <c r="AO34" s="4">
        <v>0</v>
      </c>
      <c r="AP34" s="4">
        <v>0</v>
      </c>
      <c r="AQ34" s="4">
        <f t="shared" si="8"/>
        <v>0</v>
      </c>
      <c r="AR34" s="4">
        <v>0</v>
      </c>
      <c r="AS34" s="4">
        <v>0</v>
      </c>
    </row>
    <row r="35" spans="1:45">
      <c r="A35" s="1">
        <v>40817</v>
      </c>
      <c r="B35" s="6">
        <f t="shared" si="2"/>
        <v>2011</v>
      </c>
      <c r="C35" s="3">
        <v>56646902.545301214</v>
      </c>
      <c r="D35" s="3">
        <v>13664672.127900001</v>
      </c>
      <c r="E35" s="95">
        <f>SUM('Annual CDM'!$D$3:$D$4)/12+'Annual CDM'!$D$5*19/144</f>
        <v>104862.39587726141</v>
      </c>
      <c r="F35" s="3">
        <f t="shared" si="3"/>
        <v>13769534.523777261</v>
      </c>
      <c r="G35" s="3">
        <v>6817049.963200001</v>
      </c>
      <c r="H35" s="95">
        <f>SUM('Annual CDM'!$D$13:$D$14)/12+'Annual CDM'!$D$15*19/144</f>
        <v>145759.96583762433</v>
      </c>
      <c r="I35" s="3">
        <f t="shared" si="4"/>
        <v>6962809.929037625</v>
      </c>
      <c r="J35" s="3">
        <v>6596995.5294000003</v>
      </c>
      <c r="K35" s="3">
        <v>14916177.104200002</v>
      </c>
      <c r="L35" s="3">
        <f t="shared" si="0"/>
        <v>21513172.633600004</v>
      </c>
      <c r="M35" s="95">
        <f>SUM('Annual CDM'!$D$23:$D$24)/12+'Annual CDM'!$D$25*19/144</f>
        <v>176691.67880116601</v>
      </c>
      <c r="N35" s="3">
        <f t="shared" si="5"/>
        <v>21689864.312401172</v>
      </c>
      <c r="O35" s="3">
        <v>12844301.167599998</v>
      </c>
      <c r="P35" s="95">
        <f>SUM('Annual CDM'!$D$33:$D$34)/12+'Annual CDM'!$D$35*19/144</f>
        <v>81468.338234082883</v>
      </c>
      <c r="Q35" s="3">
        <f t="shared" si="6"/>
        <v>12925769.505834082</v>
      </c>
      <c r="R35" s="3">
        <v>392623</v>
      </c>
      <c r="S35" s="3">
        <v>937.99900000000002</v>
      </c>
      <c r="T35" s="3">
        <v>123831.98</v>
      </c>
      <c r="U35" s="4">
        <v>266.49999999999994</v>
      </c>
      <c r="V35" s="4">
        <v>0.5</v>
      </c>
      <c r="W35">
        <v>20</v>
      </c>
      <c r="X35">
        <v>31</v>
      </c>
      <c r="Y35" s="30">
        <v>6702.2</v>
      </c>
      <c r="Z35" s="30">
        <v>79.7</v>
      </c>
      <c r="AA35">
        <v>34</v>
      </c>
      <c r="AB35" s="4">
        <v>23189</v>
      </c>
      <c r="AC35" s="4">
        <v>3226</v>
      </c>
      <c r="AD35" s="4">
        <v>217</v>
      </c>
      <c r="AE35" s="4">
        <v>131</v>
      </c>
      <c r="AF35" s="4">
        <f t="shared" si="7"/>
        <v>348</v>
      </c>
      <c r="AG35" s="4">
        <v>0</v>
      </c>
      <c r="AH35">
        <v>3</v>
      </c>
      <c r="AI35" s="4">
        <v>5121</v>
      </c>
      <c r="AJ35" s="4">
        <v>153</v>
      </c>
      <c r="AK35" s="4">
        <v>1</v>
      </c>
      <c r="AL35" s="4">
        <v>0</v>
      </c>
      <c r="AM35" s="4">
        <v>1</v>
      </c>
      <c r="AN35" s="4">
        <v>0</v>
      </c>
      <c r="AO35" s="4">
        <v>0</v>
      </c>
      <c r="AP35" s="4">
        <v>0</v>
      </c>
      <c r="AQ35" s="4">
        <f t="shared" si="8"/>
        <v>0</v>
      </c>
      <c r="AR35" s="4">
        <v>0</v>
      </c>
      <c r="AS35" s="4">
        <v>0</v>
      </c>
    </row>
    <row r="36" spans="1:45">
      <c r="A36" s="1">
        <v>40848</v>
      </c>
      <c r="B36" s="6">
        <f t="shared" si="2"/>
        <v>2011</v>
      </c>
      <c r="C36" s="3">
        <v>58228039.515662655</v>
      </c>
      <c r="D36" s="3">
        <v>15512028.3873</v>
      </c>
      <c r="E36" s="95">
        <f>SUM('Annual CDM'!$D$3:$D$4)/12+'Annual CDM'!$D$5*21/144</f>
        <v>108462.05169235248</v>
      </c>
      <c r="F36" s="3">
        <f t="shared" si="3"/>
        <v>15620490.438992351</v>
      </c>
      <c r="G36" s="3">
        <v>7100784.7841999996</v>
      </c>
      <c r="H36" s="95">
        <f>SUM('Annual CDM'!$D$13:$D$14)/12+'Annual CDM'!$D$15*21/144</f>
        <v>150379.82288006609</v>
      </c>
      <c r="I36" s="3">
        <f t="shared" si="4"/>
        <v>7251164.6070800656</v>
      </c>
      <c r="J36" s="3">
        <v>6630682.2798000006</v>
      </c>
      <c r="K36" s="3">
        <v>15220254.156100001</v>
      </c>
      <c r="L36" s="3">
        <f t="shared" si="0"/>
        <v>21850936.435900003</v>
      </c>
      <c r="M36" s="95">
        <f>SUM('Annual CDM'!$D$23:$D$24)/12+'Annual CDM'!$D$25*21/144</f>
        <v>185153.79114929127</v>
      </c>
      <c r="N36" s="3">
        <f t="shared" si="5"/>
        <v>22036090.227049295</v>
      </c>
      <c r="O36" s="3">
        <v>11999298.3411</v>
      </c>
      <c r="P36" s="95">
        <f>SUM('Annual CDM'!$D$33:$D$34)/12+'Annual CDM'!$D$35*21/144</f>
        <v>90043.952785038986</v>
      </c>
      <c r="Q36" s="3">
        <f t="shared" si="6"/>
        <v>12089342.293885039</v>
      </c>
      <c r="R36" s="3">
        <v>419915</v>
      </c>
      <c r="S36" s="3">
        <v>937.99900000000002</v>
      </c>
      <c r="T36" s="3">
        <v>119837.4</v>
      </c>
      <c r="U36" s="4">
        <v>394.7</v>
      </c>
      <c r="V36" s="4">
        <v>0</v>
      </c>
      <c r="W36">
        <v>22</v>
      </c>
      <c r="X36">
        <v>30</v>
      </c>
      <c r="Y36" s="30">
        <v>6669.4</v>
      </c>
      <c r="Z36" s="30">
        <v>78.7</v>
      </c>
      <c r="AA36">
        <v>35</v>
      </c>
      <c r="AB36" s="4">
        <v>23212</v>
      </c>
      <c r="AC36" s="4">
        <v>3224</v>
      </c>
      <c r="AD36" s="4">
        <v>222</v>
      </c>
      <c r="AE36" s="4">
        <v>131</v>
      </c>
      <c r="AF36" s="4">
        <f t="shared" si="7"/>
        <v>353</v>
      </c>
      <c r="AG36" s="4">
        <v>0</v>
      </c>
      <c r="AH36">
        <v>3</v>
      </c>
      <c r="AI36" s="4">
        <v>5121</v>
      </c>
      <c r="AJ36" s="4">
        <v>153</v>
      </c>
      <c r="AK36" s="4">
        <v>1</v>
      </c>
      <c r="AL36" s="4">
        <v>0</v>
      </c>
      <c r="AM36" s="4">
        <v>1</v>
      </c>
      <c r="AN36" s="4">
        <v>0</v>
      </c>
      <c r="AO36" s="4">
        <v>0</v>
      </c>
      <c r="AP36" s="4">
        <v>0</v>
      </c>
      <c r="AQ36" s="4">
        <f t="shared" si="8"/>
        <v>0</v>
      </c>
      <c r="AR36" s="4">
        <v>0</v>
      </c>
      <c r="AS36" s="4">
        <v>0</v>
      </c>
    </row>
    <row r="37" spans="1:45">
      <c r="A37" s="1">
        <v>40878</v>
      </c>
      <c r="B37" s="6">
        <f t="shared" si="2"/>
        <v>2011</v>
      </c>
      <c r="C37" s="3">
        <v>66082806.975783132</v>
      </c>
      <c r="D37" s="3">
        <v>18884077.882800002</v>
      </c>
      <c r="E37" s="95">
        <f>SUM('Annual CDM'!$D$3:$D$4)/12+'Annual CDM'!$D$5*23/144</f>
        <v>112061.70750744359</v>
      </c>
      <c r="F37" s="3">
        <f t="shared" si="3"/>
        <v>18996139.590307444</v>
      </c>
      <c r="G37" s="3">
        <v>7938769.4755000006</v>
      </c>
      <c r="H37" s="95">
        <f>SUM('Annual CDM'!$D$13:$D$14)/12+'Annual CDM'!$D$15*23/144</f>
        <v>154999.67992250784</v>
      </c>
      <c r="I37" s="3">
        <f t="shared" si="4"/>
        <v>8093769.1554225087</v>
      </c>
      <c r="J37" s="3">
        <v>7106759.3358000005</v>
      </c>
      <c r="K37" s="3">
        <v>16798121.953400001</v>
      </c>
      <c r="L37" s="3">
        <f t="shared" si="0"/>
        <v>23904881.2892</v>
      </c>
      <c r="M37" s="95">
        <f>SUM('Annual CDM'!$D$23:$D$24)/12+'Annual CDM'!$D$25*23/144</f>
        <v>193615.90349741653</v>
      </c>
      <c r="N37" s="3">
        <f t="shared" si="5"/>
        <v>24098497.192697417</v>
      </c>
      <c r="O37" s="3">
        <v>11987806.8026</v>
      </c>
      <c r="P37" s="95">
        <f>SUM('Annual CDM'!$D$33:$D$34)/12+'Annual CDM'!$D$35*23/144</f>
        <v>98619.567335995074</v>
      </c>
      <c r="Q37" s="3">
        <f t="shared" si="6"/>
        <v>12086426.369935995</v>
      </c>
      <c r="R37" s="3">
        <v>455824</v>
      </c>
      <c r="S37" s="3">
        <v>920.53</v>
      </c>
      <c r="T37" s="3">
        <v>136699.38</v>
      </c>
      <c r="U37" s="4">
        <v>623.09999999999991</v>
      </c>
      <c r="V37" s="4">
        <v>0</v>
      </c>
      <c r="W37">
        <v>20</v>
      </c>
      <c r="X37">
        <v>31</v>
      </c>
      <c r="Y37" s="30">
        <v>6668.3</v>
      </c>
      <c r="Z37" s="30">
        <v>79.599999999999994</v>
      </c>
      <c r="AA37">
        <v>36</v>
      </c>
      <c r="AB37" s="4">
        <v>23234</v>
      </c>
      <c r="AC37" s="4">
        <v>3225</v>
      </c>
      <c r="AD37" s="4">
        <v>225</v>
      </c>
      <c r="AE37" s="4">
        <v>132</v>
      </c>
      <c r="AF37" s="4">
        <f t="shared" si="7"/>
        <v>357</v>
      </c>
      <c r="AG37" s="4">
        <v>0</v>
      </c>
      <c r="AH37">
        <v>3</v>
      </c>
      <c r="AI37" s="4">
        <v>5121</v>
      </c>
      <c r="AJ37" s="4">
        <v>152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1</v>
      </c>
      <c r="AQ37" s="4">
        <f t="shared" si="8"/>
        <v>0</v>
      </c>
      <c r="AR37" s="4">
        <v>0</v>
      </c>
      <c r="AS37" s="4">
        <v>0</v>
      </c>
    </row>
    <row r="38" spans="1:45">
      <c r="A38" s="1">
        <v>40909</v>
      </c>
      <c r="B38" s="6">
        <f t="shared" si="2"/>
        <v>2012</v>
      </c>
      <c r="C38" s="3">
        <v>71180859.22795181</v>
      </c>
      <c r="D38" s="3">
        <v>20794679.283499997</v>
      </c>
      <c r="E38" s="95">
        <f>SUM('Annual CDM'!$E$3:$E$5)/12+'Annual CDM'!$E$6*1/144</f>
        <v>114744.53337279746</v>
      </c>
      <c r="F38" s="3">
        <f t="shared" si="3"/>
        <v>20909423.816872794</v>
      </c>
      <c r="G38" s="3">
        <v>8455236.2163999993</v>
      </c>
      <c r="H38" s="95">
        <f>SUM('Annual CDM'!$E$13:$E$15)/12+'Annual CDM'!$E$16*1/144</f>
        <v>161530.01994823612</v>
      </c>
      <c r="I38" s="3">
        <f t="shared" si="4"/>
        <v>8616766.236348236</v>
      </c>
      <c r="J38" s="3">
        <v>7761726.2859000005</v>
      </c>
      <c r="K38" s="3">
        <v>17915050.073100001</v>
      </c>
      <c r="L38" s="3">
        <f t="shared" si="0"/>
        <v>25676776.359000001</v>
      </c>
      <c r="M38" s="95">
        <f>SUM('Annual CDM'!$E$23:$E$25)/12+'Annual CDM'!$E$26*1/144</f>
        <v>207593.57733579227</v>
      </c>
      <c r="N38" s="3">
        <f t="shared" si="5"/>
        <v>25884369.936335795</v>
      </c>
      <c r="O38" s="3">
        <v>12582843.8882</v>
      </c>
      <c r="P38" s="95">
        <f>SUM('Annual CDM'!$E$33:$E$35)/12+'Annual CDM'!$E$36*1/144</f>
        <v>105037.49354085095</v>
      </c>
      <c r="Q38" s="3">
        <f t="shared" si="6"/>
        <v>12687881.381740851</v>
      </c>
      <c r="R38" s="3">
        <v>464991</v>
      </c>
      <c r="S38" s="3">
        <v>920.53</v>
      </c>
      <c r="T38" s="3">
        <v>141662.18</v>
      </c>
      <c r="U38" s="4">
        <v>712.69999999999993</v>
      </c>
      <c r="V38" s="4">
        <v>0</v>
      </c>
      <c r="W38" s="4">
        <v>21</v>
      </c>
      <c r="X38">
        <v>31</v>
      </c>
      <c r="Y38" s="30">
        <v>6635.9</v>
      </c>
      <c r="Z38" s="30">
        <v>80.2</v>
      </c>
      <c r="AA38">
        <v>37</v>
      </c>
      <c r="AB38" s="4">
        <v>23226</v>
      </c>
      <c r="AC38" s="4">
        <v>3226</v>
      </c>
      <c r="AD38" s="4">
        <v>226</v>
      </c>
      <c r="AE38" s="4">
        <v>132</v>
      </c>
      <c r="AF38" s="4">
        <f t="shared" si="7"/>
        <v>358</v>
      </c>
      <c r="AG38" s="4">
        <v>0</v>
      </c>
      <c r="AH38">
        <v>3</v>
      </c>
      <c r="AI38" s="4">
        <v>5121</v>
      </c>
      <c r="AJ38" s="4">
        <v>152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f t="shared" si="8"/>
        <v>0</v>
      </c>
      <c r="AR38" s="4">
        <v>1</v>
      </c>
      <c r="AS38" s="4">
        <v>0</v>
      </c>
    </row>
    <row r="39" spans="1:45">
      <c r="A39" s="1">
        <v>40940</v>
      </c>
      <c r="B39" s="6">
        <f t="shared" si="2"/>
        <v>2012</v>
      </c>
      <c r="C39" s="3">
        <v>64672863.417349406</v>
      </c>
      <c r="D39" s="3">
        <v>18571936.430599999</v>
      </c>
      <c r="E39" s="95">
        <f>SUM('Annual CDM'!$E$3:$E$5)/12+'Annual CDM'!$E$6*3/144</f>
        <v>117116.8302747706</v>
      </c>
      <c r="F39" s="3">
        <f t="shared" si="3"/>
        <v>18689053.260874771</v>
      </c>
      <c r="G39" s="3">
        <v>7820724.9231000002</v>
      </c>
      <c r="H39" s="95">
        <f>SUM('Annual CDM'!$E$13:$E$15)/12+'Annual CDM'!$E$16*3/144</f>
        <v>169970.84295725089</v>
      </c>
      <c r="I39" s="3">
        <f t="shared" si="4"/>
        <v>7990695.766057251</v>
      </c>
      <c r="J39" s="3">
        <v>7111042.4106000001</v>
      </c>
      <c r="K39" s="3">
        <v>16508109.020499999</v>
      </c>
      <c r="L39" s="3">
        <f t="shared" si="0"/>
        <v>23619151.4311</v>
      </c>
      <c r="M39" s="95">
        <f>SUM('Annual CDM'!$E$23:$E$25)/12+'Annual CDM'!$E$26*3/144</f>
        <v>227086.81266441842</v>
      </c>
      <c r="N39" s="3">
        <f t="shared" si="5"/>
        <v>23846238.243764419</v>
      </c>
      <c r="O39" s="3">
        <v>11873899.731000001</v>
      </c>
      <c r="P39" s="95">
        <f>SUM('Annual CDM'!$E$33:$E$35)/12+'Annual CDM'!$E$36*3/144</f>
        <v>109297.73139960659</v>
      </c>
      <c r="Q39" s="3">
        <f t="shared" si="6"/>
        <v>11983197.462399608</v>
      </c>
      <c r="R39" s="3">
        <v>410238</v>
      </c>
      <c r="S39" s="3">
        <v>920.53</v>
      </c>
      <c r="T39" s="3">
        <v>115762.78</v>
      </c>
      <c r="U39" s="4">
        <v>604.40000000000009</v>
      </c>
      <c r="V39" s="4">
        <v>0</v>
      </c>
      <c r="W39" s="4">
        <v>20</v>
      </c>
      <c r="X39">
        <v>29</v>
      </c>
      <c r="Y39" s="30">
        <v>6598</v>
      </c>
      <c r="Z39" s="30">
        <v>81</v>
      </c>
      <c r="AA39">
        <v>38</v>
      </c>
      <c r="AB39" s="4">
        <v>23235</v>
      </c>
      <c r="AC39" s="4">
        <v>3225</v>
      </c>
      <c r="AD39" s="4">
        <v>225</v>
      </c>
      <c r="AE39" s="4">
        <v>132</v>
      </c>
      <c r="AF39" s="4">
        <f t="shared" si="7"/>
        <v>357</v>
      </c>
      <c r="AG39" s="4">
        <v>0</v>
      </c>
      <c r="AH39">
        <v>3</v>
      </c>
      <c r="AI39" s="4">
        <v>5121</v>
      </c>
      <c r="AJ39" s="4">
        <v>152</v>
      </c>
      <c r="AK39" s="4">
        <v>0</v>
      </c>
      <c r="AL39" s="4">
        <v>0</v>
      </c>
      <c r="AM39" s="4">
        <v>0</v>
      </c>
      <c r="AN39" s="4">
        <v>1</v>
      </c>
      <c r="AO39" s="4">
        <v>0</v>
      </c>
      <c r="AP39" s="4">
        <v>0</v>
      </c>
      <c r="AQ39" s="4">
        <f t="shared" si="8"/>
        <v>0</v>
      </c>
      <c r="AR39" s="4">
        <v>0</v>
      </c>
      <c r="AS39" s="4">
        <v>0</v>
      </c>
    </row>
    <row r="40" spans="1:45">
      <c r="A40" s="1">
        <v>40969</v>
      </c>
      <c r="B40" s="6">
        <f t="shared" si="2"/>
        <v>2012</v>
      </c>
      <c r="C40" s="3">
        <v>62277834.241566263</v>
      </c>
      <c r="D40" s="3">
        <v>16671968.3027</v>
      </c>
      <c r="E40" s="95">
        <f>SUM('Annual CDM'!$E$3:$E$5)/12+'Annual CDM'!$E$6*5/144</f>
        <v>119489.12717674374</v>
      </c>
      <c r="F40" s="3">
        <f t="shared" si="3"/>
        <v>16791457.429876745</v>
      </c>
      <c r="G40" s="3">
        <v>7522796.9426999995</v>
      </c>
      <c r="H40" s="95">
        <f>SUM('Annual CDM'!$E$13:$E$15)/12+'Annual CDM'!$E$16*5/144</f>
        <v>178411.66596626566</v>
      </c>
      <c r="I40" s="3">
        <f t="shared" si="4"/>
        <v>7701208.6086662654</v>
      </c>
      <c r="J40" s="3">
        <v>6855315.2105</v>
      </c>
      <c r="K40" s="3">
        <v>16236014.327199997</v>
      </c>
      <c r="L40" s="3">
        <f t="shared" si="0"/>
        <v>23091329.537699997</v>
      </c>
      <c r="M40" s="95">
        <f>SUM('Annual CDM'!$E$23:$E$25)/12+'Annual CDM'!$E$26*5/144</f>
        <v>246580.0479930446</v>
      </c>
      <c r="N40" s="3">
        <f t="shared" si="5"/>
        <v>23337909.585693043</v>
      </c>
      <c r="O40" s="3">
        <v>12252096.686999999</v>
      </c>
      <c r="P40" s="95">
        <f>SUM('Annual CDM'!$E$33:$E$35)/12+'Annual CDM'!$E$36*5/144</f>
        <v>113557.96925836224</v>
      </c>
      <c r="Q40" s="3">
        <f t="shared" si="6"/>
        <v>12365654.656258361</v>
      </c>
      <c r="R40" s="3">
        <v>394370</v>
      </c>
      <c r="S40" s="3">
        <v>914.18299999999999</v>
      </c>
      <c r="T40" s="3">
        <v>126110.99</v>
      </c>
      <c r="U40" s="4">
        <v>412.19999999999993</v>
      </c>
      <c r="V40" s="4">
        <v>0</v>
      </c>
      <c r="W40" s="4">
        <v>22</v>
      </c>
      <c r="X40">
        <v>31</v>
      </c>
      <c r="Y40" s="30">
        <v>6569.8</v>
      </c>
      <c r="Z40" s="30">
        <v>80.7</v>
      </c>
      <c r="AA40">
        <v>39</v>
      </c>
      <c r="AB40" s="4">
        <v>23259</v>
      </c>
      <c r="AC40" s="4">
        <v>3222</v>
      </c>
      <c r="AD40" s="4">
        <v>225</v>
      </c>
      <c r="AE40" s="4">
        <v>133</v>
      </c>
      <c r="AF40" s="4">
        <f t="shared" si="7"/>
        <v>358</v>
      </c>
      <c r="AG40" s="4">
        <v>0</v>
      </c>
      <c r="AH40">
        <v>3</v>
      </c>
      <c r="AI40" s="4">
        <v>5125</v>
      </c>
      <c r="AJ40" s="4">
        <v>152</v>
      </c>
      <c r="AK40" s="4">
        <v>1</v>
      </c>
      <c r="AL40" s="4">
        <v>1</v>
      </c>
      <c r="AM40" s="4">
        <v>0</v>
      </c>
      <c r="AN40" s="4">
        <v>0</v>
      </c>
      <c r="AO40" s="4">
        <v>0</v>
      </c>
      <c r="AP40" s="4">
        <v>0</v>
      </c>
      <c r="AQ40" s="4">
        <f t="shared" si="8"/>
        <v>0</v>
      </c>
      <c r="AR40" s="4">
        <v>0</v>
      </c>
      <c r="AS40" s="4">
        <v>1</v>
      </c>
    </row>
    <row r="41" spans="1:45">
      <c r="A41" s="1">
        <v>41000</v>
      </c>
      <c r="B41" s="6">
        <f t="shared" si="2"/>
        <v>2012</v>
      </c>
      <c r="C41" s="3">
        <v>55321760.335301213</v>
      </c>
      <c r="D41" s="3">
        <v>14395404.4703</v>
      </c>
      <c r="E41" s="95">
        <f>SUM('Annual CDM'!$E$3:$E$5)/12+'Annual CDM'!$E$6*7/144</f>
        <v>121861.42407871687</v>
      </c>
      <c r="F41" s="3">
        <f t="shared" si="3"/>
        <v>14517265.894378716</v>
      </c>
      <c r="G41" s="3">
        <v>6733723.8155000005</v>
      </c>
      <c r="H41" s="95">
        <f>SUM('Annual CDM'!$E$13:$E$15)/12+'Annual CDM'!$E$16*7/144</f>
        <v>186852.48897528043</v>
      </c>
      <c r="I41" s="3">
        <f t="shared" si="4"/>
        <v>6920576.3044752814</v>
      </c>
      <c r="J41" s="3">
        <v>6108385.8839999987</v>
      </c>
      <c r="K41" s="3">
        <v>14667691.3802</v>
      </c>
      <c r="L41" s="3">
        <f t="shared" si="0"/>
        <v>20776077.264199998</v>
      </c>
      <c r="M41" s="95">
        <f>SUM('Annual CDM'!$E$23:$E$25)/12+'Annual CDM'!$E$26*7/144</f>
        <v>266073.28332167078</v>
      </c>
      <c r="N41" s="3">
        <f t="shared" si="5"/>
        <v>21042150.547521669</v>
      </c>
      <c r="O41" s="3">
        <v>11690706.498199999</v>
      </c>
      <c r="P41" s="95">
        <f>SUM('Annual CDM'!$E$33:$E$35)/12+'Annual CDM'!$E$36*7/144</f>
        <v>117818.20711711788</v>
      </c>
      <c r="Q41" s="3">
        <f t="shared" si="6"/>
        <v>11808524.705317117</v>
      </c>
      <c r="R41" s="3">
        <v>336242</v>
      </c>
      <c r="S41" s="3">
        <v>914.18299999999999</v>
      </c>
      <c r="T41" s="3">
        <v>123028.62</v>
      </c>
      <c r="U41" s="4">
        <v>358.9</v>
      </c>
      <c r="V41" s="4">
        <v>0.8</v>
      </c>
      <c r="W41" s="4">
        <v>19</v>
      </c>
      <c r="X41">
        <v>30</v>
      </c>
      <c r="Y41" s="30">
        <v>6603.3</v>
      </c>
      <c r="Z41" s="30">
        <v>81</v>
      </c>
      <c r="AA41">
        <v>40</v>
      </c>
      <c r="AB41" s="4">
        <v>23160</v>
      </c>
      <c r="AC41" s="4">
        <v>3213</v>
      </c>
      <c r="AD41" s="4">
        <v>227</v>
      </c>
      <c r="AE41" s="4">
        <v>133</v>
      </c>
      <c r="AF41" s="4">
        <f t="shared" si="7"/>
        <v>360</v>
      </c>
      <c r="AG41" s="4">
        <v>0</v>
      </c>
      <c r="AH41">
        <v>3</v>
      </c>
      <c r="AI41" s="4">
        <v>5125</v>
      </c>
      <c r="AJ41" s="4">
        <v>152</v>
      </c>
      <c r="AK41" s="4">
        <v>1</v>
      </c>
      <c r="AL41" s="4">
        <v>1</v>
      </c>
      <c r="AM41" s="4">
        <v>0</v>
      </c>
      <c r="AN41" s="4">
        <v>0</v>
      </c>
      <c r="AO41" s="4">
        <v>1</v>
      </c>
      <c r="AP41" s="4">
        <v>0</v>
      </c>
      <c r="AQ41" s="4">
        <f t="shared" si="8"/>
        <v>0</v>
      </c>
      <c r="AR41" s="4">
        <v>0</v>
      </c>
      <c r="AS41" s="4">
        <v>0</v>
      </c>
    </row>
    <row r="42" spans="1:45">
      <c r="A42" s="1">
        <v>41030</v>
      </c>
      <c r="B42" s="6">
        <f t="shared" si="2"/>
        <v>2012</v>
      </c>
      <c r="C42" s="3">
        <v>53896365.073253013</v>
      </c>
      <c r="D42" s="3">
        <v>11731052.347100001</v>
      </c>
      <c r="E42" s="95">
        <f>SUM('Annual CDM'!$E$3:$E$5)/12+'Annual CDM'!$E$6*9/144</f>
        <v>124233.72098069001</v>
      </c>
      <c r="F42" s="3">
        <f t="shared" si="3"/>
        <v>11855286.068080692</v>
      </c>
      <c r="G42" s="3">
        <v>6797543.6818000004</v>
      </c>
      <c r="H42" s="95">
        <f>SUM('Annual CDM'!$E$13:$E$15)/12+'Annual CDM'!$E$16*9/144</f>
        <v>195293.3119842952</v>
      </c>
      <c r="I42" s="3">
        <f t="shared" si="4"/>
        <v>6992836.9937842954</v>
      </c>
      <c r="J42" s="3">
        <v>6372785.2359000007</v>
      </c>
      <c r="K42" s="3">
        <v>14464737.882400002</v>
      </c>
      <c r="L42" s="3">
        <f t="shared" si="0"/>
        <v>20837523.118300002</v>
      </c>
      <c r="M42" s="95">
        <f>SUM('Annual CDM'!$E$23:$E$25)/12+'Annual CDM'!$E$26*9/144</f>
        <v>285566.51865029696</v>
      </c>
      <c r="N42" s="3">
        <f t="shared" si="5"/>
        <v>21123089.636950299</v>
      </c>
      <c r="O42" s="3">
        <v>12480043.750300001</v>
      </c>
      <c r="P42" s="95">
        <f>SUM('Annual CDM'!$E$33:$E$35)/12+'Annual CDM'!$E$36*9/144</f>
        <v>122078.44497587353</v>
      </c>
      <c r="Q42" s="3">
        <f t="shared" si="6"/>
        <v>12602122.195275875</v>
      </c>
      <c r="R42" s="3">
        <v>307202</v>
      </c>
      <c r="S42" s="3">
        <v>914.18299999999999</v>
      </c>
      <c r="T42" s="3">
        <v>123746.42</v>
      </c>
      <c r="U42" s="4">
        <v>94.000000000000014</v>
      </c>
      <c r="V42" s="4">
        <v>20.100000000000001</v>
      </c>
      <c r="W42" s="4">
        <v>22</v>
      </c>
      <c r="X42">
        <v>31</v>
      </c>
      <c r="Y42" s="30">
        <v>6658.1</v>
      </c>
      <c r="Z42" s="30">
        <v>81.900000000000006</v>
      </c>
      <c r="AA42">
        <v>41</v>
      </c>
      <c r="AB42" s="4">
        <v>22994</v>
      </c>
      <c r="AC42" s="4">
        <v>3198</v>
      </c>
      <c r="AD42" s="4">
        <v>228</v>
      </c>
      <c r="AE42" s="4">
        <v>132</v>
      </c>
      <c r="AF42" s="4">
        <f t="shared" si="7"/>
        <v>360</v>
      </c>
      <c r="AG42" s="4">
        <v>0</v>
      </c>
      <c r="AH42">
        <v>3</v>
      </c>
      <c r="AI42" s="4">
        <v>5125</v>
      </c>
      <c r="AJ42" s="4">
        <v>152</v>
      </c>
      <c r="AK42" s="4">
        <v>1</v>
      </c>
      <c r="AL42" s="4">
        <v>1</v>
      </c>
      <c r="AM42" s="4">
        <v>0</v>
      </c>
      <c r="AN42" s="4">
        <v>0</v>
      </c>
      <c r="AO42" s="4">
        <v>0</v>
      </c>
      <c r="AP42" s="4">
        <v>0</v>
      </c>
      <c r="AQ42" s="4">
        <f t="shared" si="8"/>
        <v>1</v>
      </c>
      <c r="AR42" s="4">
        <v>0</v>
      </c>
      <c r="AS42" s="4">
        <v>0</v>
      </c>
    </row>
    <row r="43" spans="1:45">
      <c r="A43" s="1">
        <v>41061</v>
      </c>
      <c r="B43" s="6">
        <f t="shared" si="2"/>
        <v>2012</v>
      </c>
      <c r="C43" s="3">
        <v>56091618.088915668</v>
      </c>
      <c r="D43" s="3">
        <v>12434620.296799999</v>
      </c>
      <c r="E43" s="95">
        <f>SUM('Annual CDM'!$E$3:$E$5)/12+'Annual CDM'!$E$6*11/144</f>
        <v>126606.01788266315</v>
      </c>
      <c r="F43" s="3">
        <f t="shared" si="3"/>
        <v>12561226.314682662</v>
      </c>
      <c r="G43" s="3">
        <v>7173898.5476000002</v>
      </c>
      <c r="H43" s="95">
        <f>SUM('Annual CDM'!$E$13:$E$15)/12+'Annual CDM'!$E$16*11/144</f>
        <v>203734.13499330997</v>
      </c>
      <c r="I43" s="3">
        <f t="shared" si="4"/>
        <v>7377632.6825933103</v>
      </c>
      <c r="J43" s="3">
        <v>6617816.5736999996</v>
      </c>
      <c r="K43" s="3">
        <v>15089587.486</v>
      </c>
      <c r="L43" s="3">
        <f t="shared" si="0"/>
        <v>21707404.059699997</v>
      </c>
      <c r="M43" s="95">
        <f>SUM('Annual CDM'!$E$23:$E$25)/12+'Annual CDM'!$E$26*11/144</f>
        <v>305059.75397892314</v>
      </c>
      <c r="N43" s="3">
        <f t="shared" si="5"/>
        <v>22012463.81367892</v>
      </c>
      <c r="O43" s="3">
        <v>13240556.216700001</v>
      </c>
      <c r="P43" s="95">
        <f>SUM('Annual CDM'!$E$33:$E$35)/12+'Annual CDM'!$E$36*11/144</f>
        <v>126338.68283462917</v>
      </c>
      <c r="Q43" s="3">
        <f t="shared" si="6"/>
        <v>13366894.89953463</v>
      </c>
      <c r="R43" s="3">
        <v>277124</v>
      </c>
      <c r="S43" s="3">
        <v>914.18299999999999</v>
      </c>
      <c r="T43" s="3">
        <v>119754.6</v>
      </c>
      <c r="U43" s="4">
        <v>41.300000000000004</v>
      </c>
      <c r="V43" s="4">
        <v>51.8</v>
      </c>
      <c r="W43" s="4">
        <v>21</v>
      </c>
      <c r="X43">
        <v>30</v>
      </c>
      <c r="Y43" s="30">
        <v>6737.2</v>
      </c>
      <c r="Z43" s="30">
        <v>83.1</v>
      </c>
      <c r="AA43">
        <v>42</v>
      </c>
      <c r="AB43" s="4">
        <v>23023</v>
      </c>
      <c r="AC43" s="4">
        <v>3201</v>
      </c>
      <c r="AD43" s="4">
        <v>229</v>
      </c>
      <c r="AE43" s="4">
        <v>132</v>
      </c>
      <c r="AF43" s="4">
        <f t="shared" si="7"/>
        <v>361</v>
      </c>
      <c r="AG43" s="4">
        <v>0</v>
      </c>
      <c r="AH43">
        <v>3</v>
      </c>
      <c r="AI43" s="4">
        <v>5125</v>
      </c>
      <c r="AJ43" s="4">
        <v>152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f t="shared" si="8"/>
        <v>1</v>
      </c>
      <c r="AR43" s="4">
        <v>0</v>
      </c>
      <c r="AS43" s="4">
        <v>0</v>
      </c>
    </row>
    <row r="44" spans="1:45">
      <c r="A44" s="1">
        <v>41091</v>
      </c>
      <c r="B44" s="6">
        <f t="shared" si="2"/>
        <v>2012</v>
      </c>
      <c r="C44" s="3">
        <v>64713497.194578312</v>
      </c>
      <c r="D44" s="3">
        <v>14445687.284299999</v>
      </c>
      <c r="E44" s="95">
        <f>SUM('Annual CDM'!$E$3:$E$5)/12+'Annual CDM'!$E$6*13/144</f>
        <v>128978.31478463628</v>
      </c>
      <c r="F44" s="3">
        <f t="shared" si="3"/>
        <v>14574665.599084636</v>
      </c>
      <c r="G44" s="3">
        <v>7895965.2410000004</v>
      </c>
      <c r="H44" s="95">
        <f>SUM('Annual CDM'!$E$13:$E$15)/12+'Annual CDM'!$E$16*13/144</f>
        <v>212174.95800232471</v>
      </c>
      <c r="I44" s="3">
        <f t="shared" si="4"/>
        <v>8108140.1990023255</v>
      </c>
      <c r="J44" s="3">
        <v>7190504.4102999996</v>
      </c>
      <c r="K44" s="3">
        <v>16810583.030999999</v>
      </c>
      <c r="L44" s="3">
        <f t="shared" si="0"/>
        <v>24001087.441299997</v>
      </c>
      <c r="M44" s="95">
        <f>SUM('Annual CDM'!$E$23:$E$25)/12+'Annual CDM'!$E$26*13/144</f>
        <v>324552.98930754932</v>
      </c>
      <c r="N44" s="3">
        <f t="shared" si="5"/>
        <v>24325640.430607546</v>
      </c>
      <c r="O44" s="3">
        <v>15413074.367999999</v>
      </c>
      <c r="P44" s="95">
        <f>SUM('Annual CDM'!$E$33:$E$35)/12+'Annual CDM'!$E$36*13/144</f>
        <v>130598.92069338483</v>
      </c>
      <c r="Q44" s="3">
        <f t="shared" si="6"/>
        <v>15543673.288693383</v>
      </c>
      <c r="R44" s="3">
        <v>296382</v>
      </c>
      <c r="S44" s="3">
        <v>914.18299999999999</v>
      </c>
      <c r="T44" s="3">
        <v>123746.42</v>
      </c>
      <c r="U44" s="4">
        <v>0.2</v>
      </c>
      <c r="V44" s="4">
        <v>120.69999999999996</v>
      </c>
      <c r="W44" s="4">
        <v>21</v>
      </c>
      <c r="X44">
        <v>31</v>
      </c>
      <c r="Y44" s="30">
        <v>6778.6</v>
      </c>
      <c r="Z44" s="30">
        <v>82.6</v>
      </c>
      <c r="AA44">
        <v>43</v>
      </c>
      <c r="AB44" s="4">
        <v>23070</v>
      </c>
      <c r="AC44" s="4">
        <v>3197</v>
      </c>
      <c r="AD44" s="4">
        <v>228</v>
      </c>
      <c r="AE44" s="4">
        <v>132</v>
      </c>
      <c r="AF44" s="4">
        <f t="shared" si="7"/>
        <v>360</v>
      </c>
      <c r="AG44" s="4">
        <v>0</v>
      </c>
      <c r="AH44">
        <v>3</v>
      </c>
      <c r="AI44" s="4">
        <v>5125</v>
      </c>
      <c r="AJ44" s="4">
        <v>152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f t="shared" si="8"/>
        <v>1</v>
      </c>
      <c r="AR44" s="4">
        <v>0</v>
      </c>
      <c r="AS44" s="4">
        <v>0</v>
      </c>
    </row>
    <row r="45" spans="1:45">
      <c r="A45" s="1">
        <v>41122</v>
      </c>
      <c r="B45" s="6">
        <f t="shared" si="2"/>
        <v>2012</v>
      </c>
      <c r="C45" s="3">
        <v>63030995.644216865</v>
      </c>
      <c r="D45" s="3">
        <v>13861522.800799999</v>
      </c>
      <c r="E45" s="95">
        <f>SUM('Annual CDM'!$E$3:$E$5)/12+'Annual CDM'!$E$6*15/144</f>
        <v>131350.61168660942</v>
      </c>
      <c r="F45" s="3">
        <f t="shared" si="3"/>
        <v>13992873.412486609</v>
      </c>
      <c r="G45" s="3">
        <v>7673572.2456</v>
      </c>
      <c r="H45" s="95">
        <f>SUM('Annual CDM'!$E$13:$E$15)/12+'Annual CDM'!$E$16*15/144</f>
        <v>220615.78101133948</v>
      </c>
      <c r="I45" s="3">
        <f t="shared" si="4"/>
        <v>7894188.0266113393</v>
      </c>
      <c r="J45" s="3">
        <v>6931742.3060999997</v>
      </c>
      <c r="K45" s="3">
        <v>16636356.658400001</v>
      </c>
      <c r="L45" s="3">
        <f t="shared" si="0"/>
        <v>23568098.964500003</v>
      </c>
      <c r="M45" s="95">
        <f>SUM('Annual CDM'!$E$23:$E$25)/12+'Annual CDM'!$E$26*15/144</f>
        <v>344046.22463617544</v>
      </c>
      <c r="N45" s="3">
        <f t="shared" si="5"/>
        <v>23912145.189136177</v>
      </c>
      <c r="O45" s="3">
        <v>15313195.499</v>
      </c>
      <c r="P45" s="95">
        <f>SUM('Annual CDM'!$E$33:$E$35)/12+'Annual CDM'!$E$36*15/144</f>
        <v>134859.15855214046</v>
      </c>
      <c r="Q45" s="3">
        <f t="shared" si="6"/>
        <v>15448054.65755214</v>
      </c>
      <c r="R45" s="3">
        <v>331533</v>
      </c>
      <c r="S45" s="3">
        <v>914.18299999999999</v>
      </c>
      <c r="T45" s="3">
        <v>123746.42</v>
      </c>
      <c r="U45" s="4">
        <v>7.3000000000000007</v>
      </c>
      <c r="V45" s="4">
        <v>87.199999999999974</v>
      </c>
      <c r="W45" s="4">
        <v>22</v>
      </c>
      <c r="X45">
        <v>31</v>
      </c>
      <c r="Y45" s="30">
        <v>6797.9</v>
      </c>
      <c r="Z45" s="30">
        <v>80.900000000000006</v>
      </c>
      <c r="AA45">
        <v>44</v>
      </c>
      <c r="AB45" s="4">
        <v>23160</v>
      </c>
      <c r="AC45" s="4">
        <v>3194</v>
      </c>
      <c r="AD45" s="4">
        <v>227</v>
      </c>
      <c r="AE45" s="4">
        <v>132</v>
      </c>
      <c r="AF45" s="4">
        <f t="shared" si="7"/>
        <v>359</v>
      </c>
      <c r="AG45" s="4">
        <v>0</v>
      </c>
      <c r="AH45">
        <v>3</v>
      </c>
      <c r="AI45" s="4">
        <v>5125</v>
      </c>
      <c r="AJ45" s="4">
        <v>152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f t="shared" si="8"/>
        <v>1</v>
      </c>
      <c r="AR45" s="4">
        <v>0</v>
      </c>
      <c r="AS45" s="4">
        <v>0</v>
      </c>
    </row>
    <row r="46" spans="1:45">
      <c r="A46" s="1">
        <v>41153</v>
      </c>
      <c r="B46" s="6">
        <f t="shared" si="2"/>
        <v>2012</v>
      </c>
      <c r="C46" s="3">
        <v>56230646.92939759</v>
      </c>
      <c r="D46" s="3">
        <v>12546095.385499999</v>
      </c>
      <c r="E46" s="95">
        <f>SUM('Annual CDM'!$E$3:$E$5)/12+'Annual CDM'!$E$6*17/144</f>
        <v>133722.90858858256</v>
      </c>
      <c r="F46" s="3">
        <f t="shared" si="3"/>
        <v>12679818.294088582</v>
      </c>
      <c r="G46" s="3">
        <v>6803174.4414999997</v>
      </c>
      <c r="H46" s="95">
        <f>SUM('Annual CDM'!$E$13:$E$15)/12+'Annual CDM'!$E$16*17/144</f>
        <v>229056.60402035425</v>
      </c>
      <c r="I46" s="3">
        <f t="shared" si="4"/>
        <v>7032231.0455203541</v>
      </c>
      <c r="J46" s="3">
        <v>6173279.3179000001</v>
      </c>
      <c r="K46" s="3">
        <v>15153583.241099998</v>
      </c>
      <c r="L46" s="3">
        <f t="shared" si="0"/>
        <v>21326862.559</v>
      </c>
      <c r="M46" s="95">
        <f>SUM('Annual CDM'!$E$23:$E$25)/12+'Annual CDM'!$E$26*17/144</f>
        <v>363539.45996480162</v>
      </c>
      <c r="N46" s="3">
        <f t="shared" si="5"/>
        <v>21690402.018964801</v>
      </c>
      <c r="O46" s="3">
        <v>13786568.186000001</v>
      </c>
      <c r="P46" s="95">
        <f>SUM('Annual CDM'!$E$33:$E$35)/12+'Annual CDM'!$E$36*17/144</f>
        <v>139119.39641089612</v>
      </c>
      <c r="Q46" s="3">
        <f t="shared" si="6"/>
        <v>13925687.582410896</v>
      </c>
      <c r="R46" s="3">
        <v>364297</v>
      </c>
      <c r="S46" s="3">
        <v>914.40899999999999</v>
      </c>
      <c r="T46" s="3">
        <v>119754.6</v>
      </c>
      <c r="U46" s="4">
        <v>106.30000000000003</v>
      </c>
      <c r="V46" s="4">
        <v>20.200000000000003</v>
      </c>
      <c r="W46" s="4">
        <v>19</v>
      </c>
      <c r="X46">
        <v>30</v>
      </c>
      <c r="Y46" s="30">
        <v>6763.1</v>
      </c>
      <c r="Z46" s="30">
        <v>79.099999999999994</v>
      </c>
      <c r="AA46">
        <v>45</v>
      </c>
      <c r="AB46" s="4">
        <v>23229</v>
      </c>
      <c r="AC46" s="4">
        <v>3166</v>
      </c>
      <c r="AD46" s="4">
        <v>229</v>
      </c>
      <c r="AE46" s="4">
        <v>131</v>
      </c>
      <c r="AF46" s="4">
        <f t="shared" si="7"/>
        <v>360</v>
      </c>
      <c r="AG46" s="4">
        <v>0</v>
      </c>
      <c r="AH46">
        <v>3</v>
      </c>
      <c r="AI46" s="4">
        <v>5130</v>
      </c>
      <c r="AJ46" s="4">
        <v>152</v>
      </c>
      <c r="AK46" s="4">
        <v>1</v>
      </c>
      <c r="AL46" s="4">
        <v>0</v>
      </c>
      <c r="AM46" s="4">
        <v>1</v>
      </c>
      <c r="AN46" s="4">
        <v>0</v>
      </c>
      <c r="AO46" s="4">
        <v>0</v>
      </c>
      <c r="AP46" s="4">
        <v>0</v>
      </c>
      <c r="AQ46" s="4">
        <f t="shared" si="8"/>
        <v>0</v>
      </c>
      <c r="AR46" s="4">
        <v>0</v>
      </c>
      <c r="AS46" s="4">
        <v>0</v>
      </c>
    </row>
    <row r="47" spans="1:45">
      <c r="A47" s="1">
        <v>41183</v>
      </c>
      <c r="B47" s="6">
        <f t="shared" si="2"/>
        <v>2012</v>
      </c>
      <c r="C47" s="3">
        <v>56115035.330481932</v>
      </c>
      <c r="D47" s="3">
        <v>13105249.1916</v>
      </c>
      <c r="E47" s="95">
        <f>SUM('Annual CDM'!$E$3:$E$5)/12+'Annual CDM'!$E$6*19/144</f>
        <v>136095.2054905557</v>
      </c>
      <c r="F47" s="3">
        <f t="shared" si="3"/>
        <v>13241344.397090556</v>
      </c>
      <c r="G47" s="3">
        <v>6614485.8804000001</v>
      </c>
      <c r="H47" s="95">
        <f>SUM('Annual CDM'!$E$13:$E$15)/12+'Annual CDM'!$E$16*19/144</f>
        <v>237497.42702936902</v>
      </c>
      <c r="I47" s="3">
        <f t="shared" si="4"/>
        <v>6851983.3074293695</v>
      </c>
      <c r="J47" s="3">
        <v>6144253.1341000013</v>
      </c>
      <c r="K47" s="3">
        <v>15346071.399100002</v>
      </c>
      <c r="L47" s="3">
        <f t="shared" si="0"/>
        <v>21490324.533200003</v>
      </c>
      <c r="M47" s="95">
        <f>SUM('Annual CDM'!$E$23:$E$25)/12+'Annual CDM'!$E$26*19/144</f>
        <v>383032.69529342779</v>
      </c>
      <c r="N47" s="3">
        <f t="shared" si="5"/>
        <v>21873357.22849343</v>
      </c>
      <c r="O47" s="3">
        <v>12860549.23</v>
      </c>
      <c r="P47" s="95">
        <f>SUM('Annual CDM'!$E$33:$E$35)/12+'Annual CDM'!$E$36*19/144</f>
        <v>143379.63426965178</v>
      </c>
      <c r="Q47" s="3">
        <f t="shared" si="6"/>
        <v>13003928.864269651</v>
      </c>
      <c r="R47" s="3">
        <v>423029</v>
      </c>
      <c r="S47" s="3">
        <v>914.40899999999999</v>
      </c>
      <c r="T47" s="3">
        <v>123746.42</v>
      </c>
      <c r="U47" s="4">
        <v>259.09999999999991</v>
      </c>
      <c r="V47" s="4">
        <v>0</v>
      </c>
      <c r="W47" s="4">
        <v>22</v>
      </c>
      <c r="X47">
        <v>31</v>
      </c>
      <c r="Y47" s="30">
        <v>6740.9</v>
      </c>
      <c r="Z47" s="30">
        <v>78.099999999999994</v>
      </c>
      <c r="AA47">
        <v>46</v>
      </c>
      <c r="AB47" s="4">
        <v>23301</v>
      </c>
      <c r="AC47" s="4">
        <v>3163</v>
      </c>
      <c r="AD47" s="4">
        <v>229</v>
      </c>
      <c r="AE47" s="4">
        <v>132</v>
      </c>
      <c r="AF47" s="4">
        <f t="shared" si="7"/>
        <v>361</v>
      </c>
      <c r="AG47" s="4">
        <v>0</v>
      </c>
      <c r="AH47">
        <v>3</v>
      </c>
      <c r="AI47" s="4">
        <v>5130</v>
      </c>
      <c r="AJ47" s="4">
        <v>152</v>
      </c>
      <c r="AK47" s="4">
        <v>1</v>
      </c>
      <c r="AL47" s="4">
        <v>0</v>
      </c>
      <c r="AM47" s="4">
        <v>1</v>
      </c>
      <c r="AN47" s="4">
        <v>0</v>
      </c>
      <c r="AO47" s="4">
        <v>0</v>
      </c>
      <c r="AP47" s="4">
        <v>0</v>
      </c>
      <c r="AQ47" s="4">
        <f t="shared" si="8"/>
        <v>0</v>
      </c>
      <c r="AR47" s="4">
        <v>0</v>
      </c>
      <c r="AS47" s="4">
        <v>0</v>
      </c>
    </row>
    <row r="48" spans="1:45">
      <c r="A48" s="1">
        <v>41214</v>
      </c>
      <c r="B48" s="6">
        <f t="shared" si="2"/>
        <v>2012</v>
      </c>
      <c r="C48" s="3">
        <v>61092145.56108433</v>
      </c>
      <c r="D48" s="3">
        <v>16847106.408300001</v>
      </c>
      <c r="E48" s="95">
        <f>SUM('Annual CDM'!$E$3:$E$5)/12+'Annual CDM'!$E$6*21/144</f>
        <v>138467.50239252884</v>
      </c>
      <c r="F48" s="3">
        <f t="shared" si="3"/>
        <v>16985573.910692532</v>
      </c>
      <c r="G48" s="3">
        <v>7233949.3405999998</v>
      </c>
      <c r="H48" s="95">
        <f>SUM('Annual CDM'!$E$13:$E$15)/12+'Annual CDM'!$E$16*21/144</f>
        <v>245938.25003838379</v>
      </c>
      <c r="I48" s="3">
        <f t="shared" si="4"/>
        <v>7479887.5906383833</v>
      </c>
      <c r="J48" s="3">
        <v>7468025.5546999993</v>
      </c>
      <c r="K48" s="3">
        <v>16016722.053699998</v>
      </c>
      <c r="L48" s="3">
        <f t="shared" si="0"/>
        <v>23484747.608399998</v>
      </c>
      <c r="M48" s="95">
        <f>SUM('Annual CDM'!$E$23:$E$25)/12+'Annual CDM'!$E$26*21/144</f>
        <v>402525.93062205391</v>
      </c>
      <c r="N48" s="3">
        <f t="shared" si="5"/>
        <v>23887273.539022051</v>
      </c>
      <c r="O48" s="3">
        <v>12100791.463000001</v>
      </c>
      <c r="P48" s="95">
        <f>SUM('Annual CDM'!$E$33:$E$35)/12+'Annual CDM'!$E$36*21/144</f>
        <v>147639.87212840741</v>
      </c>
      <c r="Q48" s="3">
        <f t="shared" si="6"/>
        <v>12248431.335128408</v>
      </c>
      <c r="R48" s="3">
        <v>463717</v>
      </c>
      <c r="S48" s="3">
        <v>914.40899999999999</v>
      </c>
      <c r="T48" s="3">
        <v>119754.6</v>
      </c>
      <c r="U48" s="4">
        <v>498.9</v>
      </c>
      <c r="V48" s="4">
        <v>0</v>
      </c>
      <c r="W48" s="4">
        <v>22</v>
      </c>
      <c r="X48">
        <v>30</v>
      </c>
      <c r="Y48" s="30">
        <v>6727.4</v>
      </c>
      <c r="Z48" s="30">
        <v>78.7</v>
      </c>
      <c r="AA48">
        <v>47</v>
      </c>
      <c r="AB48" s="4">
        <v>23329</v>
      </c>
      <c r="AC48" s="4">
        <v>3177</v>
      </c>
      <c r="AD48" s="4">
        <v>227</v>
      </c>
      <c r="AE48" s="4">
        <v>133</v>
      </c>
      <c r="AF48" s="4">
        <f t="shared" si="7"/>
        <v>360</v>
      </c>
      <c r="AG48" s="4">
        <v>0</v>
      </c>
      <c r="AH48">
        <v>3</v>
      </c>
      <c r="AI48" s="4">
        <v>5130</v>
      </c>
      <c r="AJ48" s="4">
        <v>152</v>
      </c>
      <c r="AK48" s="4">
        <v>1</v>
      </c>
      <c r="AL48" s="4">
        <v>0</v>
      </c>
      <c r="AM48" s="4">
        <v>1</v>
      </c>
      <c r="AN48" s="4">
        <v>0</v>
      </c>
      <c r="AO48" s="4">
        <v>0</v>
      </c>
      <c r="AP48" s="4">
        <v>0</v>
      </c>
      <c r="AQ48" s="4">
        <f t="shared" si="8"/>
        <v>0</v>
      </c>
      <c r="AR48" s="4">
        <v>0</v>
      </c>
      <c r="AS48" s="4">
        <v>0</v>
      </c>
    </row>
    <row r="49" spans="1:45">
      <c r="A49" s="1">
        <v>41244</v>
      </c>
      <c r="B49" s="6">
        <f t="shared" si="2"/>
        <v>2012</v>
      </c>
      <c r="C49" s="3">
        <v>66728803.512915663</v>
      </c>
      <c r="D49" s="3">
        <v>19547886.409699999</v>
      </c>
      <c r="E49" s="95">
        <f>SUM('Annual CDM'!$E$3:$E$5)/12+'Annual CDM'!$E$6*23/144</f>
        <v>140839.79929450195</v>
      </c>
      <c r="F49" s="3">
        <f t="shared" si="3"/>
        <v>19688726.2089945</v>
      </c>
      <c r="G49" s="3">
        <v>7883569.6208999995</v>
      </c>
      <c r="H49" s="95">
        <f>SUM('Annual CDM'!$E$13:$E$15)/12+'Annual CDM'!$E$16*23/144</f>
        <v>254379.07304739853</v>
      </c>
      <c r="I49" s="3">
        <f t="shared" si="4"/>
        <v>8137948.6939473981</v>
      </c>
      <c r="J49" s="3">
        <v>7446097.3150000004</v>
      </c>
      <c r="K49" s="3">
        <v>17448187.755399998</v>
      </c>
      <c r="L49" s="3">
        <f t="shared" si="0"/>
        <v>24894285.0704</v>
      </c>
      <c r="M49" s="95">
        <f>SUM('Annual CDM'!$E$23:$E$25)/12+'Annual CDM'!$E$26*23/144</f>
        <v>422019.16595068015</v>
      </c>
      <c r="N49" s="3">
        <f t="shared" si="5"/>
        <v>25316304.236350678</v>
      </c>
      <c r="O49" s="3">
        <v>11854109.139</v>
      </c>
      <c r="P49" s="95">
        <f>SUM('Annual CDM'!$E$33:$E$35)/12+'Annual CDM'!$E$36*23/144</f>
        <v>151900.10998716307</v>
      </c>
      <c r="Q49" s="3">
        <f t="shared" si="6"/>
        <v>12006009.248987164</v>
      </c>
      <c r="R49" s="3">
        <v>486246</v>
      </c>
      <c r="S49" s="3">
        <v>914.40899999999999</v>
      </c>
      <c r="T49" s="3">
        <v>123746.42</v>
      </c>
      <c r="U49" s="4">
        <v>648.19999999999993</v>
      </c>
      <c r="V49" s="4">
        <v>0</v>
      </c>
      <c r="W49" s="4">
        <v>19</v>
      </c>
      <c r="X49">
        <v>31</v>
      </c>
      <c r="Y49" s="30">
        <v>6740.2</v>
      </c>
      <c r="Z49" s="30">
        <v>79.400000000000006</v>
      </c>
      <c r="AA49">
        <v>48</v>
      </c>
      <c r="AB49" s="4">
        <v>23324</v>
      </c>
      <c r="AC49" s="4">
        <v>3180</v>
      </c>
      <c r="AD49" s="4">
        <v>228</v>
      </c>
      <c r="AE49" s="4">
        <v>133</v>
      </c>
      <c r="AF49" s="4">
        <f t="shared" si="7"/>
        <v>361</v>
      </c>
      <c r="AG49" s="4">
        <v>0</v>
      </c>
      <c r="AH49">
        <v>3</v>
      </c>
      <c r="AI49" s="4">
        <v>5130</v>
      </c>
      <c r="AJ49" s="4">
        <v>152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1</v>
      </c>
      <c r="AQ49" s="4">
        <f t="shared" si="8"/>
        <v>0</v>
      </c>
      <c r="AR49" s="4">
        <v>0</v>
      </c>
      <c r="AS49" s="4">
        <v>0</v>
      </c>
    </row>
    <row r="50" spans="1:45">
      <c r="A50" s="1">
        <v>41275</v>
      </c>
      <c r="B50" s="6">
        <f t="shared" si="2"/>
        <v>2013</v>
      </c>
      <c r="C50" s="3">
        <v>73267684.161686748</v>
      </c>
      <c r="D50" s="3">
        <v>21901118.335200001</v>
      </c>
      <c r="E50" s="95">
        <f>SUM('Annual CDM'!$F$3:$F$6)/12+'Annual CDM'!$F$7*1/144</f>
        <v>141110.85568466966</v>
      </c>
      <c r="F50" s="3">
        <f t="shared" si="3"/>
        <v>22042229.190884668</v>
      </c>
      <c r="G50" s="3">
        <v>8494433.2956000008</v>
      </c>
      <c r="H50" s="95">
        <f>SUM('Annual CDM'!$F$13:$F$16)/12+'Annual CDM'!$F$17*1/144</f>
        <v>260056.18824195993</v>
      </c>
      <c r="I50" s="3">
        <f t="shared" si="4"/>
        <v>8754489.4838419612</v>
      </c>
      <c r="J50" s="3">
        <v>7953089.8709000004</v>
      </c>
      <c r="K50" s="3">
        <v>18857561.563700002</v>
      </c>
      <c r="L50" s="3">
        <f t="shared" si="0"/>
        <v>26810651.434600003</v>
      </c>
      <c r="M50" s="95">
        <f>SUM('Annual CDM'!$F$23:$F$26)/12+'Annual CDM'!$F$27*1/144</f>
        <v>437237.0749379936</v>
      </c>
      <c r="N50" s="3">
        <f t="shared" si="5"/>
        <v>27247888.509537995</v>
      </c>
      <c r="O50" s="3">
        <v>12788339.523400001</v>
      </c>
      <c r="P50" s="95">
        <f>SUM('Annual CDM'!$F$33:$F$36)/12+'Annual CDM'!$F$37*1/144</f>
        <v>157830.41056873041</v>
      </c>
      <c r="Q50" s="3">
        <f t="shared" si="6"/>
        <v>12946169.933968732</v>
      </c>
      <c r="R50" s="3">
        <v>462080</v>
      </c>
      <c r="S50" s="3">
        <v>914.40899999999999</v>
      </c>
      <c r="T50" s="3">
        <v>123746.42</v>
      </c>
      <c r="U50" s="4">
        <v>743.9</v>
      </c>
      <c r="V50" s="4">
        <v>0</v>
      </c>
      <c r="W50" s="4">
        <v>22</v>
      </c>
      <c r="X50">
        <v>31</v>
      </c>
      <c r="Y50" s="30">
        <v>6721.7</v>
      </c>
      <c r="Z50" s="30">
        <v>80.7</v>
      </c>
      <c r="AA50">
        <v>49</v>
      </c>
      <c r="AB50" s="4">
        <v>23359</v>
      </c>
      <c r="AC50" s="4">
        <v>3175</v>
      </c>
      <c r="AD50" s="4">
        <v>232</v>
      </c>
      <c r="AE50" s="4">
        <v>133</v>
      </c>
      <c r="AF50" s="4">
        <f t="shared" si="7"/>
        <v>365</v>
      </c>
      <c r="AG50" s="4">
        <v>0</v>
      </c>
      <c r="AH50">
        <v>3</v>
      </c>
      <c r="AI50" s="4">
        <v>5130</v>
      </c>
      <c r="AJ50" s="4">
        <v>152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f t="shared" si="8"/>
        <v>0</v>
      </c>
      <c r="AR50" s="4">
        <v>1</v>
      </c>
      <c r="AS50" s="4">
        <v>0</v>
      </c>
    </row>
    <row r="51" spans="1:45">
      <c r="A51" s="1">
        <v>41306</v>
      </c>
      <c r="B51" s="6">
        <f t="shared" si="2"/>
        <v>2013</v>
      </c>
      <c r="C51" s="3">
        <v>66267229.543855414</v>
      </c>
      <c r="D51" s="3">
        <v>19629047.322099999</v>
      </c>
      <c r="E51" s="95">
        <f>SUM('Annual CDM'!$F$3:$F$6)/12+'Annual CDM'!$F$7*3/144</f>
        <v>144559.68315008967</v>
      </c>
      <c r="F51" s="3">
        <f t="shared" si="3"/>
        <v>19773607.005250089</v>
      </c>
      <c r="G51" s="3">
        <v>7732556.6048999997</v>
      </c>
      <c r="H51" s="95">
        <f>SUM('Annual CDM'!$F$13:$F$16)/12+'Annual CDM'!$F$17*3/144</f>
        <v>263066.06176203664</v>
      </c>
      <c r="I51" s="3">
        <f t="shared" si="4"/>
        <v>7995622.6666620364</v>
      </c>
      <c r="J51" s="3">
        <v>7155119.2606000006</v>
      </c>
      <c r="K51" s="3">
        <v>17058396.577199999</v>
      </c>
      <c r="L51" s="3">
        <f t="shared" si="0"/>
        <v>24213515.8378</v>
      </c>
      <c r="M51" s="95">
        <f>SUM('Annual CDM'!$F$23:$F$26)/12+'Annual CDM'!$F$27*3/144</f>
        <v>448180.55913670443</v>
      </c>
      <c r="N51" s="3">
        <f t="shared" si="5"/>
        <v>24661696.396936703</v>
      </c>
      <c r="O51" s="3">
        <v>11751175.538600001</v>
      </c>
      <c r="P51" s="95">
        <f>SUM('Annual CDM'!$F$33:$F$36)/12+'Annual CDM'!$F$37*3/144</f>
        <v>166833.38603977609</v>
      </c>
      <c r="Q51" s="3">
        <f t="shared" si="6"/>
        <v>11918008.924639778</v>
      </c>
      <c r="R51" s="3">
        <v>385579</v>
      </c>
      <c r="S51" s="3">
        <v>914.40899999999999</v>
      </c>
      <c r="T51" s="3">
        <v>111770.96</v>
      </c>
      <c r="U51" s="4">
        <v>693.5</v>
      </c>
      <c r="V51" s="4">
        <v>0</v>
      </c>
      <c r="W51" s="4">
        <v>19</v>
      </c>
      <c r="X51">
        <v>28</v>
      </c>
      <c r="Y51" s="30">
        <v>6702</v>
      </c>
      <c r="Z51" s="30">
        <v>80.7</v>
      </c>
      <c r="AA51">
        <v>50</v>
      </c>
      <c r="AB51" s="4">
        <v>23474</v>
      </c>
      <c r="AC51" s="4">
        <v>3183</v>
      </c>
      <c r="AD51" s="4">
        <v>232</v>
      </c>
      <c r="AE51" s="4">
        <v>133</v>
      </c>
      <c r="AF51" s="4">
        <f t="shared" si="7"/>
        <v>365</v>
      </c>
      <c r="AG51" s="4">
        <v>0</v>
      </c>
      <c r="AH51">
        <v>3</v>
      </c>
      <c r="AI51" s="4">
        <v>5130</v>
      </c>
      <c r="AJ51" s="4">
        <v>152</v>
      </c>
      <c r="AK51" s="4">
        <v>0</v>
      </c>
      <c r="AL51" s="4">
        <v>0</v>
      </c>
      <c r="AM51" s="4">
        <v>0</v>
      </c>
      <c r="AN51" s="4">
        <v>1</v>
      </c>
      <c r="AO51" s="4">
        <v>0</v>
      </c>
      <c r="AP51" s="4">
        <v>0</v>
      </c>
      <c r="AQ51" s="4">
        <f t="shared" si="8"/>
        <v>0</v>
      </c>
      <c r="AR51" s="4">
        <v>0</v>
      </c>
      <c r="AS51" s="4">
        <v>0</v>
      </c>
    </row>
    <row r="52" spans="1:45">
      <c r="A52" s="1">
        <v>41334</v>
      </c>
      <c r="B52" s="6">
        <f t="shared" si="2"/>
        <v>2013</v>
      </c>
      <c r="C52" s="3">
        <v>66490148.604698792</v>
      </c>
      <c r="D52" s="3">
        <v>18854792.866099998</v>
      </c>
      <c r="E52" s="95">
        <f>SUM('Annual CDM'!$F$3:$F$6)/12+'Annual CDM'!$F$7*5/144</f>
        <v>148008.51061550967</v>
      </c>
      <c r="F52" s="3">
        <f t="shared" si="3"/>
        <v>19002801.376715507</v>
      </c>
      <c r="G52" s="3">
        <v>7818446.9395999992</v>
      </c>
      <c r="H52" s="95">
        <f>SUM('Annual CDM'!$F$13:$F$16)/12+'Annual CDM'!$F$17*5/144</f>
        <v>266075.93528211338</v>
      </c>
      <c r="I52" s="3">
        <f t="shared" si="4"/>
        <v>8084522.8748821123</v>
      </c>
      <c r="J52" s="3">
        <v>6943511.8960999995</v>
      </c>
      <c r="K52" s="3">
        <v>17753400.953600001</v>
      </c>
      <c r="L52" s="3">
        <f t="shared" si="0"/>
        <v>24696912.8497</v>
      </c>
      <c r="M52" s="95">
        <f>SUM('Annual CDM'!$F$23:$F$26)/12+'Annual CDM'!$F$27*5/144</f>
        <v>459124.04333541525</v>
      </c>
      <c r="N52" s="3">
        <f t="shared" si="5"/>
        <v>25156036.893035416</v>
      </c>
      <c r="O52" s="3">
        <v>12610126.845000001</v>
      </c>
      <c r="P52" s="95">
        <f>SUM('Annual CDM'!$F$33:$F$36)/12+'Annual CDM'!$F$37*5/144</f>
        <v>175836.36151082179</v>
      </c>
      <c r="Q52" s="3">
        <f t="shared" si="6"/>
        <v>12785963.206510823</v>
      </c>
      <c r="R52" s="3">
        <v>383304</v>
      </c>
      <c r="S52" s="3">
        <v>914.40899999999999</v>
      </c>
      <c r="T52" s="3">
        <v>123746.42</v>
      </c>
      <c r="U52" s="4">
        <v>588.30000000000018</v>
      </c>
      <c r="V52" s="4">
        <v>0</v>
      </c>
      <c r="W52" s="4">
        <v>19</v>
      </c>
      <c r="X52">
        <v>31</v>
      </c>
      <c r="Y52" s="30">
        <v>6675.8</v>
      </c>
      <c r="Z52" s="30">
        <v>80.599999999999994</v>
      </c>
      <c r="AA52">
        <v>51</v>
      </c>
      <c r="AB52" s="4">
        <v>23489</v>
      </c>
      <c r="AC52" s="4">
        <v>3179</v>
      </c>
      <c r="AD52" s="4">
        <v>234</v>
      </c>
      <c r="AE52" s="4">
        <v>135</v>
      </c>
      <c r="AF52" s="4">
        <f t="shared" si="7"/>
        <v>369</v>
      </c>
      <c r="AG52" s="4">
        <v>0</v>
      </c>
      <c r="AH52">
        <v>3</v>
      </c>
      <c r="AI52" s="4">
        <v>5130</v>
      </c>
      <c r="AJ52" s="4">
        <v>152</v>
      </c>
      <c r="AK52" s="4">
        <v>1</v>
      </c>
      <c r="AL52" s="4">
        <v>1</v>
      </c>
      <c r="AM52" s="4">
        <v>0</v>
      </c>
      <c r="AN52" s="4">
        <v>0</v>
      </c>
      <c r="AO52" s="4">
        <v>0</v>
      </c>
      <c r="AP52" s="4">
        <v>0</v>
      </c>
      <c r="AQ52" s="4">
        <f t="shared" si="8"/>
        <v>0</v>
      </c>
      <c r="AR52" s="4">
        <v>0</v>
      </c>
      <c r="AS52" s="4">
        <v>1</v>
      </c>
    </row>
    <row r="53" spans="1:45">
      <c r="A53" s="1">
        <v>41365</v>
      </c>
      <c r="B53" s="6">
        <f t="shared" si="2"/>
        <v>2013</v>
      </c>
      <c r="C53" s="3">
        <v>58197208.785638548</v>
      </c>
      <c r="D53" s="3">
        <v>15311977.522799999</v>
      </c>
      <c r="E53" s="95">
        <f>SUM('Annual CDM'!$F$3:$F$6)/12+'Annual CDM'!$F$7*7/144</f>
        <v>151457.33808092971</v>
      </c>
      <c r="F53" s="3">
        <f t="shared" si="3"/>
        <v>15463434.860880928</v>
      </c>
      <c r="G53" s="3">
        <v>6860921.9294999996</v>
      </c>
      <c r="H53" s="95">
        <f>SUM('Annual CDM'!$F$13:$F$16)/12+'Annual CDM'!$F$17*7/144</f>
        <v>269085.80880219006</v>
      </c>
      <c r="I53" s="3">
        <f t="shared" si="4"/>
        <v>7130007.7383021899</v>
      </c>
      <c r="J53" s="3">
        <v>6111115.4854000006</v>
      </c>
      <c r="K53" s="3">
        <v>15897194.558599999</v>
      </c>
      <c r="L53" s="3">
        <f t="shared" si="0"/>
        <v>22008310.044</v>
      </c>
      <c r="M53" s="95">
        <f>SUM('Annual CDM'!$F$23:$F$26)/12+'Annual CDM'!$F$27*7/144</f>
        <v>470067.52753412601</v>
      </c>
      <c r="N53" s="3">
        <f t="shared" si="5"/>
        <v>22478377.571534127</v>
      </c>
      <c r="O53" s="3">
        <v>11972197.742000001</v>
      </c>
      <c r="P53" s="95">
        <f>SUM('Annual CDM'!$F$33:$F$36)/12+'Annual CDM'!$F$37*7/144</f>
        <v>184839.3369818675</v>
      </c>
      <c r="Q53" s="3">
        <f t="shared" si="6"/>
        <v>12157037.078981869</v>
      </c>
      <c r="R53" s="3">
        <v>326806</v>
      </c>
      <c r="S53" s="3">
        <v>871.471</v>
      </c>
      <c r="T53" s="3">
        <v>119754.6</v>
      </c>
      <c r="U53" s="4">
        <v>386.99999999999989</v>
      </c>
      <c r="V53" s="4">
        <v>0</v>
      </c>
      <c r="W53" s="4">
        <v>22</v>
      </c>
      <c r="X53">
        <v>30</v>
      </c>
      <c r="Y53" s="30">
        <v>6703.7</v>
      </c>
      <c r="Z53" s="30">
        <v>80.2</v>
      </c>
      <c r="AA53">
        <v>52</v>
      </c>
      <c r="AB53" s="4">
        <v>23431</v>
      </c>
      <c r="AC53" s="4">
        <v>3182</v>
      </c>
      <c r="AD53" s="4">
        <v>234</v>
      </c>
      <c r="AE53" s="4">
        <v>137</v>
      </c>
      <c r="AF53" s="4">
        <f t="shared" si="7"/>
        <v>371</v>
      </c>
      <c r="AG53" s="4">
        <v>0</v>
      </c>
      <c r="AH53">
        <v>3</v>
      </c>
      <c r="AI53" s="4">
        <v>5288</v>
      </c>
      <c r="AJ53" s="4">
        <v>152</v>
      </c>
      <c r="AK53" s="4">
        <v>1</v>
      </c>
      <c r="AL53" s="4">
        <v>1</v>
      </c>
      <c r="AM53" s="4">
        <v>0</v>
      </c>
      <c r="AN53" s="4">
        <v>0</v>
      </c>
      <c r="AO53" s="4">
        <v>1</v>
      </c>
      <c r="AP53" s="4">
        <v>0</v>
      </c>
      <c r="AQ53" s="4">
        <f t="shared" si="8"/>
        <v>0</v>
      </c>
      <c r="AR53" s="4">
        <v>0</v>
      </c>
      <c r="AS53" s="4">
        <v>0</v>
      </c>
    </row>
    <row r="54" spans="1:45">
      <c r="A54" s="1">
        <v>41395</v>
      </c>
      <c r="B54" s="6">
        <f t="shared" si="2"/>
        <v>2013</v>
      </c>
      <c r="C54" s="3">
        <v>52430271.107831322</v>
      </c>
      <c r="D54" s="3">
        <v>11256892.577400001</v>
      </c>
      <c r="E54" s="95">
        <f>SUM('Annual CDM'!$F$3:$F$6)/12+'Annual CDM'!$F$7*9/144</f>
        <v>154906.16554634972</v>
      </c>
      <c r="F54" s="3">
        <f t="shared" si="3"/>
        <v>11411798.742946351</v>
      </c>
      <c r="G54" s="3">
        <v>6349928.6646999987</v>
      </c>
      <c r="H54" s="95">
        <f>SUM('Annual CDM'!$F$13:$F$16)/12+'Annual CDM'!$F$17*9/144</f>
        <v>272095.6823222668</v>
      </c>
      <c r="I54" s="3">
        <f t="shared" si="4"/>
        <v>6622024.3470222652</v>
      </c>
      <c r="J54" s="3">
        <v>5794782.9677999988</v>
      </c>
      <c r="K54" s="3">
        <v>14823176.489299998</v>
      </c>
      <c r="L54" s="3">
        <f t="shared" si="0"/>
        <v>20617959.457099997</v>
      </c>
      <c r="M54" s="95">
        <f>SUM('Annual CDM'!$F$23:$F$26)/12+'Annual CDM'!$F$27*9/144</f>
        <v>481011.01173283684</v>
      </c>
      <c r="N54" s="3">
        <f t="shared" si="5"/>
        <v>21098970.468832832</v>
      </c>
      <c r="O54" s="3">
        <v>12329554.254999999</v>
      </c>
      <c r="P54" s="95">
        <f>SUM('Annual CDM'!$F$33:$F$36)/12+'Annual CDM'!$F$37*9/144</f>
        <v>193842.31245291317</v>
      </c>
      <c r="Q54" s="3">
        <f t="shared" si="6"/>
        <v>12523396.567452911</v>
      </c>
      <c r="R54" s="3">
        <v>255487</v>
      </c>
      <c r="S54" s="3">
        <v>774.68700000000001</v>
      </c>
      <c r="T54" s="3">
        <v>123728.42</v>
      </c>
      <c r="U54" s="4">
        <v>139.70000000000002</v>
      </c>
      <c r="V54" s="4">
        <v>6.3</v>
      </c>
      <c r="W54" s="4">
        <v>22</v>
      </c>
      <c r="X54">
        <v>31</v>
      </c>
      <c r="Y54" s="30">
        <v>6770.3</v>
      </c>
      <c r="Z54" s="30">
        <v>80.599999999999994</v>
      </c>
      <c r="AA54">
        <v>53</v>
      </c>
      <c r="AB54" s="4">
        <v>23336</v>
      </c>
      <c r="AC54" s="4">
        <v>3169</v>
      </c>
      <c r="AD54" s="4">
        <v>234</v>
      </c>
      <c r="AE54" s="4">
        <v>137</v>
      </c>
      <c r="AF54" s="4">
        <f t="shared" si="7"/>
        <v>371</v>
      </c>
      <c r="AG54" s="4">
        <v>0</v>
      </c>
      <c r="AH54">
        <v>3</v>
      </c>
      <c r="AI54" s="4">
        <v>5433</v>
      </c>
      <c r="AJ54" s="4">
        <v>151</v>
      </c>
      <c r="AK54" s="4">
        <v>1</v>
      </c>
      <c r="AL54" s="4">
        <v>1</v>
      </c>
      <c r="AM54" s="4">
        <v>0</v>
      </c>
      <c r="AN54" s="4">
        <v>0</v>
      </c>
      <c r="AO54" s="4">
        <v>0</v>
      </c>
      <c r="AP54" s="4">
        <v>0</v>
      </c>
      <c r="AQ54" s="4">
        <f t="shared" si="8"/>
        <v>1</v>
      </c>
      <c r="AR54" s="4">
        <v>0</v>
      </c>
      <c r="AS54" s="4">
        <v>0</v>
      </c>
    </row>
    <row r="55" spans="1:45">
      <c r="A55" s="1">
        <v>41426</v>
      </c>
      <c r="B55" s="6">
        <f t="shared" si="2"/>
        <v>2013</v>
      </c>
      <c r="C55" s="3">
        <v>53274835.555783138</v>
      </c>
      <c r="D55" s="3">
        <v>11837120.3138</v>
      </c>
      <c r="E55" s="95">
        <f>SUM('Annual CDM'!$F$3:$F$6)/12+'Annual CDM'!$F$7*11/144</f>
        <v>158354.99301176972</v>
      </c>
      <c r="F55" s="3">
        <f t="shared" si="3"/>
        <v>11995475.306811769</v>
      </c>
      <c r="G55" s="3">
        <v>6492686.1686000004</v>
      </c>
      <c r="H55" s="95">
        <f>SUM('Annual CDM'!$F$13:$F$16)/12+'Annual CDM'!$F$17*11/144</f>
        <v>275105.55584234354</v>
      </c>
      <c r="I55" s="3">
        <f t="shared" si="4"/>
        <v>6767791.7244423442</v>
      </c>
      <c r="J55" s="3">
        <v>5939856.4061999992</v>
      </c>
      <c r="K55" s="3">
        <v>15152289.5284</v>
      </c>
      <c r="L55" s="3">
        <f t="shared" si="0"/>
        <v>21092145.934599999</v>
      </c>
      <c r="M55" s="95">
        <f>SUM('Annual CDM'!$F$23:$F$26)/12+'Annual CDM'!$F$27*11/144</f>
        <v>491954.4959315476</v>
      </c>
      <c r="N55" s="3">
        <f t="shared" si="5"/>
        <v>21584100.430531546</v>
      </c>
      <c r="O55" s="3">
        <v>12519194.473000001</v>
      </c>
      <c r="P55" s="95">
        <f>SUM('Annual CDM'!$F$33:$F$36)/12+'Annual CDM'!$F$37*11/144</f>
        <v>202845.28792395888</v>
      </c>
      <c r="Q55" s="3">
        <f t="shared" si="6"/>
        <v>12722039.760923959</v>
      </c>
      <c r="R55" s="3">
        <v>197339</v>
      </c>
      <c r="S55" s="3">
        <v>719.24400000000003</v>
      </c>
      <c r="T55" s="3">
        <v>119724.6</v>
      </c>
      <c r="U55" s="4">
        <v>72.200000000000017</v>
      </c>
      <c r="V55" s="4">
        <v>30.800000000000004</v>
      </c>
      <c r="W55" s="4">
        <v>20</v>
      </c>
      <c r="X55">
        <v>30</v>
      </c>
      <c r="Y55" s="30">
        <v>6861.8</v>
      </c>
      <c r="Z55" s="30">
        <v>81.7</v>
      </c>
      <c r="AA55">
        <v>54</v>
      </c>
      <c r="AB55" s="4">
        <v>23395</v>
      </c>
      <c r="AC55" s="4">
        <v>3174</v>
      </c>
      <c r="AD55" s="4">
        <v>233</v>
      </c>
      <c r="AE55" s="4">
        <v>137</v>
      </c>
      <c r="AF55" s="4">
        <f t="shared" si="7"/>
        <v>370</v>
      </c>
      <c r="AG55" s="4">
        <v>0</v>
      </c>
      <c r="AH55">
        <v>3</v>
      </c>
      <c r="AI55" s="4">
        <v>5477</v>
      </c>
      <c r="AJ55" s="4">
        <v>151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f t="shared" si="8"/>
        <v>1</v>
      </c>
      <c r="AR55" s="4">
        <v>0</v>
      </c>
      <c r="AS55" s="4">
        <v>0</v>
      </c>
    </row>
    <row r="56" spans="1:45">
      <c r="A56" s="1">
        <v>41456</v>
      </c>
      <c r="B56" s="6">
        <f t="shared" si="2"/>
        <v>2013</v>
      </c>
      <c r="C56" s="3">
        <v>63752204.808433734</v>
      </c>
      <c r="D56" s="3">
        <v>13724938.6174</v>
      </c>
      <c r="E56" s="95">
        <f>SUM('Annual CDM'!$F$3:$F$6)/12+'Annual CDM'!$F$7*13/144</f>
        <v>161803.82047718973</v>
      </c>
      <c r="F56" s="3">
        <f t="shared" si="3"/>
        <v>13886742.437877189</v>
      </c>
      <c r="G56" s="3">
        <v>7411287.6236999994</v>
      </c>
      <c r="H56" s="95">
        <f>SUM('Annual CDM'!$F$13:$F$16)/12+'Annual CDM'!$F$17*13/144</f>
        <v>278115.42936242023</v>
      </c>
      <c r="I56" s="3">
        <f t="shared" si="4"/>
        <v>7689403.0530624194</v>
      </c>
      <c r="J56" s="3">
        <v>6818969.4397999998</v>
      </c>
      <c r="K56" s="3">
        <v>17058342.884100001</v>
      </c>
      <c r="L56" s="3">
        <f t="shared" si="0"/>
        <v>23877312.323899999</v>
      </c>
      <c r="M56" s="95">
        <f>SUM('Annual CDM'!$F$23:$F$26)/12+'Annual CDM'!$F$27*13/144</f>
        <v>502897.98013025842</v>
      </c>
      <c r="N56" s="3">
        <f t="shared" si="5"/>
        <v>24380210.304030258</v>
      </c>
      <c r="O56" s="3">
        <v>15242330.061000001</v>
      </c>
      <c r="P56" s="95">
        <f>SUM('Annual CDM'!$F$33:$F$36)/12+'Annual CDM'!$F$37*13/144</f>
        <v>211848.26339500456</v>
      </c>
      <c r="Q56" s="3">
        <f t="shared" si="6"/>
        <v>15454178.324395005</v>
      </c>
      <c r="R56" s="3">
        <v>197210</v>
      </c>
      <c r="S56" s="3">
        <v>702.04600000000005</v>
      </c>
      <c r="T56" s="3">
        <v>123575.42</v>
      </c>
      <c r="U56" s="4">
        <v>4.8</v>
      </c>
      <c r="V56" s="4">
        <v>97.09999999999998</v>
      </c>
      <c r="W56" s="4">
        <v>22</v>
      </c>
      <c r="X56">
        <v>31</v>
      </c>
      <c r="Y56" s="30">
        <v>6917.1</v>
      </c>
      <c r="Z56" s="30">
        <v>82.5</v>
      </c>
      <c r="AA56">
        <v>55</v>
      </c>
      <c r="AB56" s="4">
        <v>23379</v>
      </c>
      <c r="AC56" s="4">
        <v>3174</v>
      </c>
      <c r="AD56" s="4">
        <v>234</v>
      </c>
      <c r="AE56" s="4">
        <v>137</v>
      </c>
      <c r="AF56" s="4">
        <f t="shared" si="7"/>
        <v>371</v>
      </c>
      <c r="AG56" s="4">
        <v>0</v>
      </c>
      <c r="AH56">
        <v>3</v>
      </c>
      <c r="AI56" s="4">
        <v>5727</v>
      </c>
      <c r="AJ56" s="4">
        <v>150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f t="shared" si="8"/>
        <v>1</v>
      </c>
      <c r="AR56" s="4">
        <v>0</v>
      </c>
      <c r="AS56" s="4">
        <v>0</v>
      </c>
    </row>
    <row r="57" spans="1:45" s="30" customFormat="1">
      <c r="A57" s="1">
        <v>41487</v>
      </c>
      <c r="B57" s="6">
        <f t="shared" si="2"/>
        <v>2013</v>
      </c>
      <c r="C57" s="3">
        <v>59398896.684819274</v>
      </c>
      <c r="D57" s="3">
        <v>12808476.5385</v>
      </c>
      <c r="E57" s="95">
        <f>SUM('Annual CDM'!$F$3:$F$6)/12+'Annual CDM'!$F$7*15/144</f>
        <v>165252.64794260974</v>
      </c>
      <c r="F57" s="3">
        <f t="shared" si="3"/>
        <v>12973729.18644261</v>
      </c>
      <c r="G57" s="3">
        <v>7080591.3404999999</v>
      </c>
      <c r="H57" s="95">
        <f>SUM('Annual CDM'!$F$13:$F$16)/12+'Annual CDM'!$F$17*15/144</f>
        <v>281125.30288249697</v>
      </c>
      <c r="I57" s="3">
        <f t="shared" si="4"/>
        <v>7361716.6433824971</v>
      </c>
      <c r="J57" s="3">
        <v>6541731.4468999999</v>
      </c>
      <c r="K57" s="3">
        <v>16638185.920499999</v>
      </c>
      <c r="L57" s="3">
        <f t="shared" si="0"/>
        <v>23179917.367399998</v>
      </c>
      <c r="M57" s="95">
        <f>SUM('Annual CDM'!$F$23:$F$26)/12+'Annual CDM'!$F$27*15/144</f>
        <v>513841.46432896925</v>
      </c>
      <c r="N57" s="3">
        <f t="shared" si="5"/>
        <v>23693758.831728969</v>
      </c>
      <c r="O57" s="3">
        <v>14587365.41</v>
      </c>
      <c r="P57" s="95">
        <f>SUM('Annual CDM'!$F$33:$F$36)/12+'Annual CDM'!$F$37*15/144</f>
        <v>220851.23886605026</v>
      </c>
      <c r="Q57" s="3">
        <f t="shared" si="6"/>
        <v>14808216.64886605</v>
      </c>
      <c r="R57" s="3">
        <v>222711</v>
      </c>
      <c r="S57" s="3">
        <v>592.71299999999997</v>
      </c>
      <c r="T57" s="3">
        <v>123498.42</v>
      </c>
      <c r="U57" s="4">
        <v>7.7</v>
      </c>
      <c r="V57" s="4">
        <v>59.999999999999993</v>
      </c>
      <c r="W57" s="4">
        <v>21</v>
      </c>
      <c r="X57" s="30">
        <v>31</v>
      </c>
      <c r="Y57" s="30">
        <v>6934.7</v>
      </c>
      <c r="Z57" s="30">
        <v>83.4</v>
      </c>
      <c r="AA57" s="30">
        <v>56</v>
      </c>
      <c r="AB57" s="4">
        <v>23423</v>
      </c>
      <c r="AC57" s="4">
        <v>3170</v>
      </c>
      <c r="AD57" s="4">
        <v>236</v>
      </c>
      <c r="AE57" s="4">
        <v>137</v>
      </c>
      <c r="AF57" s="4">
        <f t="shared" si="7"/>
        <v>373</v>
      </c>
      <c r="AG57" s="4">
        <v>0</v>
      </c>
      <c r="AH57" s="30">
        <v>3</v>
      </c>
      <c r="AI57" s="4">
        <v>5758</v>
      </c>
      <c r="AJ57" s="4">
        <v>150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f t="shared" si="8"/>
        <v>1</v>
      </c>
      <c r="AR57" s="4">
        <v>0</v>
      </c>
      <c r="AS57" s="4">
        <v>0</v>
      </c>
    </row>
    <row r="58" spans="1:45" s="30" customFormat="1">
      <c r="A58" s="1">
        <v>41518</v>
      </c>
      <c r="B58" s="6">
        <f t="shared" si="2"/>
        <v>2013</v>
      </c>
      <c r="C58" s="3">
        <v>54729002.721204817</v>
      </c>
      <c r="D58" s="3">
        <v>12245851.7632</v>
      </c>
      <c r="E58" s="95">
        <f>SUM('Annual CDM'!$F$3:$F$6)/12+'Annual CDM'!$F$7*17/144</f>
        <v>168701.47540802974</v>
      </c>
      <c r="F58" s="3">
        <f t="shared" si="3"/>
        <v>12414553.238608029</v>
      </c>
      <c r="G58" s="3">
        <v>6427748.052699999</v>
      </c>
      <c r="H58" s="95">
        <f>SUM('Annual CDM'!$F$13:$F$16)/12+'Annual CDM'!$F$17*17/144</f>
        <v>284135.17640257371</v>
      </c>
      <c r="I58" s="3">
        <f t="shared" si="4"/>
        <v>6711883.2291025724</v>
      </c>
      <c r="J58" s="3">
        <v>5894824.7414999995</v>
      </c>
      <c r="K58" s="3">
        <v>15400677.077500002</v>
      </c>
      <c r="L58" s="3">
        <f t="shared" si="0"/>
        <v>21295501.819000002</v>
      </c>
      <c r="M58" s="95">
        <f>SUM('Annual CDM'!$F$23:$F$26)/12+'Annual CDM'!$F$27*17/144</f>
        <v>524784.94852768001</v>
      </c>
      <c r="N58" s="3">
        <f t="shared" si="5"/>
        <v>21820286.767527681</v>
      </c>
      <c r="O58" s="3">
        <v>13272017.319</v>
      </c>
      <c r="P58" s="95">
        <f>SUM('Annual CDM'!$F$33:$F$36)/12+'Annual CDM'!$F$37*17/144</f>
        <v>229854.21433709597</v>
      </c>
      <c r="Q58" s="3">
        <f t="shared" si="6"/>
        <v>13501871.533337096</v>
      </c>
      <c r="R58" s="3">
        <v>207098</v>
      </c>
      <c r="S58" s="3">
        <v>477.161</v>
      </c>
      <c r="T58" s="3">
        <v>138071.07</v>
      </c>
      <c r="U58" s="4">
        <v>118.4</v>
      </c>
      <c r="V58" s="4">
        <v>16.5</v>
      </c>
      <c r="W58" s="4">
        <v>20</v>
      </c>
      <c r="X58" s="30">
        <v>30</v>
      </c>
      <c r="Y58" s="30">
        <v>6906.9</v>
      </c>
      <c r="Z58" s="30">
        <v>84.1</v>
      </c>
      <c r="AA58" s="30">
        <v>57</v>
      </c>
      <c r="AB58" s="4">
        <v>23499</v>
      </c>
      <c r="AC58" s="4">
        <v>3166</v>
      </c>
      <c r="AD58" s="4">
        <v>236</v>
      </c>
      <c r="AE58" s="4">
        <v>137</v>
      </c>
      <c r="AF58" s="4">
        <f t="shared" si="7"/>
        <v>373</v>
      </c>
      <c r="AG58" s="4">
        <v>0</v>
      </c>
      <c r="AH58" s="30">
        <v>3</v>
      </c>
      <c r="AI58" s="4">
        <v>5381</v>
      </c>
      <c r="AJ58" s="4">
        <v>150</v>
      </c>
      <c r="AK58" s="4">
        <v>1</v>
      </c>
      <c r="AL58" s="4">
        <v>0</v>
      </c>
      <c r="AM58" s="4">
        <v>1</v>
      </c>
      <c r="AN58" s="4">
        <v>0</v>
      </c>
      <c r="AO58" s="4">
        <v>0</v>
      </c>
      <c r="AP58" s="4">
        <v>0</v>
      </c>
      <c r="AQ58" s="4">
        <f t="shared" si="8"/>
        <v>0</v>
      </c>
      <c r="AR58" s="4">
        <v>0</v>
      </c>
      <c r="AS58" s="4">
        <v>0</v>
      </c>
    </row>
    <row r="59" spans="1:45" s="30" customFormat="1">
      <c r="A59" s="1">
        <v>41548</v>
      </c>
      <c r="B59" s="6">
        <f t="shared" si="2"/>
        <v>2013</v>
      </c>
      <c r="C59" s="3">
        <v>56001055.432048194</v>
      </c>
      <c r="D59" s="3">
        <v>13101524.618600002</v>
      </c>
      <c r="E59" s="95">
        <f>SUM('Annual CDM'!$F$3:$F$6)/12+'Annual CDM'!$F$7*19/144</f>
        <v>172150.30287344978</v>
      </c>
      <c r="F59" s="3">
        <f t="shared" si="3"/>
        <v>13273674.921473451</v>
      </c>
      <c r="G59" s="3">
        <v>6420522.6624999996</v>
      </c>
      <c r="H59" s="95">
        <f>SUM('Annual CDM'!$F$13:$F$16)/12+'Annual CDM'!$F$17*19/144</f>
        <v>287145.04992265039</v>
      </c>
      <c r="I59" s="3">
        <f t="shared" si="4"/>
        <v>6707667.7124226503</v>
      </c>
      <c r="J59" s="3">
        <v>5940536.7679000013</v>
      </c>
      <c r="K59" s="3">
        <v>15627462.717600001</v>
      </c>
      <c r="L59" s="3">
        <f>J59+K59</f>
        <v>21567999.4855</v>
      </c>
      <c r="M59" s="95">
        <f>SUM('Annual CDM'!$F$23:$F$26)/12+'Annual CDM'!$F$27*19/144</f>
        <v>535728.43272639089</v>
      </c>
      <c r="N59" s="3">
        <f t="shared" si="5"/>
        <v>22103727.918226391</v>
      </c>
      <c r="O59" s="3">
        <v>12991616.025000002</v>
      </c>
      <c r="P59" s="95">
        <f>SUM('Annual CDM'!$F$33:$F$36)/12+'Annual CDM'!$F$37*19/144</f>
        <v>238857.18980814164</v>
      </c>
      <c r="Q59" s="3">
        <f t="shared" si="6"/>
        <v>13230473.214808144</v>
      </c>
      <c r="R59" s="3">
        <v>239266</v>
      </c>
      <c r="S59" s="3">
        <v>477.161</v>
      </c>
      <c r="T59" s="3">
        <v>149190.45000000001</v>
      </c>
      <c r="U59" s="4">
        <v>235.69999999999996</v>
      </c>
      <c r="V59" s="4">
        <v>1.5</v>
      </c>
      <c r="W59" s="4">
        <v>22</v>
      </c>
      <c r="X59" s="30">
        <v>31</v>
      </c>
      <c r="Y59" s="30">
        <v>6889</v>
      </c>
      <c r="Z59" s="30">
        <v>85.1</v>
      </c>
      <c r="AA59" s="30">
        <v>58</v>
      </c>
      <c r="AB59" s="4">
        <v>23572</v>
      </c>
      <c r="AC59" s="4">
        <v>3142</v>
      </c>
      <c r="AD59" s="4">
        <v>237</v>
      </c>
      <c r="AE59" s="4">
        <v>137</v>
      </c>
      <c r="AF59" s="4">
        <f t="shared" si="7"/>
        <v>374</v>
      </c>
      <c r="AG59" s="4">
        <v>0</v>
      </c>
      <c r="AH59" s="30">
        <v>3</v>
      </c>
      <c r="AI59" s="4">
        <v>5381</v>
      </c>
      <c r="AJ59" s="4">
        <v>150</v>
      </c>
      <c r="AK59" s="4">
        <v>1</v>
      </c>
      <c r="AL59" s="4">
        <v>0</v>
      </c>
      <c r="AM59" s="4">
        <v>1</v>
      </c>
      <c r="AN59" s="4">
        <v>0</v>
      </c>
      <c r="AO59" s="4">
        <v>0</v>
      </c>
      <c r="AP59" s="4">
        <v>0</v>
      </c>
      <c r="AQ59" s="4">
        <f t="shared" si="8"/>
        <v>0</v>
      </c>
      <c r="AR59" s="4">
        <v>0</v>
      </c>
      <c r="AS59" s="4">
        <v>0</v>
      </c>
    </row>
    <row r="60" spans="1:45" s="30" customFormat="1">
      <c r="A60" s="1">
        <v>41579</v>
      </c>
      <c r="B60" s="6">
        <f t="shared" si="2"/>
        <v>2013</v>
      </c>
      <c r="C60" s="3">
        <v>56290952.54192771</v>
      </c>
      <c r="D60" s="3">
        <v>17400393.981199998</v>
      </c>
      <c r="E60" s="95">
        <f>SUM('Annual CDM'!$F$3:$F$6)/12+'Annual CDM'!$F$7*21/144</f>
        <v>175599.13033886979</v>
      </c>
      <c r="F60" s="3">
        <f t="shared" si="3"/>
        <v>17575993.111538868</v>
      </c>
      <c r="G60" s="3">
        <v>7196501.2766999993</v>
      </c>
      <c r="H60" s="95">
        <f>SUM('Annual CDM'!$F$13:$F$16)/12+'Annual CDM'!$F$17*21/144</f>
        <v>290154.92344272713</v>
      </c>
      <c r="I60" s="3">
        <f t="shared" si="4"/>
        <v>7486656.2001427263</v>
      </c>
      <c r="J60" s="3">
        <v>6507032.9238999998</v>
      </c>
      <c r="K60" s="3">
        <v>17023388.467499997</v>
      </c>
      <c r="L60" s="3">
        <f>J60+K60</f>
        <v>23530421.391399998</v>
      </c>
      <c r="M60" s="95">
        <f>SUM('Annual CDM'!$F$23:$F$26)/12+'Annual CDM'!$F$27*21/144</f>
        <v>546671.91692510166</v>
      </c>
      <c r="N60" s="3">
        <f t="shared" si="5"/>
        <v>24077093.308325101</v>
      </c>
      <c r="O60" s="3">
        <v>12006063.484999999</v>
      </c>
      <c r="P60" s="95">
        <f>SUM('Annual CDM'!$F$33:$F$36)/12+'Annual CDM'!$F$37*21/144</f>
        <v>247860.16527918735</v>
      </c>
      <c r="Q60" s="3">
        <f t="shared" si="6"/>
        <v>12253923.650279187</v>
      </c>
      <c r="R60" s="3">
        <v>238243</v>
      </c>
      <c r="S60" s="3">
        <v>473.06799999999998</v>
      </c>
      <c r="T60" s="3">
        <v>119514.6</v>
      </c>
      <c r="U60" s="4">
        <v>501.50000000000006</v>
      </c>
      <c r="V60" s="4">
        <v>0</v>
      </c>
      <c r="W60" s="4">
        <v>21</v>
      </c>
      <c r="X60" s="30">
        <v>30</v>
      </c>
      <c r="Y60" s="30">
        <v>6863.8</v>
      </c>
      <c r="Z60" s="30">
        <v>85.1</v>
      </c>
      <c r="AA60" s="30">
        <v>59</v>
      </c>
      <c r="AB60" s="4">
        <v>23628</v>
      </c>
      <c r="AC60" s="4">
        <v>3104</v>
      </c>
      <c r="AD60" s="4">
        <v>237</v>
      </c>
      <c r="AE60" s="4">
        <v>136</v>
      </c>
      <c r="AF60" s="4">
        <f t="shared" si="7"/>
        <v>373</v>
      </c>
      <c r="AG60" s="4">
        <v>0</v>
      </c>
      <c r="AH60" s="30">
        <v>3</v>
      </c>
      <c r="AI60" s="4">
        <v>5392</v>
      </c>
      <c r="AJ60" s="4">
        <v>150</v>
      </c>
      <c r="AK60" s="4">
        <v>1</v>
      </c>
      <c r="AL60" s="4">
        <v>0</v>
      </c>
      <c r="AM60" s="4">
        <v>1</v>
      </c>
      <c r="AN60" s="4">
        <v>0</v>
      </c>
      <c r="AO60" s="4">
        <v>0</v>
      </c>
      <c r="AP60" s="4">
        <v>0</v>
      </c>
      <c r="AQ60" s="4">
        <f t="shared" si="8"/>
        <v>0</v>
      </c>
      <c r="AR60" s="4">
        <v>0</v>
      </c>
      <c r="AS60" s="4">
        <v>0</v>
      </c>
    </row>
    <row r="61" spans="1:45" s="30" customFormat="1">
      <c r="A61" s="1">
        <v>41609</v>
      </c>
      <c r="B61" s="6">
        <f t="shared" si="2"/>
        <v>2013</v>
      </c>
      <c r="C61" s="3">
        <v>70564077.786506027</v>
      </c>
      <c r="D61" s="3">
        <v>21276561.418000001</v>
      </c>
      <c r="E61" s="95">
        <f>SUM('Annual CDM'!$F$3:$F$6)/12+'Annual CDM'!$F$7*23/144</f>
        <v>179047.95780428979</v>
      </c>
      <c r="F61" s="3">
        <f t="shared" si="3"/>
        <v>21455609.37580429</v>
      </c>
      <c r="G61" s="3">
        <v>8089952.5006000008</v>
      </c>
      <c r="H61" s="95">
        <f>SUM('Annual CDM'!$F$13:$F$16)/12+'Annual CDM'!$F$17*23/144</f>
        <v>293164.79696280387</v>
      </c>
      <c r="I61" s="3">
        <f t="shared" si="4"/>
        <v>8383117.297562805</v>
      </c>
      <c r="J61" s="3">
        <v>7635156.5388999991</v>
      </c>
      <c r="K61" s="3">
        <v>18932195.9943</v>
      </c>
      <c r="L61" s="3">
        <f>J61+K61</f>
        <v>26567352.533199999</v>
      </c>
      <c r="M61" s="95">
        <f>SUM('Annual CDM'!$F$23:$F$26)/12+'Annual CDM'!$F$27*23/144</f>
        <v>557615.40112381242</v>
      </c>
      <c r="N61" s="3">
        <f t="shared" si="5"/>
        <v>27124967.93432381</v>
      </c>
      <c r="O61" s="3">
        <v>11873765.093</v>
      </c>
      <c r="P61" s="95">
        <f>SUM('Annual CDM'!$F$33:$F$36)/12+'Annual CDM'!$F$37*23/144</f>
        <v>256863.14075023303</v>
      </c>
      <c r="Q61" s="3">
        <f t="shared" si="6"/>
        <v>12130628.233750233</v>
      </c>
      <c r="R61" s="3">
        <v>221712</v>
      </c>
      <c r="S61" s="3">
        <v>473.06799999999998</v>
      </c>
      <c r="T61" s="3">
        <v>123498.42</v>
      </c>
      <c r="U61" s="4">
        <v>756.99999999999977</v>
      </c>
      <c r="V61" s="4">
        <v>0</v>
      </c>
      <c r="W61" s="4">
        <v>20</v>
      </c>
      <c r="X61" s="30">
        <v>31</v>
      </c>
      <c r="Y61" s="30">
        <v>6849.3</v>
      </c>
      <c r="Z61" s="30">
        <v>84.1</v>
      </c>
      <c r="AA61" s="30">
        <v>60</v>
      </c>
      <c r="AB61" s="4">
        <v>23625</v>
      </c>
      <c r="AC61" s="4">
        <v>3099</v>
      </c>
      <c r="AD61" s="4">
        <v>237</v>
      </c>
      <c r="AE61" s="4">
        <v>137</v>
      </c>
      <c r="AF61" s="4">
        <f t="shared" si="7"/>
        <v>374</v>
      </c>
      <c r="AG61" s="4">
        <v>0</v>
      </c>
      <c r="AH61" s="30">
        <v>3</v>
      </c>
      <c r="AI61" s="4">
        <v>5392</v>
      </c>
      <c r="AJ61" s="4">
        <v>150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1</v>
      </c>
      <c r="AQ61" s="4">
        <f t="shared" si="8"/>
        <v>0</v>
      </c>
      <c r="AR61" s="4">
        <v>0</v>
      </c>
      <c r="AS61" s="4">
        <v>0</v>
      </c>
    </row>
    <row r="62" spans="1:45" s="30" customFormat="1">
      <c r="A62" s="1">
        <v>41640</v>
      </c>
      <c r="B62" s="6">
        <f t="shared" ref="B62:B73" si="9">YEAR(A62)</f>
        <v>2014</v>
      </c>
      <c r="C62" s="3">
        <v>78167503.643012047</v>
      </c>
      <c r="D62" s="3">
        <v>24045022.723000001</v>
      </c>
      <c r="E62" s="95">
        <f>SUM('Annual CDM'!$G$3:$G$7)/12+'Annual CDM'!$G$8*1/144</f>
        <v>173456.34369278667</v>
      </c>
      <c r="F62" s="3">
        <f t="shared" si="3"/>
        <v>24218479.066692788</v>
      </c>
      <c r="G62" s="3">
        <v>9744747.6810999997</v>
      </c>
      <c r="H62" s="95">
        <f>SUM('Annual CDM'!$G$13:$G$17)/12+'Annual CDM'!$G$18*1/144</f>
        <v>291527.0771484318</v>
      </c>
      <c r="I62" s="3">
        <f t="shared" si="4"/>
        <v>10036274.758248432</v>
      </c>
      <c r="J62" s="3">
        <v>7297787.5548999999</v>
      </c>
      <c r="K62" s="3">
        <v>20090481.0724</v>
      </c>
      <c r="L62" s="3">
        <f t="shared" ref="L62:L73" si="10">J62+K62</f>
        <v>27388268.627300002</v>
      </c>
      <c r="M62" s="95">
        <f>SUM('Annual CDM'!$G$23:$G$27)/12+'Annual CDM'!$G$28*1/144</f>
        <v>561999.38304239535</v>
      </c>
      <c r="N62" s="3">
        <f t="shared" si="5"/>
        <v>27950268.010342397</v>
      </c>
      <c r="O62" s="3">
        <v>12772928.206999999</v>
      </c>
      <c r="P62" s="95">
        <f>SUM('Annual CDM'!$G$33:$G$37)/12+'Annual CDM'!$G$38*1/144</f>
        <v>261045.36168916203</v>
      </c>
      <c r="Q62" s="3">
        <f t="shared" si="6"/>
        <v>13033973.56868916</v>
      </c>
      <c r="R62" s="3">
        <v>208956.88321732407</v>
      </c>
      <c r="S62" s="3">
        <v>473.06799999999998</v>
      </c>
      <c r="T62" s="3">
        <v>123715.42</v>
      </c>
      <c r="U62" s="4">
        <v>844.5</v>
      </c>
      <c r="V62" s="4">
        <v>0</v>
      </c>
      <c r="W62" s="4">
        <v>22</v>
      </c>
      <c r="X62" s="30">
        <v>31</v>
      </c>
      <c r="Y62" s="30">
        <v>6806.1</v>
      </c>
      <c r="Z62" s="30">
        <v>82.5</v>
      </c>
      <c r="AA62" s="30">
        <v>61</v>
      </c>
      <c r="AB62" s="4">
        <v>23649</v>
      </c>
      <c r="AC62" s="4">
        <v>3122</v>
      </c>
      <c r="AD62" s="4">
        <v>185</v>
      </c>
      <c r="AE62" s="4">
        <v>137</v>
      </c>
      <c r="AF62" s="4">
        <f t="shared" si="7"/>
        <v>322</v>
      </c>
      <c r="AG62" s="4">
        <v>1</v>
      </c>
      <c r="AH62" s="30">
        <v>3</v>
      </c>
      <c r="AI62" s="4">
        <v>5392</v>
      </c>
      <c r="AJ62" s="4">
        <v>150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f t="shared" si="8"/>
        <v>0</v>
      </c>
      <c r="AR62" s="4">
        <v>1</v>
      </c>
      <c r="AS62" s="4">
        <v>0</v>
      </c>
    </row>
    <row r="63" spans="1:45" s="30" customFormat="1">
      <c r="A63" s="1">
        <v>41671</v>
      </c>
      <c r="B63" s="6">
        <f t="shared" si="9"/>
        <v>2014</v>
      </c>
      <c r="C63" s="3">
        <v>67403067.843373507</v>
      </c>
      <c r="D63" s="3">
        <v>20749302.4553</v>
      </c>
      <c r="E63" s="95">
        <f>SUM('Annual CDM'!$G$3:$G$7)/12+'Annual CDM'!$G$8*3/144</f>
        <v>180335.71767917532</v>
      </c>
      <c r="F63" s="3">
        <f t="shared" si="3"/>
        <v>20929638.172979176</v>
      </c>
      <c r="G63" s="3">
        <v>8690919.2281999998</v>
      </c>
      <c r="H63" s="95">
        <f>SUM('Annual CDM'!$G$13:$G$17)/12+'Annual CDM'!$G$18*3/144</f>
        <v>297359.04758265807</v>
      </c>
      <c r="I63" s="3">
        <f t="shared" si="4"/>
        <v>8988278.2757826578</v>
      </c>
      <c r="J63" s="3">
        <v>6591065.1289999997</v>
      </c>
      <c r="K63" s="3">
        <v>18018764.039799999</v>
      </c>
      <c r="L63" s="3">
        <f t="shared" si="10"/>
        <v>24609829.1688</v>
      </c>
      <c r="M63" s="95">
        <f>SUM('Annual CDM'!$G$23:$G$27)/12+'Annual CDM'!$G$28*3/144</f>
        <v>573967.12539192452</v>
      </c>
      <c r="N63" s="3">
        <f t="shared" si="5"/>
        <v>25183796.294191923</v>
      </c>
      <c r="O63" s="3">
        <v>11586289.765999999</v>
      </c>
      <c r="P63" s="95">
        <f>SUM('Annual CDM'!$G$33:$G$37)/12+'Annual CDM'!$G$38*3/144</f>
        <v>261791.50836123864</v>
      </c>
      <c r="Q63" s="3">
        <f t="shared" si="6"/>
        <v>11848081.274361238</v>
      </c>
      <c r="R63" s="3">
        <v>173634.95746326374</v>
      </c>
      <c r="S63" s="3">
        <v>442.24400000000003</v>
      </c>
      <c r="T63" s="3">
        <v>111531.712</v>
      </c>
      <c r="U63" s="4">
        <v>740.90000000000009</v>
      </c>
      <c r="V63" s="4">
        <v>0</v>
      </c>
      <c r="W63" s="4">
        <v>19</v>
      </c>
      <c r="X63" s="30">
        <v>28</v>
      </c>
      <c r="Y63" s="30">
        <v>6772.3</v>
      </c>
      <c r="Z63" s="30">
        <v>82.1</v>
      </c>
      <c r="AA63" s="30">
        <v>62</v>
      </c>
      <c r="AB63" s="4">
        <v>23652</v>
      </c>
      <c r="AC63" s="4">
        <v>3121</v>
      </c>
      <c r="AD63" s="4">
        <v>185</v>
      </c>
      <c r="AE63" s="4">
        <v>137</v>
      </c>
      <c r="AF63" s="4">
        <f t="shared" si="7"/>
        <v>322</v>
      </c>
      <c r="AG63" s="4">
        <v>1</v>
      </c>
      <c r="AH63" s="30">
        <v>3</v>
      </c>
      <c r="AI63" s="4">
        <v>5211</v>
      </c>
      <c r="AJ63" s="4">
        <v>150</v>
      </c>
      <c r="AK63" s="4">
        <v>0</v>
      </c>
      <c r="AL63" s="4">
        <v>0</v>
      </c>
      <c r="AM63" s="4">
        <v>0</v>
      </c>
      <c r="AN63" s="4">
        <v>1</v>
      </c>
      <c r="AO63" s="4">
        <v>0</v>
      </c>
      <c r="AP63" s="4">
        <v>0</v>
      </c>
      <c r="AQ63" s="4">
        <f t="shared" si="8"/>
        <v>0</v>
      </c>
      <c r="AR63" s="4">
        <v>0</v>
      </c>
      <c r="AS63" s="4">
        <v>0</v>
      </c>
    </row>
    <row r="64" spans="1:45" s="30" customFormat="1">
      <c r="A64" s="1">
        <v>41699</v>
      </c>
      <c r="B64" s="6">
        <f t="shared" si="9"/>
        <v>2014</v>
      </c>
      <c r="C64" s="3">
        <v>71142156.171084344</v>
      </c>
      <c r="D64" s="3">
        <v>20476865.275200002</v>
      </c>
      <c r="E64" s="95">
        <f>SUM('Annual CDM'!$G$3:$G$7)/12+'Annual CDM'!$G$8*5/144</f>
        <v>187215.09166556399</v>
      </c>
      <c r="F64" s="3">
        <f t="shared" si="3"/>
        <v>20664080.366865564</v>
      </c>
      <c r="G64" s="3">
        <v>8839537.966</v>
      </c>
      <c r="H64" s="95">
        <f>SUM('Annual CDM'!$G$13:$G$17)/12+'Annual CDM'!$G$18*5/144</f>
        <v>303191.01801688434</v>
      </c>
      <c r="I64" s="3">
        <f t="shared" si="4"/>
        <v>9142728.9840168841</v>
      </c>
      <c r="J64" s="3">
        <v>6930113.1627999991</v>
      </c>
      <c r="K64" s="3">
        <v>18940380.861499999</v>
      </c>
      <c r="L64" s="3">
        <f t="shared" si="10"/>
        <v>25870494.024299998</v>
      </c>
      <c r="M64" s="95">
        <f>SUM('Annual CDM'!$G$23:$G$27)/12+'Annual CDM'!$G$28*5/144</f>
        <v>585934.86774145381</v>
      </c>
      <c r="N64" s="3">
        <f t="shared" si="5"/>
        <v>26456428.892041452</v>
      </c>
      <c r="O64" s="3">
        <v>12718168.484999999</v>
      </c>
      <c r="P64" s="95">
        <f>SUM('Annual CDM'!$G$33:$G$37)/12+'Annual CDM'!$G$38*5/144</f>
        <v>262537.65503331524</v>
      </c>
      <c r="Q64" s="3">
        <f t="shared" si="6"/>
        <v>12980706.140033314</v>
      </c>
      <c r="R64" s="3">
        <v>171148.49187935036</v>
      </c>
      <c r="S64" s="3">
        <v>431.09500000000003</v>
      </c>
      <c r="T64" s="3">
        <v>122747.954</v>
      </c>
      <c r="U64" s="4">
        <v>720.19999999999993</v>
      </c>
      <c r="V64" s="4">
        <v>0</v>
      </c>
      <c r="W64" s="4">
        <v>21</v>
      </c>
      <c r="X64" s="30">
        <v>31</v>
      </c>
      <c r="Y64" s="30">
        <v>6751.3</v>
      </c>
      <c r="Z64" s="30">
        <v>81.8</v>
      </c>
      <c r="AA64" s="30">
        <v>63</v>
      </c>
      <c r="AB64" s="4">
        <v>23692</v>
      </c>
      <c r="AC64" s="4">
        <v>3085</v>
      </c>
      <c r="AD64" s="4">
        <v>188</v>
      </c>
      <c r="AE64" s="4">
        <v>137</v>
      </c>
      <c r="AF64" s="4">
        <f t="shared" si="7"/>
        <v>325</v>
      </c>
      <c r="AG64" s="4">
        <v>1</v>
      </c>
      <c r="AH64" s="30">
        <v>3</v>
      </c>
      <c r="AI64" s="4">
        <v>5178</v>
      </c>
      <c r="AJ64" s="4">
        <v>149</v>
      </c>
      <c r="AK64" s="4">
        <v>1</v>
      </c>
      <c r="AL64" s="4">
        <v>1</v>
      </c>
      <c r="AM64" s="4">
        <v>0</v>
      </c>
      <c r="AN64" s="4">
        <v>0</v>
      </c>
      <c r="AO64" s="4">
        <v>0</v>
      </c>
      <c r="AP64" s="4">
        <v>0</v>
      </c>
      <c r="AQ64" s="4">
        <f t="shared" si="8"/>
        <v>0</v>
      </c>
      <c r="AR64" s="4">
        <v>0</v>
      </c>
      <c r="AS64" s="4">
        <v>1</v>
      </c>
    </row>
    <row r="65" spans="1:45" s="30" customFormat="1">
      <c r="A65" s="1">
        <v>41730</v>
      </c>
      <c r="B65" s="6">
        <f t="shared" si="9"/>
        <v>2014</v>
      </c>
      <c r="C65" s="3">
        <v>56889677.615301207</v>
      </c>
      <c r="D65" s="3">
        <v>15606789.041399999</v>
      </c>
      <c r="E65" s="95">
        <f>SUM('Annual CDM'!$G$3:$G$7)/12+'Annual CDM'!$G$8*7/144</f>
        <v>194094.46565195263</v>
      </c>
      <c r="F65" s="3">
        <f t="shared" si="3"/>
        <v>15800883.50705195</v>
      </c>
      <c r="G65" s="3">
        <v>7227399.0751</v>
      </c>
      <c r="H65" s="95">
        <f>SUM('Annual CDM'!$G$13:$G$17)/12+'Annual CDM'!$G$18*7/144</f>
        <v>309022.98845111061</v>
      </c>
      <c r="I65" s="3">
        <f t="shared" si="4"/>
        <v>7536422.0635511102</v>
      </c>
      <c r="J65" s="3">
        <v>5656916.7777999993</v>
      </c>
      <c r="K65" s="3">
        <v>16142679.944200002</v>
      </c>
      <c r="L65" s="3">
        <f t="shared" si="10"/>
        <v>21799596.722000003</v>
      </c>
      <c r="M65" s="95">
        <f>SUM('Annual CDM'!$G$23:$G$27)/12+'Annual CDM'!$G$28*7/144</f>
        <v>597902.61009098298</v>
      </c>
      <c r="N65" s="3">
        <f t="shared" si="5"/>
        <v>22397499.332090985</v>
      </c>
      <c r="O65" s="3">
        <v>11494836.318</v>
      </c>
      <c r="P65" s="95">
        <f>SUM('Annual CDM'!$G$33:$G$37)/12+'Annual CDM'!$G$38*7/144</f>
        <v>263283.80170539184</v>
      </c>
      <c r="Q65" s="3">
        <f t="shared" si="6"/>
        <v>11758120.119705392</v>
      </c>
      <c r="R65" s="3">
        <v>141658.93271461717</v>
      </c>
      <c r="S65" s="3">
        <v>448.66600000000005</v>
      </c>
      <c r="T65" s="3">
        <v>96196.53</v>
      </c>
      <c r="U65" s="4">
        <v>352.09999999999991</v>
      </c>
      <c r="V65" s="4">
        <v>0</v>
      </c>
      <c r="W65" s="4">
        <v>20</v>
      </c>
      <c r="X65" s="30">
        <v>30</v>
      </c>
      <c r="Y65" s="30">
        <v>6785</v>
      </c>
      <c r="Z65" s="30">
        <v>82</v>
      </c>
      <c r="AA65" s="30">
        <v>64</v>
      </c>
      <c r="AB65" s="4">
        <v>23826</v>
      </c>
      <c r="AC65" s="4">
        <v>3087</v>
      </c>
      <c r="AD65" s="4">
        <v>185</v>
      </c>
      <c r="AE65" s="4">
        <v>138</v>
      </c>
      <c r="AF65" s="4">
        <f t="shared" si="7"/>
        <v>323</v>
      </c>
      <c r="AG65" s="4">
        <v>1</v>
      </c>
      <c r="AH65" s="30">
        <v>3</v>
      </c>
      <c r="AI65" s="4">
        <v>5156</v>
      </c>
      <c r="AJ65" s="4">
        <v>148</v>
      </c>
      <c r="AK65" s="4">
        <v>1</v>
      </c>
      <c r="AL65" s="4">
        <v>1</v>
      </c>
      <c r="AM65" s="4">
        <v>0</v>
      </c>
      <c r="AN65" s="4">
        <v>0</v>
      </c>
      <c r="AO65" s="4">
        <v>1</v>
      </c>
      <c r="AP65" s="4">
        <v>0</v>
      </c>
      <c r="AQ65" s="4">
        <f t="shared" si="8"/>
        <v>0</v>
      </c>
      <c r="AR65" s="4">
        <v>0</v>
      </c>
      <c r="AS65" s="4">
        <v>0</v>
      </c>
    </row>
    <row r="66" spans="1:45" s="30" customFormat="1">
      <c r="A66" s="1">
        <v>41760</v>
      </c>
      <c r="B66" s="6">
        <f t="shared" si="9"/>
        <v>2014</v>
      </c>
      <c r="C66" s="3">
        <v>51722002.598915666</v>
      </c>
      <c r="D66" s="3">
        <v>11442915.201100001</v>
      </c>
      <c r="E66" s="95">
        <f>SUM('Annual CDM'!$G$3:$G$7)/12+'Annual CDM'!$G$8*9/144</f>
        <v>200973.83963834128</v>
      </c>
      <c r="F66" s="3">
        <f t="shared" si="3"/>
        <v>11643889.040738342</v>
      </c>
      <c r="G66" s="3">
        <v>6595622.3787000002</v>
      </c>
      <c r="H66" s="95">
        <f>SUM('Annual CDM'!$G$13:$G$17)/12+'Annual CDM'!$G$18*9/144</f>
        <v>314854.95888533688</v>
      </c>
      <c r="I66" s="3">
        <f t="shared" si="4"/>
        <v>6910477.3375853375</v>
      </c>
      <c r="J66" s="3">
        <v>5262951.7011000002</v>
      </c>
      <c r="K66" s="3">
        <v>14949270.745700002</v>
      </c>
      <c r="L66" s="3">
        <f t="shared" si="10"/>
        <v>20212222.446800001</v>
      </c>
      <c r="M66" s="95">
        <f>SUM('Annual CDM'!$G$23:$G$27)/12+'Annual CDM'!$G$28*9/144</f>
        <v>609870.35244051216</v>
      </c>
      <c r="N66" s="3">
        <f t="shared" si="5"/>
        <v>20822092.799240515</v>
      </c>
      <c r="O66" s="3">
        <v>11858207.989999998</v>
      </c>
      <c r="P66" s="95">
        <f>SUM('Annual CDM'!$G$33:$G$37)/12+'Annual CDM'!$G$38*9/144</f>
        <v>264029.94837746845</v>
      </c>
      <c r="Q66" s="3">
        <f t="shared" si="6"/>
        <v>12122237.938377466</v>
      </c>
      <c r="R66" s="3">
        <v>120208.04166666667</v>
      </c>
      <c r="S66" s="3">
        <v>422.32100000000003</v>
      </c>
      <c r="T66" s="3">
        <v>99403.081000000006</v>
      </c>
      <c r="U66" s="4">
        <v>127.70000000000003</v>
      </c>
      <c r="V66" s="4">
        <v>12.399999999999999</v>
      </c>
      <c r="W66" s="4">
        <v>22</v>
      </c>
      <c r="X66" s="30">
        <v>31</v>
      </c>
      <c r="Y66" s="30">
        <v>6842.6</v>
      </c>
      <c r="Z66" s="30">
        <v>82.8</v>
      </c>
      <c r="AA66" s="30">
        <v>65</v>
      </c>
      <c r="AB66" s="4">
        <v>23751</v>
      </c>
      <c r="AC66" s="4">
        <v>3075</v>
      </c>
      <c r="AD66" s="4">
        <v>186</v>
      </c>
      <c r="AE66" s="4">
        <v>138</v>
      </c>
      <c r="AF66" s="4">
        <f t="shared" si="7"/>
        <v>324</v>
      </c>
      <c r="AG66" s="4">
        <v>1</v>
      </c>
      <c r="AH66" s="30">
        <v>3</v>
      </c>
      <c r="AI66" s="4">
        <v>5156</v>
      </c>
      <c r="AJ66" s="4">
        <v>148</v>
      </c>
      <c r="AK66" s="4">
        <v>1</v>
      </c>
      <c r="AL66" s="4">
        <v>1</v>
      </c>
      <c r="AM66" s="4">
        <v>0</v>
      </c>
      <c r="AN66" s="4">
        <v>0</v>
      </c>
      <c r="AO66" s="4">
        <v>0</v>
      </c>
      <c r="AP66" s="4">
        <v>0</v>
      </c>
      <c r="AQ66" s="4">
        <f t="shared" si="8"/>
        <v>1</v>
      </c>
      <c r="AR66" s="4">
        <v>0</v>
      </c>
      <c r="AS66" s="4">
        <v>0</v>
      </c>
    </row>
    <row r="67" spans="1:45" s="30" customFormat="1">
      <c r="A67" s="1">
        <v>41791</v>
      </c>
      <c r="B67" s="6">
        <f t="shared" si="9"/>
        <v>2014</v>
      </c>
      <c r="C67" s="3">
        <v>53875004.047108434</v>
      </c>
      <c r="D67" s="3">
        <v>11450449.290999999</v>
      </c>
      <c r="E67" s="95">
        <f>SUM('Annual CDM'!$G$3:$G$7)/12+'Annual CDM'!$G$8*11/144</f>
        <v>207853.21362472995</v>
      </c>
      <c r="F67" s="3">
        <f t="shared" ref="F67:F73" si="11">D67+E67</f>
        <v>11658302.50462473</v>
      </c>
      <c r="G67" s="3">
        <v>6748420.8118000003</v>
      </c>
      <c r="H67" s="95">
        <f>SUM('Annual CDM'!$G$13:$G$17)/12+'Annual CDM'!$G$18*11/144</f>
        <v>320686.92931956315</v>
      </c>
      <c r="I67" s="3">
        <f t="shared" ref="I67:I73" si="12">G67+H67</f>
        <v>7069107.7411195636</v>
      </c>
      <c r="J67" s="3">
        <v>5437661.7108000005</v>
      </c>
      <c r="K67" s="3">
        <v>15250874.950900001</v>
      </c>
      <c r="L67" s="3">
        <f t="shared" si="10"/>
        <v>20688536.661700003</v>
      </c>
      <c r="M67" s="95">
        <f>SUM('Annual CDM'!$G$23:$G$27)/12+'Annual CDM'!$G$28*11/144</f>
        <v>621838.09479004145</v>
      </c>
      <c r="N67" s="3">
        <f t="shared" ref="N67:N73" si="13">L67+M67</f>
        <v>21310374.756490044</v>
      </c>
      <c r="O67" s="3">
        <v>12819088.591</v>
      </c>
      <c r="P67" s="95">
        <f>SUM('Annual CDM'!$G$33:$G$37)/12+'Annual CDM'!$G$38*11/144</f>
        <v>264776.09504954505</v>
      </c>
      <c r="Q67" s="3">
        <f t="shared" ref="Q67:Q73" si="14">O67+P67</f>
        <v>13083864.686049545</v>
      </c>
      <c r="R67" s="3">
        <v>107612.23124516629</v>
      </c>
      <c r="S67" s="3">
        <v>422.44500000000005</v>
      </c>
      <c r="T67" s="3">
        <v>96544.53</v>
      </c>
      <c r="U67" s="4">
        <v>25.699999999999996</v>
      </c>
      <c r="V67" s="4">
        <v>47.4</v>
      </c>
      <c r="W67" s="4">
        <v>21</v>
      </c>
      <c r="X67" s="30">
        <v>30</v>
      </c>
      <c r="Y67" s="30">
        <v>6912.9</v>
      </c>
      <c r="Z67" s="30">
        <v>83.4</v>
      </c>
      <c r="AA67" s="30">
        <v>66</v>
      </c>
      <c r="AB67" s="4">
        <v>23799</v>
      </c>
      <c r="AC67" s="4">
        <v>3067</v>
      </c>
      <c r="AD67" s="4">
        <v>187</v>
      </c>
      <c r="AE67" s="4">
        <v>138</v>
      </c>
      <c r="AF67" s="4">
        <f t="shared" si="7"/>
        <v>325</v>
      </c>
      <c r="AG67" s="4">
        <v>1</v>
      </c>
      <c r="AH67" s="30">
        <v>3</v>
      </c>
      <c r="AI67" s="4">
        <v>5163</v>
      </c>
      <c r="AJ67" s="4">
        <v>148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f t="shared" si="8"/>
        <v>1</v>
      </c>
      <c r="AR67" s="4">
        <v>0</v>
      </c>
      <c r="AS67" s="4">
        <v>0</v>
      </c>
    </row>
    <row r="68" spans="1:45" s="30" customFormat="1">
      <c r="A68" s="1">
        <v>41821</v>
      </c>
      <c r="B68" s="6">
        <f t="shared" si="9"/>
        <v>2014</v>
      </c>
      <c r="C68" s="3">
        <v>58142316.039879523</v>
      </c>
      <c r="D68" s="3">
        <v>12659349.261</v>
      </c>
      <c r="E68" s="95">
        <f>SUM('Annual CDM'!$G$3:$G$7)/12+'Annual CDM'!$G$8*13/144</f>
        <v>214732.58761111859</v>
      </c>
      <c r="F68" s="3">
        <f t="shared" si="11"/>
        <v>12874081.848611118</v>
      </c>
      <c r="G68" s="3">
        <v>7210633.4199000001</v>
      </c>
      <c r="H68" s="95">
        <f>SUM('Annual CDM'!$G$13:$G$17)/12+'Annual CDM'!$G$18*13/144</f>
        <v>326518.89975378942</v>
      </c>
      <c r="I68" s="3">
        <f t="shared" si="12"/>
        <v>7537152.3196537895</v>
      </c>
      <c r="J68" s="3">
        <v>5829631.7425999995</v>
      </c>
      <c r="K68" s="3">
        <v>16163844.549199998</v>
      </c>
      <c r="L68" s="3">
        <f t="shared" si="10"/>
        <v>21993476.2918</v>
      </c>
      <c r="M68" s="95">
        <f>SUM('Annual CDM'!$G$23:$G$27)/12+'Annual CDM'!$G$28*13/144</f>
        <v>633805.83713957062</v>
      </c>
      <c r="N68" s="3">
        <f t="shared" si="13"/>
        <v>22627282.128939569</v>
      </c>
      <c r="O68" s="3">
        <v>14008809.457</v>
      </c>
      <c r="P68" s="95">
        <f>SUM('Annual CDM'!$G$33:$G$37)/12+'Annual CDM'!$G$38*13/144</f>
        <v>265522.24172162166</v>
      </c>
      <c r="Q68" s="3">
        <f t="shared" si="14"/>
        <v>14274331.698721621</v>
      </c>
      <c r="R68" s="3">
        <v>108165.34174400619</v>
      </c>
      <c r="S68" s="3">
        <v>395.33600000000001</v>
      </c>
      <c r="T68" s="3">
        <v>100649.73299999999</v>
      </c>
      <c r="U68" s="4">
        <v>10.600000000000001</v>
      </c>
      <c r="V68" s="4">
        <v>55.899999999999984</v>
      </c>
      <c r="W68" s="4">
        <v>22</v>
      </c>
      <c r="X68" s="30">
        <v>31</v>
      </c>
      <c r="Y68" s="30">
        <v>6957.8</v>
      </c>
      <c r="Z68" s="30">
        <v>83.4</v>
      </c>
      <c r="AA68" s="30">
        <v>67</v>
      </c>
      <c r="AB68" s="4">
        <v>23834</v>
      </c>
      <c r="AC68" s="4">
        <v>3066</v>
      </c>
      <c r="AD68" s="4">
        <v>187</v>
      </c>
      <c r="AE68" s="4">
        <v>138</v>
      </c>
      <c r="AF68" s="4">
        <f t="shared" si="7"/>
        <v>325</v>
      </c>
      <c r="AG68" s="4">
        <v>1</v>
      </c>
      <c r="AH68" s="30">
        <v>3</v>
      </c>
      <c r="AI68" s="4">
        <v>5139</v>
      </c>
      <c r="AJ68" s="4">
        <v>147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f t="shared" si="8"/>
        <v>1</v>
      </c>
      <c r="AR68" s="4">
        <v>0</v>
      </c>
      <c r="AS68" s="4">
        <v>0</v>
      </c>
    </row>
    <row r="69" spans="1:45" s="30" customFormat="1">
      <c r="A69" s="1">
        <v>41852</v>
      </c>
      <c r="B69" s="6">
        <f t="shared" si="9"/>
        <v>2014</v>
      </c>
      <c r="C69" s="3">
        <v>57751654.821686745</v>
      </c>
      <c r="D69" s="3">
        <v>12690651.3156</v>
      </c>
      <c r="E69" s="95">
        <f>SUM('Annual CDM'!$G$3:$G$7)/12+'Annual CDM'!$G$8*15/144</f>
        <v>221611.96159750724</v>
      </c>
      <c r="F69" s="3">
        <f t="shared" si="11"/>
        <v>12912263.277197508</v>
      </c>
      <c r="G69" s="3">
        <v>7172486.9500000002</v>
      </c>
      <c r="H69" s="95">
        <f>SUM('Annual CDM'!$G$13:$G$17)/12+'Annual CDM'!$G$18*15/144</f>
        <v>332350.87018801563</v>
      </c>
      <c r="I69" s="3">
        <f t="shared" si="12"/>
        <v>7504837.8201880157</v>
      </c>
      <c r="J69" s="3">
        <v>5689623.5511000007</v>
      </c>
      <c r="K69" s="3">
        <v>16115241.480999999</v>
      </c>
      <c r="L69" s="3">
        <f t="shared" si="10"/>
        <v>21804865.032099999</v>
      </c>
      <c r="M69" s="95">
        <f>SUM('Annual CDM'!$G$23:$G$27)/12+'Annual CDM'!$G$28*15/144</f>
        <v>645773.57948909979</v>
      </c>
      <c r="N69" s="3">
        <f t="shared" si="13"/>
        <v>22450638.6115891</v>
      </c>
      <c r="O69" s="3">
        <v>14091447.23</v>
      </c>
      <c r="P69" s="95">
        <f>SUM('Annual CDM'!$G$33:$G$37)/12+'Annual CDM'!$G$38*15/144</f>
        <v>266268.38839369826</v>
      </c>
      <c r="Q69" s="3">
        <f t="shared" si="14"/>
        <v>14357715.618393699</v>
      </c>
      <c r="R69" s="3">
        <v>124973.92846094354</v>
      </c>
      <c r="S69" s="3">
        <v>403.601</v>
      </c>
      <c r="T69" s="3">
        <v>100546.82</v>
      </c>
      <c r="U69" s="4">
        <v>18.999999999999996</v>
      </c>
      <c r="V69" s="4">
        <v>51.999999999999993</v>
      </c>
      <c r="W69" s="4">
        <v>20</v>
      </c>
      <c r="X69" s="30">
        <v>31</v>
      </c>
      <c r="Y69" s="30">
        <v>6969.7</v>
      </c>
      <c r="Z69" s="30">
        <v>82.2</v>
      </c>
      <c r="AA69" s="30">
        <v>68</v>
      </c>
      <c r="AB69" s="4">
        <v>23862</v>
      </c>
      <c r="AC69" s="4">
        <v>3062</v>
      </c>
      <c r="AD69" s="4">
        <v>188</v>
      </c>
      <c r="AE69" s="4">
        <v>138</v>
      </c>
      <c r="AF69" s="4">
        <f t="shared" si="7"/>
        <v>326</v>
      </c>
      <c r="AG69" s="4">
        <v>1</v>
      </c>
      <c r="AH69" s="30">
        <v>3</v>
      </c>
      <c r="AI69" s="4">
        <v>5209</v>
      </c>
      <c r="AJ69" s="4">
        <v>144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f t="shared" si="8"/>
        <v>1</v>
      </c>
      <c r="AR69" s="4">
        <v>0</v>
      </c>
      <c r="AS69" s="4">
        <v>0</v>
      </c>
    </row>
    <row r="70" spans="1:45" s="30" customFormat="1">
      <c r="A70" s="1">
        <v>41883</v>
      </c>
      <c r="B70" s="6">
        <f t="shared" si="9"/>
        <v>2014</v>
      </c>
      <c r="C70" s="3">
        <v>55055070.785060234</v>
      </c>
      <c r="D70" s="3">
        <v>12397214.755899999</v>
      </c>
      <c r="E70" s="95">
        <f>SUM('Annual CDM'!$G$3:$G$7)/12+'Annual CDM'!$G$8*17/144</f>
        <v>228491.33558389591</v>
      </c>
      <c r="F70" s="3">
        <f t="shared" si="11"/>
        <v>12625706.091483895</v>
      </c>
      <c r="G70" s="3">
        <v>6683803.4541999996</v>
      </c>
      <c r="H70" s="95">
        <f>SUM('Annual CDM'!$G$13:$G$17)/12+'Annual CDM'!$G$18*17/144</f>
        <v>338182.8406222419</v>
      </c>
      <c r="I70" s="3">
        <f t="shared" si="12"/>
        <v>7021986.2948222412</v>
      </c>
      <c r="J70" s="3">
        <v>5271156.1382999998</v>
      </c>
      <c r="K70" s="3">
        <v>15161579.8627</v>
      </c>
      <c r="L70" s="3">
        <f t="shared" si="10"/>
        <v>20432736.001000002</v>
      </c>
      <c r="M70" s="95">
        <f>SUM('Annual CDM'!$G$23:$G$27)/12+'Annual CDM'!$G$28*17/144</f>
        <v>657741.32183862897</v>
      </c>
      <c r="N70" s="3">
        <f t="shared" si="13"/>
        <v>21090477.322838631</v>
      </c>
      <c r="O70" s="3">
        <v>13562155.984999999</v>
      </c>
      <c r="P70" s="95">
        <f>SUM('Annual CDM'!$G$33:$G$37)/12+'Annual CDM'!$G$38*17/144</f>
        <v>267014.53506577486</v>
      </c>
      <c r="Q70" s="3">
        <f t="shared" si="14"/>
        <v>13829170.520065775</v>
      </c>
      <c r="R70" s="3">
        <v>139459.97032095899</v>
      </c>
      <c r="S70" s="3">
        <v>405.03599999999994</v>
      </c>
      <c r="T70" s="3">
        <v>97303.5</v>
      </c>
      <c r="U70" s="4">
        <v>90.500000000000014</v>
      </c>
      <c r="V70" s="4">
        <v>25.400000000000006</v>
      </c>
      <c r="W70" s="4">
        <v>21</v>
      </c>
      <c r="X70" s="30">
        <v>30</v>
      </c>
      <c r="Y70" s="30">
        <v>6944.1</v>
      </c>
      <c r="Z70" s="30">
        <v>81.3</v>
      </c>
      <c r="AA70" s="30">
        <v>69</v>
      </c>
      <c r="AB70" s="4">
        <v>24020</v>
      </c>
      <c r="AC70" s="4">
        <v>2981</v>
      </c>
      <c r="AD70" s="4">
        <v>186</v>
      </c>
      <c r="AE70" s="4">
        <v>138</v>
      </c>
      <c r="AF70" s="4">
        <f t="shared" si="7"/>
        <v>324</v>
      </c>
      <c r="AG70" s="4">
        <v>1</v>
      </c>
      <c r="AH70" s="30">
        <v>3</v>
      </c>
      <c r="AI70" s="4">
        <v>5316</v>
      </c>
      <c r="AJ70" s="4">
        <v>144</v>
      </c>
      <c r="AK70" s="4">
        <v>1</v>
      </c>
      <c r="AL70" s="4">
        <v>0</v>
      </c>
      <c r="AM70" s="4">
        <v>1</v>
      </c>
      <c r="AN70" s="4">
        <v>0</v>
      </c>
      <c r="AO70" s="4">
        <v>0</v>
      </c>
      <c r="AP70" s="4">
        <v>0</v>
      </c>
      <c r="AQ70" s="4">
        <f t="shared" si="8"/>
        <v>0</v>
      </c>
      <c r="AR70" s="4">
        <v>0</v>
      </c>
      <c r="AS70" s="4">
        <v>0</v>
      </c>
    </row>
    <row r="71" spans="1:45" s="30" customFormat="1">
      <c r="A71" s="1">
        <v>41913</v>
      </c>
      <c r="B71" s="6">
        <f t="shared" si="9"/>
        <v>2014</v>
      </c>
      <c r="C71" s="3">
        <v>55391118.475783132</v>
      </c>
      <c r="D71" s="3">
        <v>13065374.972399998</v>
      </c>
      <c r="E71" s="95">
        <f>SUM('Annual CDM'!$G$3:$G$7)/12+'Annual CDM'!$G$8*19/144</f>
        <v>235370.70957028455</v>
      </c>
      <c r="F71" s="3">
        <f t="shared" si="11"/>
        <v>13300745.681970283</v>
      </c>
      <c r="G71" s="3">
        <v>6719023.064100001</v>
      </c>
      <c r="H71" s="95">
        <f>SUM('Annual CDM'!$G$13:$G$17)/12+'Annual CDM'!$G$18*19/144</f>
        <v>344014.81105646817</v>
      </c>
      <c r="I71" s="3">
        <f t="shared" si="12"/>
        <v>7063037.8751564696</v>
      </c>
      <c r="J71" s="3">
        <v>5354797.2243000008</v>
      </c>
      <c r="K71" s="3">
        <v>15335050.289500002</v>
      </c>
      <c r="L71" s="3">
        <f t="shared" si="10"/>
        <v>20689847.513800003</v>
      </c>
      <c r="M71" s="95">
        <f>SUM('Annual CDM'!$G$23:$G$27)/12+'Annual CDM'!$G$28*19/144</f>
        <v>669709.06418815814</v>
      </c>
      <c r="N71" s="3">
        <f t="shared" si="13"/>
        <v>21359556.577988163</v>
      </c>
      <c r="O71" s="3">
        <v>12773242.293000001</v>
      </c>
      <c r="P71" s="95">
        <f>SUM('Annual CDM'!$G$33:$G$37)/12+'Annual CDM'!$G$38*19/144</f>
        <v>267760.68173785147</v>
      </c>
      <c r="Q71" s="3">
        <f t="shared" si="14"/>
        <v>13041002.974737853</v>
      </c>
      <c r="R71" s="3">
        <v>161712.52803557616</v>
      </c>
      <c r="S71" s="3">
        <v>400.59199999999998</v>
      </c>
      <c r="T71" s="3">
        <v>100546.82</v>
      </c>
      <c r="U71" s="4">
        <v>225.59999999999994</v>
      </c>
      <c r="V71" s="4">
        <v>1.8</v>
      </c>
      <c r="W71" s="4">
        <v>22</v>
      </c>
      <c r="X71" s="30">
        <v>31</v>
      </c>
      <c r="Y71" s="30">
        <v>6936.6</v>
      </c>
      <c r="Z71" s="30">
        <v>80.099999999999994</v>
      </c>
      <c r="AA71" s="30">
        <v>70</v>
      </c>
      <c r="AB71" s="4">
        <v>24052</v>
      </c>
      <c r="AC71" s="4">
        <v>2984</v>
      </c>
      <c r="AD71" s="4">
        <v>186</v>
      </c>
      <c r="AE71" s="4">
        <v>138</v>
      </c>
      <c r="AF71" s="4">
        <f t="shared" si="7"/>
        <v>324</v>
      </c>
      <c r="AG71" s="4">
        <v>1</v>
      </c>
      <c r="AH71" s="30">
        <v>3</v>
      </c>
      <c r="AI71" s="4">
        <v>5272</v>
      </c>
      <c r="AJ71" s="4">
        <v>144</v>
      </c>
      <c r="AK71" s="4">
        <v>1</v>
      </c>
      <c r="AL71" s="4">
        <v>0</v>
      </c>
      <c r="AM71" s="4">
        <v>1</v>
      </c>
      <c r="AN71" s="4">
        <v>0</v>
      </c>
      <c r="AO71" s="4">
        <v>0</v>
      </c>
      <c r="AP71" s="4">
        <v>0</v>
      </c>
      <c r="AQ71" s="4">
        <f t="shared" si="8"/>
        <v>0</v>
      </c>
      <c r="AR71" s="4">
        <v>0</v>
      </c>
      <c r="AS71" s="4">
        <v>0</v>
      </c>
    </row>
    <row r="72" spans="1:45" s="30" customFormat="1">
      <c r="A72" s="1">
        <v>41944</v>
      </c>
      <c r="B72" s="6">
        <f t="shared" si="9"/>
        <v>2014</v>
      </c>
      <c r="C72" s="3">
        <v>61256622.912168674</v>
      </c>
      <c r="D72" s="3">
        <v>17254782.230599999</v>
      </c>
      <c r="E72" s="95">
        <f>SUM('Annual CDM'!$G$3:$G$7)/12+'Annual CDM'!$G$8*21/144</f>
        <v>242250.0835566732</v>
      </c>
      <c r="F72" s="3">
        <f t="shared" si="11"/>
        <v>17497032.314156674</v>
      </c>
      <c r="G72" s="3">
        <v>7525140.5691000018</v>
      </c>
      <c r="H72" s="95">
        <f>SUM('Annual CDM'!$G$13:$G$17)/12+'Annual CDM'!$G$18*21/144</f>
        <v>349846.78149069444</v>
      </c>
      <c r="I72" s="3">
        <f t="shared" si="12"/>
        <v>7874987.3505906966</v>
      </c>
      <c r="J72" s="3">
        <v>5889499.6722000008</v>
      </c>
      <c r="K72" s="3">
        <v>16599076.4438</v>
      </c>
      <c r="L72" s="3">
        <f t="shared" si="10"/>
        <v>22488576.116</v>
      </c>
      <c r="M72" s="95">
        <f>SUM('Annual CDM'!$G$23:$G$27)/12+'Annual CDM'!$G$28*21/144</f>
        <v>681676.80653768743</v>
      </c>
      <c r="N72" s="3">
        <f t="shared" si="13"/>
        <v>23170252.922537688</v>
      </c>
      <c r="O72" s="3">
        <v>11904214.238</v>
      </c>
      <c r="P72" s="95">
        <f>SUM('Annual CDM'!$G$33:$G$37)/12+'Annual CDM'!$G$38*21/144</f>
        <v>268506.82840992807</v>
      </c>
      <c r="Q72" s="3">
        <f t="shared" si="14"/>
        <v>12172721.066409929</v>
      </c>
      <c r="R72" s="3">
        <v>172825.66676334108</v>
      </c>
      <c r="S72" s="3">
        <v>400.59199999999998</v>
      </c>
      <c r="T72" s="3">
        <v>97303.5</v>
      </c>
      <c r="U72" s="4">
        <v>491.6</v>
      </c>
      <c r="V72" s="4">
        <v>0</v>
      </c>
      <c r="W72" s="4">
        <v>20</v>
      </c>
      <c r="X72" s="30">
        <v>30</v>
      </c>
      <c r="Y72" s="30">
        <v>6914.3</v>
      </c>
      <c r="Z72" s="30">
        <v>79.099999999999994</v>
      </c>
      <c r="AA72" s="30">
        <v>71</v>
      </c>
      <c r="AB72" s="4">
        <v>24048</v>
      </c>
      <c r="AC72" s="4">
        <v>2985</v>
      </c>
      <c r="AD72" s="4">
        <v>189</v>
      </c>
      <c r="AE72" s="4">
        <v>138</v>
      </c>
      <c r="AF72" s="4">
        <f t="shared" si="7"/>
        <v>327</v>
      </c>
      <c r="AG72" s="4">
        <v>1</v>
      </c>
      <c r="AH72" s="30">
        <v>3</v>
      </c>
      <c r="AI72" s="4">
        <v>5272</v>
      </c>
      <c r="AJ72" s="4">
        <v>143</v>
      </c>
      <c r="AK72" s="4">
        <v>1</v>
      </c>
      <c r="AL72" s="4">
        <v>0</v>
      </c>
      <c r="AM72" s="4">
        <v>1</v>
      </c>
      <c r="AN72" s="4">
        <v>0</v>
      </c>
      <c r="AO72" s="4">
        <v>0</v>
      </c>
      <c r="AP72" s="4">
        <v>0</v>
      </c>
      <c r="AQ72" s="4">
        <f t="shared" si="8"/>
        <v>0</v>
      </c>
      <c r="AR72" s="4">
        <v>0</v>
      </c>
      <c r="AS72" s="4">
        <v>0</v>
      </c>
    </row>
    <row r="73" spans="1:45" s="30" customFormat="1">
      <c r="A73" s="1">
        <v>41974</v>
      </c>
      <c r="B73" s="6">
        <f t="shared" si="9"/>
        <v>2014</v>
      </c>
      <c r="C73" s="3">
        <v>66218611.445421688</v>
      </c>
      <c r="D73" s="3">
        <v>20222691.8213</v>
      </c>
      <c r="E73" s="95">
        <f>SUM('Annual CDM'!$G$3:$G$7)/12+'Annual CDM'!$G$8*23/144</f>
        <v>249129.45754306187</v>
      </c>
      <c r="F73" s="3">
        <f t="shared" si="11"/>
        <v>20471821.27884306</v>
      </c>
      <c r="G73" s="3">
        <v>8312820.2866000012</v>
      </c>
      <c r="H73" s="95">
        <f>SUM('Annual CDM'!$G$13:$G$17)/12+'Annual CDM'!$G$18*23/144</f>
        <v>355678.75192492071</v>
      </c>
      <c r="I73" s="3">
        <f t="shared" si="12"/>
        <v>8668499.038524922</v>
      </c>
      <c r="J73" s="3">
        <v>6595642.288999998</v>
      </c>
      <c r="K73" s="3">
        <v>17924036.272100002</v>
      </c>
      <c r="L73" s="3">
        <f t="shared" si="10"/>
        <v>24519678.561099999</v>
      </c>
      <c r="M73" s="95">
        <f>SUM('Annual CDM'!$G$23:$G$27)/12+'Annual CDM'!$G$28*23/144</f>
        <v>693644.5488872166</v>
      </c>
      <c r="N73" s="3">
        <f t="shared" si="13"/>
        <v>25213323.109987214</v>
      </c>
      <c r="O73" s="3">
        <v>11928804.916999999</v>
      </c>
      <c r="P73" s="95">
        <f>SUM('Annual CDM'!$G$33:$G$37)/12+'Annual CDM'!$G$38*23/144</f>
        <v>269252.97508200468</v>
      </c>
      <c r="Q73" s="3">
        <f t="shared" si="14"/>
        <v>12198057.892082004</v>
      </c>
      <c r="R73" s="3">
        <v>187559.82018561487</v>
      </c>
      <c r="S73" s="3">
        <v>400.19899999999996</v>
      </c>
      <c r="T73" s="3">
        <v>100546.82</v>
      </c>
      <c r="U73" s="4">
        <v>619.89999999999986</v>
      </c>
      <c r="V73" s="4">
        <v>0</v>
      </c>
      <c r="W73" s="4">
        <v>21</v>
      </c>
      <c r="X73" s="30">
        <v>31</v>
      </c>
      <c r="Y73" s="30">
        <v>6903.2</v>
      </c>
      <c r="Z73" s="30">
        <v>79</v>
      </c>
      <c r="AA73" s="30">
        <v>72</v>
      </c>
      <c r="AB73" s="4">
        <v>24046</v>
      </c>
      <c r="AC73" s="4">
        <v>2981</v>
      </c>
      <c r="AD73" s="4">
        <v>189</v>
      </c>
      <c r="AE73" s="4">
        <v>138</v>
      </c>
      <c r="AF73" s="4">
        <f t="shared" si="7"/>
        <v>327</v>
      </c>
      <c r="AG73" s="4">
        <v>1</v>
      </c>
      <c r="AH73" s="30">
        <v>3</v>
      </c>
      <c r="AI73" s="4">
        <v>5273</v>
      </c>
      <c r="AJ73" s="4">
        <v>143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1</v>
      </c>
      <c r="AQ73" s="4">
        <f t="shared" si="8"/>
        <v>0</v>
      </c>
      <c r="AR73" s="4">
        <v>0</v>
      </c>
      <c r="AS73" s="4">
        <v>0</v>
      </c>
    </row>
    <row r="74" spans="1:45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</sheetData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defaultRowHeight="12.75"/>
  <cols>
    <col min="1" max="1" width="18.85546875" customWidth="1"/>
    <col min="2" max="2" width="14" bestFit="1" customWidth="1"/>
    <col min="3" max="3" width="17.5703125" bestFit="1" customWidth="1"/>
    <col min="4" max="4" width="12.85546875" bestFit="1" customWidth="1"/>
    <col min="5" max="5" width="12" bestFit="1" customWidth="1"/>
  </cols>
  <sheetData>
    <row r="1" spans="1:5">
      <c r="A1" t="s">
        <v>212</v>
      </c>
    </row>
    <row r="2" spans="1:5">
      <c r="A2" t="s">
        <v>178</v>
      </c>
    </row>
    <row r="4" spans="1:5">
      <c r="B4" t="s">
        <v>45</v>
      </c>
      <c r="C4" t="s">
        <v>44</v>
      </c>
      <c r="D4" t="s">
        <v>46</v>
      </c>
      <c r="E4" t="s">
        <v>14</v>
      </c>
    </row>
    <row r="5" spans="1:5">
      <c r="A5" t="s">
        <v>13</v>
      </c>
      <c r="B5" s="23">
        <v>-37159358.269763596</v>
      </c>
      <c r="C5" s="23">
        <v>6452184.1030103397</v>
      </c>
      <c r="D5">
        <v>-5.7591906363035203</v>
      </c>
      <c r="E5" s="5">
        <v>2.8305321324468102E-7</v>
      </c>
    </row>
    <row r="6" spans="1:5">
      <c r="A6" t="s">
        <v>9</v>
      </c>
      <c r="B6" s="23">
        <v>-1942.0903043451001</v>
      </c>
      <c r="C6" s="23">
        <v>396.25374776664802</v>
      </c>
      <c r="D6">
        <v>-4.9011279143504396</v>
      </c>
      <c r="E6" s="5">
        <v>7.1833601122138198E-6</v>
      </c>
    </row>
    <row r="7" spans="1:5">
      <c r="A7" t="s">
        <v>10</v>
      </c>
      <c r="B7" s="23">
        <v>18776.1144703996</v>
      </c>
      <c r="C7" s="23">
        <v>2160.0105569081002</v>
      </c>
      <c r="D7">
        <v>8.6926031034201507</v>
      </c>
      <c r="E7" s="5">
        <v>2.50864535190602E-12</v>
      </c>
    </row>
    <row r="8" spans="1:5">
      <c r="A8" t="s">
        <v>12</v>
      </c>
      <c r="B8" s="23">
        <v>343982.68655717198</v>
      </c>
      <c r="C8" s="23">
        <v>50301.076340563603</v>
      </c>
      <c r="D8">
        <v>6.8384756665689599</v>
      </c>
      <c r="E8" s="5">
        <v>4.0897959024577604E-9</v>
      </c>
    </row>
    <row r="9" spans="1:5">
      <c r="A9" t="s">
        <v>142</v>
      </c>
      <c r="B9" s="23">
        <v>6297.9834741435998</v>
      </c>
      <c r="C9" s="23">
        <v>987.658441547238</v>
      </c>
      <c r="D9">
        <v>6.3766816636299497</v>
      </c>
      <c r="E9" s="5">
        <v>2.5452218277008201E-8</v>
      </c>
    </row>
    <row r="10" spans="1:5">
      <c r="A10" t="s">
        <v>76</v>
      </c>
      <c r="B10" s="23">
        <v>-33857.366920071501</v>
      </c>
      <c r="C10" s="23">
        <v>7462.9733189001299</v>
      </c>
      <c r="D10">
        <v>-4.5367128453115404</v>
      </c>
      <c r="E10" s="5">
        <v>2.6786344001571299E-5</v>
      </c>
    </row>
    <row r="11" spans="1:5">
      <c r="A11" t="s">
        <v>141</v>
      </c>
      <c r="B11" s="23">
        <v>-1059857.8947751301</v>
      </c>
      <c r="C11" s="23">
        <v>212782.15940097999</v>
      </c>
      <c r="D11">
        <v>-4.9809528099480698</v>
      </c>
      <c r="E11" s="5">
        <v>5.3563386367766096E-6</v>
      </c>
    </row>
    <row r="12" spans="1:5">
      <c r="A12" t="s">
        <v>31</v>
      </c>
      <c r="B12" s="23">
        <v>-1039228.3455262</v>
      </c>
      <c r="C12" s="23">
        <v>201956.33737401199</v>
      </c>
      <c r="D12">
        <v>-5.1458070543317804</v>
      </c>
      <c r="E12" s="5">
        <v>2.9061986627044399E-6</v>
      </c>
    </row>
    <row r="13" spans="1:5">
      <c r="A13" t="s">
        <v>32</v>
      </c>
      <c r="B13" s="23">
        <v>-999570.07441694394</v>
      </c>
      <c r="C13" s="23">
        <v>168735.201249431</v>
      </c>
      <c r="D13">
        <v>-5.9238977226769798</v>
      </c>
      <c r="E13" s="5">
        <v>1.4965030822652001E-7</v>
      </c>
    </row>
    <row r="14" spans="1:5">
      <c r="A14" s="31" t="s">
        <v>160</v>
      </c>
      <c r="B14" s="23">
        <v>-1700644.40454555</v>
      </c>
      <c r="C14" s="23">
        <v>263648.322011112</v>
      </c>
      <c r="D14">
        <v>-6.4504275679549901</v>
      </c>
      <c r="E14" s="5">
        <v>1.90305811674651E-8</v>
      </c>
    </row>
    <row r="15" spans="1:5">
      <c r="B15" s="23"/>
    </row>
    <row r="16" spans="1:5">
      <c r="A16" t="s">
        <v>47</v>
      </c>
      <c r="B16" s="23">
        <v>12781844.0607566</v>
      </c>
      <c r="C16" t="s">
        <v>48</v>
      </c>
      <c r="D16" s="23">
        <v>1131238.70249534</v>
      </c>
    </row>
    <row r="17" spans="1:4">
      <c r="A17" t="s">
        <v>49</v>
      </c>
      <c r="B17">
        <v>6475935555434.7695</v>
      </c>
      <c r="C17" t="s">
        <v>50</v>
      </c>
      <c r="D17">
        <v>323188.13944010099</v>
      </c>
    </row>
    <row r="18" spans="1:4">
      <c r="A18" t="s">
        <v>15</v>
      </c>
      <c r="B18">
        <v>0.92872525707840803</v>
      </c>
      <c r="C18" t="s">
        <v>16</v>
      </c>
      <c r="D18">
        <v>0.91837892342849903</v>
      </c>
    </row>
    <row r="19" spans="1:4">
      <c r="A19" t="s">
        <v>149</v>
      </c>
      <c r="B19">
        <v>89.763706497771594</v>
      </c>
      <c r="C19" t="s">
        <v>17</v>
      </c>
      <c r="D19" s="5">
        <v>3.91060337205077E-32</v>
      </c>
    </row>
    <row r="20" spans="1:4">
      <c r="A20" t="s">
        <v>51</v>
      </c>
      <c r="B20">
        <v>-1010.17170532066</v>
      </c>
      <c r="C20" t="s">
        <v>52</v>
      </c>
      <c r="D20">
        <v>2040.3434106413099</v>
      </c>
    </row>
    <row r="21" spans="1:4">
      <c r="A21" t="s">
        <v>53</v>
      </c>
      <c r="B21">
        <v>2063.1100718314701</v>
      </c>
      <c r="C21" t="s">
        <v>54</v>
      </c>
      <c r="D21">
        <v>2049.4068858793898</v>
      </c>
    </row>
    <row r="22" spans="1:4">
      <c r="A22" t="s">
        <v>55</v>
      </c>
      <c r="B22">
        <v>0.42899041673295601</v>
      </c>
      <c r="C22" t="s">
        <v>18</v>
      </c>
      <c r="D22">
        <v>1.14018862509748</v>
      </c>
    </row>
    <row r="23" spans="1:4">
      <c r="A23" t="s">
        <v>143</v>
      </c>
      <c r="B23">
        <v>0.30841000000000002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/>
  </sheetViews>
  <sheetFormatPr defaultRowHeight="12.75"/>
  <cols>
    <col min="1" max="1" width="7.140625" style="11" bestFit="1" customWidth="1"/>
    <col min="2" max="2" width="5" style="11" bestFit="1" customWidth="1"/>
    <col min="3" max="3" width="10.140625" bestFit="1" customWidth="1"/>
    <col min="4" max="5" width="6" bestFit="1" customWidth="1"/>
    <col min="6" max="6" width="10.42578125" bestFit="1" customWidth="1"/>
    <col min="7" max="7" width="7.42578125" bestFit="1" customWidth="1"/>
    <col min="8" max="8" width="5.5703125" bestFit="1" customWidth="1"/>
    <col min="9" max="9" width="4" bestFit="1" customWidth="1"/>
    <col min="10" max="11" width="6.140625" bestFit="1" customWidth="1"/>
    <col min="12" max="12" width="23.140625" bestFit="1" customWidth="1"/>
    <col min="14" max="14" width="11.28515625" style="23" bestFit="1" customWidth="1"/>
    <col min="15" max="16" width="10.28515625" style="23" bestFit="1" customWidth="1"/>
    <col min="17" max="17" width="11.5703125" style="23" bestFit="1" customWidth="1"/>
    <col min="18" max="18" width="11.28515625" style="23" bestFit="1" customWidth="1"/>
    <col min="19" max="21" width="10.28515625" style="23" bestFit="1" customWidth="1"/>
    <col min="22" max="22" width="8.7109375" style="23" bestFit="1" customWidth="1"/>
    <col min="23" max="23" width="24.28515625" style="23" bestFit="1" customWidth="1"/>
    <col min="24" max="24" width="15.42578125" style="23" bestFit="1" customWidth="1"/>
    <col min="25" max="25" width="15.28515625" bestFit="1" customWidth="1"/>
  </cols>
  <sheetData>
    <row r="1" spans="1:25">
      <c r="A1" s="11" t="str">
        <f>'Monthly Data'!A1</f>
        <v>Date</v>
      </c>
      <c r="B1" s="15" t="s">
        <v>33</v>
      </c>
      <c r="C1" s="4" t="str">
        <f>'Monthly Data'!Q1</f>
        <v>LUnoCDM</v>
      </c>
      <c r="D1" s="30" t="str">
        <f>'Monthly Data'!U1</f>
        <v>HDD</v>
      </c>
      <c r="E1" s="30" t="str">
        <f>'Monthly Data'!V1</f>
        <v>CDD</v>
      </c>
      <c r="F1" s="30" t="str">
        <f>'Monthly Data'!X1</f>
        <v>MonthDays</v>
      </c>
      <c r="G1" s="30" t="str">
        <f>'Monthly Data'!Y1</f>
        <v>OntFTE</v>
      </c>
      <c r="H1" s="30" t="str">
        <f>'Monthly Data'!AA1</f>
        <v>Trend</v>
      </c>
      <c r="I1" s="30" t="str">
        <f>'Monthly Data'!AM1</f>
        <v>Fall</v>
      </c>
      <c r="J1" s="30" t="str">
        <f>'Monthly Data'!AO1</f>
        <v>DAPR</v>
      </c>
      <c r="K1" s="4" t="str">
        <f>'Monthly Data'!AP1</f>
        <v>DDEC</v>
      </c>
      <c r="L1" s="4" t="str">
        <f>'Monthly Data'!AQ1</f>
        <v>PostSecondarySummer</v>
      </c>
      <c r="N1" s="23" t="str">
        <f>'LU OLS Model'!$A$5</f>
        <v>const</v>
      </c>
      <c r="O1" s="23" t="str">
        <f>'LU OLS Model'!$A$6</f>
        <v>HDD</v>
      </c>
      <c r="P1" s="23" t="str">
        <f>'LU OLS Model'!$A$7</f>
        <v>CDD</v>
      </c>
      <c r="Q1" s="23" t="str">
        <f>'LU OLS Model'!$A$8</f>
        <v>MonthDays</v>
      </c>
      <c r="R1" s="23" t="str">
        <f>'LU OLS Model'!$A$9</f>
        <v>OntFTE</v>
      </c>
      <c r="S1" s="23" t="str">
        <f>'LU OLS Model'!$A$10</f>
        <v>Trend</v>
      </c>
      <c r="T1" s="23" t="str">
        <f>'LU OLS Model'!$A$11</f>
        <v>Fall</v>
      </c>
      <c r="U1" s="23" t="str">
        <f>'LU OLS Model'!$A$12</f>
        <v>DAPR</v>
      </c>
      <c r="V1" s="23" t="str">
        <f>'LU OLS Model'!$A$13</f>
        <v>DDEC</v>
      </c>
      <c r="W1" s="23" t="str">
        <f>'LU OLS Model'!$A$14</f>
        <v>PostSecondarySummer</v>
      </c>
      <c r="X1" s="23" t="s">
        <v>56</v>
      </c>
      <c r="Y1" s="12" t="s">
        <v>57</v>
      </c>
    </row>
    <row r="2" spans="1:25">
      <c r="A2" s="11">
        <f>'Monthly Data'!A2</f>
        <v>39814</v>
      </c>
      <c r="B2" s="6">
        <f>YEAR(A2)</f>
        <v>2009</v>
      </c>
      <c r="C2" s="4">
        <f>'Monthly Data'!Q2</f>
        <v>12630235.100299999</v>
      </c>
      <c r="D2" s="30">
        <f>'Monthly Data'!U2</f>
        <v>887.09999999999991</v>
      </c>
      <c r="E2" s="30">
        <f>'Monthly Data'!V2</f>
        <v>0</v>
      </c>
      <c r="F2" s="30">
        <f>'Monthly Data'!X2</f>
        <v>31</v>
      </c>
      <c r="G2" s="30">
        <f>'Monthly Data'!Y2</f>
        <v>6506.5</v>
      </c>
      <c r="H2" s="30">
        <f>'Monthly Data'!AA2</f>
        <v>1</v>
      </c>
      <c r="I2" s="30">
        <f>'Monthly Data'!AM2</f>
        <v>0</v>
      </c>
      <c r="J2" s="30">
        <f>'Monthly Data'!AO2</f>
        <v>0</v>
      </c>
      <c r="K2" s="4">
        <f>'Monthly Data'!AP2</f>
        <v>0</v>
      </c>
      <c r="L2" s="4">
        <f>'Monthly Data'!AQ2</f>
        <v>0</v>
      </c>
      <c r="N2" s="23">
        <f>'LU OLS Model'!$B$5</f>
        <v>-37159358.269763596</v>
      </c>
      <c r="O2" s="23">
        <f>'LU OLS Model'!$B$6*D2</f>
        <v>-1722828.3089845381</v>
      </c>
      <c r="P2" s="23">
        <f>'LU OLS Model'!$B$7*E2</f>
        <v>0</v>
      </c>
      <c r="Q2" s="23">
        <f>'LU OLS Model'!$B$8*F2</f>
        <v>10663463.283272332</v>
      </c>
      <c r="R2" s="23">
        <f>'LU OLS Model'!$B$9*G2</f>
        <v>40977829.474515334</v>
      </c>
      <c r="S2" s="23">
        <f>'LU OLS Model'!$B$10*H2</f>
        <v>-33857.366920071501</v>
      </c>
      <c r="T2" s="23">
        <f>'LU OLS Model'!$B$11*I2</f>
        <v>0</v>
      </c>
      <c r="U2" s="23">
        <f>'LU OLS Model'!$B$12*J2</f>
        <v>0</v>
      </c>
      <c r="V2" s="23">
        <f>'LU OLS Model'!$B$13*K2</f>
        <v>0</v>
      </c>
      <c r="W2" s="23">
        <f>'LU OLS Model'!$B$14*L2</f>
        <v>0</v>
      </c>
      <c r="X2" s="23">
        <f>SUM(N2:W2)</f>
        <v>12725248.81211946</v>
      </c>
      <c r="Y2" s="13">
        <f>ABS(X2-C2)/C2</f>
        <v>7.5227191786163827E-3</v>
      </c>
    </row>
    <row r="3" spans="1:25">
      <c r="A3" s="11">
        <f>'Monthly Data'!A3</f>
        <v>39845</v>
      </c>
      <c r="B3" s="6">
        <f t="shared" ref="B3:B61" si="0">YEAR(A3)</f>
        <v>2009</v>
      </c>
      <c r="C3" s="4">
        <f>'Monthly Data'!Q3</f>
        <v>11333821.4934</v>
      </c>
      <c r="D3" s="30">
        <f>'Monthly Data'!U3</f>
        <v>653.80000000000007</v>
      </c>
      <c r="E3" s="30">
        <f>'Monthly Data'!V3</f>
        <v>0</v>
      </c>
      <c r="F3" s="30">
        <f>'Monthly Data'!X3</f>
        <v>28</v>
      </c>
      <c r="G3" s="30">
        <f>'Monthly Data'!Y3</f>
        <v>6436.2</v>
      </c>
      <c r="H3" s="30">
        <f>'Monthly Data'!AA3</f>
        <v>2</v>
      </c>
      <c r="I3" s="30">
        <f>'Monthly Data'!AM3</f>
        <v>0</v>
      </c>
      <c r="J3" s="30">
        <f>'Monthly Data'!AO3</f>
        <v>0</v>
      </c>
      <c r="K3" s="4">
        <f>'Monthly Data'!AP3</f>
        <v>0</v>
      </c>
      <c r="L3" s="4">
        <f>'Monthly Data'!AQ3</f>
        <v>0</v>
      </c>
      <c r="N3" s="23">
        <f>'LU OLS Model'!$B$5</f>
        <v>-37159358.269763596</v>
      </c>
      <c r="O3" s="23">
        <f>'LU OLS Model'!$B$6*D3</f>
        <v>-1269738.6409808265</v>
      </c>
      <c r="P3" s="23">
        <f>'LU OLS Model'!$B$7*E3</f>
        <v>0</v>
      </c>
      <c r="Q3" s="23">
        <f>'LU OLS Model'!$B$8*F3</f>
        <v>9631515.223600816</v>
      </c>
      <c r="R3" s="23">
        <f>'LU OLS Model'!$B$9*G3</f>
        <v>40535081.236283034</v>
      </c>
      <c r="S3" s="23">
        <f>'LU OLS Model'!$B$10*H3</f>
        <v>-67714.733840143002</v>
      </c>
      <c r="T3" s="23">
        <f>'LU OLS Model'!$B$11*I3</f>
        <v>0</v>
      </c>
      <c r="U3" s="23">
        <f>'LU OLS Model'!$B$12*J3</f>
        <v>0</v>
      </c>
      <c r="V3" s="23">
        <f>'LU OLS Model'!$B$13*K3</f>
        <v>0</v>
      </c>
      <c r="W3" s="23">
        <f>'LU OLS Model'!$B$14*L3</f>
        <v>0</v>
      </c>
      <c r="X3" s="23">
        <f t="shared" ref="X3:X61" si="1">SUM(N3:W3)</f>
        <v>11669784.815299286</v>
      </c>
      <c r="Y3" s="13">
        <f t="shared" ref="Y3:Y61" si="2">ABS(X3-C3)/C3</f>
        <v>2.9642545728722332E-2</v>
      </c>
    </row>
    <row r="4" spans="1:25">
      <c r="A4" s="11">
        <f>'Monthly Data'!A4</f>
        <v>39873</v>
      </c>
      <c r="B4" s="6">
        <f t="shared" si="0"/>
        <v>2009</v>
      </c>
      <c r="C4" s="4">
        <f>'Monthly Data'!Q4</f>
        <v>12370923.8947</v>
      </c>
      <c r="D4" s="30">
        <f>'Monthly Data'!U4</f>
        <v>555.60000000000014</v>
      </c>
      <c r="E4" s="30">
        <f>'Monthly Data'!V4</f>
        <v>0</v>
      </c>
      <c r="F4" s="30">
        <f>'Monthly Data'!X4</f>
        <v>31</v>
      </c>
      <c r="G4" s="30">
        <f>'Monthly Data'!Y4</f>
        <v>6363.8</v>
      </c>
      <c r="H4" s="30">
        <f>'Monthly Data'!AA4</f>
        <v>3</v>
      </c>
      <c r="I4" s="30">
        <f>'Monthly Data'!AM4</f>
        <v>0</v>
      </c>
      <c r="J4" s="30">
        <f>'Monthly Data'!AO4</f>
        <v>0</v>
      </c>
      <c r="K4" s="4">
        <f>'Monthly Data'!AP4</f>
        <v>0</v>
      </c>
      <c r="L4" s="4">
        <f>'Monthly Data'!AQ4</f>
        <v>0</v>
      </c>
      <c r="N4" s="23">
        <f>'LU OLS Model'!$B$5</f>
        <v>-37159358.269763596</v>
      </c>
      <c r="O4" s="23">
        <f>'LU OLS Model'!$B$6*D4</f>
        <v>-1079025.373094138</v>
      </c>
      <c r="P4" s="23">
        <f>'LU OLS Model'!$B$7*E4</f>
        <v>0</v>
      </c>
      <c r="Q4" s="23">
        <f>'LU OLS Model'!$B$8*F4</f>
        <v>10663463.283272332</v>
      </c>
      <c r="R4" s="23">
        <f>'LU OLS Model'!$B$9*G4</f>
        <v>40079107.232755043</v>
      </c>
      <c r="S4" s="23">
        <f>'LU OLS Model'!$B$10*H4</f>
        <v>-101572.1007602145</v>
      </c>
      <c r="T4" s="23">
        <f>'LU OLS Model'!$B$11*I4</f>
        <v>0</v>
      </c>
      <c r="U4" s="23">
        <f>'LU OLS Model'!$B$12*J4</f>
        <v>0</v>
      </c>
      <c r="V4" s="23">
        <f>'LU OLS Model'!$B$13*K4</f>
        <v>0</v>
      </c>
      <c r="W4" s="23">
        <f>'LU OLS Model'!$B$14*L4</f>
        <v>0</v>
      </c>
      <c r="X4" s="23">
        <f t="shared" si="1"/>
        <v>12402614.772409424</v>
      </c>
      <c r="Y4" s="13">
        <f t="shared" si="2"/>
        <v>2.5617227928304734E-3</v>
      </c>
    </row>
    <row r="5" spans="1:25">
      <c r="A5" s="11">
        <f>'Monthly Data'!A5</f>
        <v>39904</v>
      </c>
      <c r="B5" s="6">
        <f t="shared" si="0"/>
        <v>2009</v>
      </c>
      <c r="C5" s="4">
        <f>'Monthly Data'!Q5</f>
        <v>11402691.3343</v>
      </c>
      <c r="D5" s="30">
        <f>'Monthly Data'!U5</f>
        <v>326.29999999999995</v>
      </c>
      <c r="E5" s="30">
        <f>'Monthly Data'!V5</f>
        <v>0.8</v>
      </c>
      <c r="F5" s="30">
        <f>'Monthly Data'!X5</f>
        <v>30</v>
      </c>
      <c r="G5" s="30">
        <f>'Monthly Data'!Y5</f>
        <v>6359.6</v>
      </c>
      <c r="H5" s="30">
        <f>'Monthly Data'!AA5</f>
        <v>4</v>
      </c>
      <c r="I5" s="30">
        <f>'Monthly Data'!AM5</f>
        <v>0</v>
      </c>
      <c r="J5" s="30">
        <f>'Monthly Data'!AO5</f>
        <v>1</v>
      </c>
      <c r="K5" s="4">
        <f>'Monthly Data'!AP5</f>
        <v>0</v>
      </c>
      <c r="L5" s="4">
        <f>'Monthly Data'!AQ5</f>
        <v>0</v>
      </c>
      <c r="N5" s="23">
        <f>'LU OLS Model'!$B$5</f>
        <v>-37159358.269763596</v>
      </c>
      <c r="O5" s="23">
        <f>'LU OLS Model'!$B$6*D5</f>
        <v>-633704.06630780606</v>
      </c>
      <c r="P5" s="23">
        <f>'LU OLS Model'!$B$7*E5</f>
        <v>15020.89157631968</v>
      </c>
      <c r="Q5" s="23">
        <f>'LU OLS Model'!$B$8*F5</f>
        <v>10319480.59671516</v>
      </c>
      <c r="R5" s="23">
        <f>'LU OLS Model'!$B$9*G5</f>
        <v>40052655.702163637</v>
      </c>
      <c r="S5" s="23">
        <f>'LU OLS Model'!$B$10*H5</f>
        <v>-135429.467680286</v>
      </c>
      <c r="T5" s="23">
        <f>'LU OLS Model'!$B$11*I5</f>
        <v>0</v>
      </c>
      <c r="U5" s="23">
        <f>'LU OLS Model'!$B$12*J5</f>
        <v>-1039228.3455262</v>
      </c>
      <c r="V5" s="23">
        <f>'LU OLS Model'!$B$13*K5</f>
        <v>0</v>
      </c>
      <c r="W5" s="23">
        <f>'LU OLS Model'!$B$14*L5</f>
        <v>0</v>
      </c>
      <c r="X5" s="23">
        <f t="shared" si="1"/>
        <v>11419437.041177228</v>
      </c>
      <c r="Y5" s="13">
        <f t="shared" si="2"/>
        <v>1.4685749518498104E-3</v>
      </c>
    </row>
    <row r="6" spans="1:25">
      <c r="A6" s="11">
        <f>'Monthly Data'!A6</f>
        <v>39934</v>
      </c>
      <c r="B6" s="6">
        <f t="shared" si="0"/>
        <v>2009</v>
      </c>
      <c r="C6" s="4">
        <f>'Monthly Data'!Q6</f>
        <v>11555213.605999999</v>
      </c>
      <c r="D6" s="30">
        <f>'Monthly Data'!U6</f>
        <v>165.29999999999995</v>
      </c>
      <c r="E6" s="30">
        <f>'Monthly Data'!V6</f>
        <v>0</v>
      </c>
      <c r="F6" s="30">
        <f>'Monthly Data'!X6</f>
        <v>31</v>
      </c>
      <c r="G6" s="30">
        <f>'Monthly Data'!Y6</f>
        <v>6382.1</v>
      </c>
      <c r="H6" s="30">
        <f>'Monthly Data'!AA6</f>
        <v>5</v>
      </c>
      <c r="I6" s="30">
        <f>'Monthly Data'!AM6</f>
        <v>0</v>
      </c>
      <c r="J6" s="30">
        <f>'Monthly Data'!AO6</f>
        <v>0</v>
      </c>
      <c r="K6" s="4">
        <f>'Monthly Data'!AP6</f>
        <v>0</v>
      </c>
      <c r="L6" s="4">
        <f>'Monthly Data'!AQ6</f>
        <v>1</v>
      </c>
      <c r="N6" s="23">
        <f>'LU OLS Model'!$B$5</f>
        <v>-37159358.269763596</v>
      </c>
      <c r="O6" s="23">
        <f>'LU OLS Model'!$B$6*D6</f>
        <v>-321027.52730824496</v>
      </c>
      <c r="P6" s="23">
        <f>'LU OLS Model'!$B$7*E6</f>
        <v>0</v>
      </c>
      <c r="Q6" s="23">
        <f>'LU OLS Model'!$B$8*F6</f>
        <v>10663463.283272332</v>
      </c>
      <c r="R6" s="23">
        <f>'LU OLS Model'!$B$9*G6</f>
        <v>40194360.330331869</v>
      </c>
      <c r="S6" s="23">
        <f>'LU OLS Model'!$B$10*H6</f>
        <v>-169286.83460035751</v>
      </c>
      <c r="T6" s="23">
        <f>'LU OLS Model'!$B$11*I6</f>
        <v>0</v>
      </c>
      <c r="U6" s="23">
        <f>'LU OLS Model'!$B$12*J6</f>
        <v>0</v>
      </c>
      <c r="V6" s="23">
        <f>'LU OLS Model'!$B$13*K6</f>
        <v>0</v>
      </c>
      <c r="W6" s="23">
        <f>'LU OLS Model'!$B$14*L6</f>
        <v>-1700644.40454555</v>
      </c>
      <c r="X6" s="23">
        <f t="shared" si="1"/>
        <v>11507506.577386452</v>
      </c>
      <c r="Y6" s="13">
        <f t="shared" si="2"/>
        <v>4.1286150338904317E-3</v>
      </c>
    </row>
    <row r="7" spans="1:25">
      <c r="A7" s="11">
        <f>'Monthly Data'!A7</f>
        <v>39965</v>
      </c>
      <c r="B7" s="6">
        <f t="shared" si="0"/>
        <v>2009</v>
      </c>
      <c r="C7" s="4">
        <f>'Monthly Data'!Q7</f>
        <v>12458106.387699999</v>
      </c>
      <c r="D7" s="30">
        <f>'Monthly Data'!U7</f>
        <v>59.20000000000001</v>
      </c>
      <c r="E7" s="30">
        <f>'Monthly Data'!V7</f>
        <v>32.6</v>
      </c>
      <c r="F7" s="30">
        <f>'Monthly Data'!X7</f>
        <v>30</v>
      </c>
      <c r="G7" s="30">
        <f>'Monthly Data'!Y7</f>
        <v>6429.4</v>
      </c>
      <c r="H7" s="30">
        <f>'Monthly Data'!AA7</f>
        <v>6</v>
      </c>
      <c r="I7" s="30">
        <f>'Monthly Data'!AM7</f>
        <v>0</v>
      </c>
      <c r="J7" s="30">
        <f>'Monthly Data'!AO7</f>
        <v>0</v>
      </c>
      <c r="K7" s="4">
        <f>'Monthly Data'!AP7</f>
        <v>0</v>
      </c>
      <c r="L7" s="4">
        <f>'Monthly Data'!AQ7</f>
        <v>1</v>
      </c>
      <c r="N7" s="23">
        <f>'LU OLS Model'!$B$5</f>
        <v>-37159358.269763596</v>
      </c>
      <c r="O7" s="23">
        <f>'LU OLS Model'!$B$6*D7</f>
        <v>-114971.74601722995</v>
      </c>
      <c r="P7" s="23">
        <f>'LU OLS Model'!$B$7*E7</f>
        <v>612101.33173502702</v>
      </c>
      <c r="Q7" s="23">
        <f>'LU OLS Model'!$B$8*F7</f>
        <v>10319480.59671516</v>
      </c>
      <c r="R7" s="23">
        <f>'LU OLS Model'!$B$9*G7</f>
        <v>40492254.948658861</v>
      </c>
      <c r="S7" s="23">
        <f>'LU OLS Model'!$B$10*H7</f>
        <v>-203144.20152042899</v>
      </c>
      <c r="T7" s="23">
        <f>'LU OLS Model'!$B$11*I7</f>
        <v>0</v>
      </c>
      <c r="U7" s="23">
        <f>'LU OLS Model'!$B$12*J7</f>
        <v>0</v>
      </c>
      <c r="V7" s="23">
        <f>'LU OLS Model'!$B$13*K7</f>
        <v>0</v>
      </c>
      <c r="W7" s="23">
        <f>'LU OLS Model'!$B$14*L7</f>
        <v>-1700644.40454555</v>
      </c>
      <c r="X7" s="23">
        <f t="shared" si="1"/>
        <v>12245718.255262244</v>
      </c>
      <c r="Y7" s="13">
        <f t="shared" si="2"/>
        <v>1.7048187407313134E-2</v>
      </c>
    </row>
    <row r="8" spans="1:25">
      <c r="A8" s="11">
        <f>'Monthly Data'!A8</f>
        <v>39995</v>
      </c>
      <c r="B8" s="6">
        <f t="shared" si="0"/>
        <v>2009</v>
      </c>
      <c r="C8" s="4">
        <f>'Monthly Data'!Q8</f>
        <v>13695389.126600001</v>
      </c>
      <c r="D8" s="30">
        <f>'Monthly Data'!U8</f>
        <v>11.799999999999999</v>
      </c>
      <c r="E8" s="30">
        <f>'Monthly Data'!V8</f>
        <v>35.6</v>
      </c>
      <c r="F8" s="30">
        <f>'Monthly Data'!X8</f>
        <v>31</v>
      </c>
      <c r="G8" s="30">
        <f>'Monthly Data'!Y8</f>
        <v>6467</v>
      </c>
      <c r="H8" s="30">
        <f>'Monthly Data'!AA8</f>
        <v>7</v>
      </c>
      <c r="I8" s="30">
        <f>'Monthly Data'!AM8</f>
        <v>0</v>
      </c>
      <c r="J8" s="30">
        <f>'Monthly Data'!AO8</f>
        <v>0</v>
      </c>
      <c r="K8" s="4">
        <f>'Monthly Data'!AP8</f>
        <v>0</v>
      </c>
      <c r="L8" s="4">
        <f>'Monthly Data'!AQ8</f>
        <v>1</v>
      </c>
      <c r="N8" s="23">
        <f>'LU OLS Model'!$B$5</f>
        <v>-37159358.269763596</v>
      </c>
      <c r="O8" s="23">
        <f>'LU OLS Model'!$B$6*D8</f>
        <v>-22916.66559127218</v>
      </c>
      <c r="P8" s="23">
        <f>'LU OLS Model'!$B$7*E8</f>
        <v>668429.67514622572</v>
      </c>
      <c r="Q8" s="23">
        <f>'LU OLS Model'!$B$8*F8</f>
        <v>10663463.283272332</v>
      </c>
      <c r="R8" s="23">
        <f>'LU OLS Model'!$B$9*G8</f>
        <v>40729059.127286658</v>
      </c>
      <c r="S8" s="23">
        <f>'LU OLS Model'!$B$10*H8</f>
        <v>-237001.5684405005</v>
      </c>
      <c r="T8" s="23">
        <f>'LU OLS Model'!$B$11*I8</f>
        <v>0</v>
      </c>
      <c r="U8" s="23">
        <f>'LU OLS Model'!$B$12*J8</f>
        <v>0</v>
      </c>
      <c r="V8" s="23">
        <f>'LU OLS Model'!$B$13*K8</f>
        <v>0</v>
      </c>
      <c r="W8" s="23">
        <f>'LU OLS Model'!$B$14*L8</f>
        <v>-1700644.40454555</v>
      </c>
      <c r="X8" s="23">
        <f t="shared" si="1"/>
        <v>12941031.177364297</v>
      </c>
      <c r="Y8" s="13">
        <f t="shared" si="2"/>
        <v>5.508116215336626E-2</v>
      </c>
    </row>
    <row r="9" spans="1:25">
      <c r="A9" s="11">
        <f>'Monthly Data'!A9</f>
        <v>40026</v>
      </c>
      <c r="B9" s="6">
        <f t="shared" si="0"/>
        <v>2009</v>
      </c>
      <c r="C9" s="4">
        <f>'Monthly Data'!Q9</f>
        <v>14408989.219000001</v>
      </c>
      <c r="D9" s="30">
        <f>'Monthly Data'!U9</f>
        <v>20.6</v>
      </c>
      <c r="E9" s="30">
        <f>'Monthly Data'!V9</f>
        <v>85.199999999999989</v>
      </c>
      <c r="F9" s="30">
        <f>'Monthly Data'!X9</f>
        <v>31</v>
      </c>
      <c r="G9" s="30">
        <f>'Monthly Data'!Y9</f>
        <v>6487.6</v>
      </c>
      <c r="H9" s="30">
        <f>'Monthly Data'!AA9</f>
        <v>8</v>
      </c>
      <c r="I9" s="30">
        <f>'Monthly Data'!AM9</f>
        <v>0</v>
      </c>
      <c r="J9" s="30">
        <f>'Monthly Data'!AO9</f>
        <v>0</v>
      </c>
      <c r="K9" s="4">
        <f>'Monthly Data'!AP9</f>
        <v>0</v>
      </c>
      <c r="L9" s="4">
        <f>'Monthly Data'!AQ9</f>
        <v>1</v>
      </c>
      <c r="N9" s="23">
        <f>'LU OLS Model'!$B$5</f>
        <v>-37159358.269763596</v>
      </c>
      <c r="O9" s="23">
        <f>'LU OLS Model'!$B$6*D9</f>
        <v>-40007.060269509064</v>
      </c>
      <c r="P9" s="23">
        <f>'LU OLS Model'!$B$7*E9</f>
        <v>1599724.9528780456</v>
      </c>
      <c r="Q9" s="23">
        <f>'LU OLS Model'!$B$8*F9</f>
        <v>10663463.283272332</v>
      </c>
      <c r="R9" s="23">
        <f>'LU OLS Model'!$B$9*G9</f>
        <v>40858797.586854018</v>
      </c>
      <c r="S9" s="23">
        <f>'LU OLS Model'!$B$10*H9</f>
        <v>-270858.93536057201</v>
      </c>
      <c r="T9" s="23">
        <f>'LU OLS Model'!$B$11*I9</f>
        <v>0</v>
      </c>
      <c r="U9" s="23">
        <f>'LU OLS Model'!$B$12*J9</f>
        <v>0</v>
      </c>
      <c r="V9" s="23">
        <f>'LU OLS Model'!$B$13*K9</f>
        <v>0</v>
      </c>
      <c r="W9" s="23">
        <f>'LU OLS Model'!$B$14*L9</f>
        <v>-1700644.40454555</v>
      </c>
      <c r="X9" s="23">
        <f t="shared" si="1"/>
        <v>13951117.153065166</v>
      </c>
      <c r="Y9" s="13">
        <f t="shared" si="2"/>
        <v>3.1776834514601143E-2</v>
      </c>
    </row>
    <row r="10" spans="1:25">
      <c r="A10" s="11">
        <f>'Monthly Data'!A10</f>
        <v>40057</v>
      </c>
      <c r="B10" s="6">
        <f t="shared" si="0"/>
        <v>2009</v>
      </c>
      <c r="C10" s="4">
        <f>'Monthly Data'!Q10</f>
        <v>12983020.697999999</v>
      </c>
      <c r="D10" s="30">
        <f>'Monthly Data'!U10</f>
        <v>100.9</v>
      </c>
      <c r="E10" s="30">
        <f>'Monthly Data'!V10</f>
        <v>4.5999999999999996</v>
      </c>
      <c r="F10" s="30">
        <f>'Monthly Data'!X10</f>
        <v>30</v>
      </c>
      <c r="G10" s="30">
        <f>'Monthly Data'!Y10</f>
        <v>6470.2</v>
      </c>
      <c r="H10" s="30">
        <f>'Monthly Data'!AA10</f>
        <v>9</v>
      </c>
      <c r="I10" s="30">
        <f>'Monthly Data'!AM10</f>
        <v>1</v>
      </c>
      <c r="J10" s="30">
        <f>'Monthly Data'!AO10</f>
        <v>0</v>
      </c>
      <c r="K10" s="4">
        <f>'Monthly Data'!AP10</f>
        <v>0</v>
      </c>
      <c r="L10" s="4">
        <f>'Monthly Data'!AQ10</f>
        <v>0</v>
      </c>
      <c r="N10" s="23">
        <f>'LU OLS Model'!$B$5</f>
        <v>-37159358.269763596</v>
      </c>
      <c r="O10" s="23">
        <f>'LU OLS Model'!$B$6*D10</f>
        <v>-195956.91170842061</v>
      </c>
      <c r="P10" s="23">
        <f>'LU OLS Model'!$B$7*E10</f>
        <v>86370.126563838145</v>
      </c>
      <c r="Q10" s="23">
        <f>'LU OLS Model'!$B$8*F10</f>
        <v>10319480.59671516</v>
      </c>
      <c r="R10" s="23">
        <f>'LU OLS Model'!$B$9*G10</f>
        <v>40749212.674403921</v>
      </c>
      <c r="S10" s="23">
        <f>'LU OLS Model'!$B$10*H10</f>
        <v>-304716.30228064349</v>
      </c>
      <c r="T10" s="23">
        <f>'LU OLS Model'!$B$11*I10</f>
        <v>-1059857.8947751301</v>
      </c>
      <c r="U10" s="23">
        <f>'LU OLS Model'!$B$12*J10</f>
        <v>0</v>
      </c>
      <c r="V10" s="23">
        <f>'LU OLS Model'!$B$13*K10</f>
        <v>0</v>
      </c>
      <c r="W10" s="23">
        <f>'LU OLS Model'!$B$14*L10</f>
        <v>0</v>
      </c>
      <c r="X10" s="23">
        <f t="shared" si="1"/>
        <v>12435174.019155128</v>
      </c>
      <c r="Y10" s="13">
        <f t="shared" si="2"/>
        <v>4.2197165943767261E-2</v>
      </c>
    </row>
    <row r="11" spans="1:25">
      <c r="A11" s="11">
        <f>'Monthly Data'!A11</f>
        <v>40087</v>
      </c>
      <c r="B11" s="6">
        <f t="shared" si="0"/>
        <v>2009</v>
      </c>
      <c r="C11" s="4">
        <f>'Monthly Data'!Q11</f>
        <v>12029943</v>
      </c>
      <c r="D11" s="30">
        <f>'Monthly Data'!U11</f>
        <v>330.19999999999993</v>
      </c>
      <c r="E11" s="30">
        <f>'Monthly Data'!V11</f>
        <v>0</v>
      </c>
      <c r="F11" s="30">
        <f>'Monthly Data'!X11</f>
        <v>31</v>
      </c>
      <c r="G11" s="30">
        <f>'Monthly Data'!Y11</f>
        <v>6472.1</v>
      </c>
      <c r="H11" s="30">
        <f>'Monthly Data'!AA11</f>
        <v>10</v>
      </c>
      <c r="I11" s="30">
        <f>'Monthly Data'!AM11</f>
        <v>1</v>
      </c>
      <c r="J11" s="30">
        <f>'Monthly Data'!AO11</f>
        <v>0</v>
      </c>
      <c r="K11" s="4">
        <f>'Monthly Data'!AP11</f>
        <v>0</v>
      </c>
      <c r="L11" s="4">
        <f>'Monthly Data'!AQ11</f>
        <v>0</v>
      </c>
      <c r="N11" s="23">
        <f>'LU OLS Model'!$B$5</f>
        <v>-37159358.269763596</v>
      </c>
      <c r="O11" s="23">
        <f>'LU OLS Model'!$B$6*D11</f>
        <v>-641278.21849475196</v>
      </c>
      <c r="P11" s="23">
        <f>'LU OLS Model'!$B$7*E11</f>
        <v>0</v>
      </c>
      <c r="Q11" s="23">
        <f>'LU OLS Model'!$B$8*F11</f>
        <v>10663463.283272332</v>
      </c>
      <c r="R11" s="23">
        <f>'LU OLS Model'!$B$9*G11</f>
        <v>40761178.843004793</v>
      </c>
      <c r="S11" s="23">
        <f>'LU OLS Model'!$B$10*H11</f>
        <v>-338573.66920071503</v>
      </c>
      <c r="T11" s="23">
        <f>'LU OLS Model'!$B$11*I11</f>
        <v>-1059857.8947751301</v>
      </c>
      <c r="U11" s="23">
        <f>'LU OLS Model'!$B$12*J11</f>
        <v>0</v>
      </c>
      <c r="V11" s="23">
        <f>'LU OLS Model'!$B$13*K11</f>
        <v>0</v>
      </c>
      <c r="W11" s="23">
        <f>'LU OLS Model'!$B$14*L11</f>
        <v>0</v>
      </c>
      <c r="X11" s="23">
        <f t="shared" si="1"/>
        <v>12225574.074042935</v>
      </c>
      <c r="Y11" s="13">
        <f t="shared" si="2"/>
        <v>1.6262011718836483E-2</v>
      </c>
    </row>
    <row r="12" spans="1:25">
      <c r="A12" s="11">
        <f>'Monthly Data'!A12</f>
        <v>40118</v>
      </c>
      <c r="B12" s="6">
        <f t="shared" si="0"/>
        <v>2009</v>
      </c>
      <c r="C12" s="4">
        <f>'Monthly Data'!Q12</f>
        <v>11523934</v>
      </c>
      <c r="D12" s="30">
        <f>'Monthly Data'!U12</f>
        <v>384.49999999999989</v>
      </c>
      <c r="E12" s="30">
        <f>'Monthly Data'!V12</f>
        <v>0</v>
      </c>
      <c r="F12" s="30">
        <f>'Monthly Data'!X12</f>
        <v>30</v>
      </c>
      <c r="G12" s="30">
        <f>'Monthly Data'!Y12</f>
        <v>6465.6</v>
      </c>
      <c r="H12" s="30">
        <f>'Monthly Data'!AA12</f>
        <v>11</v>
      </c>
      <c r="I12" s="30">
        <f>'Monthly Data'!AM12</f>
        <v>1</v>
      </c>
      <c r="J12" s="30">
        <f>'Monthly Data'!AO12</f>
        <v>0</v>
      </c>
      <c r="K12" s="4">
        <f>'Monthly Data'!AP12</f>
        <v>0</v>
      </c>
      <c r="L12" s="4">
        <f>'Monthly Data'!AQ12</f>
        <v>0</v>
      </c>
      <c r="N12" s="23">
        <f>'LU OLS Model'!$B$5</f>
        <v>-37159358.269763596</v>
      </c>
      <c r="O12" s="23">
        <f>'LU OLS Model'!$B$6*D12</f>
        <v>-746733.7220206908</v>
      </c>
      <c r="P12" s="23">
        <f>'LU OLS Model'!$B$7*E12</f>
        <v>0</v>
      </c>
      <c r="Q12" s="23">
        <f>'LU OLS Model'!$B$8*F12</f>
        <v>10319480.59671516</v>
      </c>
      <c r="R12" s="23">
        <f>'LU OLS Model'!$B$9*G12</f>
        <v>40720241.950422861</v>
      </c>
      <c r="S12" s="23">
        <f>'LU OLS Model'!$B$10*H12</f>
        <v>-372431.03612078651</v>
      </c>
      <c r="T12" s="23">
        <f>'LU OLS Model'!$B$11*I12</f>
        <v>-1059857.8947751301</v>
      </c>
      <c r="U12" s="23">
        <f>'LU OLS Model'!$B$12*J12</f>
        <v>0</v>
      </c>
      <c r="V12" s="23">
        <f>'LU OLS Model'!$B$13*K12</f>
        <v>0</v>
      </c>
      <c r="W12" s="23">
        <f>'LU OLS Model'!$B$14*L12</f>
        <v>0</v>
      </c>
      <c r="X12" s="23">
        <f t="shared" si="1"/>
        <v>11701341.624457814</v>
      </c>
      <c r="Y12" s="13">
        <f t="shared" si="2"/>
        <v>1.5394710214221445E-2</v>
      </c>
    </row>
    <row r="13" spans="1:25">
      <c r="A13" s="11">
        <f>'Monthly Data'!A13</f>
        <v>40148</v>
      </c>
      <c r="B13" s="6">
        <f t="shared" si="0"/>
        <v>2009</v>
      </c>
      <c r="C13" s="4">
        <f>'Monthly Data'!Q13</f>
        <v>11610601</v>
      </c>
      <c r="D13" s="30">
        <f>'Monthly Data'!U13</f>
        <v>696.79999999999984</v>
      </c>
      <c r="E13" s="30">
        <f>'Monthly Data'!V13</f>
        <v>0</v>
      </c>
      <c r="F13" s="30">
        <f>'Monthly Data'!X13</f>
        <v>31</v>
      </c>
      <c r="G13" s="30">
        <f>'Monthly Data'!Y13</f>
        <v>6467.5</v>
      </c>
      <c r="H13" s="30">
        <f>'Monthly Data'!AA13</f>
        <v>12</v>
      </c>
      <c r="I13" s="30">
        <f>'Monthly Data'!AM13</f>
        <v>0</v>
      </c>
      <c r="J13" s="30">
        <f>'Monthly Data'!AO13</f>
        <v>0</v>
      </c>
      <c r="K13" s="4">
        <f>'Monthly Data'!AP13</f>
        <v>1</v>
      </c>
      <c r="L13" s="4">
        <f>'Monthly Data'!AQ13</f>
        <v>0</v>
      </c>
      <c r="N13" s="23">
        <f>'LU OLS Model'!$B$5</f>
        <v>-37159358.269763596</v>
      </c>
      <c r="O13" s="23">
        <f>'LU OLS Model'!$B$6*D13</f>
        <v>-1353248.5240676655</v>
      </c>
      <c r="P13" s="23">
        <f>'LU OLS Model'!$B$7*E13</f>
        <v>0</v>
      </c>
      <c r="Q13" s="23">
        <f>'LU OLS Model'!$B$8*F13</f>
        <v>10663463.283272332</v>
      </c>
      <c r="R13" s="23">
        <f>'LU OLS Model'!$B$9*G13</f>
        <v>40732208.119023733</v>
      </c>
      <c r="S13" s="23">
        <f>'LU OLS Model'!$B$10*H13</f>
        <v>-406288.40304085799</v>
      </c>
      <c r="T13" s="23">
        <f>'LU OLS Model'!$B$11*I13</f>
        <v>0</v>
      </c>
      <c r="U13" s="23">
        <f>'LU OLS Model'!$B$12*J13</f>
        <v>0</v>
      </c>
      <c r="V13" s="23">
        <f>'LU OLS Model'!$B$13*K13</f>
        <v>-999570.07441694394</v>
      </c>
      <c r="W13" s="23">
        <f>'LU OLS Model'!$B$14*L13</f>
        <v>0</v>
      </c>
      <c r="X13" s="23">
        <f t="shared" si="1"/>
        <v>11477206.131007005</v>
      </c>
      <c r="Y13" s="13">
        <f t="shared" si="2"/>
        <v>1.148905805935416E-2</v>
      </c>
    </row>
    <row r="14" spans="1:25">
      <c r="A14" s="11">
        <f>'Monthly Data'!A14</f>
        <v>40179</v>
      </c>
      <c r="B14" s="6">
        <f t="shared" si="0"/>
        <v>2010</v>
      </c>
      <c r="C14" s="4">
        <f>'Monthly Data'!Q14</f>
        <v>11955217.004000001</v>
      </c>
      <c r="D14" s="30">
        <f>'Monthly Data'!U14</f>
        <v>750.59999999999991</v>
      </c>
      <c r="E14" s="30">
        <f>'Monthly Data'!V14</f>
        <v>0</v>
      </c>
      <c r="F14" s="30">
        <f>'Monthly Data'!X14</f>
        <v>31</v>
      </c>
      <c r="G14" s="30">
        <f>'Monthly Data'!Y14</f>
        <v>6434.5</v>
      </c>
      <c r="H14" s="30">
        <f>'Monthly Data'!AA14</f>
        <v>13</v>
      </c>
      <c r="I14" s="30">
        <f>'Monthly Data'!AM14</f>
        <v>0</v>
      </c>
      <c r="J14" s="30">
        <f>'Monthly Data'!AO14</f>
        <v>0</v>
      </c>
      <c r="K14" s="4">
        <f>'Monthly Data'!AP14</f>
        <v>0</v>
      </c>
      <c r="L14" s="4">
        <f>'Monthly Data'!AQ14</f>
        <v>0</v>
      </c>
      <c r="N14" s="23">
        <f>'LU OLS Model'!$B$5</f>
        <v>-37159358.269763596</v>
      </c>
      <c r="O14" s="23">
        <f>'LU OLS Model'!$B$6*D14</f>
        <v>-1457732.9824414318</v>
      </c>
      <c r="P14" s="23">
        <f>'LU OLS Model'!$B$7*E14</f>
        <v>0</v>
      </c>
      <c r="Q14" s="23">
        <f>'LU OLS Model'!$B$8*F14</f>
        <v>10663463.283272332</v>
      </c>
      <c r="R14" s="23">
        <f>'LU OLS Model'!$B$9*G14</f>
        <v>40524374.664376996</v>
      </c>
      <c r="S14" s="23">
        <f>'LU OLS Model'!$B$10*H14</f>
        <v>-440145.76996092952</v>
      </c>
      <c r="T14" s="23">
        <f>'LU OLS Model'!$B$11*I14</f>
        <v>0</v>
      </c>
      <c r="U14" s="23">
        <f>'LU OLS Model'!$B$12*J14</f>
        <v>0</v>
      </c>
      <c r="V14" s="23">
        <f>'LU OLS Model'!$B$13*K14</f>
        <v>0</v>
      </c>
      <c r="W14" s="23">
        <f>'LU OLS Model'!$B$14*L14</f>
        <v>0</v>
      </c>
      <c r="X14" s="23">
        <f t="shared" si="1"/>
        <v>12130600.925483372</v>
      </c>
      <c r="Y14" s="13">
        <f t="shared" si="2"/>
        <v>1.4670074280098061E-2</v>
      </c>
    </row>
    <row r="15" spans="1:25">
      <c r="A15" s="11">
        <f>'Monthly Data'!A15</f>
        <v>40210</v>
      </c>
      <c r="B15" s="6">
        <f t="shared" si="0"/>
        <v>2010</v>
      </c>
      <c r="C15" s="4">
        <f>'Monthly Data'!Q15</f>
        <v>10874740.4221</v>
      </c>
      <c r="D15" s="30">
        <f>'Monthly Data'!U15</f>
        <v>620.40000000000009</v>
      </c>
      <c r="E15" s="30">
        <f>'Monthly Data'!V15</f>
        <v>0</v>
      </c>
      <c r="F15" s="30">
        <f>'Monthly Data'!X15</f>
        <v>28</v>
      </c>
      <c r="G15" s="30">
        <f>'Monthly Data'!Y15</f>
        <v>6404.1</v>
      </c>
      <c r="H15" s="30">
        <f>'Monthly Data'!AA15</f>
        <v>14</v>
      </c>
      <c r="I15" s="30">
        <f>'Monthly Data'!AM15</f>
        <v>0</v>
      </c>
      <c r="J15" s="30">
        <f>'Monthly Data'!AO15</f>
        <v>0</v>
      </c>
      <c r="K15" s="4">
        <f>'Monthly Data'!AP15</f>
        <v>0</v>
      </c>
      <c r="L15" s="4">
        <f>'Monthly Data'!AQ15</f>
        <v>0</v>
      </c>
      <c r="N15" s="23">
        <f>'LU OLS Model'!$B$5</f>
        <v>-37159358.269763596</v>
      </c>
      <c r="O15" s="23">
        <f>'LU OLS Model'!$B$6*D15</f>
        <v>-1204872.8248157003</v>
      </c>
      <c r="P15" s="23">
        <f>'LU OLS Model'!$B$7*E15</f>
        <v>0</v>
      </c>
      <c r="Q15" s="23">
        <f>'LU OLS Model'!$B$8*F15</f>
        <v>9631515.223600816</v>
      </c>
      <c r="R15" s="23">
        <f>'LU OLS Model'!$B$9*G15</f>
        <v>40332915.966763027</v>
      </c>
      <c r="S15" s="23">
        <f>'LU OLS Model'!$B$10*H15</f>
        <v>-474003.136881001</v>
      </c>
      <c r="T15" s="23">
        <f>'LU OLS Model'!$B$11*I15</f>
        <v>0</v>
      </c>
      <c r="U15" s="23">
        <f>'LU OLS Model'!$B$12*J15</f>
        <v>0</v>
      </c>
      <c r="V15" s="23">
        <f>'LU OLS Model'!$B$13*K15</f>
        <v>0</v>
      </c>
      <c r="W15" s="23">
        <f>'LU OLS Model'!$B$14*L15</f>
        <v>0</v>
      </c>
      <c r="X15" s="23">
        <f t="shared" si="1"/>
        <v>11126196.958903547</v>
      </c>
      <c r="Y15" s="13">
        <f t="shared" si="2"/>
        <v>2.3122992093910506E-2</v>
      </c>
    </row>
    <row r="16" spans="1:25">
      <c r="A16" s="11">
        <f>'Monthly Data'!A16</f>
        <v>40238</v>
      </c>
      <c r="B16" s="6">
        <f t="shared" si="0"/>
        <v>2010</v>
      </c>
      <c r="C16" s="4">
        <f>'Monthly Data'!Q16</f>
        <v>11920294.521500001</v>
      </c>
      <c r="D16" s="30">
        <f>'Monthly Data'!U16</f>
        <v>451.89999999999992</v>
      </c>
      <c r="E16" s="30">
        <f>'Monthly Data'!V16</f>
        <v>0</v>
      </c>
      <c r="F16" s="30">
        <f>'Monthly Data'!X16</f>
        <v>31</v>
      </c>
      <c r="G16" s="30">
        <f>'Monthly Data'!Y16</f>
        <v>6377.2</v>
      </c>
      <c r="H16" s="30">
        <f>'Monthly Data'!AA16</f>
        <v>15</v>
      </c>
      <c r="I16" s="30">
        <f>'Monthly Data'!AM16</f>
        <v>0</v>
      </c>
      <c r="J16" s="30">
        <f>'Monthly Data'!AO16</f>
        <v>0</v>
      </c>
      <c r="K16" s="4">
        <f>'Monthly Data'!AP16</f>
        <v>0</v>
      </c>
      <c r="L16" s="4">
        <f>'Monthly Data'!AQ16</f>
        <v>0</v>
      </c>
      <c r="N16" s="23">
        <f>'LU OLS Model'!$B$5</f>
        <v>-37159358.269763596</v>
      </c>
      <c r="O16" s="23">
        <f>'LU OLS Model'!$B$6*D16</f>
        <v>-877630.60853355064</v>
      </c>
      <c r="P16" s="23">
        <f>'LU OLS Model'!$B$7*E16</f>
        <v>0</v>
      </c>
      <c r="Q16" s="23">
        <f>'LU OLS Model'!$B$8*F16</f>
        <v>10663463.283272332</v>
      </c>
      <c r="R16" s="23">
        <f>'LU OLS Model'!$B$9*G16</f>
        <v>40163500.211308561</v>
      </c>
      <c r="S16" s="23">
        <f>'LU OLS Model'!$B$10*H16</f>
        <v>-507860.50380107254</v>
      </c>
      <c r="T16" s="23">
        <f>'LU OLS Model'!$B$11*I16</f>
        <v>0</v>
      </c>
      <c r="U16" s="23">
        <f>'LU OLS Model'!$B$12*J16</f>
        <v>0</v>
      </c>
      <c r="V16" s="23">
        <f>'LU OLS Model'!$B$13*K16</f>
        <v>0</v>
      </c>
      <c r="W16" s="23">
        <f>'LU OLS Model'!$B$14*L16</f>
        <v>0</v>
      </c>
      <c r="X16" s="23">
        <f t="shared" si="1"/>
        <v>12282114.112482673</v>
      </c>
      <c r="Y16" s="13">
        <f t="shared" si="2"/>
        <v>3.0353242558736875E-2</v>
      </c>
    </row>
    <row r="17" spans="1:25">
      <c r="A17" s="11">
        <f>'Monthly Data'!A17</f>
        <v>40269</v>
      </c>
      <c r="B17" s="6">
        <f t="shared" si="0"/>
        <v>2010</v>
      </c>
      <c r="C17" s="4">
        <f>'Monthly Data'!Q17</f>
        <v>11299278.237500001</v>
      </c>
      <c r="D17" s="30">
        <f>'Monthly Data'!U17</f>
        <v>243.49999999999989</v>
      </c>
      <c r="E17" s="30">
        <f>'Monthly Data'!V17</f>
        <v>1.3</v>
      </c>
      <c r="F17" s="30">
        <f>'Monthly Data'!X17</f>
        <v>30</v>
      </c>
      <c r="G17" s="30">
        <f>'Monthly Data'!Y17</f>
        <v>6401.7</v>
      </c>
      <c r="H17" s="30">
        <f>'Monthly Data'!AA17</f>
        <v>16</v>
      </c>
      <c r="I17" s="30">
        <f>'Monthly Data'!AM17</f>
        <v>0</v>
      </c>
      <c r="J17" s="30">
        <f>'Monthly Data'!AO17</f>
        <v>1</v>
      </c>
      <c r="K17" s="4">
        <f>'Monthly Data'!AP17</f>
        <v>0</v>
      </c>
      <c r="L17" s="4">
        <f>'Monthly Data'!AQ17</f>
        <v>0</v>
      </c>
      <c r="N17" s="23">
        <f>'LU OLS Model'!$B$5</f>
        <v>-37159358.269763596</v>
      </c>
      <c r="O17" s="23">
        <f>'LU OLS Model'!$B$6*D17</f>
        <v>-472898.98910803167</v>
      </c>
      <c r="P17" s="23">
        <f>'LU OLS Model'!$B$7*E17</f>
        <v>24408.94881151948</v>
      </c>
      <c r="Q17" s="23">
        <f>'LU OLS Model'!$B$8*F17</f>
        <v>10319480.59671516</v>
      </c>
      <c r="R17" s="23">
        <f>'LU OLS Model'!$B$9*G17</f>
        <v>40317800.80642508</v>
      </c>
      <c r="S17" s="23">
        <f>'LU OLS Model'!$B$10*H17</f>
        <v>-541717.87072114402</v>
      </c>
      <c r="T17" s="23">
        <f>'LU OLS Model'!$B$11*I17</f>
        <v>0</v>
      </c>
      <c r="U17" s="23">
        <f>'LU OLS Model'!$B$12*J17</f>
        <v>-1039228.3455262</v>
      </c>
      <c r="V17" s="23">
        <f>'LU OLS Model'!$B$13*K17</f>
        <v>0</v>
      </c>
      <c r="W17" s="23">
        <f>'LU OLS Model'!$B$14*L17</f>
        <v>0</v>
      </c>
      <c r="X17" s="23">
        <f t="shared" si="1"/>
        <v>11448486.876832781</v>
      </c>
      <c r="Y17" s="13">
        <f t="shared" si="2"/>
        <v>1.3205147815334573E-2</v>
      </c>
    </row>
    <row r="18" spans="1:25">
      <c r="A18" s="11">
        <f>'Monthly Data'!A18</f>
        <v>40299</v>
      </c>
      <c r="B18" s="6">
        <f t="shared" si="0"/>
        <v>2010</v>
      </c>
      <c r="C18" s="4">
        <f>'Monthly Data'!Q18</f>
        <v>12141816.925799999</v>
      </c>
      <c r="D18" s="30">
        <f>'Monthly Data'!U18</f>
        <v>110.2</v>
      </c>
      <c r="E18" s="30">
        <f>'Monthly Data'!V18</f>
        <v>26.100000000000005</v>
      </c>
      <c r="F18" s="30">
        <f>'Monthly Data'!X18</f>
        <v>31</v>
      </c>
      <c r="G18" s="30">
        <f>'Monthly Data'!Y18</f>
        <v>6468.9</v>
      </c>
      <c r="H18" s="30">
        <f>'Monthly Data'!AA18</f>
        <v>17</v>
      </c>
      <c r="I18" s="30">
        <f>'Monthly Data'!AM18</f>
        <v>0</v>
      </c>
      <c r="J18" s="30">
        <f>'Monthly Data'!AO18</f>
        <v>0</v>
      </c>
      <c r="K18" s="4">
        <f>'Monthly Data'!AP18</f>
        <v>0</v>
      </c>
      <c r="L18" s="4">
        <f>'Monthly Data'!AQ18</f>
        <v>1</v>
      </c>
      <c r="N18" s="23">
        <f>'LU OLS Model'!$B$5</f>
        <v>-37159358.269763596</v>
      </c>
      <c r="O18" s="23">
        <f>'LU OLS Model'!$B$6*D18</f>
        <v>-214018.35153883003</v>
      </c>
      <c r="P18" s="23">
        <f>'LU OLS Model'!$B$7*E18</f>
        <v>490056.58767742966</v>
      </c>
      <c r="Q18" s="23">
        <f>'LU OLS Model'!$B$8*F18</f>
        <v>10663463.283272332</v>
      </c>
      <c r="R18" s="23">
        <f>'LU OLS Model'!$B$9*G18</f>
        <v>40741025.29588753</v>
      </c>
      <c r="S18" s="23">
        <f>'LU OLS Model'!$B$10*H18</f>
        <v>-575575.23764121556</v>
      </c>
      <c r="T18" s="23">
        <f>'LU OLS Model'!$B$11*I18</f>
        <v>0</v>
      </c>
      <c r="U18" s="23">
        <f>'LU OLS Model'!$B$12*J18</f>
        <v>0</v>
      </c>
      <c r="V18" s="23">
        <f>'LU OLS Model'!$B$13*K18</f>
        <v>0</v>
      </c>
      <c r="W18" s="23">
        <f>'LU OLS Model'!$B$14*L18</f>
        <v>-1700644.40454555</v>
      </c>
      <c r="X18" s="23">
        <f t="shared" si="1"/>
        <v>12244948.903348099</v>
      </c>
      <c r="Y18" s="13">
        <f t="shared" si="2"/>
        <v>8.4939493140401556E-3</v>
      </c>
    </row>
    <row r="19" spans="1:25">
      <c r="A19" s="11">
        <f>'Monthly Data'!A19</f>
        <v>40330</v>
      </c>
      <c r="B19" s="6">
        <f t="shared" si="0"/>
        <v>2010</v>
      </c>
      <c r="C19" s="4">
        <f>'Monthly Data'!Q19</f>
        <v>12649401.524900001</v>
      </c>
      <c r="D19" s="30">
        <f>'Monthly Data'!U19</f>
        <v>38.300000000000004</v>
      </c>
      <c r="E19" s="30">
        <f>'Monthly Data'!V19</f>
        <v>33.700000000000003</v>
      </c>
      <c r="F19" s="30">
        <f>'Monthly Data'!X19</f>
        <v>30</v>
      </c>
      <c r="G19" s="30">
        <f>'Monthly Data'!Y19</f>
        <v>6578.9</v>
      </c>
      <c r="H19" s="30">
        <f>'Monthly Data'!AA19</f>
        <v>18</v>
      </c>
      <c r="I19" s="30">
        <f>'Monthly Data'!AM19</f>
        <v>0</v>
      </c>
      <c r="J19" s="30">
        <f>'Monthly Data'!AO19</f>
        <v>0</v>
      </c>
      <c r="K19" s="4">
        <f>'Monthly Data'!AP19</f>
        <v>0</v>
      </c>
      <c r="L19" s="4">
        <f>'Monthly Data'!AQ19</f>
        <v>1</v>
      </c>
      <c r="N19" s="23">
        <f>'LU OLS Model'!$B$5</f>
        <v>-37159358.269763596</v>
      </c>
      <c r="O19" s="23">
        <f>'LU OLS Model'!$B$6*D19</f>
        <v>-74382.058656417343</v>
      </c>
      <c r="P19" s="23">
        <f>'LU OLS Model'!$B$7*E19</f>
        <v>632755.05765246658</v>
      </c>
      <c r="Q19" s="23">
        <f>'LU OLS Model'!$B$8*F19</f>
        <v>10319480.59671516</v>
      </c>
      <c r="R19" s="23">
        <f>'LU OLS Model'!$B$9*G19</f>
        <v>41433803.478043325</v>
      </c>
      <c r="S19" s="23">
        <f>'LU OLS Model'!$B$10*H19</f>
        <v>-609432.60456128698</v>
      </c>
      <c r="T19" s="23">
        <f>'LU OLS Model'!$B$11*I19</f>
        <v>0</v>
      </c>
      <c r="U19" s="23">
        <f>'LU OLS Model'!$B$12*J19</f>
        <v>0</v>
      </c>
      <c r="V19" s="23">
        <f>'LU OLS Model'!$B$13*K19</f>
        <v>0</v>
      </c>
      <c r="W19" s="23">
        <f>'LU OLS Model'!$B$14*L19</f>
        <v>-1700644.40454555</v>
      </c>
      <c r="X19" s="23">
        <f t="shared" si="1"/>
        <v>12842221.794884101</v>
      </c>
      <c r="Y19" s="13">
        <f t="shared" si="2"/>
        <v>1.5243430260675858E-2</v>
      </c>
    </row>
    <row r="20" spans="1:25">
      <c r="A20" s="11">
        <f>'Monthly Data'!A20</f>
        <v>40360</v>
      </c>
      <c r="B20" s="6">
        <f t="shared" si="0"/>
        <v>2010</v>
      </c>
      <c r="C20" s="4">
        <f>'Monthly Data'!Q20</f>
        <v>14680604.799199998</v>
      </c>
      <c r="D20" s="30">
        <f>'Monthly Data'!U20</f>
        <v>3.4000000000000004</v>
      </c>
      <c r="E20" s="30">
        <f>'Monthly Data'!V20</f>
        <v>139.79999999999995</v>
      </c>
      <c r="F20" s="30">
        <f>'Monthly Data'!X20</f>
        <v>31</v>
      </c>
      <c r="G20" s="30">
        <f>'Monthly Data'!Y20</f>
        <v>6640.9</v>
      </c>
      <c r="H20" s="30">
        <f>'Monthly Data'!AA20</f>
        <v>19</v>
      </c>
      <c r="I20" s="30">
        <f>'Monthly Data'!AM20</f>
        <v>0</v>
      </c>
      <c r="J20" s="30">
        <f>'Monthly Data'!AO20</f>
        <v>0</v>
      </c>
      <c r="K20" s="4">
        <f>'Monthly Data'!AP20</f>
        <v>0</v>
      </c>
      <c r="L20" s="4">
        <f>'Monthly Data'!AQ20</f>
        <v>1</v>
      </c>
      <c r="N20" s="23">
        <f>'LU OLS Model'!$B$5</f>
        <v>-37159358.269763596</v>
      </c>
      <c r="O20" s="23">
        <f>'LU OLS Model'!$B$6*D20</f>
        <v>-6603.1070347733412</v>
      </c>
      <c r="P20" s="23">
        <f>'LU OLS Model'!$B$7*E20</f>
        <v>2624900.8029618631</v>
      </c>
      <c r="Q20" s="23">
        <f>'LU OLS Model'!$B$8*F20</f>
        <v>10663463.283272332</v>
      </c>
      <c r="R20" s="23">
        <f>'LU OLS Model'!$B$9*G20</f>
        <v>41824278.453440227</v>
      </c>
      <c r="S20" s="23">
        <f>'LU OLS Model'!$B$10*H20</f>
        <v>-643289.97148135852</v>
      </c>
      <c r="T20" s="23">
        <f>'LU OLS Model'!$B$11*I20</f>
        <v>0</v>
      </c>
      <c r="U20" s="23">
        <f>'LU OLS Model'!$B$12*J20</f>
        <v>0</v>
      </c>
      <c r="V20" s="23">
        <f>'LU OLS Model'!$B$13*K20</f>
        <v>0</v>
      </c>
      <c r="W20" s="23">
        <f>'LU OLS Model'!$B$14*L20</f>
        <v>-1700644.40454555</v>
      </c>
      <c r="X20" s="23">
        <f t="shared" si="1"/>
        <v>15602746.786849149</v>
      </c>
      <c r="Y20" s="13">
        <f t="shared" si="2"/>
        <v>6.281362384330387E-2</v>
      </c>
    </row>
    <row r="21" spans="1:25">
      <c r="A21" s="11">
        <f>'Monthly Data'!A21</f>
        <v>40391</v>
      </c>
      <c r="B21" s="6">
        <f t="shared" si="0"/>
        <v>2010</v>
      </c>
      <c r="C21" s="4">
        <f>'Monthly Data'!Q21</f>
        <v>14598500.270999998</v>
      </c>
      <c r="D21" s="30">
        <f>'Monthly Data'!U21</f>
        <v>10.100000000000001</v>
      </c>
      <c r="E21" s="30">
        <f>'Monthly Data'!V21</f>
        <v>90.299999999999969</v>
      </c>
      <c r="F21" s="30">
        <f>'Monthly Data'!X21</f>
        <v>31</v>
      </c>
      <c r="G21" s="30">
        <f>'Monthly Data'!Y21</f>
        <v>6662.6</v>
      </c>
      <c r="H21" s="30">
        <f>'Monthly Data'!AA21</f>
        <v>20</v>
      </c>
      <c r="I21" s="30">
        <f>'Monthly Data'!AM21</f>
        <v>0</v>
      </c>
      <c r="J21" s="30">
        <f>'Monthly Data'!AO21</f>
        <v>0</v>
      </c>
      <c r="K21" s="4">
        <f>'Monthly Data'!AP21</f>
        <v>0</v>
      </c>
      <c r="L21" s="4">
        <f>'Monthly Data'!AQ21</f>
        <v>1</v>
      </c>
      <c r="N21" s="23">
        <f>'LU OLS Model'!$B$5</f>
        <v>-37159358.269763596</v>
      </c>
      <c r="O21" s="23">
        <f>'LU OLS Model'!$B$6*D21</f>
        <v>-19615.112073885513</v>
      </c>
      <c r="P21" s="23">
        <f>'LU OLS Model'!$B$7*E21</f>
        <v>1695483.1366770833</v>
      </c>
      <c r="Q21" s="23">
        <f>'LU OLS Model'!$B$8*F21</f>
        <v>10663463.283272332</v>
      </c>
      <c r="R21" s="23">
        <f>'LU OLS Model'!$B$9*G21</f>
        <v>41960944.694829151</v>
      </c>
      <c r="S21" s="23">
        <f>'LU OLS Model'!$B$10*H21</f>
        <v>-677147.33840143005</v>
      </c>
      <c r="T21" s="23">
        <f>'LU OLS Model'!$B$11*I21</f>
        <v>0</v>
      </c>
      <c r="U21" s="23">
        <f>'LU OLS Model'!$B$12*J21</f>
        <v>0</v>
      </c>
      <c r="V21" s="23">
        <f>'LU OLS Model'!$B$13*K21</f>
        <v>0</v>
      </c>
      <c r="W21" s="23">
        <f>'LU OLS Model'!$B$14*L21</f>
        <v>-1700644.40454555</v>
      </c>
      <c r="X21" s="23">
        <f t="shared" si="1"/>
        <v>14763125.989994112</v>
      </c>
      <c r="Y21" s="13">
        <f t="shared" si="2"/>
        <v>1.1276892553212774E-2</v>
      </c>
    </row>
    <row r="22" spans="1:25">
      <c r="A22" s="11">
        <f>'Monthly Data'!A22</f>
        <v>40422</v>
      </c>
      <c r="B22" s="6">
        <f t="shared" si="0"/>
        <v>2010</v>
      </c>
      <c r="C22" s="4">
        <f>'Monthly Data'!Q22</f>
        <v>13203697.476100001</v>
      </c>
      <c r="D22" s="30">
        <f>'Monthly Data'!U22</f>
        <v>99.40000000000002</v>
      </c>
      <c r="E22" s="30">
        <f>'Monthly Data'!V22</f>
        <v>29.400000000000002</v>
      </c>
      <c r="F22" s="30">
        <f>'Monthly Data'!X22</f>
        <v>30</v>
      </c>
      <c r="G22" s="30">
        <f>'Monthly Data'!Y22</f>
        <v>6611.2</v>
      </c>
      <c r="H22" s="30">
        <f>'Monthly Data'!AA22</f>
        <v>21</v>
      </c>
      <c r="I22" s="30">
        <f>'Monthly Data'!AM22</f>
        <v>1</v>
      </c>
      <c r="J22" s="30">
        <f>'Monthly Data'!AO22</f>
        <v>0</v>
      </c>
      <c r="K22" s="4">
        <f>'Monthly Data'!AP22</f>
        <v>0</v>
      </c>
      <c r="L22" s="4">
        <f>'Monthly Data'!AQ22</f>
        <v>0</v>
      </c>
      <c r="N22" s="23">
        <f>'LU OLS Model'!$B$5</f>
        <v>-37159358.269763596</v>
      </c>
      <c r="O22" s="23">
        <f>'LU OLS Model'!$B$6*D22</f>
        <v>-193043.77625190298</v>
      </c>
      <c r="P22" s="23">
        <f>'LU OLS Model'!$B$7*E22</f>
        <v>552017.76542974822</v>
      </c>
      <c r="Q22" s="23">
        <f>'LU OLS Model'!$B$8*F22</f>
        <v>10319480.59671516</v>
      </c>
      <c r="R22" s="23">
        <f>'LU OLS Model'!$B$9*G22</f>
        <v>41637228.344258167</v>
      </c>
      <c r="S22" s="23">
        <f>'LU OLS Model'!$B$10*H22</f>
        <v>-711004.70532150147</v>
      </c>
      <c r="T22" s="23">
        <f>'LU OLS Model'!$B$11*I22</f>
        <v>-1059857.8947751301</v>
      </c>
      <c r="U22" s="23">
        <f>'LU OLS Model'!$B$12*J22</f>
        <v>0</v>
      </c>
      <c r="V22" s="23">
        <f>'LU OLS Model'!$B$13*K22</f>
        <v>0</v>
      </c>
      <c r="W22" s="23">
        <f>'LU OLS Model'!$B$14*L22</f>
        <v>0</v>
      </c>
      <c r="X22" s="23">
        <f t="shared" si="1"/>
        <v>13385462.060290944</v>
      </c>
      <c r="Y22" s="13">
        <f t="shared" si="2"/>
        <v>1.3766188184783408E-2</v>
      </c>
    </row>
    <row r="23" spans="1:25">
      <c r="A23" s="11">
        <f>'Monthly Data'!A23</f>
        <v>40452</v>
      </c>
      <c r="B23" s="6">
        <f t="shared" si="0"/>
        <v>2010</v>
      </c>
      <c r="C23" s="4">
        <f>'Monthly Data'!Q23</f>
        <v>12168635.138100002</v>
      </c>
      <c r="D23" s="30">
        <f>'Monthly Data'!U23</f>
        <v>284.69999999999993</v>
      </c>
      <c r="E23" s="30">
        <f>'Monthly Data'!V23</f>
        <v>0</v>
      </c>
      <c r="F23" s="30">
        <f>'Monthly Data'!X23</f>
        <v>31</v>
      </c>
      <c r="G23" s="30">
        <f>'Monthly Data'!Y23</f>
        <v>6587.1</v>
      </c>
      <c r="H23" s="30">
        <f>'Monthly Data'!AA23</f>
        <v>22</v>
      </c>
      <c r="I23" s="30">
        <f>'Monthly Data'!AM23</f>
        <v>1</v>
      </c>
      <c r="J23" s="30">
        <f>'Monthly Data'!AO23</f>
        <v>0</v>
      </c>
      <c r="K23" s="4">
        <f>'Monthly Data'!AP23</f>
        <v>0</v>
      </c>
      <c r="L23" s="4">
        <f>'Monthly Data'!AQ23</f>
        <v>0</v>
      </c>
      <c r="N23" s="23">
        <f>'LU OLS Model'!$B$5</f>
        <v>-37159358.269763596</v>
      </c>
      <c r="O23" s="23">
        <f>'LU OLS Model'!$B$6*D23</f>
        <v>-552913.10964704992</v>
      </c>
      <c r="P23" s="23">
        <f>'LU OLS Model'!$B$7*E23</f>
        <v>0</v>
      </c>
      <c r="Q23" s="23">
        <f>'LU OLS Model'!$B$8*F23</f>
        <v>10663463.283272332</v>
      </c>
      <c r="R23" s="23">
        <f>'LU OLS Model'!$B$9*G23</f>
        <v>41485446.94253131</v>
      </c>
      <c r="S23" s="23">
        <f>'LU OLS Model'!$B$10*H23</f>
        <v>-744862.07224157301</v>
      </c>
      <c r="T23" s="23">
        <f>'LU OLS Model'!$B$11*I23</f>
        <v>-1059857.8947751301</v>
      </c>
      <c r="U23" s="23">
        <f>'LU OLS Model'!$B$12*J23</f>
        <v>0</v>
      </c>
      <c r="V23" s="23">
        <f>'LU OLS Model'!$B$13*K23</f>
        <v>0</v>
      </c>
      <c r="W23" s="23">
        <f>'LU OLS Model'!$B$14*L23</f>
        <v>0</v>
      </c>
      <c r="X23" s="23">
        <f t="shared" si="1"/>
        <v>12631918.879376294</v>
      </c>
      <c r="Y23" s="13">
        <f t="shared" si="2"/>
        <v>3.8071955976866342E-2</v>
      </c>
    </row>
    <row r="24" spans="1:25">
      <c r="A24" s="11">
        <f>'Monthly Data'!A24</f>
        <v>40483</v>
      </c>
      <c r="B24" s="6">
        <f t="shared" si="0"/>
        <v>2010</v>
      </c>
      <c r="C24" s="4">
        <f>'Monthly Data'!Q24</f>
        <v>11726856.469900001</v>
      </c>
      <c r="D24" s="30">
        <f>'Monthly Data'!U24</f>
        <v>451.4</v>
      </c>
      <c r="E24" s="30">
        <f>'Monthly Data'!V24</f>
        <v>0</v>
      </c>
      <c r="F24" s="30">
        <f>'Monthly Data'!X24</f>
        <v>30</v>
      </c>
      <c r="G24" s="30">
        <f>'Monthly Data'!Y24</f>
        <v>6566.6</v>
      </c>
      <c r="H24" s="30">
        <f>'Monthly Data'!AA24</f>
        <v>23</v>
      </c>
      <c r="I24" s="30">
        <f>'Monthly Data'!AM24</f>
        <v>1</v>
      </c>
      <c r="J24" s="30">
        <f>'Monthly Data'!AO24</f>
        <v>0</v>
      </c>
      <c r="K24" s="4">
        <f>'Monthly Data'!AP24</f>
        <v>0</v>
      </c>
      <c r="L24" s="4">
        <f>'Monthly Data'!AQ24</f>
        <v>0</v>
      </c>
      <c r="N24" s="23">
        <f>'LU OLS Model'!$B$5</f>
        <v>-37159358.269763596</v>
      </c>
      <c r="O24" s="23">
        <f>'LU OLS Model'!$B$6*D24</f>
        <v>-876659.56338137819</v>
      </c>
      <c r="P24" s="23">
        <f>'LU OLS Model'!$B$7*E24</f>
        <v>0</v>
      </c>
      <c r="Q24" s="23">
        <f>'LU OLS Model'!$B$8*F24</f>
        <v>10319480.59671516</v>
      </c>
      <c r="R24" s="23">
        <f>'LU OLS Model'!$B$9*G24</f>
        <v>41356338.281311363</v>
      </c>
      <c r="S24" s="23">
        <f>'LU OLS Model'!$B$10*H24</f>
        <v>-778719.43916164455</v>
      </c>
      <c r="T24" s="23">
        <f>'LU OLS Model'!$B$11*I24</f>
        <v>-1059857.8947751301</v>
      </c>
      <c r="U24" s="23">
        <f>'LU OLS Model'!$B$12*J24</f>
        <v>0</v>
      </c>
      <c r="V24" s="23">
        <f>'LU OLS Model'!$B$13*K24</f>
        <v>0</v>
      </c>
      <c r="W24" s="23">
        <f>'LU OLS Model'!$B$14*L24</f>
        <v>0</v>
      </c>
      <c r="X24" s="23">
        <f t="shared" si="1"/>
        <v>11801223.71094477</v>
      </c>
      <c r="Y24" s="13">
        <f t="shared" si="2"/>
        <v>6.3416177417751941E-3</v>
      </c>
    </row>
    <row r="25" spans="1:25">
      <c r="A25" s="11">
        <f>'Monthly Data'!A25</f>
        <v>40513</v>
      </c>
      <c r="B25" s="6">
        <f t="shared" si="0"/>
        <v>2010</v>
      </c>
      <c r="C25" s="4">
        <f>'Monthly Data'!Q25</f>
        <v>11839747.178100001</v>
      </c>
      <c r="D25" s="30">
        <f>'Monthly Data'!U25</f>
        <v>713.49999999999989</v>
      </c>
      <c r="E25" s="30">
        <f>'Monthly Data'!V25</f>
        <v>0</v>
      </c>
      <c r="F25" s="30">
        <f>'Monthly Data'!X25</f>
        <v>31</v>
      </c>
      <c r="G25" s="30">
        <f>'Monthly Data'!Y25</f>
        <v>6584.1</v>
      </c>
      <c r="H25" s="30">
        <f>'Monthly Data'!AA25</f>
        <v>24</v>
      </c>
      <c r="I25" s="30">
        <f>'Monthly Data'!AM25</f>
        <v>0</v>
      </c>
      <c r="J25" s="30">
        <f>'Monthly Data'!AO25</f>
        <v>0</v>
      </c>
      <c r="K25" s="4">
        <f>'Monthly Data'!AP25</f>
        <v>1</v>
      </c>
      <c r="L25" s="4">
        <f>'Monthly Data'!AQ25</f>
        <v>0</v>
      </c>
      <c r="N25" s="23">
        <f>'LU OLS Model'!$B$5</f>
        <v>-37159358.269763596</v>
      </c>
      <c r="O25" s="23">
        <f>'LU OLS Model'!$B$6*D25</f>
        <v>-1385681.4321502286</v>
      </c>
      <c r="P25" s="23">
        <f>'LU OLS Model'!$B$7*E25</f>
        <v>0</v>
      </c>
      <c r="Q25" s="23">
        <f>'LU OLS Model'!$B$8*F25</f>
        <v>10663463.283272332</v>
      </c>
      <c r="R25" s="23">
        <f>'LU OLS Model'!$B$9*G25</f>
        <v>41466552.992108874</v>
      </c>
      <c r="S25" s="23">
        <f>'LU OLS Model'!$B$10*H25</f>
        <v>-812576.80608171597</v>
      </c>
      <c r="T25" s="23">
        <f>'LU OLS Model'!$B$11*I25</f>
        <v>0</v>
      </c>
      <c r="U25" s="23">
        <f>'LU OLS Model'!$B$12*J25</f>
        <v>0</v>
      </c>
      <c r="V25" s="23">
        <f>'LU OLS Model'!$B$13*K25</f>
        <v>-999570.07441694394</v>
      </c>
      <c r="W25" s="23">
        <f>'LU OLS Model'!$B$14*L25</f>
        <v>0</v>
      </c>
      <c r="X25" s="23">
        <f t="shared" si="1"/>
        <v>11772829.692968721</v>
      </c>
      <c r="Y25" s="13">
        <f t="shared" si="2"/>
        <v>5.6519353094851444E-3</v>
      </c>
    </row>
    <row r="26" spans="1:25">
      <c r="A26" s="11">
        <f>'Monthly Data'!A26</f>
        <v>40544</v>
      </c>
      <c r="B26" s="6">
        <f t="shared" si="0"/>
        <v>2011</v>
      </c>
      <c r="C26" s="4">
        <f>'Monthly Data'!Q26</f>
        <v>12405613.722375479</v>
      </c>
      <c r="D26" s="30">
        <f>'Monthly Data'!U26</f>
        <v>853.19999999999982</v>
      </c>
      <c r="E26" s="30">
        <f>'Monthly Data'!V26</f>
        <v>0</v>
      </c>
      <c r="F26" s="30">
        <f>'Monthly Data'!X26</f>
        <v>31</v>
      </c>
      <c r="G26" s="30">
        <f>'Monthly Data'!Y26</f>
        <v>6571.2</v>
      </c>
      <c r="H26" s="30">
        <f>'Monthly Data'!AA26</f>
        <v>25</v>
      </c>
      <c r="I26" s="30">
        <f>'Monthly Data'!AM26</f>
        <v>0</v>
      </c>
      <c r="J26" s="30">
        <f>'Monthly Data'!AO26</f>
        <v>0</v>
      </c>
      <c r="K26" s="4">
        <f>'Monthly Data'!AP26</f>
        <v>0</v>
      </c>
      <c r="L26" s="4">
        <f>'Monthly Data'!AQ26</f>
        <v>0</v>
      </c>
      <c r="N26" s="23">
        <f>'LU OLS Model'!$B$5</f>
        <v>-37159358.269763596</v>
      </c>
      <c r="O26" s="23">
        <f>'LU OLS Model'!$B$6*D26</f>
        <v>-1656991.447667239</v>
      </c>
      <c r="P26" s="23">
        <f>'LU OLS Model'!$B$7*E26</f>
        <v>0</v>
      </c>
      <c r="Q26" s="23">
        <f>'LU OLS Model'!$B$8*F26</f>
        <v>10663463.283272332</v>
      </c>
      <c r="R26" s="23">
        <f>'LU OLS Model'!$B$9*G26</f>
        <v>41385309.005292423</v>
      </c>
      <c r="S26" s="23">
        <f>'LU OLS Model'!$B$10*H26</f>
        <v>-846434.17300178751</v>
      </c>
      <c r="T26" s="23">
        <f>'LU OLS Model'!$B$11*I26</f>
        <v>0</v>
      </c>
      <c r="U26" s="23">
        <f>'LU OLS Model'!$B$12*J26</f>
        <v>0</v>
      </c>
      <c r="V26" s="23">
        <f>'LU OLS Model'!$B$13*K26</f>
        <v>0</v>
      </c>
      <c r="W26" s="23">
        <f>'LU OLS Model'!$B$14*L26</f>
        <v>0</v>
      </c>
      <c r="X26" s="23">
        <f t="shared" si="1"/>
        <v>12385988.398132132</v>
      </c>
      <c r="Y26" s="13">
        <f t="shared" si="2"/>
        <v>1.5819712496729498E-3</v>
      </c>
    </row>
    <row r="27" spans="1:25">
      <c r="A27" s="11">
        <f>'Monthly Data'!A27</f>
        <v>40575</v>
      </c>
      <c r="B27" s="6">
        <f t="shared" si="0"/>
        <v>2011</v>
      </c>
      <c r="C27" s="4">
        <f>'Monthly Data'!Q27</f>
        <v>11374508.151626434</v>
      </c>
      <c r="D27" s="30">
        <f>'Monthly Data'!U27</f>
        <v>700.39999999999986</v>
      </c>
      <c r="E27" s="30">
        <f>'Monthly Data'!V27</f>
        <v>0</v>
      </c>
      <c r="F27" s="30">
        <f>'Monthly Data'!X27</f>
        <v>28</v>
      </c>
      <c r="G27" s="30">
        <f>'Monthly Data'!Y27</f>
        <v>6548.1</v>
      </c>
      <c r="H27" s="30">
        <f>'Monthly Data'!AA27</f>
        <v>26</v>
      </c>
      <c r="I27" s="30">
        <f>'Monthly Data'!AM27</f>
        <v>0</v>
      </c>
      <c r="J27" s="30">
        <f>'Monthly Data'!AO27</f>
        <v>0</v>
      </c>
      <c r="K27" s="4">
        <f>'Monthly Data'!AP27</f>
        <v>0</v>
      </c>
      <c r="L27" s="4">
        <f>'Monthly Data'!AQ27</f>
        <v>0</v>
      </c>
      <c r="N27" s="23">
        <f>'LU OLS Model'!$B$5</f>
        <v>-37159358.269763596</v>
      </c>
      <c r="O27" s="23">
        <f>'LU OLS Model'!$B$6*D27</f>
        <v>-1360240.0491633078</v>
      </c>
      <c r="P27" s="23">
        <f>'LU OLS Model'!$B$7*E27</f>
        <v>0</v>
      </c>
      <c r="Q27" s="23">
        <f>'LU OLS Model'!$B$8*F27</f>
        <v>9631515.223600816</v>
      </c>
      <c r="R27" s="23">
        <f>'LU OLS Model'!$B$9*G27</f>
        <v>41239825.587039709</v>
      </c>
      <c r="S27" s="23">
        <f>'LU OLS Model'!$B$10*H27</f>
        <v>-880291.53992185905</v>
      </c>
      <c r="T27" s="23">
        <f>'LU OLS Model'!$B$11*I27</f>
        <v>0</v>
      </c>
      <c r="U27" s="23">
        <f>'LU OLS Model'!$B$12*J27</f>
        <v>0</v>
      </c>
      <c r="V27" s="23">
        <f>'LU OLS Model'!$B$13*K27</f>
        <v>0</v>
      </c>
      <c r="W27" s="23">
        <f>'LU OLS Model'!$B$14*L27</f>
        <v>0</v>
      </c>
      <c r="X27" s="23">
        <f t="shared" si="1"/>
        <v>11471450.951791765</v>
      </c>
      <c r="Y27" s="13">
        <f t="shared" si="2"/>
        <v>8.5228124920257928E-3</v>
      </c>
    </row>
    <row r="28" spans="1:25">
      <c r="A28" s="11">
        <f>'Monthly Data'!A28</f>
        <v>40603</v>
      </c>
      <c r="B28" s="6">
        <f t="shared" si="0"/>
        <v>2011</v>
      </c>
      <c r="C28" s="4">
        <f>'Monthly Data'!Q28</f>
        <v>12423061.406977391</v>
      </c>
      <c r="D28" s="30">
        <f>'Monthly Data'!U28</f>
        <v>595.70000000000016</v>
      </c>
      <c r="E28" s="30">
        <f>'Monthly Data'!V28</f>
        <v>0</v>
      </c>
      <c r="F28" s="30">
        <f>'Monthly Data'!X28</f>
        <v>31</v>
      </c>
      <c r="G28" s="30">
        <f>'Monthly Data'!Y28</f>
        <v>6523.7</v>
      </c>
      <c r="H28" s="30">
        <f>'Monthly Data'!AA28</f>
        <v>27</v>
      </c>
      <c r="I28" s="30">
        <f>'Monthly Data'!AM28</f>
        <v>0</v>
      </c>
      <c r="J28" s="30">
        <f>'Monthly Data'!AO28</f>
        <v>0</v>
      </c>
      <c r="K28" s="4">
        <f>'Monthly Data'!AP28</f>
        <v>0</v>
      </c>
      <c r="L28" s="4">
        <f>'Monthly Data'!AQ28</f>
        <v>0</v>
      </c>
      <c r="N28" s="23">
        <f>'LU OLS Model'!$B$5</f>
        <v>-37159358.269763596</v>
      </c>
      <c r="O28" s="23">
        <f>'LU OLS Model'!$B$6*D28</f>
        <v>-1156903.1942983763</v>
      </c>
      <c r="P28" s="23">
        <f>'LU OLS Model'!$B$7*E28</f>
        <v>0</v>
      </c>
      <c r="Q28" s="23">
        <f>'LU OLS Model'!$B$8*F28</f>
        <v>10663463.283272332</v>
      </c>
      <c r="R28" s="23">
        <f>'LU OLS Model'!$B$9*G28</f>
        <v>41086154.790270604</v>
      </c>
      <c r="S28" s="23">
        <f>'LU OLS Model'!$B$10*H28</f>
        <v>-914148.90684193058</v>
      </c>
      <c r="T28" s="23">
        <f>'LU OLS Model'!$B$11*I28</f>
        <v>0</v>
      </c>
      <c r="U28" s="23">
        <f>'LU OLS Model'!$B$12*J28</f>
        <v>0</v>
      </c>
      <c r="V28" s="23">
        <f>'LU OLS Model'!$B$13*K28</f>
        <v>0</v>
      </c>
      <c r="W28" s="23">
        <f>'LU OLS Model'!$B$14*L28</f>
        <v>0</v>
      </c>
      <c r="X28" s="23">
        <f t="shared" si="1"/>
        <v>12519207.702639032</v>
      </c>
      <c r="Y28" s="13">
        <f t="shared" si="2"/>
        <v>7.7393399671711258E-3</v>
      </c>
    </row>
    <row r="29" spans="1:25">
      <c r="A29" s="11">
        <f>'Monthly Data'!A29</f>
        <v>40634</v>
      </c>
      <c r="B29" s="6">
        <f t="shared" si="0"/>
        <v>2011</v>
      </c>
      <c r="C29" s="4">
        <f>'Monthly Data'!Q29</f>
        <v>11687900.613328347</v>
      </c>
      <c r="D29" s="30">
        <f>'Monthly Data'!U29</f>
        <v>350.99999999999989</v>
      </c>
      <c r="E29" s="30">
        <f>'Monthly Data'!V29</f>
        <v>0</v>
      </c>
      <c r="F29" s="30">
        <f>'Monthly Data'!X29</f>
        <v>30</v>
      </c>
      <c r="G29" s="30">
        <f>'Monthly Data'!Y29</f>
        <v>6550</v>
      </c>
      <c r="H29" s="30">
        <f>'Monthly Data'!AA29</f>
        <v>28</v>
      </c>
      <c r="I29" s="30">
        <f>'Monthly Data'!AM29</f>
        <v>0</v>
      </c>
      <c r="J29" s="30">
        <f>'Monthly Data'!AO29</f>
        <v>1</v>
      </c>
      <c r="K29" s="4">
        <f>'Monthly Data'!AP29</f>
        <v>0</v>
      </c>
      <c r="L29" s="4">
        <f>'Monthly Data'!AQ29</f>
        <v>0</v>
      </c>
      <c r="N29" s="23">
        <f>'LU OLS Model'!$B$5</f>
        <v>-37159358.269763596</v>
      </c>
      <c r="O29" s="23">
        <f>'LU OLS Model'!$B$6*D29</f>
        <v>-681673.69682512991</v>
      </c>
      <c r="P29" s="23">
        <f>'LU OLS Model'!$B$7*E29</f>
        <v>0</v>
      </c>
      <c r="Q29" s="23">
        <f>'LU OLS Model'!$B$8*F29</f>
        <v>10319480.59671516</v>
      </c>
      <c r="R29" s="23">
        <f>'LU OLS Model'!$B$9*G29</f>
        <v>41251791.755640581</v>
      </c>
      <c r="S29" s="23">
        <f>'LU OLS Model'!$B$10*H29</f>
        <v>-948006.27376200201</v>
      </c>
      <c r="T29" s="23">
        <f>'LU OLS Model'!$B$11*I29</f>
        <v>0</v>
      </c>
      <c r="U29" s="23">
        <f>'LU OLS Model'!$B$12*J29</f>
        <v>-1039228.3455262</v>
      </c>
      <c r="V29" s="23">
        <f>'LU OLS Model'!$B$13*K29</f>
        <v>0</v>
      </c>
      <c r="W29" s="23">
        <f>'LU OLS Model'!$B$14*L29</f>
        <v>0</v>
      </c>
      <c r="X29" s="23">
        <f t="shared" si="1"/>
        <v>11743005.76647881</v>
      </c>
      <c r="Y29" s="13">
        <f t="shared" si="2"/>
        <v>4.7147178072017553E-3</v>
      </c>
    </row>
    <row r="30" spans="1:25">
      <c r="A30" s="11">
        <f>'Monthly Data'!A30</f>
        <v>40664</v>
      </c>
      <c r="B30" s="6">
        <f t="shared" si="0"/>
        <v>2011</v>
      </c>
      <c r="C30" s="4">
        <f>'Monthly Data'!Q30</f>
        <v>12168060.882579302</v>
      </c>
      <c r="D30" s="30">
        <f>'Monthly Data'!U30</f>
        <v>150</v>
      </c>
      <c r="E30" s="30">
        <f>'Monthly Data'!V30</f>
        <v>1.2999999999999998</v>
      </c>
      <c r="F30" s="30">
        <f>'Monthly Data'!X30</f>
        <v>31</v>
      </c>
      <c r="G30" s="30">
        <f>'Monthly Data'!Y30</f>
        <v>6612</v>
      </c>
      <c r="H30" s="30">
        <f>'Monthly Data'!AA30</f>
        <v>29</v>
      </c>
      <c r="I30" s="30">
        <f>'Monthly Data'!AM30</f>
        <v>0</v>
      </c>
      <c r="J30" s="30">
        <f>'Monthly Data'!AO30</f>
        <v>0</v>
      </c>
      <c r="K30" s="4">
        <f>'Monthly Data'!AP30</f>
        <v>0</v>
      </c>
      <c r="L30" s="4">
        <f>'Monthly Data'!AQ30</f>
        <v>1</v>
      </c>
      <c r="N30" s="23">
        <f>'LU OLS Model'!$B$5</f>
        <v>-37159358.269763596</v>
      </c>
      <c r="O30" s="23">
        <f>'LU OLS Model'!$B$6*D30</f>
        <v>-291313.54565176502</v>
      </c>
      <c r="P30" s="23">
        <f>'LU OLS Model'!$B$7*E30</f>
        <v>24408.948811519476</v>
      </c>
      <c r="Q30" s="23">
        <f>'LU OLS Model'!$B$8*F30</f>
        <v>10663463.283272332</v>
      </c>
      <c r="R30" s="23">
        <f>'LU OLS Model'!$B$9*G30</f>
        <v>41642266.731037483</v>
      </c>
      <c r="S30" s="23">
        <f>'LU OLS Model'!$B$10*H30</f>
        <v>-981863.64068207354</v>
      </c>
      <c r="T30" s="23">
        <f>'LU OLS Model'!$B$11*I30</f>
        <v>0</v>
      </c>
      <c r="U30" s="23">
        <f>'LU OLS Model'!$B$12*J30</f>
        <v>0</v>
      </c>
      <c r="V30" s="23">
        <f>'LU OLS Model'!$B$13*K30</f>
        <v>0</v>
      </c>
      <c r="W30" s="23">
        <f>'LU OLS Model'!$B$14*L30</f>
        <v>-1700644.40454555</v>
      </c>
      <c r="X30" s="23">
        <f t="shared" si="1"/>
        <v>12196959.10247835</v>
      </c>
      <c r="Y30" s="13">
        <f t="shared" si="2"/>
        <v>2.3749240062087458E-3</v>
      </c>
    </row>
    <row r="31" spans="1:25">
      <c r="A31" s="11">
        <f>'Monthly Data'!A31</f>
        <v>40695</v>
      </c>
      <c r="B31" s="6">
        <f t="shared" si="0"/>
        <v>2011</v>
      </c>
      <c r="C31" s="4">
        <f>'Monthly Data'!Q31</f>
        <v>13362627.250630258</v>
      </c>
      <c r="D31" s="30">
        <f>'Monthly Data'!U31</f>
        <v>25.199999999999996</v>
      </c>
      <c r="E31" s="30">
        <f>'Monthly Data'!V31</f>
        <v>24.900000000000002</v>
      </c>
      <c r="F31" s="30">
        <f>'Monthly Data'!X31</f>
        <v>30</v>
      </c>
      <c r="G31" s="30">
        <f>'Monthly Data'!Y31</f>
        <v>6706.8</v>
      </c>
      <c r="H31" s="30">
        <f>'Monthly Data'!AA31</f>
        <v>30</v>
      </c>
      <c r="I31" s="30">
        <f>'Monthly Data'!AM31</f>
        <v>0</v>
      </c>
      <c r="J31" s="30">
        <f>'Monthly Data'!AO31</f>
        <v>0</v>
      </c>
      <c r="K31" s="4">
        <f>'Monthly Data'!AP31</f>
        <v>0</v>
      </c>
      <c r="L31" s="4">
        <f>'Monthly Data'!AQ31</f>
        <v>1</v>
      </c>
      <c r="N31" s="23">
        <f>'LU OLS Model'!$B$5</f>
        <v>-37159358.269763596</v>
      </c>
      <c r="O31" s="23">
        <f>'LU OLS Model'!$B$6*D31</f>
        <v>-48940.675669496515</v>
      </c>
      <c r="P31" s="23">
        <f>'LU OLS Model'!$B$7*E31</f>
        <v>467525.25031295005</v>
      </c>
      <c r="Q31" s="23">
        <f>'LU OLS Model'!$B$8*F31</f>
        <v>10319480.59671516</v>
      </c>
      <c r="R31" s="23">
        <f>'LU OLS Model'!$B$9*G31</f>
        <v>42239315.564386293</v>
      </c>
      <c r="S31" s="23">
        <f>'LU OLS Model'!$B$10*H31</f>
        <v>-1015721.0076021451</v>
      </c>
      <c r="T31" s="23">
        <f>'LU OLS Model'!$B$11*I31</f>
        <v>0</v>
      </c>
      <c r="U31" s="23">
        <f>'LU OLS Model'!$B$12*J31</f>
        <v>0</v>
      </c>
      <c r="V31" s="23">
        <f>'LU OLS Model'!$B$13*K31</f>
        <v>0</v>
      </c>
      <c r="W31" s="23">
        <f>'LU OLS Model'!$B$14*L31</f>
        <v>-1700644.40454555</v>
      </c>
      <c r="X31" s="23">
        <f t="shared" si="1"/>
        <v>13101657.053833609</v>
      </c>
      <c r="Y31" s="13">
        <f t="shared" si="2"/>
        <v>1.9529856808984877E-2</v>
      </c>
    </row>
    <row r="32" spans="1:25">
      <c r="A32" s="11">
        <f>'Monthly Data'!A32</f>
        <v>40725</v>
      </c>
      <c r="B32" s="6">
        <f t="shared" si="0"/>
        <v>2011</v>
      </c>
      <c r="C32" s="4">
        <f>'Monthly Data'!Q32</f>
        <v>15310374.188881215</v>
      </c>
      <c r="D32" s="30">
        <f>'Monthly Data'!U32</f>
        <v>0</v>
      </c>
      <c r="E32" s="30">
        <f>'Monthly Data'!V32</f>
        <v>118.30000000000003</v>
      </c>
      <c r="F32" s="30">
        <f>'Monthly Data'!X32</f>
        <v>31</v>
      </c>
      <c r="G32" s="30">
        <f>'Monthly Data'!Y32</f>
        <v>6755.3</v>
      </c>
      <c r="H32" s="30">
        <f>'Monthly Data'!AA32</f>
        <v>31</v>
      </c>
      <c r="I32" s="30">
        <f>'Monthly Data'!AM32</f>
        <v>0</v>
      </c>
      <c r="J32" s="30">
        <f>'Monthly Data'!AO32</f>
        <v>0</v>
      </c>
      <c r="K32" s="4">
        <f>'Monthly Data'!AP32</f>
        <v>0</v>
      </c>
      <c r="L32" s="4">
        <f>'Monthly Data'!AQ32</f>
        <v>1</v>
      </c>
      <c r="N32" s="23">
        <f>'LU OLS Model'!$B$5</f>
        <v>-37159358.269763596</v>
      </c>
      <c r="O32" s="23">
        <f>'LU OLS Model'!$B$6*D32</f>
        <v>0</v>
      </c>
      <c r="P32" s="23">
        <f>'LU OLS Model'!$B$7*E32</f>
        <v>2221214.3418482733</v>
      </c>
      <c r="Q32" s="23">
        <f>'LU OLS Model'!$B$8*F32</f>
        <v>10663463.283272332</v>
      </c>
      <c r="R32" s="23">
        <f>'LU OLS Model'!$B$9*G32</f>
        <v>42544767.762882262</v>
      </c>
      <c r="S32" s="23">
        <f>'LU OLS Model'!$B$10*H32</f>
        <v>-1049578.3745222166</v>
      </c>
      <c r="T32" s="23">
        <f>'LU OLS Model'!$B$11*I32</f>
        <v>0</v>
      </c>
      <c r="U32" s="23">
        <f>'LU OLS Model'!$B$12*J32</f>
        <v>0</v>
      </c>
      <c r="V32" s="23">
        <f>'LU OLS Model'!$B$13*K32</f>
        <v>0</v>
      </c>
      <c r="W32" s="23">
        <f>'LU OLS Model'!$B$14*L32</f>
        <v>-1700644.40454555</v>
      </c>
      <c r="X32" s="23">
        <f t="shared" si="1"/>
        <v>15519864.33917151</v>
      </c>
      <c r="Y32" s="13">
        <f t="shared" si="2"/>
        <v>1.3682888981409258E-2</v>
      </c>
    </row>
    <row r="33" spans="1:25">
      <c r="A33" s="11">
        <f>'Monthly Data'!A33</f>
        <v>40756</v>
      </c>
      <c r="B33" s="6">
        <f t="shared" si="0"/>
        <v>2011</v>
      </c>
      <c r="C33" s="4">
        <f>'Monthly Data'!Q33</f>
        <v>15010910.93713217</v>
      </c>
      <c r="D33" s="30">
        <f>'Monthly Data'!U33</f>
        <v>7</v>
      </c>
      <c r="E33" s="30">
        <f>'Monthly Data'!V33</f>
        <v>68.2</v>
      </c>
      <c r="F33" s="30">
        <f>'Monthly Data'!X33</f>
        <v>31</v>
      </c>
      <c r="G33" s="30">
        <f>'Monthly Data'!Y33</f>
        <v>6778</v>
      </c>
      <c r="H33" s="30">
        <f>'Monthly Data'!AA33</f>
        <v>32</v>
      </c>
      <c r="I33" s="30">
        <f>'Monthly Data'!AM33</f>
        <v>0</v>
      </c>
      <c r="J33" s="30">
        <f>'Monthly Data'!AO33</f>
        <v>0</v>
      </c>
      <c r="K33" s="4">
        <f>'Monthly Data'!AP33</f>
        <v>0</v>
      </c>
      <c r="L33" s="4">
        <f>'Monthly Data'!AQ33</f>
        <v>1</v>
      </c>
      <c r="N33" s="23">
        <f>'LU OLS Model'!$B$5</f>
        <v>-37159358.269763596</v>
      </c>
      <c r="O33" s="23">
        <f>'LU OLS Model'!$B$6*D33</f>
        <v>-13594.632130415701</v>
      </c>
      <c r="P33" s="23">
        <f>'LU OLS Model'!$B$7*E33</f>
        <v>1280531.0068812529</v>
      </c>
      <c r="Q33" s="23">
        <f>'LU OLS Model'!$B$8*F33</f>
        <v>10663463.283272332</v>
      </c>
      <c r="R33" s="23">
        <f>'LU OLS Model'!$B$9*G33</f>
        <v>42687731.987745322</v>
      </c>
      <c r="S33" s="23">
        <f>'LU OLS Model'!$B$10*H33</f>
        <v>-1083435.741442288</v>
      </c>
      <c r="T33" s="23">
        <f>'LU OLS Model'!$B$11*I33</f>
        <v>0</v>
      </c>
      <c r="U33" s="23">
        <f>'LU OLS Model'!$B$12*J33</f>
        <v>0</v>
      </c>
      <c r="V33" s="23">
        <f>'LU OLS Model'!$B$13*K33</f>
        <v>0</v>
      </c>
      <c r="W33" s="23">
        <f>'LU OLS Model'!$B$14*L33</f>
        <v>-1700644.40454555</v>
      </c>
      <c r="X33" s="23">
        <f t="shared" si="1"/>
        <v>14674693.23001706</v>
      </c>
      <c r="Y33" s="13">
        <f t="shared" si="2"/>
        <v>2.2398221435277151E-2</v>
      </c>
    </row>
    <row r="34" spans="1:25">
      <c r="A34" s="11">
        <f>'Monthly Data'!A34</f>
        <v>40787</v>
      </c>
      <c r="B34" s="6">
        <f t="shared" si="0"/>
        <v>2011</v>
      </c>
      <c r="C34" s="4">
        <f>'Monthly Data'!Q34</f>
        <v>14264567.369983125</v>
      </c>
      <c r="D34" s="30">
        <f>'Monthly Data'!U34</f>
        <v>72.5</v>
      </c>
      <c r="E34" s="30">
        <f>'Monthly Data'!V34</f>
        <v>24.500000000000004</v>
      </c>
      <c r="F34" s="30">
        <f>'Monthly Data'!X34</f>
        <v>30</v>
      </c>
      <c r="G34" s="30">
        <f>'Monthly Data'!Y34</f>
        <v>6734.6</v>
      </c>
      <c r="H34" s="30">
        <f>'Monthly Data'!AA34</f>
        <v>33</v>
      </c>
      <c r="I34" s="30">
        <f>'Monthly Data'!AM34</f>
        <v>1</v>
      </c>
      <c r="J34" s="30">
        <f>'Monthly Data'!AO34</f>
        <v>0</v>
      </c>
      <c r="K34" s="4">
        <f>'Monthly Data'!AP34</f>
        <v>0</v>
      </c>
      <c r="L34" s="4">
        <f>'Monthly Data'!AQ34</f>
        <v>0</v>
      </c>
      <c r="N34" s="23">
        <f>'LU OLS Model'!$B$5</f>
        <v>-37159358.269763596</v>
      </c>
      <c r="O34" s="23">
        <f>'LU OLS Model'!$B$6*D34</f>
        <v>-140801.54706501975</v>
      </c>
      <c r="P34" s="23">
        <f>'LU OLS Model'!$B$7*E34</f>
        <v>460014.80452479026</v>
      </c>
      <c r="Q34" s="23">
        <f>'LU OLS Model'!$B$8*F34</f>
        <v>10319480.59671516</v>
      </c>
      <c r="R34" s="23">
        <f>'LU OLS Model'!$B$9*G34</f>
        <v>42414399.504967488</v>
      </c>
      <c r="S34" s="23">
        <f>'LU OLS Model'!$B$10*H34</f>
        <v>-1117293.1083623595</v>
      </c>
      <c r="T34" s="23">
        <f>'LU OLS Model'!$B$11*I34</f>
        <v>-1059857.8947751301</v>
      </c>
      <c r="U34" s="23">
        <f>'LU OLS Model'!$B$12*J34</f>
        <v>0</v>
      </c>
      <c r="V34" s="23">
        <f>'LU OLS Model'!$B$13*K34</f>
        <v>0</v>
      </c>
      <c r="W34" s="23">
        <f>'LU OLS Model'!$B$14*L34</f>
        <v>0</v>
      </c>
      <c r="X34" s="23">
        <f t="shared" si="1"/>
        <v>13716584.086241329</v>
      </c>
      <c r="Y34" s="13">
        <f t="shared" si="2"/>
        <v>3.8415696005959177E-2</v>
      </c>
    </row>
    <row r="35" spans="1:25">
      <c r="A35" s="11">
        <f>'Monthly Data'!A35</f>
        <v>40817</v>
      </c>
      <c r="B35" s="6">
        <f t="shared" si="0"/>
        <v>2011</v>
      </c>
      <c r="C35" s="4">
        <f>'Monthly Data'!Q35</f>
        <v>12925769.505834082</v>
      </c>
      <c r="D35" s="30">
        <f>'Monthly Data'!U35</f>
        <v>266.49999999999994</v>
      </c>
      <c r="E35" s="30">
        <f>'Monthly Data'!V35</f>
        <v>0.5</v>
      </c>
      <c r="F35" s="30">
        <f>'Monthly Data'!X35</f>
        <v>31</v>
      </c>
      <c r="G35" s="30">
        <f>'Monthly Data'!Y35</f>
        <v>6702.2</v>
      </c>
      <c r="H35" s="30">
        <f>'Monthly Data'!AA35</f>
        <v>34</v>
      </c>
      <c r="I35" s="30">
        <f>'Monthly Data'!AM35</f>
        <v>1</v>
      </c>
      <c r="J35" s="30">
        <f>'Monthly Data'!AO35</f>
        <v>0</v>
      </c>
      <c r="K35" s="4">
        <f>'Monthly Data'!AP35</f>
        <v>0</v>
      </c>
      <c r="L35" s="4">
        <f>'Monthly Data'!AQ35</f>
        <v>0</v>
      </c>
      <c r="N35" s="23">
        <f>'LU OLS Model'!$B$5</f>
        <v>-37159358.269763596</v>
      </c>
      <c r="O35" s="23">
        <f>'LU OLS Model'!$B$6*D35</f>
        <v>-517567.06610796909</v>
      </c>
      <c r="P35" s="23">
        <f>'LU OLS Model'!$B$7*E35</f>
        <v>9388.0572351997998</v>
      </c>
      <c r="Q35" s="23">
        <f>'LU OLS Model'!$B$8*F35</f>
        <v>10663463.283272332</v>
      </c>
      <c r="R35" s="23">
        <f>'LU OLS Model'!$B$9*G35</f>
        <v>42210344.840405233</v>
      </c>
      <c r="S35" s="23">
        <f>'LU OLS Model'!$B$10*H35</f>
        <v>-1151150.4752824311</v>
      </c>
      <c r="T35" s="23">
        <f>'LU OLS Model'!$B$11*I35</f>
        <v>-1059857.8947751301</v>
      </c>
      <c r="U35" s="23">
        <f>'LU OLS Model'!$B$12*J35</f>
        <v>0</v>
      </c>
      <c r="V35" s="23">
        <f>'LU OLS Model'!$B$13*K35</f>
        <v>0</v>
      </c>
      <c r="W35" s="23">
        <f>'LU OLS Model'!$B$14*L35</f>
        <v>0</v>
      </c>
      <c r="X35" s="23">
        <f t="shared" si="1"/>
        <v>12995262.47498364</v>
      </c>
      <c r="Y35" s="13">
        <f t="shared" si="2"/>
        <v>5.3763119571482399E-3</v>
      </c>
    </row>
    <row r="36" spans="1:25">
      <c r="A36" s="11">
        <f>'Monthly Data'!A36</f>
        <v>40848</v>
      </c>
      <c r="B36" s="6">
        <f t="shared" si="0"/>
        <v>2011</v>
      </c>
      <c r="C36" s="4">
        <f>'Monthly Data'!Q36</f>
        <v>12089342.293885039</v>
      </c>
      <c r="D36" s="30">
        <f>'Monthly Data'!U36</f>
        <v>394.7</v>
      </c>
      <c r="E36" s="30">
        <f>'Monthly Data'!V36</f>
        <v>0</v>
      </c>
      <c r="F36" s="30">
        <f>'Monthly Data'!X36</f>
        <v>30</v>
      </c>
      <c r="G36" s="30">
        <f>'Monthly Data'!Y36</f>
        <v>6669.4</v>
      </c>
      <c r="H36" s="30">
        <f>'Monthly Data'!AA36</f>
        <v>35</v>
      </c>
      <c r="I36" s="30">
        <f>'Monthly Data'!AM36</f>
        <v>1</v>
      </c>
      <c r="J36" s="30">
        <f>'Monthly Data'!AO36</f>
        <v>0</v>
      </c>
      <c r="K36" s="4">
        <f>'Monthly Data'!AP36</f>
        <v>0</v>
      </c>
      <c r="L36" s="4">
        <f>'Monthly Data'!AQ36</f>
        <v>0</v>
      </c>
      <c r="N36" s="23">
        <f>'LU OLS Model'!$B$5</f>
        <v>-37159358.269763596</v>
      </c>
      <c r="O36" s="23">
        <f>'LU OLS Model'!$B$6*D36</f>
        <v>-766543.04312501103</v>
      </c>
      <c r="P36" s="23">
        <f>'LU OLS Model'!$B$7*E36</f>
        <v>0</v>
      </c>
      <c r="Q36" s="23">
        <f>'LU OLS Model'!$B$8*F36</f>
        <v>10319480.59671516</v>
      </c>
      <c r="R36" s="23">
        <f>'LU OLS Model'!$B$9*G36</f>
        <v>42003770.982453324</v>
      </c>
      <c r="S36" s="23">
        <f>'LU OLS Model'!$B$10*H36</f>
        <v>-1185007.8422025025</v>
      </c>
      <c r="T36" s="23">
        <f>'LU OLS Model'!$B$11*I36</f>
        <v>-1059857.8947751301</v>
      </c>
      <c r="U36" s="23">
        <f>'LU OLS Model'!$B$12*J36</f>
        <v>0</v>
      </c>
      <c r="V36" s="23">
        <f>'LU OLS Model'!$B$13*K36</f>
        <v>0</v>
      </c>
      <c r="W36" s="23">
        <f>'LU OLS Model'!$B$14*L36</f>
        <v>0</v>
      </c>
      <c r="X36" s="23">
        <f t="shared" si="1"/>
        <v>12152484.529302243</v>
      </c>
      <c r="Y36" s="13">
        <f t="shared" si="2"/>
        <v>5.2229669639796876E-3</v>
      </c>
    </row>
    <row r="37" spans="1:25">
      <c r="A37" s="11">
        <f>'Monthly Data'!A37</f>
        <v>40878</v>
      </c>
      <c r="B37" s="6">
        <f t="shared" si="0"/>
        <v>2011</v>
      </c>
      <c r="C37" s="4">
        <f>'Monthly Data'!Q37</f>
        <v>12086426.369935995</v>
      </c>
      <c r="D37" s="30">
        <f>'Monthly Data'!U37</f>
        <v>623.09999999999991</v>
      </c>
      <c r="E37" s="30">
        <f>'Monthly Data'!V37</f>
        <v>0</v>
      </c>
      <c r="F37" s="30">
        <f>'Monthly Data'!X37</f>
        <v>31</v>
      </c>
      <c r="G37" s="30">
        <f>'Monthly Data'!Y37</f>
        <v>6668.3</v>
      </c>
      <c r="H37" s="30">
        <f>'Monthly Data'!AA37</f>
        <v>36</v>
      </c>
      <c r="I37" s="30">
        <f>'Monthly Data'!AM37</f>
        <v>0</v>
      </c>
      <c r="J37" s="30">
        <f>'Monthly Data'!AO37</f>
        <v>0</v>
      </c>
      <c r="K37" s="4">
        <f>'Monthly Data'!AP37</f>
        <v>1</v>
      </c>
      <c r="L37" s="4">
        <f>'Monthly Data'!AQ37</f>
        <v>0</v>
      </c>
      <c r="N37" s="23">
        <f>'LU OLS Model'!$B$5</f>
        <v>-37159358.269763596</v>
      </c>
      <c r="O37" s="23">
        <f>'LU OLS Model'!$B$6*D37</f>
        <v>-1210116.4686374317</v>
      </c>
      <c r="P37" s="23">
        <f>'LU OLS Model'!$B$7*E37</f>
        <v>0</v>
      </c>
      <c r="Q37" s="23">
        <f>'LU OLS Model'!$B$8*F37</f>
        <v>10663463.283272332</v>
      </c>
      <c r="R37" s="23">
        <f>'LU OLS Model'!$B$9*G37</f>
        <v>41996843.200631768</v>
      </c>
      <c r="S37" s="23">
        <f>'LU OLS Model'!$B$10*H37</f>
        <v>-1218865.209122574</v>
      </c>
      <c r="T37" s="23">
        <f>'LU OLS Model'!$B$11*I37</f>
        <v>0</v>
      </c>
      <c r="U37" s="23">
        <f>'LU OLS Model'!$B$12*J37</f>
        <v>0</v>
      </c>
      <c r="V37" s="23">
        <f>'LU OLS Model'!$B$13*K37</f>
        <v>-999570.07441694394</v>
      </c>
      <c r="W37" s="23">
        <f>'LU OLS Model'!$B$14*L37</f>
        <v>0</v>
      </c>
      <c r="X37" s="23">
        <f t="shared" si="1"/>
        <v>12072396.461963557</v>
      </c>
      <c r="Y37" s="13">
        <f t="shared" si="2"/>
        <v>1.1607986962413074E-3</v>
      </c>
    </row>
    <row r="38" spans="1:25">
      <c r="A38" s="11">
        <f>'Monthly Data'!A38</f>
        <v>40909</v>
      </c>
      <c r="B38" s="6">
        <f t="shared" si="0"/>
        <v>2012</v>
      </c>
      <c r="C38" s="4">
        <f>'Monthly Data'!Q38</f>
        <v>12687881.381740851</v>
      </c>
      <c r="D38" s="30">
        <f>'Monthly Data'!U38</f>
        <v>712.69999999999993</v>
      </c>
      <c r="E38" s="30">
        <f>'Monthly Data'!V38</f>
        <v>0</v>
      </c>
      <c r="F38" s="30">
        <f>'Monthly Data'!X38</f>
        <v>31</v>
      </c>
      <c r="G38" s="30">
        <f>'Monthly Data'!Y38</f>
        <v>6635.9</v>
      </c>
      <c r="H38" s="30">
        <f>'Monthly Data'!AA38</f>
        <v>37</v>
      </c>
      <c r="I38" s="30">
        <f>'Monthly Data'!AM38</f>
        <v>0</v>
      </c>
      <c r="J38" s="30">
        <f>'Monthly Data'!AO38</f>
        <v>0</v>
      </c>
      <c r="K38" s="4">
        <f>'Monthly Data'!AP38</f>
        <v>0</v>
      </c>
      <c r="L38" s="4">
        <f>'Monthly Data'!AQ38</f>
        <v>0</v>
      </c>
      <c r="N38" s="23">
        <f>'LU OLS Model'!$B$5</f>
        <v>-37159358.269763596</v>
      </c>
      <c r="O38" s="23">
        <f>'LU OLS Model'!$B$6*D38</f>
        <v>-1384127.7599067527</v>
      </c>
      <c r="P38" s="23">
        <f>'LU OLS Model'!$B$7*E38</f>
        <v>0</v>
      </c>
      <c r="Q38" s="23">
        <f>'LU OLS Model'!$B$8*F38</f>
        <v>10663463.283272332</v>
      </c>
      <c r="R38" s="23">
        <f>'LU OLS Model'!$B$9*G38</f>
        <v>41792788.536069512</v>
      </c>
      <c r="S38" s="23">
        <f>'LU OLS Model'!$B$10*H38</f>
        <v>-1252722.5760426456</v>
      </c>
      <c r="T38" s="23">
        <f>'LU OLS Model'!$B$11*I38</f>
        <v>0</v>
      </c>
      <c r="U38" s="23">
        <f>'LU OLS Model'!$B$12*J38</f>
        <v>0</v>
      </c>
      <c r="V38" s="23">
        <f>'LU OLS Model'!$B$13*K38</f>
        <v>0</v>
      </c>
      <c r="W38" s="23">
        <f>'LU OLS Model'!$B$14*L38</f>
        <v>0</v>
      </c>
      <c r="X38" s="23">
        <f t="shared" si="1"/>
        <v>12660043.213628851</v>
      </c>
      <c r="Y38" s="13">
        <f t="shared" si="2"/>
        <v>2.1940753758986427E-3</v>
      </c>
    </row>
    <row r="39" spans="1:25">
      <c r="A39" s="11">
        <f>'Monthly Data'!A39</f>
        <v>40940</v>
      </c>
      <c r="B39" s="6">
        <f t="shared" si="0"/>
        <v>2012</v>
      </c>
      <c r="C39" s="4">
        <f>'Monthly Data'!Q39</f>
        <v>11983197.462399608</v>
      </c>
      <c r="D39" s="30">
        <f>'Monthly Data'!U39</f>
        <v>604.40000000000009</v>
      </c>
      <c r="E39" s="30">
        <f>'Monthly Data'!V39</f>
        <v>0</v>
      </c>
      <c r="F39" s="30">
        <f>'Monthly Data'!X39</f>
        <v>29</v>
      </c>
      <c r="G39" s="30">
        <f>'Monthly Data'!Y39</f>
        <v>6598</v>
      </c>
      <c r="H39" s="30">
        <f>'Monthly Data'!AA39</f>
        <v>38</v>
      </c>
      <c r="I39" s="30">
        <f>'Monthly Data'!AM39</f>
        <v>0</v>
      </c>
      <c r="J39" s="30">
        <f>'Monthly Data'!AO39</f>
        <v>0</v>
      </c>
      <c r="K39" s="4">
        <f>'Monthly Data'!AP39</f>
        <v>0</v>
      </c>
      <c r="L39" s="4">
        <f>'Monthly Data'!AQ39</f>
        <v>0</v>
      </c>
      <c r="N39" s="23">
        <f>'LU OLS Model'!$B$5</f>
        <v>-37159358.269763596</v>
      </c>
      <c r="O39" s="23">
        <f>'LU OLS Model'!$B$6*D39</f>
        <v>-1173799.3799461788</v>
      </c>
      <c r="P39" s="23">
        <f>'LU OLS Model'!$B$7*E39</f>
        <v>0</v>
      </c>
      <c r="Q39" s="23">
        <f>'LU OLS Model'!$B$8*F39</f>
        <v>9975497.9101579878</v>
      </c>
      <c r="R39" s="23">
        <f>'LU OLS Model'!$B$9*G39</f>
        <v>41554094.962399468</v>
      </c>
      <c r="S39" s="23">
        <f>'LU OLS Model'!$B$10*H39</f>
        <v>-1286579.942962717</v>
      </c>
      <c r="T39" s="23">
        <f>'LU OLS Model'!$B$11*I39</f>
        <v>0</v>
      </c>
      <c r="U39" s="23">
        <f>'LU OLS Model'!$B$12*J39</f>
        <v>0</v>
      </c>
      <c r="V39" s="23">
        <f>'LU OLS Model'!$B$13*K39</f>
        <v>0</v>
      </c>
      <c r="W39" s="23">
        <f>'LU OLS Model'!$B$14*L39</f>
        <v>0</v>
      </c>
      <c r="X39" s="23">
        <f t="shared" si="1"/>
        <v>11909855.279884961</v>
      </c>
      <c r="Y39" s="13">
        <f t="shared" si="2"/>
        <v>6.1204184229440564E-3</v>
      </c>
    </row>
    <row r="40" spans="1:25">
      <c r="A40" s="11">
        <f>'Monthly Data'!A40</f>
        <v>40969</v>
      </c>
      <c r="B40" s="6">
        <f t="shared" si="0"/>
        <v>2012</v>
      </c>
      <c r="C40" s="4">
        <f>'Monthly Data'!Q40</f>
        <v>12365654.656258361</v>
      </c>
      <c r="D40" s="30">
        <f>'Monthly Data'!U40</f>
        <v>412.19999999999993</v>
      </c>
      <c r="E40" s="30">
        <f>'Monthly Data'!V40</f>
        <v>0</v>
      </c>
      <c r="F40" s="30">
        <f>'Monthly Data'!X40</f>
        <v>31</v>
      </c>
      <c r="G40" s="30">
        <f>'Monthly Data'!Y40</f>
        <v>6569.8</v>
      </c>
      <c r="H40" s="30">
        <f>'Monthly Data'!AA40</f>
        <v>39</v>
      </c>
      <c r="I40" s="30">
        <f>'Monthly Data'!AM40</f>
        <v>0</v>
      </c>
      <c r="J40" s="30">
        <f>'Monthly Data'!AO40</f>
        <v>0</v>
      </c>
      <c r="K40" s="4">
        <f>'Monthly Data'!AP40</f>
        <v>0</v>
      </c>
      <c r="L40" s="4">
        <f>'Monthly Data'!AQ40</f>
        <v>0</v>
      </c>
      <c r="N40" s="23">
        <f>'LU OLS Model'!$B$5</f>
        <v>-37159358.269763596</v>
      </c>
      <c r="O40" s="23">
        <f>'LU OLS Model'!$B$6*D40</f>
        <v>-800529.62345105014</v>
      </c>
      <c r="P40" s="23">
        <f>'LU OLS Model'!$B$7*E40</f>
        <v>0</v>
      </c>
      <c r="Q40" s="23">
        <f>'LU OLS Model'!$B$8*F40</f>
        <v>10663463.283272332</v>
      </c>
      <c r="R40" s="23">
        <f>'LU OLS Model'!$B$9*G40</f>
        <v>41376491.828428626</v>
      </c>
      <c r="S40" s="23">
        <f>'LU OLS Model'!$B$10*H40</f>
        <v>-1320437.3098827885</v>
      </c>
      <c r="T40" s="23">
        <f>'LU OLS Model'!$B$11*I40</f>
        <v>0</v>
      </c>
      <c r="U40" s="23">
        <f>'LU OLS Model'!$B$12*J40</f>
        <v>0</v>
      </c>
      <c r="V40" s="23">
        <f>'LU OLS Model'!$B$13*K40</f>
        <v>0</v>
      </c>
      <c r="W40" s="23">
        <f>'LU OLS Model'!$B$14*L40</f>
        <v>0</v>
      </c>
      <c r="X40" s="23">
        <f t="shared" si="1"/>
        <v>12759629.908603529</v>
      </c>
      <c r="Y40" s="13">
        <f t="shared" si="2"/>
        <v>3.186044437572684E-2</v>
      </c>
    </row>
    <row r="41" spans="1:25">
      <c r="A41" s="11">
        <f>'Monthly Data'!A41</f>
        <v>41000</v>
      </c>
      <c r="B41" s="6">
        <f t="shared" si="0"/>
        <v>2012</v>
      </c>
      <c r="C41" s="4">
        <f>'Monthly Data'!Q41</f>
        <v>11808524.705317117</v>
      </c>
      <c r="D41" s="30">
        <f>'Monthly Data'!U41</f>
        <v>358.9</v>
      </c>
      <c r="E41" s="30">
        <f>'Monthly Data'!V41</f>
        <v>0.8</v>
      </c>
      <c r="F41" s="30">
        <f>'Monthly Data'!X41</f>
        <v>30</v>
      </c>
      <c r="G41" s="30">
        <f>'Monthly Data'!Y41</f>
        <v>6603.3</v>
      </c>
      <c r="H41" s="30">
        <f>'Monthly Data'!AA41</f>
        <v>40</v>
      </c>
      <c r="I41" s="30">
        <f>'Monthly Data'!AM41</f>
        <v>0</v>
      </c>
      <c r="J41" s="30">
        <f>'Monthly Data'!AO41</f>
        <v>1</v>
      </c>
      <c r="K41" s="4">
        <f>'Monthly Data'!AP41</f>
        <v>0</v>
      </c>
      <c r="L41" s="4">
        <f>'Monthly Data'!AQ41</f>
        <v>0</v>
      </c>
      <c r="N41" s="23">
        <f>'LU OLS Model'!$B$5</f>
        <v>-37159358.269763596</v>
      </c>
      <c r="O41" s="23">
        <f>'LU OLS Model'!$B$6*D41</f>
        <v>-697016.21022945642</v>
      </c>
      <c r="P41" s="23">
        <f>'LU OLS Model'!$B$7*E41</f>
        <v>15020.89157631968</v>
      </c>
      <c r="Q41" s="23">
        <f>'LU OLS Model'!$B$8*F41</f>
        <v>10319480.59671516</v>
      </c>
      <c r="R41" s="23">
        <f>'LU OLS Model'!$B$9*G41</f>
        <v>41587474.27481243</v>
      </c>
      <c r="S41" s="23">
        <f>'LU OLS Model'!$B$10*H41</f>
        <v>-1354294.6768028601</v>
      </c>
      <c r="T41" s="23">
        <f>'LU OLS Model'!$B$11*I41</f>
        <v>0</v>
      </c>
      <c r="U41" s="23">
        <f>'LU OLS Model'!$B$12*J41</f>
        <v>-1039228.3455262</v>
      </c>
      <c r="V41" s="23">
        <f>'LU OLS Model'!$B$13*K41</f>
        <v>0</v>
      </c>
      <c r="W41" s="23">
        <f>'LU OLS Model'!$B$14*L41</f>
        <v>0</v>
      </c>
      <c r="X41" s="23">
        <f t="shared" si="1"/>
        <v>11672078.260781797</v>
      </c>
      <c r="Y41" s="13">
        <f t="shared" si="2"/>
        <v>1.1554910366904836E-2</v>
      </c>
    </row>
    <row r="42" spans="1:25">
      <c r="A42" s="11">
        <f>'Monthly Data'!A42</f>
        <v>41030</v>
      </c>
      <c r="B42" s="6">
        <f t="shared" si="0"/>
        <v>2012</v>
      </c>
      <c r="C42" s="4">
        <f>'Monthly Data'!Q42</f>
        <v>12602122.195275875</v>
      </c>
      <c r="D42" s="30">
        <f>'Monthly Data'!U42</f>
        <v>94.000000000000014</v>
      </c>
      <c r="E42" s="30">
        <f>'Monthly Data'!V42</f>
        <v>20.100000000000001</v>
      </c>
      <c r="F42" s="30">
        <f>'Monthly Data'!X42</f>
        <v>31</v>
      </c>
      <c r="G42" s="30">
        <f>'Monthly Data'!Y42</f>
        <v>6658.1</v>
      </c>
      <c r="H42" s="30">
        <f>'Monthly Data'!AA42</f>
        <v>41</v>
      </c>
      <c r="I42" s="30">
        <f>'Monthly Data'!AM42</f>
        <v>0</v>
      </c>
      <c r="J42" s="30">
        <f>'Monthly Data'!AO42</f>
        <v>0</v>
      </c>
      <c r="K42" s="4">
        <f>'Monthly Data'!AP42</f>
        <v>0</v>
      </c>
      <c r="L42" s="4">
        <f>'Monthly Data'!AQ42</f>
        <v>1</v>
      </c>
      <c r="N42" s="23">
        <f>'LU OLS Model'!$B$5</f>
        <v>-37159358.269763596</v>
      </c>
      <c r="O42" s="23">
        <f>'LU OLS Model'!$B$6*D42</f>
        <v>-182556.48860843942</v>
      </c>
      <c r="P42" s="23">
        <f>'LU OLS Model'!$B$7*E42</f>
        <v>377399.90085503197</v>
      </c>
      <c r="Q42" s="23">
        <f>'LU OLS Model'!$B$8*F42</f>
        <v>10663463.283272332</v>
      </c>
      <c r="R42" s="23">
        <f>'LU OLS Model'!$B$9*G42</f>
        <v>41932603.769195504</v>
      </c>
      <c r="S42" s="23">
        <f>'LU OLS Model'!$B$10*H42</f>
        <v>-1388152.0437229315</v>
      </c>
      <c r="T42" s="23">
        <f>'LU OLS Model'!$B$11*I42</f>
        <v>0</v>
      </c>
      <c r="U42" s="23">
        <f>'LU OLS Model'!$B$12*J42</f>
        <v>0</v>
      </c>
      <c r="V42" s="23">
        <f>'LU OLS Model'!$B$13*K42</f>
        <v>0</v>
      </c>
      <c r="W42" s="23">
        <f>'LU OLS Model'!$B$14*L42</f>
        <v>-1700644.40454555</v>
      </c>
      <c r="X42" s="23">
        <f t="shared" si="1"/>
        <v>12542755.746682353</v>
      </c>
      <c r="Y42" s="13">
        <f t="shared" si="2"/>
        <v>4.7108294677364769E-3</v>
      </c>
    </row>
    <row r="43" spans="1:25">
      <c r="A43" s="11">
        <f>'Monthly Data'!A43</f>
        <v>41061</v>
      </c>
      <c r="B43" s="6">
        <f t="shared" si="0"/>
        <v>2012</v>
      </c>
      <c r="C43" s="4">
        <f>'Monthly Data'!Q43</f>
        <v>13366894.89953463</v>
      </c>
      <c r="D43" s="30">
        <f>'Monthly Data'!U43</f>
        <v>41.300000000000004</v>
      </c>
      <c r="E43" s="30">
        <f>'Monthly Data'!V43</f>
        <v>51.8</v>
      </c>
      <c r="F43" s="30">
        <f>'Monthly Data'!X43</f>
        <v>30</v>
      </c>
      <c r="G43" s="30">
        <f>'Monthly Data'!Y43</f>
        <v>6737.2</v>
      </c>
      <c r="H43" s="30">
        <f>'Monthly Data'!AA43</f>
        <v>42</v>
      </c>
      <c r="I43" s="30">
        <f>'Monthly Data'!AM43</f>
        <v>0</v>
      </c>
      <c r="J43" s="30">
        <f>'Monthly Data'!AO43</f>
        <v>0</v>
      </c>
      <c r="K43" s="4">
        <f>'Monthly Data'!AP43</f>
        <v>0</v>
      </c>
      <c r="L43" s="4">
        <f>'Monthly Data'!AQ43</f>
        <v>1</v>
      </c>
      <c r="N43" s="23">
        <f>'LU OLS Model'!$B$5</f>
        <v>-37159358.269763596</v>
      </c>
      <c r="O43" s="23">
        <f>'LU OLS Model'!$B$6*D43</f>
        <v>-80208.329569452646</v>
      </c>
      <c r="P43" s="23">
        <f>'LU OLS Model'!$B$7*E43</f>
        <v>972602.72956669924</v>
      </c>
      <c r="Q43" s="23">
        <f>'LU OLS Model'!$B$8*F43</f>
        <v>10319480.59671516</v>
      </c>
      <c r="R43" s="23">
        <f>'LU OLS Model'!$B$9*G43</f>
        <v>42430774.262000263</v>
      </c>
      <c r="S43" s="23">
        <f>'LU OLS Model'!$B$10*H43</f>
        <v>-1422009.4106430029</v>
      </c>
      <c r="T43" s="23">
        <f>'LU OLS Model'!$B$11*I43</f>
        <v>0</v>
      </c>
      <c r="U43" s="23">
        <f>'LU OLS Model'!$B$12*J43</f>
        <v>0</v>
      </c>
      <c r="V43" s="23">
        <f>'LU OLS Model'!$B$13*K43</f>
        <v>0</v>
      </c>
      <c r="W43" s="23">
        <f>'LU OLS Model'!$B$14*L43</f>
        <v>-1700644.40454555</v>
      </c>
      <c r="X43" s="23">
        <f t="shared" si="1"/>
        <v>13360637.173760522</v>
      </c>
      <c r="Y43" s="13">
        <f t="shared" si="2"/>
        <v>4.6815104189420722E-4</v>
      </c>
    </row>
    <row r="44" spans="1:25">
      <c r="A44" s="11">
        <f>'Monthly Data'!A44</f>
        <v>41091</v>
      </c>
      <c r="B44" s="6">
        <f t="shared" si="0"/>
        <v>2012</v>
      </c>
      <c r="C44" s="4">
        <f>'Monthly Data'!Q44</f>
        <v>15543673.288693383</v>
      </c>
      <c r="D44" s="30">
        <f>'Monthly Data'!U44</f>
        <v>0.2</v>
      </c>
      <c r="E44" s="30">
        <f>'Monthly Data'!V44</f>
        <v>120.69999999999996</v>
      </c>
      <c r="F44" s="30">
        <f>'Monthly Data'!X44</f>
        <v>31</v>
      </c>
      <c r="G44" s="30">
        <f>'Monthly Data'!Y44</f>
        <v>6778.6</v>
      </c>
      <c r="H44" s="30">
        <f>'Monthly Data'!AA44</f>
        <v>43</v>
      </c>
      <c r="I44" s="30">
        <f>'Monthly Data'!AM44</f>
        <v>0</v>
      </c>
      <c r="J44" s="30">
        <f>'Monthly Data'!AO44</f>
        <v>0</v>
      </c>
      <c r="K44" s="4">
        <f>'Monthly Data'!AP44</f>
        <v>0</v>
      </c>
      <c r="L44" s="4">
        <f>'Monthly Data'!AQ44</f>
        <v>1</v>
      </c>
      <c r="N44" s="23">
        <f>'LU OLS Model'!$B$5</f>
        <v>-37159358.269763596</v>
      </c>
      <c r="O44" s="23">
        <f>'LU OLS Model'!$B$6*D44</f>
        <v>-388.41806086902005</v>
      </c>
      <c r="P44" s="23">
        <f>'LU OLS Model'!$B$7*E44</f>
        <v>2266277.0165772308</v>
      </c>
      <c r="Q44" s="23">
        <f>'LU OLS Model'!$B$8*F44</f>
        <v>10663463.283272332</v>
      </c>
      <c r="R44" s="23">
        <f>'LU OLS Model'!$B$9*G44</f>
        <v>42691510.777829811</v>
      </c>
      <c r="S44" s="23">
        <f>'LU OLS Model'!$B$10*H44</f>
        <v>-1455866.7775630746</v>
      </c>
      <c r="T44" s="23">
        <f>'LU OLS Model'!$B$11*I44</f>
        <v>0</v>
      </c>
      <c r="U44" s="23">
        <f>'LU OLS Model'!$B$12*J44</f>
        <v>0</v>
      </c>
      <c r="V44" s="23">
        <f>'LU OLS Model'!$B$13*K44</f>
        <v>0</v>
      </c>
      <c r="W44" s="23">
        <f>'LU OLS Model'!$B$14*L44</f>
        <v>-1700644.40454555</v>
      </c>
      <c r="X44" s="23">
        <f t="shared" si="1"/>
        <v>15304993.207746286</v>
      </c>
      <c r="Y44" s="13">
        <f t="shared" si="2"/>
        <v>1.5355448902848181E-2</v>
      </c>
    </row>
    <row r="45" spans="1:25">
      <c r="A45" s="11">
        <f>'Monthly Data'!A45</f>
        <v>41122</v>
      </c>
      <c r="B45" s="6">
        <f t="shared" si="0"/>
        <v>2012</v>
      </c>
      <c r="C45" s="4">
        <f>'Monthly Data'!Q45</f>
        <v>15448054.65755214</v>
      </c>
      <c r="D45" s="30">
        <f>'Monthly Data'!U45</f>
        <v>7.3000000000000007</v>
      </c>
      <c r="E45" s="30">
        <f>'Monthly Data'!V45</f>
        <v>87.199999999999974</v>
      </c>
      <c r="F45" s="30">
        <f>'Monthly Data'!X45</f>
        <v>31</v>
      </c>
      <c r="G45" s="30">
        <f>'Monthly Data'!Y45</f>
        <v>6797.9</v>
      </c>
      <c r="H45" s="30">
        <f>'Monthly Data'!AA45</f>
        <v>44</v>
      </c>
      <c r="I45" s="30">
        <f>'Monthly Data'!AM45</f>
        <v>0</v>
      </c>
      <c r="J45" s="30">
        <f>'Monthly Data'!AO45</f>
        <v>0</v>
      </c>
      <c r="K45" s="4">
        <f>'Monthly Data'!AP45</f>
        <v>0</v>
      </c>
      <c r="L45" s="4">
        <f>'Monthly Data'!AQ45</f>
        <v>1</v>
      </c>
      <c r="N45" s="23">
        <f>'LU OLS Model'!$B$5</f>
        <v>-37159358.269763596</v>
      </c>
      <c r="O45" s="23">
        <f>'LU OLS Model'!$B$6*D45</f>
        <v>-14177.259221719232</v>
      </c>
      <c r="P45" s="23">
        <f>'LU OLS Model'!$B$7*E45</f>
        <v>1637277.1818188445</v>
      </c>
      <c r="Q45" s="23">
        <f>'LU OLS Model'!$B$8*F45</f>
        <v>10663463.283272332</v>
      </c>
      <c r="R45" s="23">
        <f>'LU OLS Model'!$B$9*G45</f>
        <v>42813061.858880773</v>
      </c>
      <c r="S45" s="23">
        <f>'LU OLS Model'!$B$10*H45</f>
        <v>-1489724.144483146</v>
      </c>
      <c r="T45" s="23">
        <f>'LU OLS Model'!$B$11*I45</f>
        <v>0</v>
      </c>
      <c r="U45" s="23">
        <f>'LU OLS Model'!$B$12*J45</f>
        <v>0</v>
      </c>
      <c r="V45" s="23">
        <f>'LU OLS Model'!$B$13*K45</f>
        <v>0</v>
      </c>
      <c r="W45" s="23">
        <f>'LU OLS Model'!$B$14*L45</f>
        <v>-1700644.40454555</v>
      </c>
      <c r="X45" s="23">
        <f t="shared" si="1"/>
        <v>14749898.245957941</v>
      </c>
      <c r="Y45" s="13">
        <f t="shared" si="2"/>
        <v>4.5193807703993914E-2</v>
      </c>
    </row>
    <row r="46" spans="1:25">
      <c r="A46" s="11">
        <f>'Monthly Data'!A46</f>
        <v>41153</v>
      </c>
      <c r="B46" s="6">
        <f t="shared" si="0"/>
        <v>2012</v>
      </c>
      <c r="C46" s="4">
        <f>'Monthly Data'!Q46</f>
        <v>13925687.582410896</v>
      </c>
      <c r="D46" s="30">
        <f>'Monthly Data'!U46</f>
        <v>106.30000000000003</v>
      </c>
      <c r="E46" s="30">
        <f>'Monthly Data'!V46</f>
        <v>20.200000000000003</v>
      </c>
      <c r="F46" s="30">
        <f>'Monthly Data'!X46</f>
        <v>30</v>
      </c>
      <c r="G46" s="30">
        <f>'Monthly Data'!Y46</f>
        <v>6763.1</v>
      </c>
      <c r="H46" s="30">
        <f>'Monthly Data'!AA46</f>
        <v>45</v>
      </c>
      <c r="I46" s="30">
        <f>'Monthly Data'!AM46</f>
        <v>1</v>
      </c>
      <c r="J46" s="30">
        <f>'Monthly Data'!AO46</f>
        <v>0</v>
      </c>
      <c r="K46" s="4">
        <f>'Monthly Data'!AP46</f>
        <v>0</v>
      </c>
      <c r="L46" s="4">
        <f>'Monthly Data'!AQ46</f>
        <v>0</v>
      </c>
      <c r="N46" s="23">
        <f>'LU OLS Model'!$B$5</f>
        <v>-37159358.269763596</v>
      </c>
      <c r="O46" s="23">
        <f>'LU OLS Model'!$B$6*D46</f>
        <v>-206444.19935188419</v>
      </c>
      <c r="P46" s="23">
        <f>'LU OLS Model'!$B$7*E46</f>
        <v>379277.51230207196</v>
      </c>
      <c r="Q46" s="23">
        <f>'LU OLS Model'!$B$8*F46</f>
        <v>10319480.59671516</v>
      </c>
      <c r="R46" s="23">
        <f>'LU OLS Model'!$B$9*G46</f>
        <v>42593892.033980586</v>
      </c>
      <c r="S46" s="23">
        <f>'LU OLS Model'!$B$10*H46</f>
        <v>-1523581.5114032174</v>
      </c>
      <c r="T46" s="23">
        <f>'LU OLS Model'!$B$11*I46</f>
        <v>-1059857.8947751301</v>
      </c>
      <c r="U46" s="23">
        <f>'LU OLS Model'!$B$12*J46</f>
        <v>0</v>
      </c>
      <c r="V46" s="23">
        <f>'LU OLS Model'!$B$13*K46</f>
        <v>0</v>
      </c>
      <c r="W46" s="23">
        <f>'LU OLS Model'!$B$14*L46</f>
        <v>0</v>
      </c>
      <c r="X46" s="23">
        <f t="shared" si="1"/>
        <v>13343408.267703988</v>
      </c>
      <c r="Y46" s="13">
        <f t="shared" si="2"/>
        <v>4.1813326003548111E-2</v>
      </c>
    </row>
    <row r="47" spans="1:25">
      <c r="A47" s="11">
        <f>'Monthly Data'!A47</f>
        <v>41183</v>
      </c>
      <c r="B47" s="6">
        <f t="shared" si="0"/>
        <v>2012</v>
      </c>
      <c r="C47" s="4">
        <f>'Monthly Data'!Q47</f>
        <v>13003928.864269651</v>
      </c>
      <c r="D47" s="30">
        <f>'Monthly Data'!U47</f>
        <v>259.09999999999991</v>
      </c>
      <c r="E47" s="30">
        <f>'Monthly Data'!V47</f>
        <v>0</v>
      </c>
      <c r="F47" s="30">
        <f>'Monthly Data'!X47</f>
        <v>31</v>
      </c>
      <c r="G47" s="30">
        <f>'Monthly Data'!Y47</f>
        <v>6740.9</v>
      </c>
      <c r="H47" s="30">
        <f>'Monthly Data'!AA47</f>
        <v>46</v>
      </c>
      <c r="I47" s="30">
        <f>'Monthly Data'!AM47</f>
        <v>1</v>
      </c>
      <c r="J47" s="30">
        <f>'Monthly Data'!AO47</f>
        <v>0</v>
      </c>
      <c r="K47" s="4">
        <f>'Monthly Data'!AP47</f>
        <v>0</v>
      </c>
      <c r="L47" s="4">
        <f>'Monthly Data'!AQ47</f>
        <v>0</v>
      </c>
      <c r="N47" s="23">
        <f>'LU OLS Model'!$B$5</f>
        <v>-37159358.269763596</v>
      </c>
      <c r="O47" s="23">
        <f>'LU OLS Model'!$B$6*D47</f>
        <v>-503195.59785581526</v>
      </c>
      <c r="P47" s="23">
        <f>'LU OLS Model'!$B$7*E47</f>
        <v>0</v>
      </c>
      <c r="Q47" s="23">
        <f>'LU OLS Model'!$B$8*F47</f>
        <v>10663463.283272332</v>
      </c>
      <c r="R47" s="23">
        <f>'LU OLS Model'!$B$9*G47</f>
        <v>42454076.800854586</v>
      </c>
      <c r="S47" s="23">
        <f>'LU OLS Model'!$B$10*H47</f>
        <v>-1557438.8783232891</v>
      </c>
      <c r="T47" s="23">
        <f>'LU OLS Model'!$B$11*I47</f>
        <v>-1059857.8947751301</v>
      </c>
      <c r="U47" s="23">
        <f>'LU OLS Model'!$B$12*J47</f>
        <v>0</v>
      </c>
      <c r="V47" s="23">
        <f>'LU OLS Model'!$B$13*K47</f>
        <v>0</v>
      </c>
      <c r="W47" s="23">
        <f>'LU OLS Model'!$B$14*L47</f>
        <v>0</v>
      </c>
      <c r="X47" s="23">
        <f t="shared" si="1"/>
        <v>12837689.443409091</v>
      </c>
      <c r="Y47" s="13">
        <f t="shared" si="2"/>
        <v>1.2783784239033303E-2</v>
      </c>
    </row>
    <row r="48" spans="1:25">
      <c r="A48" s="11">
        <f>'Monthly Data'!A48</f>
        <v>41214</v>
      </c>
      <c r="B48" s="6">
        <f t="shared" si="0"/>
        <v>2012</v>
      </c>
      <c r="C48" s="4">
        <f>'Monthly Data'!Q48</f>
        <v>12248431.335128408</v>
      </c>
      <c r="D48" s="30">
        <f>'Monthly Data'!U48</f>
        <v>498.9</v>
      </c>
      <c r="E48" s="30">
        <f>'Monthly Data'!V48</f>
        <v>0</v>
      </c>
      <c r="F48" s="30">
        <f>'Monthly Data'!X48</f>
        <v>30</v>
      </c>
      <c r="G48" s="30">
        <f>'Monthly Data'!Y48</f>
        <v>6727.4</v>
      </c>
      <c r="H48" s="30">
        <f>'Monthly Data'!AA48</f>
        <v>47</v>
      </c>
      <c r="I48" s="30">
        <f>'Monthly Data'!AM48</f>
        <v>1</v>
      </c>
      <c r="J48" s="30">
        <f>'Monthly Data'!AO48</f>
        <v>0</v>
      </c>
      <c r="K48" s="4">
        <f>'Monthly Data'!AP48</f>
        <v>0</v>
      </c>
      <c r="L48" s="4">
        <f>'Monthly Data'!AQ48</f>
        <v>0</v>
      </c>
      <c r="N48" s="23">
        <f>'LU OLS Model'!$B$5</f>
        <v>-37159358.269763596</v>
      </c>
      <c r="O48" s="23">
        <f>'LU OLS Model'!$B$6*D48</f>
        <v>-968908.85283777036</v>
      </c>
      <c r="P48" s="23">
        <f>'LU OLS Model'!$B$7*E48</f>
        <v>0</v>
      </c>
      <c r="Q48" s="23">
        <f>'LU OLS Model'!$B$8*F48</f>
        <v>10319480.59671516</v>
      </c>
      <c r="R48" s="23">
        <f>'LU OLS Model'!$B$9*G48</f>
        <v>42369054.023953654</v>
      </c>
      <c r="S48" s="23">
        <f>'LU OLS Model'!$B$10*H48</f>
        <v>-1591296.2452433605</v>
      </c>
      <c r="T48" s="23">
        <f>'LU OLS Model'!$B$11*I48</f>
        <v>-1059857.8947751301</v>
      </c>
      <c r="U48" s="23">
        <f>'LU OLS Model'!$B$12*J48</f>
        <v>0</v>
      </c>
      <c r="V48" s="23">
        <f>'LU OLS Model'!$B$13*K48</f>
        <v>0</v>
      </c>
      <c r="W48" s="23">
        <f>'LU OLS Model'!$B$14*L48</f>
        <v>0</v>
      </c>
      <c r="X48" s="23">
        <f t="shared" si="1"/>
        <v>11909113.358048955</v>
      </c>
      <c r="Y48" s="13">
        <f t="shared" si="2"/>
        <v>2.7702974184644492E-2</v>
      </c>
    </row>
    <row r="49" spans="1:25">
      <c r="A49" s="11">
        <f>'Monthly Data'!A49</f>
        <v>41244</v>
      </c>
      <c r="B49" s="6">
        <f t="shared" si="0"/>
        <v>2012</v>
      </c>
      <c r="C49" s="4">
        <f>'Monthly Data'!Q49</f>
        <v>12006009.248987164</v>
      </c>
      <c r="D49" s="30">
        <f>'Monthly Data'!U49</f>
        <v>648.19999999999993</v>
      </c>
      <c r="E49" s="30">
        <f>'Monthly Data'!V49</f>
        <v>0</v>
      </c>
      <c r="F49" s="30">
        <f>'Monthly Data'!X49</f>
        <v>31</v>
      </c>
      <c r="G49" s="30">
        <f>'Monthly Data'!Y49</f>
        <v>6740.2</v>
      </c>
      <c r="H49" s="30">
        <f>'Monthly Data'!AA49</f>
        <v>48</v>
      </c>
      <c r="I49" s="30">
        <f>'Monthly Data'!AM49</f>
        <v>0</v>
      </c>
      <c r="J49" s="30">
        <f>'Monthly Data'!AO49</f>
        <v>0</v>
      </c>
      <c r="K49" s="4">
        <f>'Monthly Data'!AP49</f>
        <v>1</v>
      </c>
      <c r="L49" s="4">
        <f>'Monthly Data'!AQ49</f>
        <v>0</v>
      </c>
      <c r="N49" s="23">
        <f>'LU OLS Model'!$B$5</f>
        <v>-37159358.269763596</v>
      </c>
      <c r="O49" s="23">
        <f>'LU OLS Model'!$B$6*D49</f>
        <v>-1258862.9352764937</v>
      </c>
      <c r="P49" s="23">
        <f>'LU OLS Model'!$B$7*E49</f>
        <v>0</v>
      </c>
      <c r="Q49" s="23">
        <f>'LU OLS Model'!$B$8*F49</f>
        <v>10663463.283272332</v>
      </c>
      <c r="R49" s="23">
        <f>'LU OLS Model'!$B$9*G49</f>
        <v>42449668.212422691</v>
      </c>
      <c r="S49" s="23">
        <f>'LU OLS Model'!$B$10*H49</f>
        <v>-1625153.6121634319</v>
      </c>
      <c r="T49" s="23">
        <f>'LU OLS Model'!$B$11*I49</f>
        <v>0</v>
      </c>
      <c r="U49" s="23">
        <f>'LU OLS Model'!$B$12*J49</f>
        <v>0</v>
      </c>
      <c r="V49" s="23">
        <f>'LU OLS Model'!$B$13*K49</f>
        <v>-999570.07441694394</v>
      </c>
      <c r="W49" s="23">
        <f>'LU OLS Model'!$B$14*L49</f>
        <v>0</v>
      </c>
      <c r="X49" s="23">
        <f t="shared" si="1"/>
        <v>12070186.604074558</v>
      </c>
      <c r="Y49" s="13">
        <f t="shared" si="2"/>
        <v>5.3454360859173872E-3</v>
      </c>
    </row>
    <row r="50" spans="1:25">
      <c r="A50" s="11">
        <f>'Monthly Data'!A50</f>
        <v>41275</v>
      </c>
      <c r="B50" s="6">
        <f t="shared" si="0"/>
        <v>2013</v>
      </c>
      <c r="C50" s="4">
        <f>'Monthly Data'!Q50</f>
        <v>12946169.933968732</v>
      </c>
      <c r="D50" s="30">
        <f>'Monthly Data'!U50</f>
        <v>743.9</v>
      </c>
      <c r="E50" s="30">
        <f>'Monthly Data'!V50</f>
        <v>0</v>
      </c>
      <c r="F50" s="30">
        <f>'Monthly Data'!X50</f>
        <v>31</v>
      </c>
      <c r="G50" s="30">
        <f>'Monthly Data'!Y50</f>
        <v>6721.7</v>
      </c>
      <c r="H50" s="30">
        <f>'Monthly Data'!AA50</f>
        <v>49</v>
      </c>
      <c r="I50" s="30">
        <f>'Monthly Data'!AM50</f>
        <v>0</v>
      </c>
      <c r="J50" s="30">
        <f>'Monthly Data'!AO50</f>
        <v>0</v>
      </c>
      <c r="K50" s="4">
        <f>'Monthly Data'!AP50</f>
        <v>0</v>
      </c>
      <c r="L50" s="4">
        <f>'Monthly Data'!AQ50</f>
        <v>0</v>
      </c>
      <c r="N50" s="23">
        <f>'LU OLS Model'!$B$5</f>
        <v>-37159358.269763596</v>
      </c>
      <c r="O50" s="23">
        <f>'LU OLS Model'!$B$6*D50</f>
        <v>-1444720.9774023199</v>
      </c>
      <c r="P50" s="23">
        <f>'LU OLS Model'!$B$7*E50</f>
        <v>0</v>
      </c>
      <c r="Q50" s="23">
        <f>'LU OLS Model'!$B$8*F50</f>
        <v>10663463.283272332</v>
      </c>
      <c r="R50" s="23">
        <f>'LU OLS Model'!$B$9*G50</f>
        <v>42333155.51815103</v>
      </c>
      <c r="S50" s="23">
        <f>'LU OLS Model'!$B$10*H50</f>
        <v>-1659010.9790835036</v>
      </c>
      <c r="T50" s="23">
        <f>'LU OLS Model'!$B$11*I50</f>
        <v>0</v>
      </c>
      <c r="U50" s="23">
        <f>'LU OLS Model'!$B$12*J50</f>
        <v>0</v>
      </c>
      <c r="V50" s="23">
        <f>'LU OLS Model'!$B$13*K50</f>
        <v>0</v>
      </c>
      <c r="W50" s="23">
        <f>'LU OLS Model'!$B$14*L50</f>
        <v>0</v>
      </c>
      <c r="X50" s="23">
        <f t="shared" si="1"/>
        <v>12733528.575173941</v>
      </c>
      <c r="Y50" s="13">
        <f t="shared" si="2"/>
        <v>1.6425039983204132E-2</v>
      </c>
    </row>
    <row r="51" spans="1:25">
      <c r="A51" s="11">
        <f>'Monthly Data'!A51</f>
        <v>41306</v>
      </c>
      <c r="B51" s="6">
        <f t="shared" si="0"/>
        <v>2013</v>
      </c>
      <c r="C51" s="4">
        <f>'Monthly Data'!Q51</f>
        <v>11918008.924639778</v>
      </c>
      <c r="D51" s="30">
        <f>'Monthly Data'!U51</f>
        <v>693.5</v>
      </c>
      <c r="E51" s="30">
        <f>'Monthly Data'!V51</f>
        <v>0</v>
      </c>
      <c r="F51" s="30">
        <f>'Monthly Data'!X51</f>
        <v>28</v>
      </c>
      <c r="G51" s="30">
        <f>'Monthly Data'!Y51</f>
        <v>6702</v>
      </c>
      <c r="H51" s="30">
        <f>'Monthly Data'!AA51</f>
        <v>50</v>
      </c>
      <c r="I51" s="30">
        <f>'Monthly Data'!AM51</f>
        <v>0</v>
      </c>
      <c r="J51" s="30">
        <f>'Monthly Data'!AO51</f>
        <v>0</v>
      </c>
      <c r="K51" s="4">
        <f>'Monthly Data'!AP51</f>
        <v>0</v>
      </c>
      <c r="L51" s="4">
        <f>'Monthly Data'!AQ51</f>
        <v>0</v>
      </c>
      <c r="N51" s="23">
        <f>'LU OLS Model'!$B$5</f>
        <v>-37159358.269763596</v>
      </c>
      <c r="O51" s="23">
        <f>'LU OLS Model'!$B$6*D51</f>
        <v>-1346839.6260633268</v>
      </c>
      <c r="P51" s="23">
        <f>'LU OLS Model'!$B$7*E51</f>
        <v>0</v>
      </c>
      <c r="Q51" s="23">
        <f>'LU OLS Model'!$B$8*F51</f>
        <v>9631515.223600816</v>
      </c>
      <c r="R51" s="23">
        <f>'LU OLS Model'!$B$9*G51</f>
        <v>42209085.243710406</v>
      </c>
      <c r="S51" s="23">
        <f>'LU OLS Model'!$B$10*H51</f>
        <v>-1692868.346003575</v>
      </c>
      <c r="T51" s="23">
        <f>'LU OLS Model'!$B$11*I51</f>
        <v>0</v>
      </c>
      <c r="U51" s="23">
        <f>'LU OLS Model'!$B$12*J51</f>
        <v>0</v>
      </c>
      <c r="V51" s="23">
        <f>'LU OLS Model'!$B$13*K51</f>
        <v>0</v>
      </c>
      <c r="W51" s="23">
        <f>'LU OLS Model'!$B$14*L51</f>
        <v>0</v>
      </c>
      <c r="X51" s="23">
        <f t="shared" si="1"/>
        <v>11641534.225480726</v>
      </c>
      <c r="Y51" s="13">
        <f t="shared" si="2"/>
        <v>2.3198061094538799E-2</v>
      </c>
    </row>
    <row r="52" spans="1:25">
      <c r="A52" s="11">
        <f>'Monthly Data'!A52</f>
        <v>41334</v>
      </c>
      <c r="B52" s="6">
        <f t="shared" si="0"/>
        <v>2013</v>
      </c>
      <c r="C52" s="4">
        <f>'Monthly Data'!Q52</f>
        <v>12785963.206510823</v>
      </c>
      <c r="D52" s="30">
        <f>'Monthly Data'!U52</f>
        <v>588.30000000000018</v>
      </c>
      <c r="E52" s="30">
        <f>'Monthly Data'!V52</f>
        <v>0</v>
      </c>
      <c r="F52" s="30">
        <f>'Monthly Data'!X52</f>
        <v>31</v>
      </c>
      <c r="G52" s="30">
        <f>'Monthly Data'!Y52</f>
        <v>6675.8</v>
      </c>
      <c r="H52" s="30">
        <f>'Monthly Data'!AA52</f>
        <v>51</v>
      </c>
      <c r="I52" s="30">
        <f>'Monthly Data'!AM52</f>
        <v>0</v>
      </c>
      <c r="J52" s="30">
        <f>'Monthly Data'!AO52</f>
        <v>0</v>
      </c>
      <c r="K52" s="4">
        <f>'Monthly Data'!AP52</f>
        <v>0</v>
      </c>
      <c r="L52" s="4">
        <f>'Monthly Data'!AQ52</f>
        <v>0</v>
      </c>
      <c r="N52" s="23">
        <f>'LU OLS Model'!$B$5</f>
        <v>-37159358.269763596</v>
      </c>
      <c r="O52" s="23">
        <f>'LU OLS Model'!$B$6*D52</f>
        <v>-1142531.7260462227</v>
      </c>
      <c r="P52" s="23">
        <f>'LU OLS Model'!$B$7*E52</f>
        <v>0</v>
      </c>
      <c r="Q52" s="23">
        <f>'LU OLS Model'!$B$8*F52</f>
        <v>10663463.283272332</v>
      </c>
      <c r="R52" s="23">
        <f>'LU OLS Model'!$B$9*G52</f>
        <v>42044078.076687843</v>
      </c>
      <c r="S52" s="23">
        <f>'LU OLS Model'!$B$10*H52</f>
        <v>-1726725.7129236467</v>
      </c>
      <c r="T52" s="23">
        <f>'LU OLS Model'!$B$11*I52</f>
        <v>0</v>
      </c>
      <c r="U52" s="23">
        <f>'LU OLS Model'!$B$12*J52</f>
        <v>0</v>
      </c>
      <c r="V52" s="23">
        <f>'LU OLS Model'!$B$13*K52</f>
        <v>0</v>
      </c>
      <c r="W52" s="23">
        <f>'LU OLS Model'!$B$14*L52</f>
        <v>0</v>
      </c>
      <c r="X52" s="23">
        <f t="shared" si="1"/>
        <v>12678925.651226714</v>
      </c>
      <c r="Y52" s="13">
        <f t="shared" si="2"/>
        <v>8.3714893868616549E-3</v>
      </c>
    </row>
    <row r="53" spans="1:25">
      <c r="A53" s="11">
        <f>'Monthly Data'!A53</f>
        <v>41365</v>
      </c>
      <c r="B53" s="6">
        <f t="shared" si="0"/>
        <v>2013</v>
      </c>
      <c r="C53" s="4">
        <f>'Monthly Data'!Q53</f>
        <v>12157037.078981869</v>
      </c>
      <c r="D53" s="30">
        <f>'Monthly Data'!U53</f>
        <v>386.99999999999989</v>
      </c>
      <c r="E53" s="30">
        <f>'Monthly Data'!V53</f>
        <v>0</v>
      </c>
      <c r="F53" s="30">
        <f>'Monthly Data'!X53</f>
        <v>30</v>
      </c>
      <c r="G53" s="30">
        <f>'Monthly Data'!Y53</f>
        <v>6703.7</v>
      </c>
      <c r="H53" s="30">
        <f>'Monthly Data'!AA53</f>
        <v>52</v>
      </c>
      <c r="I53" s="30">
        <f>'Monthly Data'!AM53</f>
        <v>0</v>
      </c>
      <c r="J53" s="30">
        <f>'Monthly Data'!AO53</f>
        <v>1</v>
      </c>
      <c r="K53" s="4">
        <f>'Monthly Data'!AP53</f>
        <v>0</v>
      </c>
      <c r="L53" s="4">
        <f>'Monthly Data'!AQ53</f>
        <v>0</v>
      </c>
      <c r="N53" s="23">
        <f>'LU OLS Model'!$B$5</f>
        <v>-37159358.269763596</v>
      </c>
      <c r="O53" s="23">
        <f>'LU OLS Model'!$B$6*D53</f>
        <v>-751588.94778155349</v>
      </c>
      <c r="P53" s="23">
        <f>'LU OLS Model'!$B$7*E53</f>
        <v>0</v>
      </c>
      <c r="Q53" s="23">
        <f>'LU OLS Model'!$B$8*F53</f>
        <v>10319480.59671516</v>
      </c>
      <c r="R53" s="23">
        <f>'LU OLS Model'!$B$9*G53</f>
        <v>42219791.815616451</v>
      </c>
      <c r="S53" s="23">
        <f>'LU OLS Model'!$B$10*H53</f>
        <v>-1760583.0798437181</v>
      </c>
      <c r="T53" s="23">
        <f>'LU OLS Model'!$B$11*I53</f>
        <v>0</v>
      </c>
      <c r="U53" s="23">
        <f>'LU OLS Model'!$B$12*J53</f>
        <v>-1039228.3455262</v>
      </c>
      <c r="V53" s="23">
        <f>'LU OLS Model'!$B$13*K53</f>
        <v>0</v>
      </c>
      <c r="W53" s="23">
        <f>'LU OLS Model'!$B$14*L53</f>
        <v>0</v>
      </c>
      <c r="X53" s="23">
        <f t="shared" si="1"/>
        <v>11828513.769416541</v>
      </c>
      <c r="Y53" s="13">
        <f t="shared" si="2"/>
        <v>2.7023304069155749E-2</v>
      </c>
    </row>
    <row r="54" spans="1:25">
      <c r="A54" s="11">
        <f>'Monthly Data'!A54</f>
        <v>41395</v>
      </c>
      <c r="B54" s="6">
        <f t="shared" si="0"/>
        <v>2013</v>
      </c>
      <c r="C54" s="4">
        <f>'Monthly Data'!Q54</f>
        <v>12523396.567452911</v>
      </c>
      <c r="D54" s="30">
        <f>'Monthly Data'!U54</f>
        <v>139.70000000000002</v>
      </c>
      <c r="E54" s="30">
        <f>'Monthly Data'!V54</f>
        <v>6.3</v>
      </c>
      <c r="F54" s="30">
        <f>'Monthly Data'!X54</f>
        <v>31</v>
      </c>
      <c r="G54" s="30">
        <f>'Monthly Data'!Y54</f>
        <v>6770.3</v>
      </c>
      <c r="H54" s="30">
        <f>'Monthly Data'!AA54</f>
        <v>53</v>
      </c>
      <c r="I54" s="30">
        <f>'Monthly Data'!AM54</f>
        <v>0</v>
      </c>
      <c r="J54" s="30">
        <f>'Monthly Data'!AO54</f>
        <v>0</v>
      </c>
      <c r="K54" s="4">
        <f>'Monthly Data'!AP54</f>
        <v>0</v>
      </c>
      <c r="L54" s="4">
        <f>'Monthly Data'!AQ54</f>
        <v>1</v>
      </c>
      <c r="N54" s="23">
        <f>'LU OLS Model'!$B$5</f>
        <v>-37159358.269763596</v>
      </c>
      <c r="O54" s="23">
        <f>'LU OLS Model'!$B$6*D54</f>
        <v>-271310.01551701053</v>
      </c>
      <c r="P54" s="23">
        <f>'LU OLS Model'!$B$7*E54</f>
        <v>118289.52116351748</v>
      </c>
      <c r="Q54" s="23">
        <f>'LU OLS Model'!$B$8*F54</f>
        <v>10663463.283272332</v>
      </c>
      <c r="R54" s="23">
        <f>'LU OLS Model'!$B$9*G54</f>
        <v>42639237.514994413</v>
      </c>
      <c r="S54" s="23">
        <f>'LU OLS Model'!$B$10*H54</f>
        <v>-1794440.4467637895</v>
      </c>
      <c r="T54" s="23">
        <f>'LU OLS Model'!$B$11*I54</f>
        <v>0</v>
      </c>
      <c r="U54" s="23">
        <f>'LU OLS Model'!$B$12*J54</f>
        <v>0</v>
      </c>
      <c r="V54" s="23">
        <f>'LU OLS Model'!$B$13*K54</f>
        <v>0</v>
      </c>
      <c r="W54" s="23">
        <f>'LU OLS Model'!$B$14*L54</f>
        <v>-1700644.40454555</v>
      </c>
      <c r="X54" s="23">
        <f t="shared" si="1"/>
        <v>12495237.182840316</v>
      </c>
      <c r="Y54" s="13">
        <f t="shared" si="2"/>
        <v>2.2485421156253379E-3</v>
      </c>
    </row>
    <row r="55" spans="1:25">
      <c r="A55" s="11">
        <f>'Monthly Data'!A55</f>
        <v>41426</v>
      </c>
      <c r="B55" s="6">
        <f t="shared" si="0"/>
        <v>2013</v>
      </c>
      <c r="C55" s="4">
        <f>'Monthly Data'!Q55</f>
        <v>12722039.760923959</v>
      </c>
      <c r="D55" s="30">
        <f>'Monthly Data'!U55</f>
        <v>72.200000000000017</v>
      </c>
      <c r="E55" s="30">
        <f>'Monthly Data'!V55</f>
        <v>30.800000000000004</v>
      </c>
      <c r="F55" s="30">
        <f>'Monthly Data'!X55</f>
        <v>30</v>
      </c>
      <c r="G55" s="30">
        <f>'Monthly Data'!Y55</f>
        <v>6861.8</v>
      </c>
      <c r="H55" s="30">
        <f>'Monthly Data'!AA55</f>
        <v>54</v>
      </c>
      <c r="I55" s="30">
        <f>'Monthly Data'!AM55</f>
        <v>0</v>
      </c>
      <c r="J55" s="30">
        <f>'Monthly Data'!AO55</f>
        <v>0</v>
      </c>
      <c r="K55" s="4">
        <f>'Monthly Data'!AP55</f>
        <v>0</v>
      </c>
      <c r="L55" s="4">
        <f>'Monthly Data'!AQ55</f>
        <v>1</v>
      </c>
      <c r="N55" s="23">
        <f>'LU OLS Model'!$B$5</f>
        <v>-37159358.269763596</v>
      </c>
      <c r="O55" s="23">
        <f>'LU OLS Model'!$B$6*D55</f>
        <v>-140218.91997371626</v>
      </c>
      <c r="P55" s="23">
        <f>'LU OLS Model'!$B$7*E55</f>
        <v>578304.32568830776</v>
      </c>
      <c r="Q55" s="23">
        <f>'LU OLS Model'!$B$8*F55</f>
        <v>10319480.59671516</v>
      </c>
      <c r="R55" s="23">
        <f>'LU OLS Model'!$B$9*G55</f>
        <v>43215503.002878554</v>
      </c>
      <c r="S55" s="23">
        <f>'LU OLS Model'!$B$10*H55</f>
        <v>-1828297.8136838612</v>
      </c>
      <c r="T55" s="23">
        <f>'LU OLS Model'!$B$11*I55</f>
        <v>0</v>
      </c>
      <c r="U55" s="23">
        <f>'LU OLS Model'!$B$12*J55</f>
        <v>0</v>
      </c>
      <c r="V55" s="23">
        <f>'LU OLS Model'!$B$13*K55</f>
        <v>0</v>
      </c>
      <c r="W55" s="23">
        <f>'LU OLS Model'!$B$14*L55</f>
        <v>-1700644.40454555</v>
      </c>
      <c r="X55" s="23">
        <f t="shared" si="1"/>
        <v>13284768.5173153</v>
      </c>
      <c r="Y55" s="13">
        <f t="shared" si="2"/>
        <v>4.4232589031813541E-2</v>
      </c>
    </row>
    <row r="56" spans="1:25">
      <c r="A56" s="11">
        <f>'Monthly Data'!A56</f>
        <v>41456</v>
      </c>
      <c r="B56" s="6">
        <f t="shared" si="0"/>
        <v>2013</v>
      </c>
      <c r="C56" s="4">
        <f>'Monthly Data'!Q56</f>
        <v>15454178.324395005</v>
      </c>
      <c r="D56" s="30">
        <f>'Monthly Data'!U56</f>
        <v>4.8</v>
      </c>
      <c r="E56" s="30">
        <f>'Monthly Data'!V56</f>
        <v>97.09999999999998</v>
      </c>
      <c r="F56" s="30">
        <f>'Monthly Data'!X56</f>
        <v>31</v>
      </c>
      <c r="G56" s="30">
        <f>'Monthly Data'!Y56</f>
        <v>6917.1</v>
      </c>
      <c r="H56" s="30">
        <f>'Monthly Data'!AA56</f>
        <v>55</v>
      </c>
      <c r="I56" s="30">
        <f>'Monthly Data'!AM56</f>
        <v>0</v>
      </c>
      <c r="J56" s="30">
        <f>'Monthly Data'!AO56</f>
        <v>0</v>
      </c>
      <c r="K56" s="4">
        <f>'Monthly Data'!AP56</f>
        <v>0</v>
      </c>
      <c r="L56" s="4">
        <f>'Monthly Data'!AQ56</f>
        <v>1</v>
      </c>
      <c r="N56" s="23">
        <f>'LU OLS Model'!$B$5</f>
        <v>-37159358.269763596</v>
      </c>
      <c r="O56" s="23">
        <f>'LU OLS Model'!$B$6*D56</f>
        <v>-9322.0334608564808</v>
      </c>
      <c r="P56" s="23">
        <f>'LU OLS Model'!$B$7*E56</f>
        <v>1823160.7150758007</v>
      </c>
      <c r="Q56" s="23">
        <f>'LU OLS Model'!$B$8*F56</f>
        <v>10663463.283272332</v>
      </c>
      <c r="R56" s="23">
        <f>'LU OLS Model'!$B$9*G56</f>
        <v>43563781.488998696</v>
      </c>
      <c r="S56" s="23">
        <f>'LU OLS Model'!$B$10*H56</f>
        <v>-1862155.1806039326</v>
      </c>
      <c r="T56" s="23">
        <f>'LU OLS Model'!$B$11*I56</f>
        <v>0</v>
      </c>
      <c r="U56" s="23">
        <f>'LU OLS Model'!$B$12*J56</f>
        <v>0</v>
      </c>
      <c r="V56" s="23">
        <f>'LU OLS Model'!$B$13*K56</f>
        <v>0</v>
      </c>
      <c r="W56" s="23">
        <f>'LU OLS Model'!$B$14*L56</f>
        <v>-1700644.40454555</v>
      </c>
      <c r="X56" s="23">
        <f t="shared" si="1"/>
        <v>15318925.598972894</v>
      </c>
      <c r="Y56" s="13">
        <f t="shared" si="2"/>
        <v>8.7518548435932611E-3</v>
      </c>
    </row>
    <row r="57" spans="1:25">
      <c r="A57" s="11">
        <f>'Monthly Data'!A57</f>
        <v>41487</v>
      </c>
      <c r="B57" s="6">
        <f t="shared" si="0"/>
        <v>2013</v>
      </c>
      <c r="C57" s="4">
        <f>'Monthly Data'!Q57</f>
        <v>14808216.64886605</v>
      </c>
      <c r="D57" s="30">
        <f>'Monthly Data'!U57</f>
        <v>7.7</v>
      </c>
      <c r="E57" s="30">
        <f>'Monthly Data'!V57</f>
        <v>59.999999999999993</v>
      </c>
      <c r="F57" s="30">
        <f>'Monthly Data'!X57</f>
        <v>31</v>
      </c>
      <c r="G57" s="30">
        <f>'Monthly Data'!Y57</f>
        <v>6934.7</v>
      </c>
      <c r="H57" s="30">
        <f>'Monthly Data'!AA57</f>
        <v>56</v>
      </c>
      <c r="I57" s="30">
        <f>'Monthly Data'!AM57</f>
        <v>0</v>
      </c>
      <c r="J57" s="30">
        <f>'Monthly Data'!AO57</f>
        <v>0</v>
      </c>
      <c r="K57" s="4">
        <f>'Monthly Data'!AP57</f>
        <v>0</v>
      </c>
      <c r="L57" s="4">
        <f>'Monthly Data'!AQ57</f>
        <v>1</v>
      </c>
      <c r="N57" s="23">
        <f>'LU OLS Model'!$B$5</f>
        <v>-37159358.269763596</v>
      </c>
      <c r="O57" s="23">
        <f>'LU OLS Model'!$B$6*D57</f>
        <v>-14954.095343457271</v>
      </c>
      <c r="P57" s="23">
        <f>'LU OLS Model'!$B$7*E57</f>
        <v>1126566.8682239759</v>
      </c>
      <c r="Q57" s="23">
        <f>'LU OLS Model'!$B$8*F57</f>
        <v>10663463.283272332</v>
      </c>
      <c r="R57" s="23">
        <f>'LU OLS Model'!$B$9*G57</f>
        <v>43674625.998143621</v>
      </c>
      <c r="S57" s="23">
        <f>'LU OLS Model'!$B$10*H57</f>
        <v>-1896012.547524004</v>
      </c>
      <c r="T57" s="23">
        <f>'LU OLS Model'!$B$11*I57</f>
        <v>0</v>
      </c>
      <c r="U57" s="23">
        <f>'LU OLS Model'!$B$12*J57</f>
        <v>0</v>
      </c>
      <c r="V57" s="23">
        <f>'LU OLS Model'!$B$13*K57</f>
        <v>0</v>
      </c>
      <c r="W57" s="23">
        <f>'LU OLS Model'!$B$14*L57</f>
        <v>-1700644.40454555</v>
      </c>
      <c r="X57" s="23">
        <f t="shared" si="1"/>
        <v>14693686.832463322</v>
      </c>
      <c r="Y57" s="13">
        <f t="shared" si="2"/>
        <v>7.7342072390261755E-3</v>
      </c>
    </row>
    <row r="58" spans="1:25">
      <c r="A58" s="11">
        <f>'Monthly Data'!A58</f>
        <v>41518</v>
      </c>
      <c r="B58" s="6">
        <f t="shared" si="0"/>
        <v>2013</v>
      </c>
      <c r="C58" s="4">
        <f>'Monthly Data'!Q58</f>
        <v>13501871.533337096</v>
      </c>
      <c r="D58" s="30">
        <f>'Monthly Data'!U58</f>
        <v>118.4</v>
      </c>
      <c r="E58" s="30">
        <f>'Monthly Data'!V58</f>
        <v>16.5</v>
      </c>
      <c r="F58" s="30">
        <f>'Monthly Data'!X58</f>
        <v>30</v>
      </c>
      <c r="G58" s="30">
        <f>'Monthly Data'!Y58</f>
        <v>6906.9</v>
      </c>
      <c r="H58" s="30">
        <f>'Monthly Data'!AA58</f>
        <v>57</v>
      </c>
      <c r="I58" s="30">
        <f>'Monthly Data'!AM58</f>
        <v>1</v>
      </c>
      <c r="J58" s="30">
        <f>'Monthly Data'!AO58</f>
        <v>0</v>
      </c>
      <c r="K58" s="4">
        <f>'Monthly Data'!AP58</f>
        <v>0</v>
      </c>
      <c r="L58" s="4">
        <f>'Monthly Data'!AQ58</f>
        <v>0</v>
      </c>
      <c r="N58" s="23">
        <f>'LU OLS Model'!$B$5</f>
        <v>-37159358.269763596</v>
      </c>
      <c r="O58" s="23">
        <f>'LU OLS Model'!$B$6*D58</f>
        <v>-229943.49203445986</v>
      </c>
      <c r="P58" s="23">
        <f>'LU OLS Model'!$B$7*E58</f>
        <v>309805.88876159338</v>
      </c>
      <c r="Q58" s="23">
        <f>'LU OLS Model'!$B$8*F58</f>
        <v>10319480.59671516</v>
      </c>
      <c r="R58" s="23">
        <f>'LU OLS Model'!$B$9*G58</f>
        <v>43499542.057562426</v>
      </c>
      <c r="S58" s="23">
        <f>'LU OLS Model'!$B$10*H58</f>
        <v>-1929869.9144440757</v>
      </c>
      <c r="T58" s="23">
        <f>'LU OLS Model'!$B$11*I58</f>
        <v>-1059857.8947751301</v>
      </c>
      <c r="U58" s="23">
        <f>'LU OLS Model'!$B$12*J58</f>
        <v>0</v>
      </c>
      <c r="V58" s="23">
        <f>'LU OLS Model'!$B$13*K58</f>
        <v>0</v>
      </c>
      <c r="W58" s="23">
        <f>'LU OLS Model'!$B$14*L58</f>
        <v>0</v>
      </c>
      <c r="X58" s="23">
        <f t="shared" si="1"/>
        <v>13749798.972021921</v>
      </c>
      <c r="Y58" s="13">
        <f t="shared" si="2"/>
        <v>1.8362449833171209E-2</v>
      </c>
    </row>
    <row r="59" spans="1:25">
      <c r="A59" s="11">
        <f>'Monthly Data'!A59</f>
        <v>41548</v>
      </c>
      <c r="B59" s="6">
        <f t="shared" si="0"/>
        <v>2013</v>
      </c>
      <c r="C59" s="4">
        <f>'Monthly Data'!Q59</f>
        <v>13230473.214808144</v>
      </c>
      <c r="D59" s="30">
        <f>'Monthly Data'!U59</f>
        <v>235.69999999999996</v>
      </c>
      <c r="E59" s="30">
        <f>'Monthly Data'!V59</f>
        <v>1.5</v>
      </c>
      <c r="F59" s="30">
        <f>'Monthly Data'!X59</f>
        <v>31</v>
      </c>
      <c r="G59" s="30">
        <f>'Monthly Data'!Y59</f>
        <v>6889</v>
      </c>
      <c r="H59" s="30">
        <f>'Monthly Data'!AA59</f>
        <v>58</v>
      </c>
      <c r="I59" s="30">
        <f>'Monthly Data'!AM59</f>
        <v>1</v>
      </c>
      <c r="J59" s="30">
        <f>'Monthly Data'!AO59</f>
        <v>0</v>
      </c>
      <c r="K59" s="4">
        <f>'Monthly Data'!AP59</f>
        <v>0</v>
      </c>
      <c r="L59" s="4">
        <f>'Monthly Data'!AQ59</f>
        <v>0</v>
      </c>
      <c r="N59" s="23">
        <f>'LU OLS Model'!$B$5</f>
        <v>-37159358.269763596</v>
      </c>
      <c r="O59" s="23">
        <f>'LU OLS Model'!$B$6*D59</f>
        <v>-457750.68473414</v>
      </c>
      <c r="P59" s="23">
        <f>'LU OLS Model'!$B$7*E59</f>
        <v>28164.171705599401</v>
      </c>
      <c r="Q59" s="23">
        <f>'LU OLS Model'!$B$8*F59</f>
        <v>10663463.283272332</v>
      </c>
      <c r="R59" s="23">
        <f>'LU OLS Model'!$B$9*G59</f>
        <v>43386808.153375261</v>
      </c>
      <c r="S59" s="23">
        <f>'LU OLS Model'!$B$10*H59</f>
        <v>-1963727.2813641471</v>
      </c>
      <c r="T59" s="23">
        <f>'LU OLS Model'!$B$11*I59</f>
        <v>-1059857.8947751301</v>
      </c>
      <c r="U59" s="23">
        <f>'LU OLS Model'!$B$12*J59</f>
        <v>0</v>
      </c>
      <c r="V59" s="23">
        <f>'LU OLS Model'!$B$13*K59</f>
        <v>0</v>
      </c>
      <c r="W59" s="23">
        <f>'LU OLS Model'!$B$14*L59</f>
        <v>0</v>
      </c>
      <c r="X59" s="23">
        <f t="shared" si="1"/>
        <v>13437741.477716174</v>
      </c>
      <c r="Y59" s="13">
        <f t="shared" si="2"/>
        <v>1.5665975021667878E-2</v>
      </c>
    </row>
    <row r="60" spans="1:25">
      <c r="A60" s="11">
        <f>'Monthly Data'!A60</f>
        <v>41579</v>
      </c>
      <c r="B60" s="6">
        <f t="shared" si="0"/>
        <v>2013</v>
      </c>
      <c r="C60" s="4">
        <f>'Monthly Data'!Q60</f>
        <v>12253923.650279187</v>
      </c>
      <c r="D60" s="30">
        <f>'Monthly Data'!U60</f>
        <v>501.50000000000006</v>
      </c>
      <c r="E60" s="30">
        <f>'Monthly Data'!V60</f>
        <v>0</v>
      </c>
      <c r="F60" s="30">
        <f>'Monthly Data'!X60</f>
        <v>30</v>
      </c>
      <c r="G60" s="30">
        <f>'Monthly Data'!Y60</f>
        <v>6863.8</v>
      </c>
      <c r="H60" s="30">
        <f>'Monthly Data'!AA60</f>
        <v>59</v>
      </c>
      <c r="I60" s="30">
        <f>'Monthly Data'!AM60</f>
        <v>1</v>
      </c>
      <c r="J60" s="30">
        <f>'Monthly Data'!AO60</f>
        <v>0</v>
      </c>
      <c r="K60" s="4">
        <f>'Monthly Data'!AP60</f>
        <v>0</v>
      </c>
      <c r="L60" s="4">
        <f>'Monthly Data'!AQ60</f>
        <v>0</v>
      </c>
      <c r="N60" s="23">
        <f>'LU OLS Model'!$B$5</f>
        <v>-37159358.269763596</v>
      </c>
      <c r="O60" s="23">
        <f>'LU OLS Model'!$B$6*D60</f>
        <v>-973958.28762906778</v>
      </c>
      <c r="P60" s="23">
        <f>'LU OLS Model'!$B$7*E60</f>
        <v>0</v>
      </c>
      <c r="Q60" s="23">
        <f>'LU OLS Model'!$B$8*F60</f>
        <v>10319480.59671516</v>
      </c>
      <c r="R60" s="23">
        <f>'LU OLS Model'!$B$9*G60</f>
        <v>43228098.96982684</v>
      </c>
      <c r="S60" s="23">
        <f>'LU OLS Model'!$B$10*H60</f>
        <v>-1997584.6482842185</v>
      </c>
      <c r="T60" s="23">
        <f>'LU OLS Model'!$B$11*I60</f>
        <v>-1059857.8947751301</v>
      </c>
      <c r="U60" s="23">
        <f>'LU OLS Model'!$B$12*J60</f>
        <v>0</v>
      </c>
      <c r="V60" s="23">
        <f>'LU OLS Model'!$B$13*K60</f>
        <v>0</v>
      </c>
      <c r="W60" s="23">
        <f>'LU OLS Model'!$B$14*L60</f>
        <v>0</v>
      </c>
      <c r="X60" s="23">
        <f t="shared" si="1"/>
        <v>12356820.466089986</v>
      </c>
      <c r="Y60" s="13">
        <f t="shared" si="2"/>
        <v>8.3970505078555194E-3</v>
      </c>
    </row>
    <row r="61" spans="1:25">
      <c r="A61" s="11">
        <f>'Monthly Data'!A61</f>
        <v>41609</v>
      </c>
      <c r="B61" s="6">
        <f t="shared" si="0"/>
        <v>2013</v>
      </c>
      <c r="C61" s="4">
        <f>'Monthly Data'!Q61</f>
        <v>12130628.233750233</v>
      </c>
      <c r="D61" s="30">
        <f>'Monthly Data'!U61</f>
        <v>756.99999999999977</v>
      </c>
      <c r="E61" s="30">
        <f>'Monthly Data'!V61</f>
        <v>0</v>
      </c>
      <c r="F61" s="30">
        <f>'Monthly Data'!X61</f>
        <v>31</v>
      </c>
      <c r="G61" s="30">
        <f>'Monthly Data'!Y61</f>
        <v>6849.3</v>
      </c>
      <c r="H61" s="30">
        <f>'Monthly Data'!AA61</f>
        <v>60</v>
      </c>
      <c r="I61" s="30">
        <f>'Monthly Data'!AM61</f>
        <v>0</v>
      </c>
      <c r="J61" s="30">
        <f>'Monthly Data'!AO61</f>
        <v>0</v>
      </c>
      <c r="K61" s="4">
        <f>'Monthly Data'!AP61</f>
        <v>1</v>
      </c>
      <c r="L61" s="4">
        <f>'Monthly Data'!AQ61</f>
        <v>0</v>
      </c>
      <c r="N61" s="23">
        <f>'LU OLS Model'!$B$5</f>
        <v>-37159358.269763596</v>
      </c>
      <c r="O61" s="23">
        <f>'LU OLS Model'!$B$6*D61</f>
        <v>-1470162.3603892403</v>
      </c>
      <c r="P61" s="23">
        <f>'LU OLS Model'!$B$7*E61</f>
        <v>0</v>
      </c>
      <c r="Q61" s="23">
        <f>'LU OLS Model'!$B$8*F61</f>
        <v>10663463.283272332</v>
      </c>
      <c r="R61" s="23">
        <f>'LU OLS Model'!$B$9*G61</f>
        <v>43136778.209451757</v>
      </c>
      <c r="S61" s="23">
        <f>'LU OLS Model'!$B$10*H61</f>
        <v>-2031442.0152042902</v>
      </c>
      <c r="T61" s="23">
        <f>'LU OLS Model'!$B$11*I61</f>
        <v>0</v>
      </c>
      <c r="U61" s="23">
        <f>'LU OLS Model'!$B$12*J61</f>
        <v>0</v>
      </c>
      <c r="V61" s="23">
        <f>'LU OLS Model'!$B$13*K61</f>
        <v>-999570.07441694394</v>
      </c>
      <c r="W61" s="23">
        <f>'LU OLS Model'!$B$14*L61</f>
        <v>0</v>
      </c>
      <c r="X61" s="23">
        <f t="shared" si="1"/>
        <v>12139708.77295002</v>
      </c>
      <c r="Y61" s="13">
        <f t="shared" si="2"/>
        <v>7.4856297833957898E-4</v>
      </c>
    </row>
    <row r="62" spans="1:25" s="30" customFormat="1">
      <c r="A62" s="11">
        <f>'Monthly Data'!A62</f>
        <v>41640</v>
      </c>
      <c r="B62" s="6">
        <f t="shared" ref="B62:B73" si="3">YEAR(A62)</f>
        <v>2014</v>
      </c>
      <c r="C62" s="4">
        <f>'Monthly Data'!Q62</f>
        <v>13033973.56868916</v>
      </c>
      <c r="D62" s="30">
        <f>'Monthly Data'!U62</f>
        <v>844.5</v>
      </c>
      <c r="E62" s="30">
        <f>'Monthly Data'!V62</f>
        <v>0</v>
      </c>
      <c r="F62" s="30">
        <f>'Monthly Data'!X62</f>
        <v>31</v>
      </c>
      <c r="G62" s="30">
        <f>'Monthly Data'!Y62</f>
        <v>6806.1</v>
      </c>
      <c r="H62" s="30">
        <f>'Monthly Data'!AA62</f>
        <v>61</v>
      </c>
      <c r="I62" s="30">
        <f>'Monthly Data'!AM62</f>
        <v>0</v>
      </c>
      <c r="J62" s="30">
        <f>'Monthly Data'!AO62</f>
        <v>0</v>
      </c>
      <c r="K62" s="4">
        <f>'Monthly Data'!AP62</f>
        <v>0</v>
      </c>
      <c r="L62" s="4">
        <f>'Monthly Data'!AQ62</f>
        <v>0</v>
      </c>
      <c r="N62" s="23">
        <f>'LU OLS Model'!$B$5</f>
        <v>-37159358.269763596</v>
      </c>
      <c r="O62" s="23">
        <f>'LU OLS Model'!$B$6*D62</f>
        <v>-1640095.262019437</v>
      </c>
      <c r="P62" s="23">
        <f>'LU OLS Model'!$B$7*E62</f>
        <v>0</v>
      </c>
      <c r="Q62" s="23">
        <f>'LU OLS Model'!$B$8*F62</f>
        <v>10663463.283272332</v>
      </c>
      <c r="R62" s="23">
        <f>'LU OLS Model'!$B$9*G62</f>
        <v>42864705.323368758</v>
      </c>
      <c r="S62" s="23">
        <f>'LU OLS Model'!$B$10*H62</f>
        <v>-2065299.3821243616</v>
      </c>
      <c r="T62" s="23">
        <f>'LU OLS Model'!$B$11*I62</f>
        <v>0</v>
      </c>
      <c r="U62" s="23">
        <f>'LU OLS Model'!$B$12*J62</f>
        <v>0</v>
      </c>
      <c r="V62" s="23">
        <f>'LU OLS Model'!$B$13*K62</f>
        <v>0</v>
      </c>
      <c r="W62" s="23">
        <f>'LU OLS Model'!$B$14*L62</f>
        <v>0</v>
      </c>
      <c r="X62" s="23">
        <f t="shared" ref="X62:X73" si="4">SUM(N62:W62)</f>
        <v>12663415.692733694</v>
      </c>
      <c r="Y62" s="13">
        <f t="shared" ref="Y62:Y73" si="5">ABS(X62-C62)/C62</f>
        <v>2.8430154012713222E-2</v>
      </c>
    </row>
    <row r="63" spans="1:25" s="30" customFormat="1">
      <c r="A63" s="11">
        <f>'Monthly Data'!A63</f>
        <v>41671</v>
      </c>
      <c r="B63" s="6">
        <f t="shared" si="3"/>
        <v>2014</v>
      </c>
      <c r="C63" s="4">
        <f>'Monthly Data'!Q63</f>
        <v>11848081.274361238</v>
      </c>
      <c r="D63" s="30">
        <f>'Monthly Data'!U63</f>
        <v>740.90000000000009</v>
      </c>
      <c r="E63" s="30">
        <f>'Monthly Data'!V63</f>
        <v>0</v>
      </c>
      <c r="F63" s="30">
        <f>'Monthly Data'!X63</f>
        <v>28</v>
      </c>
      <c r="G63" s="30">
        <f>'Monthly Data'!Y63</f>
        <v>6772.3</v>
      </c>
      <c r="H63" s="30">
        <f>'Monthly Data'!AA63</f>
        <v>62</v>
      </c>
      <c r="I63" s="30">
        <f>'Monthly Data'!AM63</f>
        <v>0</v>
      </c>
      <c r="J63" s="30">
        <f>'Monthly Data'!AO63</f>
        <v>0</v>
      </c>
      <c r="K63" s="4">
        <f>'Monthly Data'!AP63</f>
        <v>0</v>
      </c>
      <c r="L63" s="4">
        <f>'Monthly Data'!AQ63</f>
        <v>0</v>
      </c>
      <c r="N63" s="23">
        <f>'LU OLS Model'!$B$5</f>
        <v>-37159358.269763596</v>
      </c>
      <c r="O63" s="23">
        <f>'LU OLS Model'!$B$6*D63</f>
        <v>-1438894.7064892848</v>
      </c>
      <c r="P63" s="23">
        <f>'LU OLS Model'!$B$7*E63</f>
        <v>0</v>
      </c>
      <c r="Q63" s="23">
        <f>'LU OLS Model'!$B$8*F63</f>
        <v>9631515.223600816</v>
      </c>
      <c r="R63" s="23">
        <f>'LU OLS Model'!$B$9*G63</f>
        <v>42651833.481942698</v>
      </c>
      <c r="S63" s="23">
        <f>'LU OLS Model'!$B$10*H63</f>
        <v>-2099156.7490444332</v>
      </c>
      <c r="T63" s="23">
        <f>'LU OLS Model'!$B$11*I63</f>
        <v>0</v>
      </c>
      <c r="U63" s="23">
        <f>'LU OLS Model'!$B$12*J63</f>
        <v>0</v>
      </c>
      <c r="V63" s="23">
        <f>'LU OLS Model'!$B$13*K63</f>
        <v>0</v>
      </c>
      <c r="W63" s="23">
        <f>'LU OLS Model'!$B$14*L63</f>
        <v>0</v>
      </c>
      <c r="X63" s="23">
        <f t="shared" si="4"/>
        <v>11585938.980246197</v>
      </c>
      <c r="Y63" s="13">
        <f t="shared" si="5"/>
        <v>2.2125295062104752E-2</v>
      </c>
    </row>
    <row r="64" spans="1:25" s="30" customFormat="1">
      <c r="A64" s="11">
        <f>'Monthly Data'!A64</f>
        <v>41699</v>
      </c>
      <c r="B64" s="6">
        <f t="shared" si="3"/>
        <v>2014</v>
      </c>
      <c r="C64" s="4">
        <f>'Monthly Data'!Q64</f>
        <v>12980706.140033314</v>
      </c>
      <c r="D64" s="30">
        <f>'Monthly Data'!U64</f>
        <v>720.19999999999993</v>
      </c>
      <c r="E64" s="30">
        <f>'Monthly Data'!V64</f>
        <v>0</v>
      </c>
      <c r="F64" s="30">
        <f>'Monthly Data'!X64</f>
        <v>31</v>
      </c>
      <c r="G64" s="30">
        <f>'Monthly Data'!Y64</f>
        <v>6751.3</v>
      </c>
      <c r="H64" s="30">
        <f>'Monthly Data'!AA64</f>
        <v>63</v>
      </c>
      <c r="I64" s="30">
        <f>'Monthly Data'!AM64</f>
        <v>0</v>
      </c>
      <c r="J64" s="30">
        <f>'Monthly Data'!AO64</f>
        <v>0</v>
      </c>
      <c r="K64" s="4">
        <f>'Monthly Data'!AP64</f>
        <v>0</v>
      </c>
      <c r="L64" s="4">
        <f>'Monthly Data'!AQ64</f>
        <v>0</v>
      </c>
      <c r="N64" s="23">
        <f>'LU OLS Model'!$B$5</f>
        <v>-37159358.269763596</v>
      </c>
      <c r="O64" s="23">
        <f>'LU OLS Model'!$B$6*D64</f>
        <v>-1398693.4371893411</v>
      </c>
      <c r="P64" s="23">
        <f>'LU OLS Model'!$B$7*E64</f>
        <v>0</v>
      </c>
      <c r="Q64" s="23">
        <f>'LU OLS Model'!$B$8*F64</f>
        <v>10663463.283272332</v>
      </c>
      <c r="R64" s="23">
        <f>'LU OLS Model'!$B$9*G64</f>
        <v>42519575.828985684</v>
      </c>
      <c r="S64" s="23">
        <f>'LU OLS Model'!$B$10*H64</f>
        <v>-2133014.1159645044</v>
      </c>
      <c r="T64" s="23">
        <f>'LU OLS Model'!$B$11*I64</f>
        <v>0</v>
      </c>
      <c r="U64" s="23">
        <f>'LU OLS Model'!$B$12*J64</f>
        <v>0</v>
      </c>
      <c r="V64" s="23">
        <f>'LU OLS Model'!$B$13*K64</f>
        <v>0</v>
      </c>
      <c r="W64" s="23">
        <f>'LU OLS Model'!$B$14*L64</f>
        <v>0</v>
      </c>
      <c r="X64" s="23">
        <f t="shared" si="4"/>
        <v>12491973.289340576</v>
      </c>
      <c r="Y64" s="13">
        <f t="shared" si="5"/>
        <v>3.7650713714676508E-2</v>
      </c>
    </row>
    <row r="65" spans="1:25" s="30" customFormat="1">
      <c r="A65" s="11">
        <f>'Monthly Data'!A65</f>
        <v>41730</v>
      </c>
      <c r="B65" s="6">
        <f t="shared" si="3"/>
        <v>2014</v>
      </c>
      <c r="C65" s="4">
        <f>'Monthly Data'!Q65</f>
        <v>11758120.119705392</v>
      </c>
      <c r="D65" s="30">
        <f>'Monthly Data'!U65</f>
        <v>352.09999999999991</v>
      </c>
      <c r="E65" s="30">
        <f>'Monthly Data'!V65</f>
        <v>0</v>
      </c>
      <c r="F65" s="30">
        <f>'Monthly Data'!X65</f>
        <v>30</v>
      </c>
      <c r="G65" s="30">
        <f>'Monthly Data'!Y65</f>
        <v>6785</v>
      </c>
      <c r="H65" s="30">
        <f>'Monthly Data'!AA65</f>
        <v>64</v>
      </c>
      <c r="I65" s="30">
        <f>'Monthly Data'!AM65</f>
        <v>0</v>
      </c>
      <c r="J65" s="30">
        <f>'Monthly Data'!AO65</f>
        <v>1</v>
      </c>
      <c r="K65" s="4">
        <f>'Monthly Data'!AP65</f>
        <v>0</v>
      </c>
      <c r="L65" s="4">
        <f>'Monthly Data'!AQ65</f>
        <v>0</v>
      </c>
      <c r="N65" s="23">
        <f>'LU OLS Model'!$B$5</f>
        <v>-37159358.269763596</v>
      </c>
      <c r="O65" s="23">
        <f>'LU OLS Model'!$B$6*D65</f>
        <v>-683809.99615990953</v>
      </c>
      <c r="P65" s="23">
        <f>'LU OLS Model'!$B$7*E65</f>
        <v>0</v>
      </c>
      <c r="Q65" s="23">
        <f>'LU OLS Model'!$B$8*F65</f>
        <v>10319480.59671516</v>
      </c>
      <c r="R65" s="23">
        <f>'LU OLS Model'!$B$9*G65</f>
        <v>42731817.872064322</v>
      </c>
      <c r="S65" s="23">
        <f>'LU OLS Model'!$B$10*H65</f>
        <v>-2166871.4828845761</v>
      </c>
      <c r="T65" s="23">
        <f>'LU OLS Model'!$B$11*I65</f>
        <v>0</v>
      </c>
      <c r="U65" s="23">
        <f>'LU OLS Model'!$B$12*J65</f>
        <v>-1039228.3455262</v>
      </c>
      <c r="V65" s="23">
        <f>'LU OLS Model'!$B$13*K65</f>
        <v>0</v>
      </c>
      <c r="W65" s="23">
        <f>'LU OLS Model'!$B$14*L65</f>
        <v>0</v>
      </c>
      <c r="X65" s="23">
        <f t="shared" si="4"/>
        <v>12002030.374445198</v>
      </c>
      <c r="Y65" s="13">
        <f t="shared" si="5"/>
        <v>2.0743983924015007E-2</v>
      </c>
    </row>
    <row r="66" spans="1:25" s="30" customFormat="1">
      <c r="A66" s="11">
        <f>'Monthly Data'!A66</f>
        <v>41760</v>
      </c>
      <c r="B66" s="6">
        <f t="shared" si="3"/>
        <v>2014</v>
      </c>
      <c r="C66" s="4">
        <f>'Monthly Data'!Q66</f>
        <v>12122237.938377466</v>
      </c>
      <c r="D66" s="30">
        <f>'Monthly Data'!U66</f>
        <v>127.70000000000003</v>
      </c>
      <c r="E66" s="30">
        <f>'Monthly Data'!V66</f>
        <v>12.399999999999999</v>
      </c>
      <c r="F66" s="30">
        <f>'Monthly Data'!X66</f>
        <v>31</v>
      </c>
      <c r="G66" s="30">
        <f>'Monthly Data'!Y66</f>
        <v>6842.6</v>
      </c>
      <c r="H66" s="30">
        <f>'Monthly Data'!AA66</f>
        <v>65</v>
      </c>
      <c r="I66" s="30">
        <f>'Monthly Data'!AM66</f>
        <v>0</v>
      </c>
      <c r="J66" s="30">
        <f>'Monthly Data'!AO66</f>
        <v>0</v>
      </c>
      <c r="K66" s="4">
        <f>'Monthly Data'!AP66</f>
        <v>0</v>
      </c>
      <c r="L66" s="4">
        <f>'Monthly Data'!AQ66</f>
        <v>1</v>
      </c>
      <c r="N66" s="23">
        <f>'LU OLS Model'!$B$5</f>
        <v>-37159358.269763596</v>
      </c>
      <c r="O66" s="23">
        <f>'LU OLS Model'!$B$6*D66</f>
        <v>-248004.93186486934</v>
      </c>
      <c r="P66" s="23">
        <f>'LU OLS Model'!$B$7*E66</f>
        <v>232823.819432955</v>
      </c>
      <c r="Q66" s="23">
        <f>'LU OLS Model'!$B$8*F66</f>
        <v>10663463.283272332</v>
      </c>
      <c r="R66" s="23">
        <f>'LU OLS Model'!$B$9*G66</f>
        <v>43094581.720174998</v>
      </c>
      <c r="S66" s="23">
        <f>'LU OLS Model'!$B$10*H66</f>
        <v>-2200728.8498046477</v>
      </c>
      <c r="T66" s="23">
        <f>'LU OLS Model'!$B$11*I66</f>
        <v>0</v>
      </c>
      <c r="U66" s="23">
        <f>'LU OLS Model'!$B$12*J66</f>
        <v>0</v>
      </c>
      <c r="V66" s="23">
        <f>'LU OLS Model'!$B$13*K66</f>
        <v>0</v>
      </c>
      <c r="W66" s="23">
        <f>'LU OLS Model'!$B$14*L66</f>
        <v>-1700644.40454555</v>
      </c>
      <c r="X66" s="23">
        <f t="shared" si="4"/>
        <v>12682132.366901617</v>
      </c>
      <c r="Y66" s="13">
        <f t="shared" si="5"/>
        <v>4.6187381519017773E-2</v>
      </c>
    </row>
    <row r="67" spans="1:25" s="30" customFormat="1">
      <c r="A67" s="11">
        <f>'Monthly Data'!A67</f>
        <v>41791</v>
      </c>
      <c r="B67" s="6">
        <f t="shared" si="3"/>
        <v>2014</v>
      </c>
      <c r="C67" s="4">
        <f>'Monthly Data'!Q67</f>
        <v>13083864.686049545</v>
      </c>
      <c r="D67" s="30">
        <f>'Monthly Data'!U67</f>
        <v>25.699999999999996</v>
      </c>
      <c r="E67" s="30">
        <f>'Monthly Data'!V67</f>
        <v>47.4</v>
      </c>
      <c r="F67" s="30">
        <f>'Monthly Data'!X67</f>
        <v>30</v>
      </c>
      <c r="G67" s="30">
        <f>'Monthly Data'!Y67</f>
        <v>6912.9</v>
      </c>
      <c r="H67" s="30">
        <f>'Monthly Data'!AA67</f>
        <v>66</v>
      </c>
      <c r="I67" s="30">
        <f>'Monthly Data'!AM67</f>
        <v>0</v>
      </c>
      <c r="J67" s="30">
        <f>'Monthly Data'!AO67</f>
        <v>0</v>
      </c>
      <c r="K67" s="4">
        <f>'Monthly Data'!AP67</f>
        <v>0</v>
      </c>
      <c r="L67" s="4">
        <f>'Monthly Data'!AQ67</f>
        <v>1</v>
      </c>
      <c r="N67" s="23">
        <f>'LU OLS Model'!$B$5</f>
        <v>-37159358.269763596</v>
      </c>
      <c r="O67" s="23">
        <f>'LU OLS Model'!$B$6*D67</f>
        <v>-49911.720821669063</v>
      </c>
      <c r="P67" s="23">
        <f>'LU OLS Model'!$B$7*E67</f>
        <v>889987.82589694101</v>
      </c>
      <c r="Q67" s="23">
        <f>'LU OLS Model'!$B$8*F67</f>
        <v>10319480.59671516</v>
      </c>
      <c r="R67" s="23">
        <f>'LU OLS Model'!$B$9*G67</f>
        <v>43537329.95840729</v>
      </c>
      <c r="S67" s="23">
        <f>'LU OLS Model'!$B$10*H67</f>
        <v>-2234586.2167247189</v>
      </c>
      <c r="T67" s="23">
        <f>'LU OLS Model'!$B$11*I67</f>
        <v>0</v>
      </c>
      <c r="U67" s="23">
        <f>'LU OLS Model'!$B$12*J67</f>
        <v>0</v>
      </c>
      <c r="V67" s="23">
        <f>'LU OLS Model'!$B$13*K67</f>
        <v>0</v>
      </c>
      <c r="W67" s="23">
        <f>'LU OLS Model'!$B$14*L67</f>
        <v>-1700644.40454555</v>
      </c>
      <c r="X67" s="23">
        <f t="shared" si="4"/>
        <v>13602297.769163854</v>
      </c>
      <c r="Y67" s="13">
        <f t="shared" si="5"/>
        <v>3.9623849340713523E-2</v>
      </c>
    </row>
    <row r="68" spans="1:25" s="30" customFormat="1">
      <c r="A68" s="11">
        <f>'Monthly Data'!A68</f>
        <v>41821</v>
      </c>
      <c r="B68" s="6">
        <f t="shared" si="3"/>
        <v>2014</v>
      </c>
      <c r="C68" s="4">
        <f>'Monthly Data'!Q68</f>
        <v>14274331.698721621</v>
      </c>
      <c r="D68" s="30">
        <f>'Monthly Data'!U68</f>
        <v>10.600000000000001</v>
      </c>
      <c r="E68" s="30">
        <f>'Monthly Data'!V68</f>
        <v>55.899999999999984</v>
      </c>
      <c r="F68" s="30">
        <f>'Monthly Data'!X68</f>
        <v>31</v>
      </c>
      <c r="G68" s="30">
        <f>'Monthly Data'!Y68</f>
        <v>6957.8</v>
      </c>
      <c r="H68" s="30">
        <f>'Monthly Data'!AA68</f>
        <v>67</v>
      </c>
      <c r="I68" s="30">
        <f>'Monthly Data'!AM68</f>
        <v>0</v>
      </c>
      <c r="J68" s="30">
        <f>'Monthly Data'!AO68</f>
        <v>0</v>
      </c>
      <c r="K68" s="4">
        <f>'Monthly Data'!AP68</f>
        <v>0</v>
      </c>
      <c r="L68" s="4">
        <f>'Monthly Data'!AQ68</f>
        <v>1</v>
      </c>
      <c r="N68" s="23">
        <f>'LU OLS Model'!$B$5</f>
        <v>-37159358.269763596</v>
      </c>
      <c r="O68" s="23">
        <f>'LU OLS Model'!$B$6*D68</f>
        <v>-20586.157226058065</v>
      </c>
      <c r="P68" s="23">
        <f>'LU OLS Model'!$B$7*E68</f>
        <v>1049584.7988953374</v>
      </c>
      <c r="Q68" s="23">
        <f>'LU OLS Model'!$B$8*F68</f>
        <v>10663463.283272332</v>
      </c>
      <c r="R68" s="23">
        <f>'LU OLS Model'!$B$9*G68</f>
        <v>43820109.416396342</v>
      </c>
      <c r="S68" s="23">
        <f>'LU OLS Model'!$B$10*H68</f>
        <v>-2268443.5836447906</v>
      </c>
      <c r="T68" s="23">
        <f>'LU OLS Model'!$B$11*I68</f>
        <v>0</v>
      </c>
      <c r="U68" s="23">
        <f>'LU OLS Model'!$B$12*J68</f>
        <v>0</v>
      </c>
      <c r="V68" s="23">
        <f>'LU OLS Model'!$B$13*K68</f>
        <v>0</v>
      </c>
      <c r="W68" s="23">
        <f>'LU OLS Model'!$B$14*L68</f>
        <v>-1700644.40454555</v>
      </c>
      <c r="X68" s="23">
        <f t="shared" si="4"/>
        <v>14384125.08338402</v>
      </c>
      <c r="Y68" s="13">
        <f t="shared" si="5"/>
        <v>7.6916654999849791E-3</v>
      </c>
    </row>
    <row r="69" spans="1:25" s="30" customFormat="1">
      <c r="A69" s="11">
        <f>'Monthly Data'!A69</f>
        <v>41852</v>
      </c>
      <c r="B69" s="6">
        <f t="shared" si="3"/>
        <v>2014</v>
      </c>
      <c r="C69" s="4">
        <f>'Monthly Data'!Q69</f>
        <v>14357715.618393699</v>
      </c>
      <c r="D69" s="30">
        <f>'Monthly Data'!U69</f>
        <v>18.999999999999996</v>
      </c>
      <c r="E69" s="30">
        <f>'Monthly Data'!V69</f>
        <v>51.999999999999993</v>
      </c>
      <c r="F69" s="30">
        <f>'Monthly Data'!X69</f>
        <v>31</v>
      </c>
      <c r="G69" s="30">
        <f>'Monthly Data'!Y69</f>
        <v>6969.7</v>
      </c>
      <c r="H69" s="30">
        <f>'Monthly Data'!AA69</f>
        <v>68</v>
      </c>
      <c r="I69" s="30">
        <f>'Monthly Data'!AM69</f>
        <v>0</v>
      </c>
      <c r="J69" s="30">
        <f>'Monthly Data'!AO69</f>
        <v>0</v>
      </c>
      <c r="K69" s="4">
        <f>'Monthly Data'!AP69</f>
        <v>0</v>
      </c>
      <c r="L69" s="4">
        <f>'Monthly Data'!AQ69</f>
        <v>1</v>
      </c>
      <c r="N69" s="23">
        <f>'LU OLS Model'!$B$5</f>
        <v>-37159358.269763596</v>
      </c>
      <c r="O69" s="23">
        <f>'LU OLS Model'!$B$6*D69</f>
        <v>-36899.715782556894</v>
      </c>
      <c r="P69" s="23">
        <f>'LU OLS Model'!$B$7*E69</f>
        <v>976357.95246077899</v>
      </c>
      <c r="Q69" s="23">
        <f>'LU OLS Model'!$B$8*F69</f>
        <v>10663463.283272332</v>
      </c>
      <c r="R69" s="23">
        <f>'LU OLS Model'!$B$9*G69</f>
        <v>43895055.419738643</v>
      </c>
      <c r="S69" s="23">
        <f>'LU OLS Model'!$B$10*H69</f>
        <v>-2302300.9505648622</v>
      </c>
      <c r="T69" s="23">
        <f>'LU OLS Model'!$B$11*I69</f>
        <v>0</v>
      </c>
      <c r="U69" s="23">
        <f>'LU OLS Model'!$B$12*J69</f>
        <v>0</v>
      </c>
      <c r="V69" s="23">
        <f>'LU OLS Model'!$B$13*K69</f>
        <v>0</v>
      </c>
      <c r="W69" s="23">
        <f>'LU OLS Model'!$B$14*L69</f>
        <v>-1700644.40454555</v>
      </c>
      <c r="X69" s="23">
        <f t="shared" si="4"/>
        <v>14335673.31481519</v>
      </c>
      <c r="Y69" s="13">
        <f t="shared" si="5"/>
        <v>1.5352235804329888E-3</v>
      </c>
    </row>
    <row r="70" spans="1:25" s="30" customFormat="1">
      <c r="A70" s="11">
        <f>'Monthly Data'!A70</f>
        <v>41883</v>
      </c>
      <c r="B70" s="6">
        <f t="shared" si="3"/>
        <v>2014</v>
      </c>
      <c r="C70" s="4">
        <f>'Monthly Data'!Q70</f>
        <v>13829170.520065775</v>
      </c>
      <c r="D70" s="30">
        <f>'Monthly Data'!U70</f>
        <v>90.500000000000014</v>
      </c>
      <c r="E70" s="30">
        <f>'Monthly Data'!V70</f>
        <v>25.400000000000006</v>
      </c>
      <c r="F70" s="30">
        <f>'Monthly Data'!X70</f>
        <v>30</v>
      </c>
      <c r="G70" s="30">
        <f>'Monthly Data'!Y70</f>
        <v>6944.1</v>
      </c>
      <c r="H70" s="30">
        <f>'Monthly Data'!AA70</f>
        <v>69</v>
      </c>
      <c r="I70" s="30">
        <f>'Monthly Data'!AM70</f>
        <v>1</v>
      </c>
      <c r="J70" s="30">
        <f>'Monthly Data'!AO70</f>
        <v>0</v>
      </c>
      <c r="K70" s="4">
        <f>'Monthly Data'!AP70</f>
        <v>0</v>
      </c>
      <c r="L70" s="4">
        <f>'Monthly Data'!AQ70</f>
        <v>0</v>
      </c>
      <c r="N70" s="23">
        <f>'LU OLS Model'!$B$5</f>
        <v>-37159358.269763596</v>
      </c>
      <c r="O70" s="23">
        <f>'LU OLS Model'!$B$6*D70</f>
        <v>-175759.17254323157</v>
      </c>
      <c r="P70" s="23">
        <f>'LU OLS Model'!$B$7*E70</f>
        <v>476913.30754814995</v>
      </c>
      <c r="Q70" s="23">
        <f>'LU OLS Model'!$B$8*F70</f>
        <v>10319480.59671516</v>
      </c>
      <c r="R70" s="23">
        <f>'LU OLS Model'!$B$9*G70</f>
        <v>43733827.042800575</v>
      </c>
      <c r="S70" s="23">
        <f>'LU OLS Model'!$B$10*H70</f>
        <v>-2336158.3174849334</v>
      </c>
      <c r="T70" s="23">
        <f>'LU OLS Model'!$B$11*I70</f>
        <v>-1059857.8947751301</v>
      </c>
      <c r="U70" s="23">
        <f>'LU OLS Model'!$B$12*J70</f>
        <v>0</v>
      </c>
      <c r="V70" s="23">
        <f>'LU OLS Model'!$B$13*K70</f>
        <v>0</v>
      </c>
      <c r="W70" s="23">
        <f>'LU OLS Model'!$B$14*L70</f>
        <v>0</v>
      </c>
      <c r="X70" s="23">
        <f t="shared" si="4"/>
        <v>13799087.29249699</v>
      </c>
      <c r="Y70" s="13">
        <f t="shared" si="5"/>
        <v>2.1753457682176041E-3</v>
      </c>
    </row>
    <row r="71" spans="1:25" s="30" customFormat="1">
      <c r="A71" s="11">
        <f>'Monthly Data'!A71</f>
        <v>41913</v>
      </c>
      <c r="B71" s="6">
        <f t="shared" si="3"/>
        <v>2014</v>
      </c>
      <c r="C71" s="4">
        <f>'Monthly Data'!Q71</f>
        <v>13041002.974737853</v>
      </c>
      <c r="D71" s="30">
        <f>'Monthly Data'!U71</f>
        <v>225.59999999999994</v>
      </c>
      <c r="E71" s="30">
        <f>'Monthly Data'!V71</f>
        <v>1.8</v>
      </c>
      <c r="F71" s="30">
        <f>'Monthly Data'!X71</f>
        <v>31</v>
      </c>
      <c r="G71" s="30">
        <f>'Monthly Data'!Y71</f>
        <v>6936.6</v>
      </c>
      <c r="H71" s="30">
        <f>'Monthly Data'!AA71</f>
        <v>70</v>
      </c>
      <c r="I71" s="30">
        <f>'Monthly Data'!AM71</f>
        <v>1</v>
      </c>
      <c r="J71" s="30">
        <f>'Monthly Data'!AO71</f>
        <v>0</v>
      </c>
      <c r="K71" s="4">
        <f>'Monthly Data'!AP71</f>
        <v>0</v>
      </c>
      <c r="L71" s="4">
        <f>'Monthly Data'!AQ71</f>
        <v>0</v>
      </c>
      <c r="N71" s="23">
        <f>'LU OLS Model'!$B$5</f>
        <v>-37159358.269763596</v>
      </c>
      <c r="O71" s="23">
        <f>'LU OLS Model'!$B$6*D71</f>
        <v>-438135.57266025443</v>
      </c>
      <c r="P71" s="23">
        <f>'LU OLS Model'!$B$7*E71</f>
        <v>33797.006046719282</v>
      </c>
      <c r="Q71" s="23">
        <f>'LU OLS Model'!$B$8*F71</f>
        <v>10663463.283272332</v>
      </c>
      <c r="R71" s="23">
        <f>'LU OLS Model'!$B$9*G71</f>
        <v>43686592.166744493</v>
      </c>
      <c r="S71" s="23">
        <f>'LU OLS Model'!$B$10*H71</f>
        <v>-2370015.6844050051</v>
      </c>
      <c r="T71" s="23">
        <f>'LU OLS Model'!$B$11*I71</f>
        <v>-1059857.8947751301</v>
      </c>
      <c r="U71" s="23">
        <f>'LU OLS Model'!$B$12*J71</f>
        <v>0</v>
      </c>
      <c r="V71" s="23">
        <f>'LU OLS Model'!$B$13*K71</f>
        <v>0</v>
      </c>
      <c r="W71" s="23">
        <f>'LU OLS Model'!$B$14*L71</f>
        <v>0</v>
      </c>
      <c r="X71" s="23">
        <f t="shared" si="4"/>
        <v>13356485.034459563</v>
      </c>
      <c r="Y71" s="13">
        <f t="shared" si="5"/>
        <v>2.4191548789064817E-2</v>
      </c>
    </row>
    <row r="72" spans="1:25" s="30" customFormat="1">
      <c r="A72" s="11">
        <f>'Monthly Data'!A72</f>
        <v>41944</v>
      </c>
      <c r="B72" s="6">
        <f t="shared" si="3"/>
        <v>2014</v>
      </c>
      <c r="C72" s="4">
        <f>'Monthly Data'!Q72</f>
        <v>12172721.066409929</v>
      </c>
      <c r="D72" s="30">
        <f>'Monthly Data'!U72</f>
        <v>491.6</v>
      </c>
      <c r="E72" s="30">
        <f>'Monthly Data'!V72</f>
        <v>0</v>
      </c>
      <c r="F72" s="30">
        <f>'Monthly Data'!X72</f>
        <v>30</v>
      </c>
      <c r="G72" s="30">
        <f>'Monthly Data'!Y72</f>
        <v>6914.3</v>
      </c>
      <c r="H72" s="30">
        <f>'Monthly Data'!AA72</f>
        <v>71</v>
      </c>
      <c r="I72" s="30">
        <f>'Monthly Data'!AM72</f>
        <v>1</v>
      </c>
      <c r="J72" s="30">
        <f>'Monthly Data'!AO72</f>
        <v>0</v>
      </c>
      <c r="K72" s="4">
        <f>'Monthly Data'!AP72</f>
        <v>0</v>
      </c>
      <c r="L72" s="4">
        <f>'Monthly Data'!AQ72</f>
        <v>0</v>
      </c>
      <c r="N72" s="23">
        <f>'LU OLS Model'!$B$5</f>
        <v>-37159358.269763596</v>
      </c>
      <c r="O72" s="23">
        <f>'LU OLS Model'!$B$6*D72</f>
        <v>-954731.59361605125</v>
      </c>
      <c r="P72" s="23">
        <f>'LU OLS Model'!$B$7*E72</f>
        <v>0</v>
      </c>
      <c r="Q72" s="23">
        <f>'LU OLS Model'!$B$8*F72</f>
        <v>10319480.59671516</v>
      </c>
      <c r="R72" s="23">
        <f>'LU OLS Model'!$B$9*G72</f>
        <v>43546147.135271095</v>
      </c>
      <c r="S72" s="23">
        <f>'LU OLS Model'!$B$10*H72</f>
        <v>-2403873.0513250767</v>
      </c>
      <c r="T72" s="23">
        <f>'LU OLS Model'!$B$11*I72</f>
        <v>-1059857.8947751301</v>
      </c>
      <c r="U72" s="23">
        <f>'LU OLS Model'!$B$12*J72</f>
        <v>0</v>
      </c>
      <c r="V72" s="23">
        <f>'LU OLS Model'!$B$13*K72</f>
        <v>0</v>
      </c>
      <c r="W72" s="23">
        <f>'LU OLS Model'!$B$14*L72</f>
        <v>0</v>
      </c>
      <c r="X72" s="23">
        <f t="shared" si="4"/>
        <v>12287806.922506398</v>
      </c>
      <c r="Y72" s="13">
        <f t="shared" si="5"/>
        <v>9.4544067401694642E-3</v>
      </c>
    </row>
    <row r="73" spans="1:25" s="30" customFormat="1">
      <c r="A73" s="11">
        <f>'Monthly Data'!A73</f>
        <v>41974</v>
      </c>
      <c r="B73" s="6">
        <f t="shared" si="3"/>
        <v>2014</v>
      </c>
      <c r="C73" s="4">
        <f>'Monthly Data'!Q73</f>
        <v>12198057.892082004</v>
      </c>
      <c r="D73" s="30">
        <f>'Monthly Data'!U73</f>
        <v>619.89999999999986</v>
      </c>
      <c r="E73" s="30">
        <f>'Monthly Data'!V73</f>
        <v>0</v>
      </c>
      <c r="F73" s="30">
        <f>'Monthly Data'!X73</f>
        <v>31</v>
      </c>
      <c r="G73" s="30">
        <f>'Monthly Data'!Y73</f>
        <v>6903.2</v>
      </c>
      <c r="H73" s="30">
        <f>'Monthly Data'!AA73</f>
        <v>72</v>
      </c>
      <c r="I73" s="30">
        <f>'Monthly Data'!AM73</f>
        <v>0</v>
      </c>
      <c r="J73" s="30">
        <f>'Monthly Data'!AO73</f>
        <v>0</v>
      </c>
      <c r="K73" s="4">
        <f>'Monthly Data'!AP73</f>
        <v>1</v>
      </c>
      <c r="L73" s="4">
        <f>'Monthly Data'!AQ73</f>
        <v>0</v>
      </c>
      <c r="N73" s="23">
        <f>'LU OLS Model'!$B$5</f>
        <v>-37159358.269763596</v>
      </c>
      <c r="O73" s="23">
        <f>'LU OLS Model'!$B$6*D73</f>
        <v>-1203901.7796635274</v>
      </c>
      <c r="P73" s="23">
        <f>'LU OLS Model'!$B$7*E73</f>
        <v>0</v>
      </c>
      <c r="Q73" s="23">
        <f>'LU OLS Model'!$B$8*F73</f>
        <v>10663463.283272332</v>
      </c>
      <c r="R73" s="23">
        <f>'LU OLS Model'!$B$9*G73</f>
        <v>43476239.518708095</v>
      </c>
      <c r="S73" s="23">
        <f>'LU OLS Model'!$B$10*H73</f>
        <v>-2437730.4182451479</v>
      </c>
      <c r="T73" s="23">
        <f>'LU OLS Model'!$B$11*I73</f>
        <v>0</v>
      </c>
      <c r="U73" s="23">
        <f>'LU OLS Model'!$B$12*J73</f>
        <v>0</v>
      </c>
      <c r="V73" s="23">
        <f>'LU OLS Model'!$B$13*K73</f>
        <v>-999570.07441694394</v>
      </c>
      <c r="W73" s="23">
        <f>'LU OLS Model'!$B$14*L73</f>
        <v>0</v>
      </c>
      <c r="X73" s="23">
        <f t="shared" si="4"/>
        <v>12339142.259891214</v>
      </c>
      <c r="Y73" s="13">
        <f t="shared" si="5"/>
        <v>1.1566133646634894E-2</v>
      </c>
    </row>
    <row r="74" spans="1:25">
      <c r="Y74" s="14">
        <f>AVERAGE(Y2:Y73)</f>
        <v>1.7304768026035575E-2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2.75"/>
  <cols>
    <col min="3" max="3" width="14" customWidth="1"/>
    <col min="4" max="4" width="14.28515625" customWidth="1"/>
    <col min="5" max="5" width="10.140625" bestFit="1" customWidth="1"/>
    <col min="6" max="6" width="10.140625" style="30" customWidth="1"/>
    <col min="8" max="8" width="15" customWidth="1"/>
    <col min="9" max="9" width="13.42578125" customWidth="1"/>
    <col min="11" max="11" width="9.140625" style="30"/>
    <col min="13" max="13" width="15.140625" customWidth="1"/>
    <col min="14" max="14" width="15.7109375" customWidth="1"/>
    <col min="16" max="16" width="9.140625" style="30"/>
    <col min="18" max="18" width="14.140625" customWidth="1"/>
    <col min="19" max="19" width="16.140625" customWidth="1"/>
  </cols>
  <sheetData>
    <row r="1" spans="1:20">
      <c r="A1" t="s">
        <v>20</v>
      </c>
    </row>
    <row r="2" spans="1:20">
      <c r="C2" s="2" t="s">
        <v>34</v>
      </c>
      <c r="E2" s="2" t="s">
        <v>38</v>
      </c>
      <c r="F2" s="2"/>
      <c r="H2" s="2" t="s">
        <v>28</v>
      </c>
      <c r="J2" s="2" t="s">
        <v>38</v>
      </c>
      <c r="K2" s="2"/>
      <c r="M2" s="2" t="s">
        <v>27</v>
      </c>
      <c r="O2" s="2" t="s">
        <v>38</v>
      </c>
      <c r="P2" s="2"/>
      <c r="R2" s="2" t="s">
        <v>29</v>
      </c>
      <c r="T2" s="2" t="s">
        <v>38</v>
      </c>
    </row>
    <row r="3" spans="1:20">
      <c r="B3" s="2" t="s">
        <v>33</v>
      </c>
      <c r="C3" s="2" t="s">
        <v>35</v>
      </c>
      <c r="D3" s="16" t="s">
        <v>60</v>
      </c>
      <c r="E3" s="2" t="s">
        <v>37</v>
      </c>
      <c r="F3" s="2"/>
      <c r="H3" s="2" t="s">
        <v>35</v>
      </c>
      <c r="I3" s="16" t="s">
        <v>60</v>
      </c>
      <c r="J3" s="2" t="s">
        <v>37</v>
      </c>
      <c r="K3" s="2"/>
      <c r="M3" s="2" t="s">
        <v>35</v>
      </c>
      <c r="N3" s="16" t="s">
        <v>60</v>
      </c>
      <c r="O3" s="2" t="s">
        <v>37</v>
      </c>
      <c r="P3" s="2"/>
      <c r="R3" s="2" t="s">
        <v>35</v>
      </c>
      <c r="S3" s="16" t="s">
        <v>60</v>
      </c>
      <c r="T3" s="2" t="s">
        <v>37</v>
      </c>
    </row>
    <row r="4" spans="1:20">
      <c r="B4">
        <v>2009</v>
      </c>
      <c r="C4" s="4">
        <f>SUMIF('Res Predicted Monthly'!$B:$B,B4,'Res Predicted Monthly'!C:C)</f>
        <v>196719829.16002709</v>
      </c>
      <c r="D4" s="4">
        <f>SUMIF('Res Predicted Monthly'!$B:$B,B4,'Res Predicted Monthly'!V:V)</f>
        <v>198043121.1081084</v>
      </c>
      <c r="E4" s="8">
        <f t="shared" ref="E4:E9" si="0">ABS(C4-D4)/C4</f>
        <v>6.7267847564306633E-3</v>
      </c>
      <c r="F4" s="8"/>
      <c r="G4">
        <v>2009</v>
      </c>
      <c r="H4" s="4">
        <f>SUMIF('GS &lt; 50 Predicted Monthly'!$B:$B,$B4,'GS &lt; 50 Predicted Monthly'!C:C)</f>
        <v>93692208.684131473</v>
      </c>
      <c r="I4" s="4">
        <f>SUMIF('GS &lt; 50 Predicted Monthly'!$B:$B,$B4,'GS &lt; 50 Predicted Monthly'!T:T)</f>
        <v>94277531.962273479</v>
      </c>
      <c r="J4" s="8">
        <f t="shared" ref="J4:J9" si="1">ABS(H4-I4)/H4</f>
        <v>6.2472993898065789E-3</v>
      </c>
      <c r="K4" s="8"/>
      <c r="L4">
        <v>2009</v>
      </c>
      <c r="M4" s="4">
        <f>SUMIF('GS &gt; 50 Predicted Monthly'!$B:$B,$B4,'GS &gt; 50 Predicted Monthly'!C:C)</f>
        <v>270757738.66862077</v>
      </c>
      <c r="N4" s="4">
        <f>SUMIF('GS &gt; 50 Predicted Monthly'!$B:$B,$B4,'GS &gt; 50 Predicted Monthly'!Z:Z)</f>
        <v>270285791.06643206</v>
      </c>
      <c r="O4" s="8">
        <f t="shared" ref="O4:O9" si="2">ABS(M4-N4)/M4</f>
        <v>1.743062283314166E-3</v>
      </c>
      <c r="P4" s="8"/>
      <c r="Q4">
        <v>2009</v>
      </c>
      <c r="R4" s="4">
        <f>SUMIF('LU Predicted Monthly'!$B:$B,$B4,'LU Predicted Monthly'!C:C)</f>
        <v>148002868.85999998</v>
      </c>
      <c r="S4" s="4">
        <f>SUMIF('LU Predicted Monthly'!$B:$B,$B4,'LU Predicted Monthly'!X:X)</f>
        <v>146701754.45274645</v>
      </c>
      <c r="T4" s="8">
        <f t="shared" ref="T4:T9" si="3">ABS(R4-S4)/R4</f>
        <v>8.7911431533418023E-3</v>
      </c>
    </row>
    <row r="5" spans="1:20">
      <c r="B5">
        <v>2010</v>
      </c>
      <c r="C5" s="4">
        <f>SUMIF('Res Predicted Monthly'!$B:$B,B5,'Res Predicted Monthly'!C:C)</f>
        <v>198092958.47466445</v>
      </c>
      <c r="D5" s="4">
        <f>SUMIF('Res Predicted Monthly'!$B:$B,B5,'Res Predicted Monthly'!V:V)</f>
        <v>195566424.16498923</v>
      </c>
      <c r="E5" s="8">
        <f t="shared" si="0"/>
        <v>1.2754286316534334E-2</v>
      </c>
      <c r="F5" s="8"/>
      <c r="G5">
        <v>2010</v>
      </c>
      <c r="H5" s="4">
        <f>SUMIF('GS &lt; 50 Predicted Monthly'!$B:$B,$B5,'GS &lt; 50 Predicted Monthly'!C:C)</f>
        <v>95078832.829738051</v>
      </c>
      <c r="I5" s="4">
        <f>SUMIF('GS &lt; 50 Predicted Monthly'!$B:$B,$B5,'GS &lt; 50 Predicted Monthly'!T:T)</f>
        <v>94432201.024751425</v>
      </c>
      <c r="J5" s="8">
        <f t="shared" si="1"/>
        <v>6.801006972230913E-3</v>
      </c>
      <c r="K5" s="8"/>
      <c r="L5">
        <v>2010</v>
      </c>
      <c r="M5" s="4">
        <f>SUMIF('GS &gt; 50 Predicted Monthly'!$B:$B,$B5,'GS &gt; 50 Predicted Monthly'!C:C)</f>
        <v>275223187.93364877</v>
      </c>
      <c r="N5" s="4">
        <f>SUMIF('GS &gt; 50 Predicted Monthly'!$B:$B,$B5,'GS &gt; 50 Predicted Monthly'!Z:Z)</f>
        <v>274129623.76937348</v>
      </c>
      <c r="O5" s="8">
        <f t="shared" si="2"/>
        <v>3.9733722019778608E-3</v>
      </c>
      <c r="P5" s="8"/>
      <c r="Q5">
        <v>2010</v>
      </c>
      <c r="R5" s="4">
        <f>SUMIF('LU Predicted Monthly'!$B:$B,$B5,'LU Predicted Monthly'!C:C)</f>
        <v>149058789.9682</v>
      </c>
      <c r="S5" s="4">
        <f>SUMIF('LU Predicted Monthly'!$B:$B,$B5,'LU Predicted Monthly'!X:X)</f>
        <v>152031876.69235855</v>
      </c>
      <c r="T5" s="8">
        <f t="shared" si="3"/>
        <v>1.9945732316710939E-2</v>
      </c>
    </row>
    <row r="6" spans="1:20">
      <c r="B6">
        <v>2011</v>
      </c>
      <c r="C6" s="4">
        <f>SUMIF('Res Predicted Monthly'!$B:$B,B6,'Res Predicted Monthly'!C:C)</f>
        <v>192211501.61639327</v>
      </c>
      <c r="D6" s="4">
        <f>SUMIF('Res Predicted Monthly'!$B:$B,B6,'Res Predicted Monthly'!V:V)</f>
        <v>192890039.19378299</v>
      </c>
      <c r="E6" s="8">
        <f t="shared" si="0"/>
        <v>3.5301611593665746E-3</v>
      </c>
      <c r="F6" s="8"/>
      <c r="G6">
        <v>2011</v>
      </c>
      <c r="H6" s="4">
        <f>SUMIF('GS &lt; 50 Predicted Monthly'!$B:$B,$B6,'GS &lt; 50 Predicted Monthly'!C:C)</f>
        <v>94563720.505268946</v>
      </c>
      <c r="I6" s="4">
        <f>SUMIF('GS &lt; 50 Predicted Monthly'!$B:$B,$B6,'GS &lt; 50 Predicted Monthly'!T:T)</f>
        <v>93907245.793649942</v>
      </c>
      <c r="J6" s="8">
        <f t="shared" si="1"/>
        <v>6.9421413213371494E-3</v>
      </c>
      <c r="K6" s="8"/>
      <c r="L6">
        <v>2011</v>
      </c>
      <c r="M6" s="4">
        <f>SUMIF('GS &gt; 50 Predicted Monthly'!$B:$B,$B6,'GS &gt; 50 Predicted Monthly'!C:C)</f>
        <v>275477475.57809275</v>
      </c>
      <c r="N6" s="4">
        <f>SUMIF('GS &gt; 50 Predicted Monthly'!$B:$B,$B6,'GS &gt; 50 Predicted Monthly'!Z:Z)</f>
        <v>277694806.25673211</v>
      </c>
      <c r="O6" s="8">
        <f t="shared" si="2"/>
        <v>8.0490452948512679E-3</v>
      </c>
      <c r="P6" s="8"/>
      <c r="Q6">
        <v>2011</v>
      </c>
      <c r="R6" s="4">
        <f>SUMIF('LU Predicted Monthly'!$B:$B,$B6,'LU Predicted Monthly'!C:C)</f>
        <v>155109162.69316885</v>
      </c>
      <c r="S6" s="4">
        <f>SUMIF('LU Predicted Monthly'!$B:$B,$B6,'LU Predicted Monthly'!X:X)</f>
        <v>154549554.09703305</v>
      </c>
      <c r="T6" s="8">
        <f t="shared" si="3"/>
        <v>3.6078371285053735E-3</v>
      </c>
    </row>
    <row r="7" spans="1:20">
      <c r="B7" s="9">
        <v>2012</v>
      </c>
      <c r="C7" s="4">
        <f>SUMIF('Res Predicted Monthly'!$B:$B,B7,'Res Predicted Monthly'!C:C)</f>
        <v>186486714.60720381</v>
      </c>
      <c r="D7" s="4">
        <f>SUMIF('Res Predicted Monthly'!$B:$B,B7,'Res Predicted Monthly'!V:V)</f>
        <v>187128301.45218539</v>
      </c>
      <c r="E7" s="8">
        <f t="shared" si="0"/>
        <v>3.4403890182362461E-3</v>
      </c>
      <c r="F7" s="8"/>
      <c r="G7" s="9">
        <v>2012</v>
      </c>
      <c r="H7" s="4">
        <f>SUMIF('GS &lt; 50 Predicted Monthly'!$B:$B,$B7,'GS &lt; 50 Predicted Monthly'!C:C)</f>
        <v>91104095.455073819</v>
      </c>
      <c r="I7" s="4">
        <f>SUMIF('GS &lt; 50 Predicted Monthly'!$B:$B,$B7,'GS &lt; 50 Predicted Monthly'!T:T)</f>
        <v>91534181.042201281</v>
      </c>
      <c r="J7" s="8">
        <f t="shared" si="1"/>
        <v>4.7208150740001608E-3</v>
      </c>
      <c r="K7" s="8"/>
      <c r="L7" s="9">
        <v>2012</v>
      </c>
      <c r="M7" s="4">
        <f>SUMIF('GS &gt; 50 Predicted Monthly'!$B:$B,$B7,'GS &gt; 50 Predicted Monthly'!C:C)</f>
        <v>278251344.40651882</v>
      </c>
      <c r="N7" s="4">
        <f>SUMIF('GS &gt; 50 Predicted Monthly'!$B:$B,$B7,'GS &gt; 50 Predicted Monthly'!Z:Z)</f>
        <v>278427646.06874186</v>
      </c>
      <c r="O7" s="8">
        <f t="shared" si="2"/>
        <v>6.3360578759852598E-4</v>
      </c>
      <c r="P7" s="8"/>
      <c r="Q7" s="9">
        <v>2012</v>
      </c>
      <c r="R7" s="4">
        <f>SUMIF('LU Predicted Monthly'!$B:$B,$B7,'LU Predicted Monthly'!C:C)</f>
        <v>156990060.27756807</v>
      </c>
      <c r="S7" s="4">
        <f>SUMIF('LU Predicted Monthly'!$B:$B,$B7,'LU Predicted Monthly'!X:X)</f>
        <v>155120288.71028283</v>
      </c>
      <c r="T7" s="8">
        <f t="shared" si="3"/>
        <v>1.191012707415596E-2</v>
      </c>
    </row>
    <row r="8" spans="1:20">
      <c r="B8">
        <v>2013</v>
      </c>
      <c r="C8" s="4">
        <f>SUMIF('Res Predicted Monthly'!$B:$B,B8,'Res Predicted Monthly'!C:C)</f>
        <v>191269648.75523376</v>
      </c>
      <c r="D8" s="4">
        <f>SUMIF('Res Predicted Monthly'!$B:$B,B8,'Res Predicted Monthly'!V:V)</f>
        <v>191425802.9690764</v>
      </c>
      <c r="E8" s="8">
        <f t="shared" si="0"/>
        <v>8.1640874471652154E-4</v>
      </c>
      <c r="F8" s="8"/>
      <c r="G8">
        <v>2013</v>
      </c>
      <c r="H8" s="4">
        <f>SUMIF('GS &lt; 50 Predicted Monthly'!$B:$B,$B8,'GS &lt; 50 Predicted Monthly'!C:C)</f>
        <v>89694902.970828578</v>
      </c>
      <c r="I8" s="4">
        <f>SUMIF('GS &lt; 50 Predicted Monthly'!$B:$B,$B8,'GS &lt; 50 Predicted Monthly'!T:T)</f>
        <v>89982600.622165412</v>
      </c>
      <c r="J8" s="8">
        <f t="shared" si="1"/>
        <v>3.2075139367774507E-3</v>
      </c>
      <c r="K8" s="8"/>
      <c r="L8">
        <v>2013</v>
      </c>
      <c r="M8" s="4">
        <f>SUMIF('GS &gt; 50 Predicted Monthly'!$B:$B,$B8,'GS &gt; 50 Predicted Monthly'!C:C)</f>
        <v>285427115.33457083</v>
      </c>
      <c r="N8" s="4">
        <f>SUMIF('GS &gt; 50 Predicted Monthly'!$B:$B,$B8,'GS &gt; 50 Predicted Monthly'!Z:Z)</f>
        <v>284856015.2910803</v>
      </c>
      <c r="O8" s="8">
        <f t="shared" si="2"/>
        <v>2.000861210474342E-3</v>
      </c>
      <c r="P8" s="8"/>
      <c r="Q8">
        <v>2013</v>
      </c>
      <c r="R8" s="4">
        <f>SUMIF('LU Predicted Monthly'!$B:$B,$B8,'LU Predicted Monthly'!C:C)</f>
        <v>156431907.07791379</v>
      </c>
      <c r="S8" s="4">
        <f>SUMIF('LU Predicted Monthly'!$B:$B,$B8,'LU Predicted Monthly'!X:X)</f>
        <v>156359190.04166785</v>
      </c>
      <c r="T8" s="8">
        <f t="shared" si="3"/>
        <v>4.6484785363975687E-4</v>
      </c>
    </row>
    <row r="9" spans="1:20" s="30" customFormat="1">
      <c r="B9" s="30">
        <v>2014</v>
      </c>
      <c r="C9" s="4">
        <f>SUMIF('Res Predicted Monthly'!$B:$B,B9,'Res Predicted Monthly'!C:C)</f>
        <v>194596923.15121508</v>
      </c>
      <c r="D9" s="4">
        <f>SUMIF('Res Predicted Monthly'!$B:$B,B9,'Res Predicted Monthly'!V:V)</f>
        <v>194323886.87659526</v>
      </c>
      <c r="E9" s="8">
        <f t="shared" si="0"/>
        <v>1.4030862883050311E-3</v>
      </c>
      <c r="F9" s="8"/>
      <c r="G9" s="30">
        <v>2014</v>
      </c>
      <c r="H9" s="4">
        <f>SUMIF('GS &lt; 50 Predicted Monthly'!$B:$B,$B9,'GS &lt; 50 Predicted Monthly'!C:C)</f>
        <v>95353789.85924013</v>
      </c>
      <c r="I9" s="4">
        <f>SUMIF('GS &lt; 50 Predicted Monthly'!$B:$B,$B9,'GS &lt; 50 Predicted Monthly'!T:T)</f>
        <v>95353789.859240219</v>
      </c>
      <c r="J9" s="8">
        <f t="shared" si="1"/>
        <v>9.3763412335332648E-16</v>
      </c>
      <c r="K9" s="8"/>
      <c r="L9" s="30">
        <v>2014</v>
      </c>
      <c r="M9" s="4">
        <f>SUMIF('GS &gt; 50 Predicted Monthly'!$B:$B,$B9,'GS &gt; 50 Predicted Monthly'!C:C)</f>
        <v>280031990.75827765</v>
      </c>
      <c r="N9" s="4">
        <f>SUMIF('GS &gt; 50 Predicted Monthly'!$B:$B,$B9,'GS &gt; 50 Predicted Monthly'!Z:Z)</f>
        <v>279774970.22737098</v>
      </c>
      <c r="O9" s="8">
        <f t="shared" si="2"/>
        <v>9.1782560346305648E-4</v>
      </c>
      <c r="P9" s="8"/>
      <c r="Q9" s="30">
        <v>2014</v>
      </c>
      <c r="R9" s="4">
        <f>SUMIF('LU Predicted Monthly'!$B:$B,$B9,'LU Predicted Monthly'!C:C)</f>
        <v>154699983.49762699</v>
      </c>
      <c r="S9" s="4">
        <f>SUMIF('LU Predicted Monthly'!$B:$B,$B9,'LU Predicted Monthly'!X:X)</f>
        <v>155530108.3803845</v>
      </c>
      <c r="T9" s="8">
        <f t="shared" si="3"/>
        <v>5.3660308423384437E-3</v>
      </c>
    </row>
    <row r="11" spans="1:20">
      <c r="B11" t="s">
        <v>101</v>
      </c>
      <c r="E11" s="10">
        <f>AVERAGE(E4:E9)</f>
        <v>4.7785193805982284E-3</v>
      </c>
      <c r="F11" s="10"/>
      <c r="G11" t="s">
        <v>101</v>
      </c>
      <c r="J11" s="10">
        <f>AVERAGE(J4:J9)</f>
        <v>4.6531294490255318E-3</v>
      </c>
      <c r="K11" s="10"/>
      <c r="L11" t="s">
        <v>101</v>
      </c>
      <c r="O11" s="10">
        <f>AVERAGE(O4:O9)</f>
        <v>2.8862953969465365E-3</v>
      </c>
      <c r="P11" s="10"/>
      <c r="Q11" t="s">
        <v>101</v>
      </c>
      <c r="T11" s="10">
        <f>AVERAGE(T4:T9)</f>
        <v>8.3476197281153793E-3</v>
      </c>
    </row>
    <row r="12" spans="1:20">
      <c r="B12" t="s">
        <v>100</v>
      </c>
      <c r="E12" s="10">
        <f>'Res Predicted Monthly'!$W$74</f>
        <v>2.8220343941402326E-2</v>
      </c>
      <c r="F12" s="10"/>
      <c r="G12" t="s">
        <v>100</v>
      </c>
      <c r="J12" s="10">
        <f>'GS &lt; 50 Predicted Monthly'!$U$74</f>
        <v>2.1695297732307866E-2</v>
      </c>
      <c r="K12" s="10"/>
      <c r="L12" t="s">
        <v>100</v>
      </c>
      <c r="O12" s="10">
        <f>'GS &gt; 50 Predicted Monthly'!$AA$74</f>
        <v>1.3983627869504503E-2</v>
      </c>
      <c r="P12" s="10"/>
      <c r="Q12" t="s">
        <v>100</v>
      </c>
      <c r="T12" s="10">
        <f>'LU Predicted Monthly'!$Y$74</f>
        <v>1.7304768026035575E-2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5"/>
  <sheetViews>
    <sheetView workbookViewId="0"/>
  </sheetViews>
  <sheetFormatPr defaultRowHeight="12.75"/>
  <cols>
    <col min="1" max="1" width="7.14062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5.5703125" bestFit="1" customWidth="1"/>
    <col min="7" max="7" width="8.7109375" bestFit="1" customWidth="1"/>
    <col min="8" max="11" width="8.7109375" style="30" customWidth="1"/>
    <col min="12" max="12" width="9.140625" style="30"/>
    <col min="13" max="14" width="11.28515625" style="23" bestFit="1" customWidth="1"/>
    <col min="15" max="16" width="10.28515625" style="23" bestFit="1" customWidth="1"/>
    <col min="17" max="17" width="11.28515625" style="23" bestFit="1" customWidth="1"/>
    <col min="18" max="21" width="11.28515625" style="23" customWidth="1"/>
    <col min="22" max="22" width="16.85546875" style="23" bestFit="1" customWidth="1"/>
  </cols>
  <sheetData>
    <row r="1" spans="1:22">
      <c r="A1" s="11" t="str">
        <f>'Monthly Data'!A1</f>
        <v>Date</v>
      </c>
      <c r="B1" s="15" t="s">
        <v>33</v>
      </c>
      <c r="C1" t="str">
        <f>'Monthly Data'!D1</f>
        <v>ReskWh</v>
      </c>
      <c r="D1" t="str">
        <f>'Monthly Data'!U1</f>
        <v>HDD</v>
      </c>
      <c r="E1" t="str">
        <f>'Monthly Data'!V1</f>
        <v>CDD</v>
      </c>
      <c r="F1" s="30" t="str">
        <f>'Monthly Data'!AA1</f>
        <v>Trend</v>
      </c>
      <c r="G1" s="30" t="str">
        <f>'Monthly Data'!AB1</f>
        <v>Res Cust</v>
      </c>
      <c r="H1" s="30" t="str">
        <f>'Monthly Data'!AM1</f>
        <v>Fall</v>
      </c>
      <c r="I1" s="30" t="str">
        <f>'Monthly Data'!AO1</f>
        <v>DAPR</v>
      </c>
      <c r="J1" s="30" t="str">
        <f>'Monthly Data'!AQ1</f>
        <v>PostSecondarySummer</v>
      </c>
      <c r="K1" s="94" t="str">
        <f>'Monthly Data'!AR1</f>
        <v>DJAN</v>
      </c>
      <c r="M1" s="23" t="s">
        <v>13</v>
      </c>
      <c r="N1" s="23" t="str">
        <f t="shared" ref="N1:U1" si="0">D1</f>
        <v>HDD</v>
      </c>
      <c r="O1" s="23" t="str">
        <f t="shared" si="0"/>
        <v>CDD</v>
      </c>
      <c r="P1" s="23" t="str">
        <f t="shared" si="0"/>
        <v>Trend</v>
      </c>
      <c r="Q1" s="23" t="str">
        <f t="shared" si="0"/>
        <v>Res Cust</v>
      </c>
      <c r="R1" s="23" t="str">
        <f t="shared" si="0"/>
        <v>Fall</v>
      </c>
      <c r="S1" s="23" t="str">
        <f t="shared" si="0"/>
        <v>DAPR</v>
      </c>
      <c r="T1" s="23" t="str">
        <f t="shared" si="0"/>
        <v>PostSecondarySummer</v>
      </c>
      <c r="U1" s="23" t="str">
        <f t="shared" si="0"/>
        <v>DJAN</v>
      </c>
      <c r="V1" s="58" t="s">
        <v>58</v>
      </c>
    </row>
    <row r="2" spans="1:22">
      <c r="A2" s="11">
        <f>'Monthly Data'!A2</f>
        <v>39814</v>
      </c>
      <c r="B2" s="6">
        <f>YEAR(A2)</f>
        <v>2009</v>
      </c>
      <c r="C2">
        <f>'Monthly Data'!F2</f>
        <v>24635161.167892549</v>
      </c>
      <c r="D2">
        <f ca="1">'Weather Data'!G66</f>
        <v>784.29</v>
      </c>
      <c r="E2" s="30">
        <f ca="1">'Weather Data'!H66</f>
        <v>0</v>
      </c>
      <c r="F2">
        <f>'Monthly Data'!AA2</f>
        <v>1</v>
      </c>
      <c r="G2" s="30">
        <f>'Monthly Data'!AB2</f>
        <v>23190</v>
      </c>
      <c r="H2" s="30">
        <f>'Monthly Data'!AM2</f>
        <v>0</v>
      </c>
      <c r="I2" s="30">
        <f>'Monthly Data'!AO2</f>
        <v>0</v>
      </c>
      <c r="J2" s="30">
        <f>'Monthly Data'!AQ2</f>
        <v>0</v>
      </c>
      <c r="K2" s="94">
        <f>'Monthly Data'!AR2</f>
        <v>1</v>
      </c>
      <c r="M2" s="23">
        <f>'Res OLS Model'!$B$5</f>
        <v>-23168470.016197301</v>
      </c>
      <c r="N2" s="23">
        <f ca="1">'Res OLS Model'!$B$6*D2</f>
        <v>9393729.5028928593</v>
      </c>
      <c r="O2" s="23">
        <f ca="1">'Res OLS Model'!$B$7*E2</f>
        <v>0</v>
      </c>
      <c r="P2" s="23">
        <f>'Res OLS Model'!$B$8*F2</f>
        <v>-27485.737428065899</v>
      </c>
      <c r="Q2" s="23">
        <f>'Res OLS Model'!$B$9*G2</f>
        <v>36185613.559390284</v>
      </c>
      <c r="R2" s="23">
        <f>'Res OLS Model'!$B$10*H2</f>
        <v>0</v>
      </c>
      <c r="S2" s="23">
        <f>'Res OLS Model'!$B$11*I2</f>
        <v>0</v>
      </c>
      <c r="T2" s="23">
        <f>'Res OLS Model'!$B$12*J2</f>
        <v>0</v>
      </c>
      <c r="U2" s="23">
        <f>'Res OLS Model'!$B$13*K2</f>
        <v>1122371.81652903</v>
      </c>
      <c r="V2" s="23">
        <f t="shared" ref="V2:V33" ca="1" si="1">SUM(M2:U2)</f>
        <v>23505759.125186808</v>
      </c>
    </row>
    <row r="3" spans="1:22">
      <c r="A3" s="11">
        <f>'Monthly Data'!A3</f>
        <v>39845</v>
      </c>
      <c r="B3" s="6">
        <f t="shared" ref="B3:B66" si="2">YEAR(A3)</f>
        <v>2009</v>
      </c>
      <c r="C3" s="30">
        <f>'Monthly Data'!F3</f>
        <v>21264941.095677644</v>
      </c>
      <c r="D3" s="30">
        <f ca="1">'Weather Data'!G67</f>
        <v>682.50999999999988</v>
      </c>
      <c r="E3" s="30">
        <f ca="1">'Weather Data'!H67</f>
        <v>0</v>
      </c>
      <c r="F3">
        <f>'Monthly Data'!AA3</f>
        <v>2</v>
      </c>
      <c r="G3" s="30">
        <f>'Monthly Data'!AB3</f>
        <v>23198</v>
      </c>
      <c r="H3" s="30">
        <f>'Monthly Data'!AM3</f>
        <v>0</v>
      </c>
      <c r="I3" s="30">
        <f>'Monthly Data'!AO3</f>
        <v>0</v>
      </c>
      <c r="J3" s="30">
        <f>'Monthly Data'!AQ3</f>
        <v>0</v>
      </c>
      <c r="K3" s="94">
        <f>'Monthly Data'!AR3</f>
        <v>0</v>
      </c>
      <c r="M3" s="23">
        <f>'Res OLS Model'!$B$5</f>
        <v>-23168470.016197301</v>
      </c>
      <c r="N3" s="23">
        <f ca="1">'Res OLS Model'!$B$6*D3</f>
        <v>8174673.0457093734</v>
      </c>
      <c r="O3" s="23">
        <f ca="1">'Res OLS Model'!$B$7*E3</f>
        <v>0</v>
      </c>
      <c r="P3" s="23">
        <f>'Res OLS Model'!$B$8*F3</f>
        <v>-54971.474856131797</v>
      </c>
      <c r="Q3" s="23">
        <f>'Res OLS Model'!$B$9*G3</f>
        <v>36198096.737849757</v>
      </c>
      <c r="R3" s="23">
        <f>'Res OLS Model'!$B$10*H3</f>
        <v>0</v>
      </c>
      <c r="S3" s="23">
        <f>'Res OLS Model'!$B$11*I3</f>
        <v>0</v>
      </c>
      <c r="T3" s="23">
        <f>'Res OLS Model'!$B$12*J3</f>
        <v>0</v>
      </c>
      <c r="U3" s="23">
        <f>'Res OLS Model'!$B$13*K3</f>
        <v>0</v>
      </c>
      <c r="V3" s="23">
        <f t="shared" ca="1" si="1"/>
        <v>21149328.292505696</v>
      </c>
    </row>
    <row r="4" spans="1:22">
      <c r="A4" s="11">
        <f>'Monthly Data'!A4</f>
        <v>39873</v>
      </c>
      <c r="B4" s="6">
        <f t="shared" si="2"/>
        <v>2009</v>
      </c>
      <c r="C4" s="30">
        <f>'Monthly Data'!F4</f>
        <v>20320467.289462749</v>
      </c>
      <c r="D4" s="30">
        <f ca="1">'Weather Data'!G68</f>
        <v>556.99</v>
      </c>
      <c r="E4" s="30">
        <f ca="1">'Weather Data'!H68</f>
        <v>0</v>
      </c>
      <c r="F4">
        <f>'Monthly Data'!AA4</f>
        <v>3</v>
      </c>
      <c r="G4" s="30">
        <f>'Monthly Data'!AB4</f>
        <v>23222</v>
      </c>
      <c r="H4" s="30">
        <f>'Monthly Data'!AM4</f>
        <v>0</v>
      </c>
      <c r="I4" s="30">
        <f>'Monthly Data'!AO4</f>
        <v>0</v>
      </c>
      <c r="J4" s="30">
        <f>'Monthly Data'!AQ4</f>
        <v>0</v>
      </c>
      <c r="K4" s="94">
        <f>'Monthly Data'!AR4</f>
        <v>0</v>
      </c>
      <c r="M4" s="23">
        <f>'Res OLS Model'!$B$5</f>
        <v>-23168470.016197301</v>
      </c>
      <c r="N4" s="23">
        <f ca="1">'Res OLS Model'!$B$6*D4</f>
        <v>6671273.8857008172</v>
      </c>
      <c r="O4" s="23">
        <f ca="1">'Res OLS Model'!$B$7*E4</f>
        <v>0</v>
      </c>
      <c r="P4" s="23">
        <f>'Res OLS Model'!$B$8*F4</f>
        <v>-82457.212284197696</v>
      </c>
      <c r="Q4" s="23">
        <f>'Res OLS Model'!$B$9*G4</f>
        <v>36235546.273228168</v>
      </c>
      <c r="R4" s="23">
        <f>'Res OLS Model'!$B$10*H4</f>
        <v>0</v>
      </c>
      <c r="S4" s="23">
        <f>'Res OLS Model'!$B$11*I4</f>
        <v>0</v>
      </c>
      <c r="T4" s="23">
        <f>'Res OLS Model'!$B$12*J4</f>
        <v>0</v>
      </c>
      <c r="U4" s="23">
        <f>'Res OLS Model'!$B$13*K4</f>
        <v>0</v>
      </c>
      <c r="V4" s="23">
        <f t="shared" ca="1" si="1"/>
        <v>19655892.930447489</v>
      </c>
    </row>
    <row r="5" spans="1:22">
      <c r="A5" s="11">
        <f>'Monthly Data'!A5</f>
        <v>39904</v>
      </c>
      <c r="B5" s="6">
        <f t="shared" si="2"/>
        <v>2009</v>
      </c>
      <c r="C5" s="30">
        <f>'Monthly Data'!F5</f>
        <v>15368223.968047846</v>
      </c>
      <c r="D5" s="30">
        <f ca="1">'Weather Data'!G69</f>
        <v>326.58999999999997</v>
      </c>
      <c r="E5" s="30">
        <f ca="1">'Weather Data'!H69</f>
        <v>0.39</v>
      </c>
      <c r="F5">
        <f>'Monthly Data'!AA5</f>
        <v>4</v>
      </c>
      <c r="G5" s="30">
        <f>'Monthly Data'!AB5</f>
        <v>23086</v>
      </c>
      <c r="H5" s="30">
        <f>'Monthly Data'!AM5</f>
        <v>0</v>
      </c>
      <c r="I5" s="30">
        <f>'Monthly Data'!AO5</f>
        <v>1</v>
      </c>
      <c r="J5" s="30">
        <f>'Monthly Data'!AQ5</f>
        <v>0</v>
      </c>
      <c r="K5" s="94">
        <f>'Monthly Data'!AR5</f>
        <v>0</v>
      </c>
      <c r="M5" s="23">
        <f>'Res OLS Model'!$B$5</f>
        <v>-23168470.016197301</v>
      </c>
      <c r="N5" s="23">
        <f ca="1">'Res OLS Model'!$B$6*D5</f>
        <v>3911688.4294709596</v>
      </c>
      <c r="O5" s="23">
        <f ca="1">'Res OLS Model'!$B$7*E5</f>
        <v>13015.289534109019</v>
      </c>
      <c r="P5" s="23">
        <f>'Res OLS Model'!$B$8*F5</f>
        <v>-109942.94971226359</v>
      </c>
      <c r="Q5" s="23">
        <f>'Res OLS Model'!$B$9*G5</f>
        <v>36023332.239417173</v>
      </c>
      <c r="R5" s="23">
        <f>'Res OLS Model'!$B$10*H5</f>
        <v>0</v>
      </c>
      <c r="S5" s="23">
        <f>'Res OLS Model'!$B$11*I5</f>
        <v>-1218613.41007658</v>
      </c>
      <c r="T5" s="23">
        <f>'Res OLS Model'!$B$12*J5</f>
        <v>0</v>
      </c>
      <c r="U5" s="23">
        <f>'Res OLS Model'!$B$13*K5</f>
        <v>0</v>
      </c>
      <c r="V5" s="23">
        <f t="shared" ca="1" si="1"/>
        <v>15451009.582436096</v>
      </c>
    </row>
    <row r="6" spans="1:22">
      <c r="A6" s="11">
        <f>'Monthly Data'!A6</f>
        <v>39934</v>
      </c>
      <c r="B6" s="6">
        <f t="shared" si="2"/>
        <v>2009</v>
      </c>
      <c r="C6" s="30">
        <f>'Monthly Data'!F6</f>
        <v>13133840.142032944</v>
      </c>
      <c r="D6" s="30">
        <f ca="1">'Weather Data'!G70</f>
        <v>144.96</v>
      </c>
      <c r="E6" s="30">
        <f ca="1">'Weather Data'!H70</f>
        <v>8.67</v>
      </c>
      <c r="F6">
        <f>'Monthly Data'!AA6</f>
        <v>5</v>
      </c>
      <c r="G6" s="30">
        <f>'Monthly Data'!AB6</f>
        <v>22950</v>
      </c>
      <c r="H6" s="30">
        <f>'Monthly Data'!AM6</f>
        <v>0</v>
      </c>
      <c r="I6" s="30">
        <f>'Monthly Data'!AO6</f>
        <v>0</v>
      </c>
      <c r="J6" s="30">
        <f>'Monthly Data'!AQ6</f>
        <v>1</v>
      </c>
      <c r="K6" s="94">
        <f>'Monthly Data'!AR6</f>
        <v>0</v>
      </c>
      <c r="M6" s="23">
        <f>'Res OLS Model'!$B$5</f>
        <v>-23168470.016197301</v>
      </c>
      <c r="N6" s="23">
        <f ca="1">'Res OLS Model'!$B$6*D6</f>
        <v>1736239.182877952</v>
      </c>
      <c r="O6" s="23">
        <f ca="1">'Res OLS Model'!$B$7*E6</f>
        <v>289339.89810442354</v>
      </c>
      <c r="P6" s="23">
        <f>'Res OLS Model'!$B$8*F6</f>
        <v>-137428.68714032951</v>
      </c>
      <c r="Q6" s="23">
        <f>'Res OLS Model'!$B$9*G6</f>
        <v>35811118.20560617</v>
      </c>
      <c r="R6" s="23">
        <f>'Res OLS Model'!$B$10*H6</f>
        <v>0</v>
      </c>
      <c r="S6" s="23">
        <f>'Res OLS Model'!$B$11*I6</f>
        <v>0</v>
      </c>
      <c r="T6" s="23">
        <f>'Res OLS Model'!$B$12*J6</f>
        <v>-1511757.2538914999</v>
      </c>
      <c r="U6" s="23">
        <f>'Res OLS Model'!$B$13*K6</f>
        <v>0</v>
      </c>
      <c r="V6" s="23">
        <f t="shared" ca="1" si="1"/>
        <v>13019041.32935941</v>
      </c>
    </row>
    <row r="7" spans="1:22">
      <c r="A7" s="11">
        <f>'Monthly Data'!A7</f>
        <v>39965</v>
      </c>
      <c r="B7" s="6">
        <f t="shared" si="2"/>
        <v>2009</v>
      </c>
      <c r="C7" s="30">
        <f>'Monthly Data'!F7</f>
        <v>11976785.90551804</v>
      </c>
      <c r="D7" s="30">
        <f ca="1">'Weather Data'!G71</f>
        <v>41.510000000000005</v>
      </c>
      <c r="E7" s="30">
        <f ca="1">'Weather Data'!H71</f>
        <v>44.41</v>
      </c>
      <c r="F7">
        <f>'Monthly Data'!AA7</f>
        <v>6</v>
      </c>
      <c r="G7" s="30">
        <f>'Monthly Data'!AB7</f>
        <v>22947</v>
      </c>
      <c r="H7" s="30">
        <f>'Monthly Data'!AM7</f>
        <v>0</v>
      </c>
      <c r="I7" s="30">
        <f>'Monthly Data'!AO7</f>
        <v>0</v>
      </c>
      <c r="J7" s="30">
        <f>'Monthly Data'!AQ7</f>
        <v>1</v>
      </c>
      <c r="K7" s="94">
        <f>'Monthly Data'!AR7</f>
        <v>0</v>
      </c>
      <c r="M7" s="23">
        <f>'Res OLS Model'!$B$5</f>
        <v>-23168470.016197301</v>
      </c>
      <c r="N7" s="23">
        <f ca="1">'Res OLS Model'!$B$6*D7</f>
        <v>497180.52208377345</v>
      </c>
      <c r="O7" s="23">
        <f ca="1">'Res OLS Model'!$B$7*E7</f>
        <v>1482074.3800250806</v>
      </c>
      <c r="P7" s="23">
        <f>'Res OLS Model'!$B$8*F7</f>
        <v>-164914.42456839539</v>
      </c>
      <c r="Q7" s="23">
        <f>'Res OLS Model'!$B$9*G7</f>
        <v>35806437.01368387</v>
      </c>
      <c r="R7" s="23">
        <f>'Res OLS Model'!$B$10*H7</f>
        <v>0</v>
      </c>
      <c r="S7" s="23">
        <f>'Res OLS Model'!$B$11*I7</f>
        <v>0</v>
      </c>
      <c r="T7" s="23">
        <f>'Res OLS Model'!$B$12*J7</f>
        <v>-1511757.2538914999</v>
      </c>
      <c r="U7" s="23">
        <f>'Res OLS Model'!$B$13*K7</f>
        <v>0</v>
      </c>
      <c r="V7" s="23">
        <f t="shared" ca="1" si="1"/>
        <v>12940550.221135529</v>
      </c>
    </row>
    <row r="8" spans="1:22">
      <c r="A8" s="11">
        <f>'Monthly Data'!A8</f>
        <v>39995</v>
      </c>
      <c r="B8" s="6">
        <f t="shared" si="2"/>
        <v>2009</v>
      </c>
      <c r="C8" s="30">
        <f>'Monthly Data'!F8</f>
        <v>12446989.012403144</v>
      </c>
      <c r="D8" s="30">
        <f ca="1">'Weather Data'!G72</f>
        <v>5.01</v>
      </c>
      <c r="E8" s="30">
        <f ca="1">'Weather Data'!H72</f>
        <v>96.909999999999982</v>
      </c>
      <c r="F8">
        <f>'Monthly Data'!AA8</f>
        <v>7</v>
      </c>
      <c r="G8" s="30">
        <f>'Monthly Data'!AB8</f>
        <v>22995</v>
      </c>
      <c r="H8" s="30">
        <f>'Monthly Data'!AM8</f>
        <v>0</v>
      </c>
      <c r="I8" s="30">
        <f>'Monthly Data'!AO8</f>
        <v>0</v>
      </c>
      <c r="J8" s="30">
        <f>'Monthly Data'!AQ8</f>
        <v>1</v>
      </c>
      <c r="K8" s="94">
        <f>'Monthly Data'!AR8</f>
        <v>0</v>
      </c>
      <c r="M8" s="23">
        <f>'Res OLS Model'!$B$5</f>
        <v>-23168470.016197301</v>
      </c>
      <c r="N8" s="23">
        <f ca="1">'Res OLS Model'!$B$6*D8</f>
        <v>60006.610832081533</v>
      </c>
      <c r="O8" s="23">
        <f ca="1">'Res OLS Model'!$B$7*E8</f>
        <v>3234132.5865397556</v>
      </c>
      <c r="P8" s="23">
        <f>'Res OLS Model'!$B$8*F8</f>
        <v>-192400.16199646128</v>
      </c>
      <c r="Q8" s="23">
        <f>'Res OLS Model'!$B$9*G8</f>
        <v>35881336.084440693</v>
      </c>
      <c r="R8" s="23">
        <f>'Res OLS Model'!$B$10*H8</f>
        <v>0</v>
      </c>
      <c r="S8" s="23">
        <f>'Res OLS Model'!$B$11*I8</f>
        <v>0</v>
      </c>
      <c r="T8" s="23">
        <f>'Res OLS Model'!$B$12*J8</f>
        <v>-1511757.2538914999</v>
      </c>
      <c r="U8" s="23">
        <f>'Res OLS Model'!$B$13*K8</f>
        <v>0</v>
      </c>
      <c r="V8" s="23">
        <f t="shared" ca="1" si="1"/>
        <v>14302847.849727267</v>
      </c>
    </row>
    <row r="9" spans="1:22">
      <c r="A9" s="11">
        <f>'Monthly Data'!A9</f>
        <v>40026</v>
      </c>
      <c r="B9" s="6">
        <f t="shared" si="2"/>
        <v>2009</v>
      </c>
      <c r="C9" s="30">
        <f>'Monthly Data'!F9</f>
        <v>13097395.633788241</v>
      </c>
      <c r="D9" s="30">
        <f ca="1">'Weather Data'!G73</f>
        <v>12.719999999999999</v>
      </c>
      <c r="E9" s="30">
        <f ca="1">'Weather Data'!H73</f>
        <v>77.22999999999999</v>
      </c>
      <c r="F9">
        <f>'Monthly Data'!AA9</f>
        <v>8</v>
      </c>
      <c r="G9" s="30">
        <f>'Monthly Data'!AB9</f>
        <v>22990</v>
      </c>
      <c r="H9" s="30">
        <f>'Monthly Data'!AM9</f>
        <v>0</v>
      </c>
      <c r="I9" s="30">
        <f>'Monthly Data'!AO9</f>
        <v>0</v>
      </c>
      <c r="J9" s="30">
        <f>'Monthly Data'!AQ9</f>
        <v>1</v>
      </c>
      <c r="K9" s="94">
        <f>'Monthly Data'!AR9</f>
        <v>0</v>
      </c>
      <c r="M9" s="23">
        <f>'Res OLS Model'!$B$5</f>
        <v>-23168470.016197301</v>
      </c>
      <c r="N9" s="23">
        <f ca="1">'Res OLS Model'!$B$6*D9</f>
        <v>152352.1137293567</v>
      </c>
      <c r="O9" s="23">
        <f ca="1">'Res OLS Model'!$B$7*E9</f>
        <v>2577361.0531262546</v>
      </c>
      <c r="P9" s="23">
        <f>'Res OLS Model'!$B$8*F9</f>
        <v>-219885.89942452719</v>
      </c>
      <c r="Q9" s="23">
        <f>'Res OLS Model'!$B$9*G9</f>
        <v>35873534.09790352</v>
      </c>
      <c r="R9" s="23">
        <f>'Res OLS Model'!$B$10*H9</f>
        <v>0</v>
      </c>
      <c r="S9" s="23">
        <f>'Res OLS Model'!$B$11*I9</f>
        <v>0</v>
      </c>
      <c r="T9" s="23">
        <f>'Res OLS Model'!$B$12*J9</f>
        <v>-1511757.2538914999</v>
      </c>
      <c r="U9" s="23">
        <f>'Res OLS Model'!$B$13*K9</f>
        <v>0</v>
      </c>
      <c r="V9" s="23">
        <f t="shared" ca="1" si="1"/>
        <v>13703134.095245803</v>
      </c>
    </row>
    <row r="10" spans="1:22">
      <c r="A10" s="11">
        <f>'Monthly Data'!A10</f>
        <v>40057</v>
      </c>
      <c r="B10" s="6">
        <f t="shared" si="2"/>
        <v>2009</v>
      </c>
      <c r="C10" s="30">
        <f>'Monthly Data'!F10</f>
        <v>13232685.497473339</v>
      </c>
      <c r="D10" s="30">
        <f ca="1">'Weather Data'!G74</f>
        <v>86.570000000000007</v>
      </c>
      <c r="E10" s="30">
        <f ca="1">'Weather Data'!H74</f>
        <v>19.899999999999999</v>
      </c>
      <c r="F10">
        <f>'Monthly Data'!AA10</f>
        <v>9</v>
      </c>
      <c r="G10" s="30">
        <f>'Monthly Data'!AB10</f>
        <v>23114</v>
      </c>
      <c r="H10" s="30">
        <f>'Monthly Data'!AM10</f>
        <v>1</v>
      </c>
      <c r="I10" s="30">
        <f>'Monthly Data'!AO10</f>
        <v>0</v>
      </c>
      <c r="J10" s="30">
        <f>'Monthly Data'!AQ10</f>
        <v>0</v>
      </c>
      <c r="K10" s="94">
        <f>'Monthly Data'!AR10</f>
        <v>0</v>
      </c>
      <c r="M10" s="23">
        <f>'Res OLS Model'!$B$5</f>
        <v>-23168470.016197301</v>
      </c>
      <c r="N10" s="23">
        <f ca="1">'Res OLS Model'!$B$6*D10</f>
        <v>1036880.6985495606</v>
      </c>
      <c r="O10" s="23">
        <f ca="1">'Res OLS Model'!$B$7*E10</f>
        <v>664113.49161222938</v>
      </c>
      <c r="P10" s="23">
        <f>'Res OLS Model'!$B$8*F10</f>
        <v>-247371.6368525931</v>
      </c>
      <c r="Q10" s="23">
        <f>'Res OLS Model'!$B$9*G10</f>
        <v>36067023.364025317</v>
      </c>
      <c r="R10" s="23">
        <f>'Res OLS Model'!$B$10*H10</f>
        <v>-1279656.8259476901</v>
      </c>
      <c r="S10" s="23">
        <f>'Res OLS Model'!$B$11*I10</f>
        <v>0</v>
      </c>
      <c r="T10" s="23">
        <f>'Res OLS Model'!$B$12*J10</f>
        <v>0</v>
      </c>
      <c r="U10" s="23">
        <f>'Res OLS Model'!$B$13*K10</f>
        <v>0</v>
      </c>
      <c r="V10" s="23">
        <f t="shared" ca="1" si="1"/>
        <v>13072519.075189523</v>
      </c>
    </row>
    <row r="11" spans="1:22">
      <c r="A11" s="11">
        <f>'Monthly Data'!A11</f>
        <v>40087</v>
      </c>
      <c r="B11" s="6">
        <f t="shared" si="2"/>
        <v>2009</v>
      </c>
      <c r="C11" s="30">
        <f>'Monthly Data'!F11</f>
        <v>14845613.483858436</v>
      </c>
      <c r="D11" s="30">
        <f ca="1">'Weather Data'!G75</f>
        <v>270.3</v>
      </c>
      <c r="E11" s="30">
        <f ca="1">'Weather Data'!H75</f>
        <v>1.21</v>
      </c>
      <c r="F11">
        <f>'Monthly Data'!AA11</f>
        <v>10</v>
      </c>
      <c r="G11" s="30">
        <f>'Monthly Data'!AB11</f>
        <v>23172</v>
      </c>
      <c r="H11" s="30">
        <f>'Monthly Data'!AM11</f>
        <v>1</v>
      </c>
      <c r="I11" s="30">
        <f>'Monthly Data'!AO11</f>
        <v>0</v>
      </c>
      <c r="J11" s="30">
        <f>'Monthly Data'!AQ11</f>
        <v>0</v>
      </c>
      <c r="K11" s="94">
        <f>'Monthly Data'!AR11</f>
        <v>0</v>
      </c>
      <c r="M11" s="23">
        <f>'Res OLS Model'!$B$5</f>
        <v>-23168470.016197301</v>
      </c>
      <c r="N11" s="23">
        <f ca="1">'Res OLS Model'!$B$6*D11</f>
        <v>3237482.4167488301</v>
      </c>
      <c r="O11" s="23">
        <f ca="1">'Res OLS Model'!$B$7*E11</f>
        <v>40380.770093004903</v>
      </c>
      <c r="P11" s="23">
        <f>'Res OLS Model'!$B$8*F11</f>
        <v>-274857.37428065902</v>
      </c>
      <c r="Q11" s="23">
        <f>'Res OLS Model'!$B$9*G11</f>
        <v>36157526.407856479</v>
      </c>
      <c r="R11" s="23">
        <f>'Res OLS Model'!$B$10*H11</f>
        <v>-1279656.8259476901</v>
      </c>
      <c r="S11" s="23">
        <f>'Res OLS Model'!$B$11*I11</f>
        <v>0</v>
      </c>
      <c r="T11" s="23">
        <f>'Res OLS Model'!$B$12*J11</f>
        <v>0</v>
      </c>
      <c r="U11" s="23">
        <f>'Res OLS Model'!$B$13*K11</f>
        <v>0</v>
      </c>
      <c r="V11" s="23">
        <f t="shared" ca="1" si="1"/>
        <v>14712405.378272664</v>
      </c>
    </row>
    <row r="12" spans="1:22">
      <c r="A12" s="11">
        <f>'Monthly Data'!A12</f>
        <v>40118</v>
      </c>
      <c r="B12" s="6">
        <f t="shared" si="2"/>
        <v>2009</v>
      </c>
      <c r="C12" s="30">
        <f>'Monthly Data'!F12</f>
        <v>16496996.886043534</v>
      </c>
      <c r="D12" s="30">
        <f ca="1">'Weather Data'!G76</f>
        <v>444.05</v>
      </c>
      <c r="E12" s="30">
        <f ca="1">'Weather Data'!H76</f>
        <v>0</v>
      </c>
      <c r="F12">
        <f>'Monthly Data'!AA12</f>
        <v>11</v>
      </c>
      <c r="G12" s="30">
        <f>'Monthly Data'!AB12</f>
        <v>23202</v>
      </c>
      <c r="H12" s="30">
        <f>'Monthly Data'!AM12</f>
        <v>1</v>
      </c>
      <c r="I12" s="30">
        <f>'Monthly Data'!AO12</f>
        <v>0</v>
      </c>
      <c r="J12" s="30">
        <f>'Monthly Data'!AQ12</f>
        <v>0</v>
      </c>
      <c r="K12" s="94">
        <f>'Monthly Data'!AR12</f>
        <v>0</v>
      </c>
      <c r="M12" s="23">
        <f>'Res OLS Model'!$B$5</f>
        <v>-23168470.016197301</v>
      </c>
      <c r="N12" s="23">
        <f ca="1">'Res OLS Model'!$B$6*D12</f>
        <v>5318550.0079811988</v>
      </c>
      <c r="O12" s="23">
        <f ca="1">'Res OLS Model'!$B$7*E12</f>
        <v>0</v>
      </c>
      <c r="P12" s="23">
        <f>'Res OLS Model'!$B$8*F12</f>
        <v>-302343.11170872487</v>
      </c>
      <c r="Q12" s="23">
        <f>'Res OLS Model'!$B$9*G12</f>
        <v>36204338.32707949</v>
      </c>
      <c r="R12" s="23">
        <f>'Res OLS Model'!$B$10*H12</f>
        <v>-1279656.8259476901</v>
      </c>
      <c r="S12" s="23">
        <f>'Res OLS Model'!$B$11*I12</f>
        <v>0</v>
      </c>
      <c r="T12" s="23">
        <f>'Res OLS Model'!$B$12*J12</f>
        <v>0</v>
      </c>
      <c r="U12" s="23">
        <f>'Res OLS Model'!$B$13*K12</f>
        <v>0</v>
      </c>
      <c r="V12" s="23">
        <f t="shared" ca="1" si="1"/>
        <v>16772418.381206971</v>
      </c>
    </row>
    <row r="13" spans="1:22">
      <c r="A13" s="11">
        <f>'Monthly Data'!A13</f>
        <v>40148</v>
      </c>
      <c r="B13" s="6">
        <f t="shared" si="2"/>
        <v>2009</v>
      </c>
      <c r="C13" s="30">
        <f>'Monthly Data'!F13</f>
        <v>19900729.077828635</v>
      </c>
      <c r="D13" s="30">
        <f ca="1">'Weather Data'!G77</f>
        <v>684.01</v>
      </c>
      <c r="E13" s="30">
        <f ca="1">'Weather Data'!H77</f>
        <v>0</v>
      </c>
      <c r="F13">
        <f>'Monthly Data'!AA13</f>
        <v>12</v>
      </c>
      <c r="G13" s="30">
        <f>'Monthly Data'!AB13</f>
        <v>23223</v>
      </c>
      <c r="H13" s="30">
        <f>'Monthly Data'!AM13</f>
        <v>0</v>
      </c>
      <c r="I13" s="30">
        <f>'Monthly Data'!AO13</f>
        <v>0</v>
      </c>
      <c r="J13" s="30">
        <f>'Monthly Data'!AQ13</f>
        <v>0</v>
      </c>
      <c r="K13" s="94">
        <f>'Monthly Data'!AR13</f>
        <v>0</v>
      </c>
      <c r="M13" s="23">
        <f>'Res OLS Model'!$B$5</f>
        <v>-23168470.016197301</v>
      </c>
      <c r="N13" s="23">
        <f ca="1">'Res OLS Model'!$B$6*D13</f>
        <v>8192639.0968567049</v>
      </c>
      <c r="O13" s="23">
        <f ca="1">'Res OLS Model'!$B$7*E13</f>
        <v>0</v>
      </c>
      <c r="P13" s="23">
        <f>'Res OLS Model'!$B$8*F13</f>
        <v>-329828.84913679078</v>
      </c>
      <c r="Q13" s="23">
        <f>'Res OLS Model'!$B$9*G13</f>
        <v>36237106.670535602</v>
      </c>
      <c r="R13" s="23">
        <f>'Res OLS Model'!$B$10*H13</f>
        <v>0</v>
      </c>
      <c r="S13" s="23">
        <f>'Res OLS Model'!$B$11*I13</f>
        <v>0</v>
      </c>
      <c r="T13" s="23">
        <f>'Res OLS Model'!$B$12*J13</f>
        <v>0</v>
      </c>
      <c r="U13" s="23">
        <f>'Res OLS Model'!$B$13*K13</f>
        <v>0</v>
      </c>
      <c r="V13" s="23">
        <f t="shared" ca="1" si="1"/>
        <v>20931446.902058214</v>
      </c>
    </row>
    <row r="14" spans="1:22">
      <c r="A14" s="11">
        <f>'Monthly Data'!A14</f>
        <v>40179</v>
      </c>
      <c r="B14" s="6">
        <f t="shared" si="2"/>
        <v>2010</v>
      </c>
      <c r="C14" s="30">
        <f>'Monthly Data'!F14</f>
        <v>23650215.715997804</v>
      </c>
      <c r="D14" s="30">
        <f t="shared" ref="D14:E33" ca="1" si="3">D2</f>
        <v>784.29</v>
      </c>
      <c r="E14" s="30">
        <f t="shared" ca="1" si="3"/>
        <v>0</v>
      </c>
      <c r="F14">
        <f>'Monthly Data'!AA14</f>
        <v>13</v>
      </c>
      <c r="G14" s="30">
        <f>'Monthly Data'!AB14</f>
        <v>23244</v>
      </c>
      <c r="H14" s="30">
        <f>'Monthly Data'!AM14</f>
        <v>0</v>
      </c>
      <c r="I14" s="30">
        <f>'Monthly Data'!AO14</f>
        <v>0</v>
      </c>
      <c r="J14" s="30">
        <f>'Monthly Data'!AQ14</f>
        <v>0</v>
      </c>
      <c r="K14" s="94">
        <f>'Monthly Data'!AR14</f>
        <v>1</v>
      </c>
      <c r="M14" s="23">
        <f>'Res OLS Model'!$B$5</f>
        <v>-23168470.016197301</v>
      </c>
      <c r="N14" s="23">
        <f ca="1">'Res OLS Model'!$B$6*D14</f>
        <v>9393729.5028928593</v>
      </c>
      <c r="O14" s="23">
        <f ca="1">'Res OLS Model'!$B$7*E14</f>
        <v>0</v>
      </c>
      <c r="P14" s="23">
        <f>'Res OLS Model'!$B$8*F14</f>
        <v>-357314.5865648567</v>
      </c>
      <c r="Q14" s="23">
        <f>'Res OLS Model'!$B$9*G14</f>
        <v>36269875.013991714</v>
      </c>
      <c r="R14" s="23">
        <f>'Res OLS Model'!$B$10*H14</f>
        <v>0</v>
      </c>
      <c r="S14" s="23">
        <f>'Res OLS Model'!$B$11*I14</f>
        <v>0</v>
      </c>
      <c r="T14" s="23">
        <f>'Res OLS Model'!$B$12*J14</f>
        <v>0</v>
      </c>
      <c r="U14" s="23">
        <f>'Res OLS Model'!$B$13*K14</f>
        <v>1122371.81652903</v>
      </c>
      <c r="V14" s="23">
        <f t="shared" ca="1" si="1"/>
        <v>23260191.730651446</v>
      </c>
    </row>
    <row r="15" spans="1:22">
      <c r="A15" s="11">
        <f>'Monthly Data'!A15</f>
        <v>40210</v>
      </c>
      <c r="B15" s="6">
        <f t="shared" si="2"/>
        <v>2010</v>
      </c>
      <c r="C15" s="30">
        <f>'Monthly Data'!F15</f>
        <v>21137330.052274939</v>
      </c>
      <c r="D15" s="30">
        <f t="shared" ca="1" si="3"/>
        <v>682.50999999999988</v>
      </c>
      <c r="E15" s="30">
        <f t="shared" ca="1" si="3"/>
        <v>0</v>
      </c>
      <c r="F15">
        <f>'Monthly Data'!AA15</f>
        <v>14</v>
      </c>
      <c r="G15" s="30">
        <f>'Monthly Data'!AB15</f>
        <v>23206</v>
      </c>
      <c r="H15" s="30">
        <f>'Monthly Data'!AM15</f>
        <v>0</v>
      </c>
      <c r="I15" s="30">
        <f>'Monthly Data'!AO15</f>
        <v>0</v>
      </c>
      <c r="J15" s="30">
        <f>'Monthly Data'!AQ15</f>
        <v>0</v>
      </c>
      <c r="K15" s="94">
        <f>'Monthly Data'!AR15</f>
        <v>0</v>
      </c>
      <c r="M15" s="23">
        <f>'Res OLS Model'!$B$5</f>
        <v>-23168470.016197301</v>
      </c>
      <c r="N15" s="23">
        <f ca="1">'Res OLS Model'!$B$6*D15</f>
        <v>8174673.0457093734</v>
      </c>
      <c r="O15" s="23">
        <f ca="1">'Res OLS Model'!$B$7*E15</f>
        <v>0</v>
      </c>
      <c r="P15" s="23">
        <f>'Res OLS Model'!$B$8*F15</f>
        <v>-384800.32399292255</v>
      </c>
      <c r="Q15" s="23">
        <f>'Res OLS Model'!$B$9*G15</f>
        <v>36210579.91630923</v>
      </c>
      <c r="R15" s="23">
        <f>'Res OLS Model'!$B$10*H15</f>
        <v>0</v>
      </c>
      <c r="S15" s="23">
        <f>'Res OLS Model'!$B$11*I15</f>
        <v>0</v>
      </c>
      <c r="T15" s="23">
        <f>'Res OLS Model'!$B$12*J15</f>
        <v>0</v>
      </c>
      <c r="U15" s="23">
        <f>'Res OLS Model'!$B$13*K15</f>
        <v>0</v>
      </c>
      <c r="V15" s="23">
        <f t="shared" ca="1" si="1"/>
        <v>20831982.621828377</v>
      </c>
    </row>
    <row r="16" spans="1:22">
      <c r="A16" s="11">
        <f>'Monthly Data'!A16</f>
        <v>40238</v>
      </c>
      <c r="B16" s="6">
        <f t="shared" si="2"/>
        <v>2010</v>
      </c>
      <c r="C16" s="30">
        <f>'Monthly Data'!F16</f>
        <v>19339569.887852073</v>
      </c>
      <c r="D16" s="30">
        <f t="shared" ca="1" si="3"/>
        <v>556.99</v>
      </c>
      <c r="E16" s="30">
        <f t="shared" ca="1" si="3"/>
        <v>0</v>
      </c>
      <c r="F16">
        <f>'Monthly Data'!AA16</f>
        <v>15</v>
      </c>
      <c r="G16" s="30">
        <f>'Monthly Data'!AB16</f>
        <v>23227</v>
      </c>
      <c r="H16" s="30">
        <f>'Monthly Data'!AM16</f>
        <v>0</v>
      </c>
      <c r="I16" s="30">
        <f>'Monthly Data'!AO16</f>
        <v>0</v>
      </c>
      <c r="J16" s="30">
        <f>'Monthly Data'!AQ16</f>
        <v>0</v>
      </c>
      <c r="K16" s="94">
        <f>'Monthly Data'!AR16</f>
        <v>0</v>
      </c>
      <c r="M16" s="23">
        <f>'Res OLS Model'!$B$5</f>
        <v>-23168470.016197301</v>
      </c>
      <c r="N16" s="23">
        <f ca="1">'Res OLS Model'!$B$6*D16</f>
        <v>6671273.8857008172</v>
      </c>
      <c r="O16" s="23">
        <f ca="1">'Res OLS Model'!$B$7*E16</f>
        <v>0</v>
      </c>
      <c r="P16" s="23">
        <f>'Res OLS Model'!$B$8*F16</f>
        <v>-412286.06142098847</v>
      </c>
      <c r="Q16" s="23">
        <f>'Res OLS Model'!$B$9*G16</f>
        <v>36243348.259765342</v>
      </c>
      <c r="R16" s="23">
        <f>'Res OLS Model'!$B$10*H16</f>
        <v>0</v>
      </c>
      <c r="S16" s="23">
        <f>'Res OLS Model'!$B$11*I16</f>
        <v>0</v>
      </c>
      <c r="T16" s="23">
        <f>'Res OLS Model'!$B$12*J16</f>
        <v>0</v>
      </c>
      <c r="U16" s="23">
        <f>'Res OLS Model'!$B$13*K16</f>
        <v>0</v>
      </c>
      <c r="V16" s="23">
        <f t="shared" ca="1" si="1"/>
        <v>19333866.06784787</v>
      </c>
    </row>
    <row r="17" spans="1:22">
      <c r="A17" s="11">
        <f>'Monthly Data'!A17</f>
        <v>40269</v>
      </c>
      <c r="B17" s="6">
        <f t="shared" si="2"/>
        <v>2010</v>
      </c>
      <c r="C17" s="30">
        <f>'Monthly Data'!F17</f>
        <v>14339897.801129207</v>
      </c>
      <c r="D17" s="30">
        <f t="shared" ca="1" si="3"/>
        <v>326.58999999999997</v>
      </c>
      <c r="E17" s="30">
        <f t="shared" ca="1" si="3"/>
        <v>0.39</v>
      </c>
      <c r="F17">
        <f>'Monthly Data'!AA17</f>
        <v>16</v>
      </c>
      <c r="G17" s="30">
        <f>'Monthly Data'!AB17</f>
        <v>23169</v>
      </c>
      <c r="H17" s="30">
        <f>'Monthly Data'!AM17</f>
        <v>0</v>
      </c>
      <c r="I17" s="30">
        <f>'Monthly Data'!AO17</f>
        <v>1</v>
      </c>
      <c r="J17" s="30">
        <f>'Monthly Data'!AQ17</f>
        <v>0</v>
      </c>
      <c r="K17" s="94">
        <f>'Monthly Data'!AR17</f>
        <v>0</v>
      </c>
      <c r="M17" s="23">
        <f>'Res OLS Model'!$B$5</f>
        <v>-23168470.016197301</v>
      </c>
      <c r="N17" s="23">
        <f ca="1">'Res OLS Model'!$B$6*D17</f>
        <v>3911688.4294709596</v>
      </c>
      <c r="O17" s="23">
        <f ca="1">'Res OLS Model'!$B$7*E17</f>
        <v>13015.289534109019</v>
      </c>
      <c r="P17" s="23">
        <f>'Res OLS Model'!$B$8*F17</f>
        <v>-439771.79884905438</v>
      </c>
      <c r="Q17" s="23">
        <f>'Res OLS Model'!$B$9*G17</f>
        <v>36152845.21593418</v>
      </c>
      <c r="R17" s="23">
        <f>'Res OLS Model'!$B$10*H17</f>
        <v>0</v>
      </c>
      <c r="S17" s="23">
        <f>'Res OLS Model'!$B$11*I17</f>
        <v>-1218613.41007658</v>
      </c>
      <c r="T17" s="23">
        <f>'Res OLS Model'!$B$12*J17</f>
        <v>0</v>
      </c>
      <c r="U17" s="23">
        <f>'Res OLS Model'!$B$13*K17</f>
        <v>0</v>
      </c>
      <c r="V17" s="23">
        <f t="shared" ca="1" si="1"/>
        <v>15250693.709816314</v>
      </c>
    </row>
    <row r="18" spans="1:22">
      <c r="A18" s="11">
        <f>'Monthly Data'!A18</f>
        <v>40299</v>
      </c>
      <c r="B18" s="6">
        <f t="shared" si="2"/>
        <v>2010</v>
      </c>
      <c r="C18" s="30">
        <f>'Monthly Data'!F18</f>
        <v>12579503.733506339</v>
      </c>
      <c r="D18" s="30">
        <f t="shared" ca="1" si="3"/>
        <v>144.96</v>
      </c>
      <c r="E18" s="30">
        <f t="shared" ca="1" si="3"/>
        <v>8.67</v>
      </c>
      <c r="F18">
        <f>'Monthly Data'!AA18</f>
        <v>17</v>
      </c>
      <c r="G18" s="30">
        <f>'Monthly Data'!AB18</f>
        <v>22966</v>
      </c>
      <c r="H18" s="30">
        <f>'Monthly Data'!AM18</f>
        <v>0</v>
      </c>
      <c r="I18" s="30">
        <f>'Monthly Data'!AO18</f>
        <v>0</v>
      </c>
      <c r="J18" s="30">
        <f>'Monthly Data'!AQ18</f>
        <v>1</v>
      </c>
      <c r="K18" s="94">
        <f>'Monthly Data'!AR18</f>
        <v>0</v>
      </c>
      <c r="M18" s="23">
        <f>'Res OLS Model'!$B$5</f>
        <v>-23168470.016197301</v>
      </c>
      <c r="N18" s="23">
        <f ca="1">'Res OLS Model'!$B$6*D18</f>
        <v>1736239.182877952</v>
      </c>
      <c r="O18" s="23">
        <f ca="1">'Res OLS Model'!$B$7*E18</f>
        <v>289339.89810442354</v>
      </c>
      <c r="P18" s="23">
        <f>'Res OLS Model'!$B$8*F18</f>
        <v>-467257.53627712029</v>
      </c>
      <c r="Q18" s="23">
        <f>'Res OLS Model'!$B$9*G18</f>
        <v>35836084.562525108</v>
      </c>
      <c r="R18" s="23">
        <f>'Res OLS Model'!$B$10*H18</f>
        <v>0</v>
      </c>
      <c r="S18" s="23">
        <f>'Res OLS Model'!$B$11*I18</f>
        <v>0</v>
      </c>
      <c r="T18" s="23">
        <f>'Res OLS Model'!$B$12*J18</f>
        <v>-1511757.2538914999</v>
      </c>
      <c r="U18" s="23">
        <f>'Res OLS Model'!$B$13*K18</f>
        <v>0</v>
      </c>
      <c r="V18" s="23">
        <f t="shared" ca="1" si="1"/>
        <v>12714178.83714156</v>
      </c>
    </row>
    <row r="19" spans="1:22">
      <c r="A19" s="11">
        <f>'Monthly Data'!A19</f>
        <v>40330</v>
      </c>
      <c r="B19" s="6">
        <f t="shared" si="2"/>
        <v>2010</v>
      </c>
      <c r="C19" s="30">
        <f>'Monthly Data'!F19</f>
        <v>12709669.92388347</v>
      </c>
      <c r="D19" s="30">
        <f t="shared" ca="1" si="3"/>
        <v>41.510000000000005</v>
      </c>
      <c r="E19" s="30">
        <f t="shared" ca="1" si="3"/>
        <v>44.41</v>
      </c>
      <c r="F19">
        <f>'Monthly Data'!AA19</f>
        <v>18</v>
      </c>
      <c r="G19" s="30">
        <f>'Monthly Data'!AB19</f>
        <v>23006</v>
      </c>
      <c r="H19" s="30">
        <f>'Monthly Data'!AM19</f>
        <v>0</v>
      </c>
      <c r="I19" s="30">
        <f>'Monthly Data'!AO19</f>
        <v>0</v>
      </c>
      <c r="J19" s="30">
        <f>'Monthly Data'!AQ19</f>
        <v>1</v>
      </c>
      <c r="K19" s="94">
        <f>'Monthly Data'!AR19</f>
        <v>0</v>
      </c>
      <c r="M19" s="23">
        <f>'Res OLS Model'!$B$5</f>
        <v>-23168470.016197301</v>
      </c>
      <c r="N19" s="23">
        <f ca="1">'Res OLS Model'!$B$6*D19</f>
        <v>497180.52208377345</v>
      </c>
      <c r="O19" s="23">
        <f ca="1">'Res OLS Model'!$B$7*E19</f>
        <v>1482074.3800250806</v>
      </c>
      <c r="P19" s="23">
        <f>'Res OLS Model'!$B$8*F19</f>
        <v>-494743.27370518621</v>
      </c>
      <c r="Q19" s="23">
        <f>'Res OLS Model'!$B$9*G19</f>
        <v>35898500.454822466</v>
      </c>
      <c r="R19" s="23">
        <f>'Res OLS Model'!$B$10*H19</f>
        <v>0</v>
      </c>
      <c r="S19" s="23">
        <f>'Res OLS Model'!$B$11*I19</f>
        <v>0</v>
      </c>
      <c r="T19" s="23">
        <f>'Res OLS Model'!$B$12*J19</f>
        <v>-1511757.2538914999</v>
      </c>
      <c r="U19" s="23">
        <f>'Res OLS Model'!$B$13*K19</f>
        <v>0</v>
      </c>
      <c r="V19" s="23">
        <f t="shared" ca="1" si="1"/>
        <v>12702784.813137336</v>
      </c>
    </row>
    <row r="20" spans="1:22">
      <c r="A20" s="11">
        <f>'Monthly Data'!A20</f>
        <v>40360</v>
      </c>
      <c r="B20" s="6">
        <f t="shared" si="2"/>
        <v>2010</v>
      </c>
      <c r="C20" s="30">
        <f>'Monthly Data'!F20</f>
        <v>14680147.484760607</v>
      </c>
      <c r="D20" s="30">
        <f t="shared" ca="1" si="3"/>
        <v>5.01</v>
      </c>
      <c r="E20" s="30">
        <f t="shared" ca="1" si="3"/>
        <v>96.909999999999982</v>
      </c>
      <c r="F20">
        <f>'Monthly Data'!AA20</f>
        <v>19</v>
      </c>
      <c r="G20" s="30">
        <f>'Monthly Data'!AB20</f>
        <v>23113</v>
      </c>
      <c r="H20" s="30">
        <f>'Monthly Data'!AM20</f>
        <v>0</v>
      </c>
      <c r="I20" s="30">
        <f>'Monthly Data'!AO20</f>
        <v>0</v>
      </c>
      <c r="J20" s="30">
        <f>'Monthly Data'!AQ20</f>
        <v>1</v>
      </c>
      <c r="K20" s="94">
        <f>'Monthly Data'!AR20</f>
        <v>0</v>
      </c>
      <c r="M20" s="23">
        <f>'Res OLS Model'!$B$5</f>
        <v>-23168470.016197301</v>
      </c>
      <c r="N20" s="23">
        <f ca="1">'Res OLS Model'!$B$6*D20</f>
        <v>60006.610832081533</v>
      </c>
      <c r="O20" s="23">
        <f ca="1">'Res OLS Model'!$B$7*E20</f>
        <v>3234132.5865397556</v>
      </c>
      <c r="P20" s="23">
        <f>'Res OLS Model'!$B$8*F20</f>
        <v>-522229.01113325206</v>
      </c>
      <c r="Q20" s="23">
        <f>'Res OLS Model'!$B$9*G20</f>
        <v>36065462.966717884</v>
      </c>
      <c r="R20" s="23">
        <f>'Res OLS Model'!$B$10*H20</f>
        <v>0</v>
      </c>
      <c r="S20" s="23">
        <f>'Res OLS Model'!$B$11*I20</f>
        <v>0</v>
      </c>
      <c r="T20" s="23">
        <f>'Res OLS Model'!$B$12*J20</f>
        <v>-1511757.2538914999</v>
      </c>
      <c r="U20" s="23">
        <f>'Res OLS Model'!$B$13*K20</f>
        <v>0</v>
      </c>
      <c r="V20" s="23">
        <f t="shared" ca="1" si="1"/>
        <v>14157145.882867666</v>
      </c>
    </row>
    <row r="21" spans="1:22">
      <c r="A21" s="11">
        <f>'Monthly Data'!A21</f>
        <v>40391</v>
      </c>
      <c r="B21" s="6">
        <f t="shared" si="2"/>
        <v>2010</v>
      </c>
      <c r="C21" s="30">
        <f>'Monthly Data'!F21</f>
        <v>14024711.74603774</v>
      </c>
      <c r="D21" s="30">
        <f t="shared" ca="1" si="3"/>
        <v>12.719999999999999</v>
      </c>
      <c r="E21" s="30">
        <f t="shared" ca="1" si="3"/>
        <v>77.22999999999999</v>
      </c>
      <c r="F21">
        <f>'Monthly Data'!AA21</f>
        <v>20</v>
      </c>
      <c r="G21" s="30">
        <f>'Monthly Data'!AB21</f>
        <v>23035</v>
      </c>
      <c r="H21" s="30">
        <f>'Monthly Data'!AM21</f>
        <v>0</v>
      </c>
      <c r="I21" s="30">
        <f>'Monthly Data'!AO21</f>
        <v>0</v>
      </c>
      <c r="J21" s="30">
        <f>'Monthly Data'!AQ21</f>
        <v>1</v>
      </c>
      <c r="K21" s="94">
        <f>'Monthly Data'!AR21</f>
        <v>0</v>
      </c>
      <c r="M21" s="23">
        <f>'Res OLS Model'!$B$5</f>
        <v>-23168470.016197301</v>
      </c>
      <c r="N21" s="23">
        <f ca="1">'Res OLS Model'!$B$6*D21</f>
        <v>152352.1137293567</v>
      </c>
      <c r="O21" s="23">
        <f ca="1">'Res OLS Model'!$B$7*E21</f>
        <v>2577361.0531262546</v>
      </c>
      <c r="P21" s="23">
        <f>'Res OLS Model'!$B$8*F21</f>
        <v>-549714.74856131803</v>
      </c>
      <c r="Q21" s="23">
        <f>'Res OLS Model'!$B$9*G21</f>
        <v>35943751.976738043</v>
      </c>
      <c r="R21" s="23">
        <f>'Res OLS Model'!$B$10*H21</f>
        <v>0</v>
      </c>
      <c r="S21" s="23">
        <f>'Res OLS Model'!$B$11*I21</f>
        <v>0</v>
      </c>
      <c r="T21" s="23">
        <f>'Res OLS Model'!$B$12*J21</f>
        <v>-1511757.2538914999</v>
      </c>
      <c r="U21" s="23">
        <f>'Res OLS Model'!$B$13*K21</f>
        <v>0</v>
      </c>
      <c r="V21" s="23">
        <f t="shared" ca="1" si="1"/>
        <v>13443523.124943534</v>
      </c>
    </row>
    <row r="22" spans="1:22">
      <c r="A22" s="11">
        <f>'Monthly Data'!A22</f>
        <v>40422</v>
      </c>
      <c r="B22" s="6">
        <f t="shared" si="2"/>
        <v>2010</v>
      </c>
      <c r="C22" s="30">
        <f>'Monthly Data'!F22</f>
        <v>13142688.407314872</v>
      </c>
      <c r="D22" s="30">
        <f t="shared" ca="1" si="3"/>
        <v>86.570000000000007</v>
      </c>
      <c r="E22" s="30">
        <f t="shared" ca="1" si="3"/>
        <v>19.899999999999999</v>
      </c>
      <c r="F22">
        <f>'Monthly Data'!AA22</f>
        <v>21</v>
      </c>
      <c r="G22" s="30">
        <f>'Monthly Data'!AB22</f>
        <v>23146</v>
      </c>
      <c r="H22" s="30">
        <f>'Monthly Data'!AM22</f>
        <v>1</v>
      </c>
      <c r="I22" s="30">
        <f>'Monthly Data'!AO22</f>
        <v>0</v>
      </c>
      <c r="J22" s="30">
        <f>'Monthly Data'!AQ22</f>
        <v>0</v>
      </c>
      <c r="K22" s="94">
        <f>'Monthly Data'!AR22</f>
        <v>0</v>
      </c>
      <c r="M22" s="23">
        <f>'Res OLS Model'!$B$5</f>
        <v>-23168470.016197301</v>
      </c>
      <c r="N22" s="23">
        <f ca="1">'Res OLS Model'!$B$6*D22</f>
        <v>1036880.6985495606</v>
      </c>
      <c r="O22" s="23">
        <f ca="1">'Res OLS Model'!$B$7*E22</f>
        <v>664113.49161222938</v>
      </c>
      <c r="P22" s="23">
        <f>'Res OLS Model'!$B$8*F22</f>
        <v>-577200.48598938389</v>
      </c>
      <c r="Q22" s="23">
        <f>'Res OLS Model'!$B$9*G22</f>
        <v>36116956.077863201</v>
      </c>
      <c r="R22" s="23">
        <f>'Res OLS Model'!$B$10*H22</f>
        <v>-1279656.8259476901</v>
      </c>
      <c r="S22" s="23">
        <f>'Res OLS Model'!$B$11*I22</f>
        <v>0</v>
      </c>
      <c r="T22" s="23">
        <f>'Res OLS Model'!$B$12*J22</f>
        <v>0</v>
      </c>
      <c r="U22" s="23">
        <f>'Res OLS Model'!$B$13*K22</f>
        <v>0</v>
      </c>
      <c r="V22" s="23">
        <f t="shared" ca="1" si="1"/>
        <v>12792622.939890616</v>
      </c>
    </row>
    <row r="23" spans="1:22">
      <c r="A23" s="11">
        <f>'Monthly Data'!A23</f>
        <v>40452</v>
      </c>
      <c r="B23" s="6">
        <f t="shared" si="2"/>
        <v>2010</v>
      </c>
      <c r="C23" s="30">
        <f>'Monthly Data'!F23</f>
        <v>14485777.508292003</v>
      </c>
      <c r="D23" s="30">
        <f t="shared" ca="1" si="3"/>
        <v>270.3</v>
      </c>
      <c r="E23" s="30">
        <f t="shared" ca="1" si="3"/>
        <v>1.21</v>
      </c>
      <c r="F23">
        <f>'Monthly Data'!AA23</f>
        <v>22</v>
      </c>
      <c r="G23" s="30">
        <f>'Monthly Data'!AB23</f>
        <v>23213</v>
      </c>
      <c r="H23" s="30">
        <f>'Monthly Data'!AM23</f>
        <v>1</v>
      </c>
      <c r="I23" s="30">
        <f>'Monthly Data'!AO23</f>
        <v>0</v>
      </c>
      <c r="J23" s="30">
        <f>'Monthly Data'!AQ23</f>
        <v>0</v>
      </c>
      <c r="K23" s="94">
        <f>'Monthly Data'!AR23</f>
        <v>0</v>
      </c>
      <c r="M23" s="23">
        <f>'Res OLS Model'!$B$5</f>
        <v>-23168470.016197301</v>
      </c>
      <c r="N23" s="23">
        <f ca="1">'Res OLS Model'!$B$6*D23</f>
        <v>3237482.4167488301</v>
      </c>
      <c r="O23" s="23">
        <f ca="1">'Res OLS Model'!$B$7*E23</f>
        <v>40380.770093004903</v>
      </c>
      <c r="P23" s="23">
        <f>'Res OLS Model'!$B$8*F23</f>
        <v>-604686.22341744974</v>
      </c>
      <c r="Q23" s="23">
        <f>'Res OLS Model'!$B$9*G23</f>
        <v>36221502.697461262</v>
      </c>
      <c r="R23" s="23">
        <f>'Res OLS Model'!$B$10*H23</f>
        <v>-1279656.8259476901</v>
      </c>
      <c r="S23" s="23">
        <f>'Res OLS Model'!$B$11*I23</f>
        <v>0</v>
      </c>
      <c r="T23" s="23">
        <f>'Res OLS Model'!$B$12*J23</f>
        <v>0</v>
      </c>
      <c r="U23" s="23">
        <f>'Res OLS Model'!$B$13*K23</f>
        <v>0</v>
      </c>
      <c r="V23" s="23">
        <f t="shared" ca="1" si="1"/>
        <v>14446552.818740655</v>
      </c>
    </row>
    <row r="24" spans="1:22">
      <c r="A24" s="11">
        <f>'Monthly Data'!A24</f>
        <v>40483</v>
      </c>
      <c r="B24" s="6">
        <f t="shared" si="2"/>
        <v>2010</v>
      </c>
      <c r="C24" s="30">
        <f>'Monthly Data'!F24</f>
        <v>16983251.713569138</v>
      </c>
      <c r="D24" s="30">
        <f t="shared" ca="1" si="3"/>
        <v>444.05</v>
      </c>
      <c r="E24" s="30">
        <f t="shared" ca="1" si="3"/>
        <v>0</v>
      </c>
      <c r="F24">
        <f>'Monthly Data'!AA24</f>
        <v>23</v>
      </c>
      <c r="G24" s="30">
        <f>'Monthly Data'!AB24</f>
        <v>23299</v>
      </c>
      <c r="H24" s="30">
        <f>'Monthly Data'!AM24</f>
        <v>1</v>
      </c>
      <c r="I24" s="30">
        <f>'Monthly Data'!AO24</f>
        <v>0</v>
      </c>
      <c r="J24" s="30">
        <f>'Monthly Data'!AQ24</f>
        <v>0</v>
      </c>
      <c r="K24" s="94">
        <f>'Monthly Data'!AR24</f>
        <v>0</v>
      </c>
      <c r="M24" s="23">
        <f>'Res OLS Model'!$B$5</f>
        <v>-23168470.016197301</v>
      </c>
      <c r="N24" s="23">
        <f ca="1">'Res OLS Model'!$B$6*D24</f>
        <v>5318550.0079811988</v>
      </c>
      <c r="O24" s="23">
        <f ca="1">'Res OLS Model'!$B$7*E24</f>
        <v>0</v>
      </c>
      <c r="P24" s="23">
        <f>'Res OLS Model'!$B$8*F24</f>
        <v>-632171.96084551571</v>
      </c>
      <c r="Q24" s="23">
        <f>'Res OLS Model'!$B$9*G24</f>
        <v>36355696.865900576</v>
      </c>
      <c r="R24" s="23">
        <f>'Res OLS Model'!$B$10*H24</f>
        <v>-1279656.8259476901</v>
      </c>
      <c r="S24" s="23">
        <f>'Res OLS Model'!$B$11*I24</f>
        <v>0</v>
      </c>
      <c r="T24" s="23">
        <f>'Res OLS Model'!$B$12*J24</f>
        <v>0</v>
      </c>
      <c r="U24" s="23">
        <f>'Res OLS Model'!$B$13*K24</f>
        <v>0</v>
      </c>
      <c r="V24" s="23">
        <f t="shared" ca="1" si="1"/>
        <v>16593948.070891269</v>
      </c>
    </row>
    <row r="25" spans="1:22">
      <c r="A25" s="11">
        <f>'Monthly Data'!A25</f>
        <v>40513</v>
      </c>
      <c r="B25" s="6">
        <f t="shared" si="2"/>
        <v>2010</v>
      </c>
      <c r="C25" s="30">
        <f>'Monthly Data'!F25</f>
        <v>21020194.500046272</v>
      </c>
      <c r="D25" s="30">
        <f t="shared" ca="1" si="3"/>
        <v>684.01</v>
      </c>
      <c r="E25" s="30">
        <f t="shared" ca="1" si="3"/>
        <v>0</v>
      </c>
      <c r="F25">
        <f>'Monthly Data'!AA25</f>
        <v>24</v>
      </c>
      <c r="G25" s="30">
        <f>'Monthly Data'!AB25</f>
        <v>23337</v>
      </c>
      <c r="H25" s="30">
        <f>'Monthly Data'!AM25</f>
        <v>0</v>
      </c>
      <c r="I25" s="30">
        <f>'Monthly Data'!AO25</f>
        <v>0</v>
      </c>
      <c r="J25" s="30">
        <f>'Monthly Data'!AQ25</f>
        <v>0</v>
      </c>
      <c r="K25" s="94">
        <f>'Monthly Data'!AR25</f>
        <v>0</v>
      </c>
      <c r="M25" s="23">
        <f>'Res OLS Model'!$B$5</f>
        <v>-23168470.016197301</v>
      </c>
      <c r="N25" s="23">
        <f ca="1">'Res OLS Model'!$B$6*D25</f>
        <v>8192639.0968567049</v>
      </c>
      <c r="O25" s="23">
        <f ca="1">'Res OLS Model'!$B$7*E25</f>
        <v>0</v>
      </c>
      <c r="P25" s="23">
        <f>'Res OLS Model'!$B$8*F25</f>
        <v>-659657.69827358157</v>
      </c>
      <c r="Q25" s="23">
        <f>'Res OLS Model'!$B$9*G25</f>
        <v>36414991.96358306</v>
      </c>
      <c r="R25" s="23">
        <f>'Res OLS Model'!$B$10*H25</f>
        <v>0</v>
      </c>
      <c r="S25" s="23">
        <f>'Res OLS Model'!$B$11*I25</f>
        <v>0</v>
      </c>
      <c r="T25" s="23">
        <f>'Res OLS Model'!$B$12*J25</f>
        <v>0</v>
      </c>
      <c r="U25" s="23">
        <f>'Res OLS Model'!$B$13*K25</f>
        <v>0</v>
      </c>
      <c r="V25" s="23">
        <f t="shared" ca="1" si="1"/>
        <v>20779503.34596888</v>
      </c>
    </row>
    <row r="26" spans="1:22">
      <c r="A26" s="11">
        <f>'Monthly Data'!A26</f>
        <v>40544</v>
      </c>
      <c r="B26" s="6">
        <f t="shared" si="2"/>
        <v>2011</v>
      </c>
      <c r="C26" s="30">
        <f>'Monthly Data'!F26</f>
        <v>23022326.42784144</v>
      </c>
      <c r="D26" s="30">
        <f t="shared" ca="1" si="3"/>
        <v>784.29</v>
      </c>
      <c r="E26" s="30">
        <f t="shared" ca="1" si="3"/>
        <v>0</v>
      </c>
      <c r="F26">
        <f>'Monthly Data'!AA26</f>
        <v>25</v>
      </c>
      <c r="G26" s="30">
        <f>'Monthly Data'!AB26</f>
        <v>23342</v>
      </c>
      <c r="H26" s="30">
        <f>'Monthly Data'!AM26</f>
        <v>0</v>
      </c>
      <c r="I26" s="30">
        <f>'Monthly Data'!AO26</f>
        <v>0</v>
      </c>
      <c r="J26" s="30">
        <f>'Monthly Data'!AQ26</f>
        <v>0</v>
      </c>
      <c r="K26" s="94">
        <f>'Monthly Data'!AR26</f>
        <v>1</v>
      </c>
      <c r="M26" s="23">
        <f>'Res OLS Model'!$B$5</f>
        <v>-23168470.016197301</v>
      </c>
      <c r="N26" s="23">
        <f ca="1">'Res OLS Model'!$B$6*D26</f>
        <v>9393729.5028928593</v>
      </c>
      <c r="O26" s="23">
        <f ca="1">'Res OLS Model'!$B$7*E26</f>
        <v>0</v>
      </c>
      <c r="P26" s="23">
        <f>'Res OLS Model'!$B$8*F26</f>
        <v>-687143.43570164742</v>
      </c>
      <c r="Q26" s="23">
        <f>'Res OLS Model'!$B$9*G26</f>
        <v>36422793.950120226</v>
      </c>
      <c r="R26" s="23">
        <f>'Res OLS Model'!$B$10*H26</f>
        <v>0</v>
      </c>
      <c r="S26" s="23">
        <f>'Res OLS Model'!$B$11*I26</f>
        <v>0</v>
      </c>
      <c r="T26" s="23">
        <f>'Res OLS Model'!$B$12*J26</f>
        <v>0</v>
      </c>
      <c r="U26" s="23">
        <f>'Res OLS Model'!$B$13*K26</f>
        <v>1122371.81652903</v>
      </c>
      <c r="V26" s="23">
        <f t="shared" ca="1" si="1"/>
        <v>23083281.817643166</v>
      </c>
    </row>
    <row r="27" spans="1:22">
      <c r="A27" s="11">
        <f>'Monthly Data'!A27</f>
        <v>40575</v>
      </c>
      <c r="B27" s="6">
        <f t="shared" si="2"/>
        <v>2011</v>
      </c>
      <c r="C27" s="30">
        <f>'Monthly Data'!F27</f>
        <v>20206438.193256531</v>
      </c>
      <c r="D27" s="30">
        <f t="shared" ca="1" si="3"/>
        <v>682.50999999999988</v>
      </c>
      <c r="E27" s="30">
        <f t="shared" ca="1" si="3"/>
        <v>0</v>
      </c>
      <c r="F27">
        <f>'Monthly Data'!AA27</f>
        <v>26</v>
      </c>
      <c r="G27" s="30">
        <f>'Monthly Data'!AB27</f>
        <v>23363</v>
      </c>
      <c r="H27" s="30">
        <f>'Monthly Data'!AM27</f>
        <v>0</v>
      </c>
      <c r="I27" s="30">
        <f>'Monthly Data'!AO27</f>
        <v>0</v>
      </c>
      <c r="J27" s="30">
        <f>'Monthly Data'!AQ27</f>
        <v>0</v>
      </c>
      <c r="K27" s="94">
        <f>'Monthly Data'!AR27</f>
        <v>0</v>
      </c>
      <c r="M27" s="23">
        <f>'Res OLS Model'!$B$5</f>
        <v>-23168470.016197301</v>
      </c>
      <c r="N27" s="23">
        <f ca="1">'Res OLS Model'!$B$6*D27</f>
        <v>8174673.0457093734</v>
      </c>
      <c r="O27" s="23">
        <f ca="1">'Res OLS Model'!$B$7*E27</f>
        <v>0</v>
      </c>
      <c r="P27" s="23">
        <f>'Res OLS Model'!$B$8*F27</f>
        <v>-714629.1731297134</v>
      </c>
      <c r="Q27" s="23">
        <f>'Res OLS Model'!$B$9*G27</f>
        <v>36455562.293576337</v>
      </c>
      <c r="R27" s="23">
        <f>'Res OLS Model'!$B$10*H27</f>
        <v>0</v>
      </c>
      <c r="S27" s="23">
        <f>'Res OLS Model'!$B$11*I27</f>
        <v>0</v>
      </c>
      <c r="T27" s="23">
        <f>'Res OLS Model'!$B$12*J27</f>
        <v>0</v>
      </c>
      <c r="U27" s="23">
        <f>'Res OLS Model'!$B$13*K27</f>
        <v>0</v>
      </c>
      <c r="V27" s="23">
        <f t="shared" ca="1" si="1"/>
        <v>20747136.149958696</v>
      </c>
    </row>
    <row r="28" spans="1:22">
      <c r="A28" s="11">
        <f>'Monthly Data'!A28</f>
        <v>40603</v>
      </c>
      <c r="B28" s="6">
        <f t="shared" si="2"/>
        <v>2011</v>
      </c>
      <c r="C28" s="30">
        <f>'Monthly Data'!F28</f>
        <v>19343947.481271625</v>
      </c>
      <c r="D28" s="30">
        <f t="shared" ca="1" si="3"/>
        <v>556.99</v>
      </c>
      <c r="E28" s="30">
        <f t="shared" ca="1" si="3"/>
        <v>0</v>
      </c>
      <c r="F28">
        <f>'Monthly Data'!AA28</f>
        <v>27</v>
      </c>
      <c r="G28" s="30">
        <f>'Monthly Data'!AB28</f>
        <v>23358</v>
      </c>
      <c r="H28" s="30">
        <f>'Monthly Data'!AM28</f>
        <v>0</v>
      </c>
      <c r="I28" s="30">
        <f>'Monthly Data'!AO28</f>
        <v>0</v>
      </c>
      <c r="J28" s="30">
        <f>'Monthly Data'!AQ28</f>
        <v>0</v>
      </c>
      <c r="K28" s="94">
        <f>'Monthly Data'!AR28</f>
        <v>0</v>
      </c>
      <c r="M28" s="23">
        <f>'Res OLS Model'!$B$5</f>
        <v>-23168470.016197301</v>
      </c>
      <c r="N28" s="23">
        <f ca="1">'Res OLS Model'!$B$6*D28</f>
        <v>6671273.8857008172</v>
      </c>
      <c r="O28" s="23">
        <f ca="1">'Res OLS Model'!$B$7*E28</f>
        <v>0</v>
      </c>
      <c r="P28" s="23">
        <f>'Res OLS Model'!$B$8*F28</f>
        <v>-742114.91055777925</v>
      </c>
      <c r="Q28" s="23">
        <f>'Res OLS Model'!$B$9*G28</f>
        <v>36447760.307039171</v>
      </c>
      <c r="R28" s="23">
        <f>'Res OLS Model'!$B$10*H28</f>
        <v>0</v>
      </c>
      <c r="S28" s="23">
        <f>'Res OLS Model'!$B$11*I28</f>
        <v>0</v>
      </c>
      <c r="T28" s="23">
        <f>'Res OLS Model'!$B$12*J28</f>
        <v>0</v>
      </c>
      <c r="U28" s="23">
        <f>'Res OLS Model'!$B$13*K28</f>
        <v>0</v>
      </c>
      <c r="V28" s="23">
        <f t="shared" ca="1" si="1"/>
        <v>19208449.265984908</v>
      </c>
    </row>
    <row r="29" spans="1:22">
      <c r="A29" s="11">
        <f>'Monthly Data'!A29</f>
        <v>40634</v>
      </c>
      <c r="B29" s="6">
        <f t="shared" si="2"/>
        <v>2011</v>
      </c>
      <c r="C29" s="30">
        <f>'Monthly Data'!F29</f>
        <v>15358267.267086715</v>
      </c>
      <c r="D29" s="30">
        <f t="shared" ca="1" si="3"/>
        <v>326.58999999999997</v>
      </c>
      <c r="E29" s="30">
        <f t="shared" ca="1" si="3"/>
        <v>0.39</v>
      </c>
      <c r="F29">
        <f>'Monthly Data'!AA29</f>
        <v>28</v>
      </c>
      <c r="G29" s="30">
        <f>'Monthly Data'!AB29</f>
        <v>23357</v>
      </c>
      <c r="H29" s="30">
        <f>'Monthly Data'!AM29</f>
        <v>0</v>
      </c>
      <c r="I29" s="30">
        <f>'Monthly Data'!AO29</f>
        <v>1</v>
      </c>
      <c r="J29" s="30">
        <f>'Monthly Data'!AQ29</f>
        <v>0</v>
      </c>
      <c r="K29" s="94">
        <f>'Monthly Data'!AR29</f>
        <v>0</v>
      </c>
      <c r="M29" s="23">
        <f>'Res OLS Model'!$B$5</f>
        <v>-23168470.016197301</v>
      </c>
      <c r="N29" s="23">
        <f ca="1">'Res OLS Model'!$B$6*D29</f>
        <v>3911688.4294709596</v>
      </c>
      <c r="O29" s="23">
        <f ca="1">'Res OLS Model'!$B$7*E29</f>
        <v>13015.289534109019</v>
      </c>
      <c r="P29" s="23">
        <f>'Res OLS Model'!$B$8*F29</f>
        <v>-769600.64798584511</v>
      </c>
      <c r="Q29" s="23">
        <f>'Res OLS Model'!$B$9*G29</f>
        <v>36446199.909731738</v>
      </c>
      <c r="R29" s="23">
        <f>'Res OLS Model'!$B$10*H29</f>
        <v>0</v>
      </c>
      <c r="S29" s="23">
        <f>'Res OLS Model'!$B$11*I29</f>
        <v>-1218613.41007658</v>
      </c>
      <c r="T29" s="23">
        <f>'Res OLS Model'!$B$12*J29</f>
        <v>0</v>
      </c>
      <c r="U29" s="23">
        <f>'Res OLS Model'!$B$13*K29</f>
        <v>0</v>
      </c>
      <c r="V29" s="23">
        <f t="shared" ca="1" si="1"/>
        <v>15214219.554477081</v>
      </c>
    </row>
    <row r="30" spans="1:22">
      <c r="A30" s="11">
        <f>'Monthly Data'!A30</f>
        <v>40664</v>
      </c>
      <c r="B30" s="6">
        <f t="shared" si="2"/>
        <v>2011</v>
      </c>
      <c r="C30" s="30">
        <f>'Monthly Data'!F30</f>
        <v>13075508.600401806</v>
      </c>
      <c r="D30" s="30">
        <f t="shared" ca="1" si="3"/>
        <v>144.96</v>
      </c>
      <c r="E30" s="30">
        <f t="shared" ca="1" si="3"/>
        <v>8.67</v>
      </c>
      <c r="F30">
        <f>'Monthly Data'!AA30</f>
        <v>29</v>
      </c>
      <c r="G30" s="30">
        <f>'Monthly Data'!AB30</f>
        <v>23144</v>
      </c>
      <c r="H30" s="30">
        <f>'Monthly Data'!AM30</f>
        <v>0</v>
      </c>
      <c r="I30" s="30">
        <f>'Monthly Data'!AO30</f>
        <v>0</v>
      </c>
      <c r="J30" s="30">
        <f>'Monthly Data'!AQ30</f>
        <v>1</v>
      </c>
      <c r="K30" s="94">
        <f>'Monthly Data'!AR30</f>
        <v>0</v>
      </c>
      <c r="M30" s="23">
        <f>'Res OLS Model'!$B$5</f>
        <v>-23168470.016197301</v>
      </c>
      <c r="N30" s="23">
        <f ca="1">'Res OLS Model'!$B$6*D30</f>
        <v>1736239.182877952</v>
      </c>
      <c r="O30" s="23">
        <f ca="1">'Res OLS Model'!$B$7*E30</f>
        <v>289339.89810442354</v>
      </c>
      <c r="P30" s="23">
        <f>'Res OLS Model'!$B$8*F30</f>
        <v>-797086.38541391108</v>
      </c>
      <c r="Q30" s="23">
        <f>'Res OLS Model'!$B$9*G30</f>
        <v>36113835.283248335</v>
      </c>
      <c r="R30" s="23">
        <f>'Res OLS Model'!$B$10*H30</f>
        <v>0</v>
      </c>
      <c r="S30" s="23">
        <f>'Res OLS Model'!$B$11*I30</f>
        <v>0</v>
      </c>
      <c r="T30" s="23">
        <f>'Res OLS Model'!$B$12*J30</f>
        <v>-1511757.2538914999</v>
      </c>
      <c r="U30" s="23">
        <f>'Res OLS Model'!$B$13*K30</f>
        <v>0</v>
      </c>
      <c r="V30" s="23">
        <f t="shared" ca="1" si="1"/>
        <v>12662100.708727995</v>
      </c>
    </row>
    <row r="31" spans="1:22">
      <c r="A31" s="11">
        <f>'Monthly Data'!A31</f>
        <v>40695</v>
      </c>
      <c r="B31" s="6">
        <f t="shared" si="2"/>
        <v>2011</v>
      </c>
      <c r="C31" s="30">
        <f>'Monthly Data'!F31</f>
        <v>12318121.995516896</v>
      </c>
      <c r="D31" s="30">
        <f t="shared" ca="1" si="3"/>
        <v>41.510000000000005</v>
      </c>
      <c r="E31" s="30">
        <f t="shared" ca="1" si="3"/>
        <v>44.41</v>
      </c>
      <c r="F31">
        <f>'Monthly Data'!AA31</f>
        <v>30</v>
      </c>
      <c r="G31" s="30">
        <f>'Monthly Data'!AB31</f>
        <v>23078</v>
      </c>
      <c r="H31" s="30">
        <f>'Monthly Data'!AM31</f>
        <v>0</v>
      </c>
      <c r="I31" s="30">
        <f>'Monthly Data'!AO31</f>
        <v>0</v>
      </c>
      <c r="J31" s="30">
        <f>'Monthly Data'!AQ31</f>
        <v>1</v>
      </c>
      <c r="K31" s="94">
        <f>'Monthly Data'!AR31</f>
        <v>0</v>
      </c>
      <c r="M31" s="23">
        <f>'Res OLS Model'!$B$5</f>
        <v>-23168470.016197301</v>
      </c>
      <c r="N31" s="23">
        <f ca="1">'Res OLS Model'!$B$6*D31</f>
        <v>497180.52208377345</v>
      </c>
      <c r="O31" s="23">
        <f ca="1">'Res OLS Model'!$B$7*E31</f>
        <v>1482074.3800250806</v>
      </c>
      <c r="P31" s="23">
        <f>'Res OLS Model'!$B$8*F31</f>
        <v>-824572.12284197693</v>
      </c>
      <c r="Q31" s="23">
        <f>'Res OLS Model'!$B$9*G31</f>
        <v>36010849.0609577</v>
      </c>
      <c r="R31" s="23">
        <f>'Res OLS Model'!$B$10*H31</f>
        <v>0</v>
      </c>
      <c r="S31" s="23">
        <f>'Res OLS Model'!$B$11*I31</f>
        <v>0</v>
      </c>
      <c r="T31" s="23">
        <f>'Res OLS Model'!$B$12*J31</f>
        <v>-1511757.2538914999</v>
      </c>
      <c r="U31" s="23">
        <f>'Res OLS Model'!$B$13*K31</f>
        <v>0</v>
      </c>
      <c r="V31" s="23">
        <f t="shared" ca="1" si="1"/>
        <v>12485304.570135778</v>
      </c>
    </row>
    <row r="32" spans="1:22">
      <c r="A32" s="11">
        <f>'Monthly Data'!A32</f>
        <v>40725</v>
      </c>
      <c r="B32" s="6">
        <f t="shared" si="2"/>
        <v>2011</v>
      </c>
      <c r="C32" s="30">
        <f>'Monthly Data'!F32</f>
        <v>14280540.223931987</v>
      </c>
      <c r="D32" s="30">
        <f t="shared" ca="1" si="3"/>
        <v>5.01</v>
      </c>
      <c r="E32" s="30">
        <f t="shared" ca="1" si="3"/>
        <v>96.909999999999982</v>
      </c>
      <c r="F32">
        <f>'Monthly Data'!AA32</f>
        <v>31</v>
      </c>
      <c r="G32" s="30">
        <f>'Monthly Data'!AB32</f>
        <v>23049</v>
      </c>
      <c r="H32" s="30">
        <f>'Monthly Data'!AM32</f>
        <v>0</v>
      </c>
      <c r="I32" s="30">
        <f>'Monthly Data'!AO32</f>
        <v>0</v>
      </c>
      <c r="J32" s="30">
        <f>'Monthly Data'!AQ32</f>
        <v>1</v>
      </c>
      <c r="K32" s="94">
        <f>'Monthly Data'!AR32</f>
        <v>0</v>
      </c>
      <c r="M32" s="23">
        <f>'Res OLS Model'!$B$5</f>
        <v>-23168470.016197301</v>
      </c>
      <c r="N32" s="23">
        <f ca="1">'Res OLS Model'!$B$6*D32</f>
        <v>60006.610832081533</v>
      </c>
      <c r="O32" s="23">
        <f ca="1">'Res OLS Model'!$B$7*E32</f>
        <v>3234132.5865397556</v>
      </c>
      <c r="P32" s="23">
        <f>'Res OLS Model'!$B$8*F32</f>
        <v>-852057.8602700429</v>
      </c>
      <c r="Q32" s="23">
        <f>'Res OLS Model'!$B$9*G32</f>
        <v>35965597.539042115</v>
      </c>
      <c r="R32" s="23">
        <f>'Res OLS Model'!$B$10*H32</f>
        <v>0</v>
      </c>
      <c r="S32" s="23">
        <f>'Res OLS Model'!$B$11*I32</f>
        <v>0</v>
      </c>
      <c r="T32" s="23">
        <f>'Res OLS Model'!$B$12*J32</f>
        <v>-1511757.2538914999</v>
      </c>
      <c r="U32" s="23">
        <f>'Res OLS Model'!$B$13*K32</f>
        <v>0</v>
      </c>
      <c r="V32" s="23">
        <f t="shared" ca="1" si="1"/>
        <v>13727451.606055109</v>
      </c>
    </row>
    <row r="33" spans="1:22">
      <c r="A33" s="11">
        <f>'Monthly Data'!A33</f>
        <v>40756</v>
      </c>
      <c r="B33" s="6">
        <f t="shared" si="2"/>
        <v>2011</v>
      </c>
      <c r="C33" s="30">
        <f>'Monthly Data'!F33</f>
        <v>13744542.177247077</v>
      </c>
      <c r="D33" s="30">
        <f t="shared" ca="1" si="3"/>
        <v>12.719999999999999</v>
      </c>
      <c r="E33" s="30">
        <f t="shared" ca="1" si="3"/>
        <v>77.22999999999999</v>
      </c>
      <c r="F33">
        <f>'Monthly Data'!AA33</f>
        <v>32</v>
      </c>
      <c r="G33" s="30">
        <f>'Monthly Data'!AB33</f>
        <v>23068</v>
      </c>
      <c r="H33" s="30">
        <f>'Monthly Data'!AM33</f>
        <v>0</v>
      </c>
      <c r="I33" s="30">
        <f>'Monthly Data'!AO33</f>
        <v>0</v>
      </c>
      <c r="J33" s="30">
        <f>'Monthly Data'!AQ33</f>
        <v>1</v>
      </c>
      <c r="K33" s="94">
        <f>'Monthly Data'!AR33</f>
        <v>0</v>
      </c>
      <c r="M33" s="23">
        <f>'Res OLS Model'!$B$5</f>
        <v>-23168470.016197301</v>
      </c>
      <c r="N33" s="23">
        <f ca="1">'Res OLS Model'!$B$6*D33</f>
        <v>152352.1137293567</v>
      </c>
      <c r="O33" s="23">
        <f ca="1">'Res OLS Model'!$B$7*E33</f>
        <v>2577361.0531262546</v>
      </c>
      <c r="P33" s="23">
        <f>'Res OLS Model'!$B$8*F33</f>
        <v>-879543.59769810876</v>
      </c>
      <c r="Q33" s="23">
        <f>'Res OLS Model'!$B$9*G33</f>
        <v>35995245.087883361</v>
      </c>
      <c r="R33" s="23">
        <f>'Res OLS Model'!$B$10*H33</f>
        <v>0</v>
      </c>
      <c r="S33" s="23">
        <f>'Res OLS Model'!$B$11*I33</f>
        <v>0</v>
      </c>
      <c r="T33" s="23">
        <f>'Res OLS Model'!$B$12*J33</f>
        <v>-1511757.2538914999</v>
      </c>
      <c r="U33" s="23">
        <f>'Res OLS Model'!$B$13*K33</f>
        <v>0</v>
      </c>
      <c r="V33" s="23">
        <f t="shared" ca="1" si="1"/>
        <v>13165187.386952063</v>
      </c>
    </row>
    <row r="34" spans="1:22">
      <c r="A34" s="11">
        <f>'Monthly Data'!A34</f>
        <v>40787</v>
      </c>
      <c r="B34" s="6">
        <f t="shared" si="2"/>
        <v>2011</v>
      </c>
      <c r="C34" s="30">
        <f>'Monthly Data'!F34</f>
        <v>12475644.696762169</v>
      </c>
      <c r="D34" s="30">
        <f t="shared" ref="D34:E53" ca="1" si="4">D22</f>
        <v>86.570000000000007</v>
      </c>
      <c r="E34" s="30">
        <f t="shared" ca="1" si="4"/>
        <v>19.899999999999999</v>
      </c>
      <c r="F34">
        <f>'Monthly Data'!AA34</f>
        <v>33</v>
      </c>
      <c r="G34" s="30">
        <f>'Monthly Data'!AB34</f>
        <v>23151</v>
      </c>
      <c r="H34" s="30">
        <f>'Monthly Data'!AM34</f>
        <v>1</v>
      </c>
      <c r="I34" s="30">
        <f>'Monthly Data'!AO34</f>
        <v>0</v>
      </c>
      <c r="J34" s="30">
        <f>'Monthly Data'!AQ34</f>
        <v>0</v>
      </c>
      <c r="K34" s="94">
        <f>'Monthly Data'!AR34</f>
        <v>0</v>
      </c>
      <c r="M34" s="23">
        <f>'Res OLS Model'!$B$5</f>
        <v>-23168470.016197301</v>
      </c>
      <c r="N34" s="23">
        <f ca="1">'Res OLS Model'!$B$6*D34</f>
        <v>1036880.6985495606</v>
      </c>
      <c r="O34" s="23">
        <f ca="1">'Res OLS Model'!$B$7*E34</f>
        <v>664113.49161222938</v>
      </c>
      <c r="P34" s="23">
        <f>'Res OLS Model'!$B$8*F34</f>
        <v>-907029.33512617461</v>
      </c>
      <c r="Q34" s="23">
        <f>'Res OLS Model'!$B$9*G34</f>
        <v>36124758.064400367</v>
      </c>
      <c r="R34" s="23">
        <f>'Res OLS Model'!$B$10*H34</f>
        <v>-1279656.8259476901</v>
      </c>
      <c r="S34" s="23">
        <f>'Res OLS Model'!$B$11*I34</f>
        <v>0</v>
      </c>
      <c r="T34" s="23">
        <f>'Res OLS Model'!$B$12*J34</f>
        <v>0</v>
      </c>
      <c r="U34" s="23">
        <f>'Res OLS Model'!$B$13*K34</f>
        <v>0</v>
      </c>
      <c r="V34" s="23">
        <f t="shared" ref="V34:V65" ca="1" si="5">SUM(M34:U34)</f>
        <v>12470596.077290993</v>
      </c>
    </row>
    <row r="35" spans="1:22">
      <c r="A35" s="11">
        <f>'Monthly Data'!A35</f>
        <v>40817</v>
      </c>
      <c r="B35" s="6">
        <f t="shared" si="2"/>
        <v>2011</v>
      </c>
      <c r="C35" s="30">
        <f>'Monthly Data'!F35</f>
        <v>13769534.523777261</v>
      </c>
      <c r="D35" s="30">
        <f t="shared" ca="1" si="4"/>
        <v>270.3</v>
      </c>
      <c r="E35" s="30">
        <f t="shared" ca="1" si="4"/>
        <v>1.21</v>
      </c>
      <c r="F35">
        <f>'Monthly Data'!AA35</f>
        <v>34</v>
      </c>
      <c r="G35" s="30">
        <f>'Monthly Data'!AB35</f>
        <v>23189</v>
      </c>
      <c r="H35" s="30">
        <f>'Monthly Data'!AM35</f>
        <v>1</v>
      </c>
      <c r="I35" s="30">
        <f>'Monthly Data'!AO35</f>
        <v>0</v>
      </c>
      <c r="J35" s="30">
        <f>'Monthly Data'!AQ35</f>
        <v>0</v>
      </c>
      <c r="K35" s="94">
        <f>'Monthly Data'!AR35</f>
        <v>0</v>
      </c>
      <c r="M35" s="23">
        <f>'Res OLS Model'!$B$5</f>
        <v>-23168470.016197301</v>
      </c>
      <c r="N35" s="23">
        <f ca="1">'Res OLS Model'!$B$6*D35</f>
        <v>3237482.4167488301</v>
      </c>
      <c r="O35" s="23">
        <f ca="1">'Res OLS Model'!$B$7*E35</f>
        <v>40380.770093004903</v>
      </c>
      <c r="P35" s="23">
        <f>'Res OLS Model'!$B$8*F35</f>
        <v>-934515.07255424059</v>
      </c>
      <c r="Q35" s="23">
        <f>'Res OLS Model'!$B$9*G35</f>
        <v>36184053.162082851</v>
      </c>
      <c r="R35" s="23">
        <f>'Res OLS Model'!$B$10*H35</f>
        <v>-1279656.8259476901</v>
      </c>
      <c r="S35" s="23">
        <f>'Res OLS Model'!$B$11*I35</f>
        <v>0</v>
      </c>
      <c r="T35" s="23">
        <f>'Res OLS Model'!$B$12*J35</f>
        <v>0</v>
      </c>
      <c r="U35" s="23">
        <f>'Res OLS Model'!$B$13*K35</f>
        <v>0</v>
      </c>
      <c r="V35" s="23">
        <f t="shared" ca="1" si="5"/>
        <v>14079274.434225451</v>
      </c>
    </row>
    <row r="36" spans="1:22">
      <c r="A36" s="11">
        <f>'Monthly Data'!A36</f>
        <v>40848</v>
      </c>
      <c r="B36" s="6">
        <f t="shared" si="2"/>
        <v>2011</v>
      </c>
      <c r="C36" s="30">
        <f>'Monthly Data'!F36</f>
        <v>15620490.438992351</v>
      </c>
      <c r="D36" s="30">
        <f t="shared" ca="1" si="4"/>
        <v>444.05</v>
      </c>
      <c r="E36" s="30">
        <f t="shared" ca="1" si="4"/>
        <v>0</v>
      </c>
      <c r="F36">
        <f>'Monthly Data'!AA36</f>
        <v>35</v>
      </c>
      <c r="G36" s="30">
        <f>'Monthly Data'!AB36</f>
        <v>23212</v>
      </c>
      <c r="H36" s="30">
        <f>'Monthly Data'!AM36</f>
        <v>1</v>
      </c>
      <c r="I36" s="30">
        <f>'Monthly Data'!AO36</f>
        <v>0</v>
      </c>
      <c r="J36" s="30">
        <f>'Monthly Data'!AQ36</f>
        <v>0</v>
      </c>
      <c r="K36" s="94">
        <f>'Monthly Data'!AR36</f>
        <v>0</v>
      </c>
      <c r="M36" s="23">
        <f>'Res OLS Model'!$B$5</f>
        <v>-23168470.016197301</v>
      </c>
      <c r="N36" s="23">
        <f ca="1">'Res OLS Model'!$B$6*D36</f>
        <v>5318550.0079811988</v>
      </c>
      <c r="O36" s="23">
        <f ca="1">'Res OLS Model'!$B$7*E36</f>
        <v>0</v>
      </c>
      <c r="P36" s="23">
        <f>'Res OLS Model'!$B$8*F36</f>
        <v>-962000.80998230644</v>
      </c>
      <c r="Q36" s="23">
        <f>'Res OLS Model'!$B$9*G36</f>
        <v>36219942.300153829</v>
      </c>
      <c r="R36" s="23">
        <f>'Res OLS Model'!$B$10*H36</f>
        <v>-1279656.8259476901</v>
      </c>
      <c r="S36" s="23">
        <f>'Res OLS Model'!$B$11*I36</f>
        <v>0</v>
      </c>
      <c r="T36" s="23">
        <f>'Res OLS Model'!$B$12*J36</f>
        <v>0</v>
      </c>
      <c r="U36" s="23">
        <f>'Res OLS Model'!$B$13*K36</f>
        <v>0</v>
      </c>
      <c r="V36" s="23">
        <f t="shared" ca="1" si="5"/>
        <v>16128364.656007729</v>
      </c>
    </row>
    <row r="37" spans="1:22">
      <c r="A37" s="11">
        <f>'Monthly Data'!A37</f>
        <v>40878</v>
      </c>
      <c r="B37" s="6">
        <f t="shared" si="2"/>
        <v>2011</v>
      </c>
      <c r="C37" s="30">
        <f>'Monthly Data'!F37</f>
        <v>18996139.590307444</v>
      </c>
      <c r="D37" s="30">
        <f t="shared" ca="1" si="4"/>
        <v>684.01</v>
      </c>
      <c r="E37" s="30">
        <f t="shared" ca="1" si="4"/>
        <v>0</v>
      </c>
      <c r="F37">
        <f>'Monthly Data'!AA37</f>
        <v>36</v>
      </c>
      <c r="G37" s="30">
        <f>'Monthly Data'!AB37</f>
        <v>23234</v>
      </c>
      <c r="H37" s="30">
        <f>'Monthly Data'!AM37</f>
        <v>0</v>
      </c>
      <c r="I37" s="30">
        <f>'Monthly Data'!AO37</f>
        <v>0</v>
      </c>
      <c r="J37" s="30">
        <f>'Monthly Data'!AQ37</f>
        <v>0</v>
      </c>
      <c r="K37" s="94">
        <f>'Monthly Data'!AR37</f>
        <v>0</v>
      </c>
      <c r="M37" s="23">
        <f>'Res OLS Model'!$B$5</f>
        <v>-23168470.016197301</v>
      </c>
      <c r="N37" s="23">
        <f ca="1">'Res OLS Model'!$B$6*D37</f>
        <v>8192639.0968567049</v>
      </c>
      <c r="O37" s="23">
        <f ca="1">'Res OLS Model'!$B$7*E37</f>
        <v>0</v>
      </c>
      <c r="P37" s="23">
        <f>'Res OLS Model'!$B$8*F37</f>
        <v>-989486.54741037241</v>
      </c>
      <c r="Q37" s="23">
        <f>'Res OLS Model'!$B$9*G37</f>
        <v>36254271.040917374</v>
      </c>
      <c r="R37" s="23">
        <f>'Res OLS Model'!$B$10*H37</f>
        <v>0</v>
      </c>
      <c r="S37" s="23">
        <f>'Res OLS Model'!$B$11*I37</f>
        <v>0</v>
      </c>
      <c r="T37" s="23">
        <f>'Res OLS Model'!$B$12*J37</f>
        <v>0</v>
      </c>
      <c r="U37" s="23">
        <f>'Res OLS Model'!$B$13*K37</f>
        <v>0</v>
      </c>
      <c r="V37" s="23">
        <f t="shared" ca="1" si="5"/>
        <v>20288953.574166406</v>
      </c>
    </row>
    <row r="38" spans="1:22">
      <c r="A38" s="11">
        <f>'Monthly Data'!A38</f>
        <v>40909</v>
      </c>
      <c r="B38" s="6">
        <f t="shared" si="2"/>
        <v>2012</v>
      </c>
      <c r="C38" s="30">
        <f>'Monthly Data'!F38</f>
        <v>20909423.816872794</v>
      </c>
      <c r="D38" s="30">
        <f t="shared" ca="1" si="4"/>
        <v>784.29</v>
      </c>
      <c r="E38" s="30">
        <f t="shared" ca="1" si="4"/>
        <v>0</v>
      </c>
      <c r="F38">
        <f>'Monthly Data'!AA38</f>
        <v>37</v>
      </c>
      <c r="G38" s="30">
        <f>'Monthly Data'!AB38</f>
        <v>23226</v>
      </c>
      <c r="H38" s="30">
        <f>'Monthly Data'!AM38</f>
        <v>0</v>
      </c>
      <c r="I38" s="30">
        <f>'Monthly Data'!AO38</f>
        <v>0</v>
      </c>
      <c r="J38" s="30">
        <f>'Monthly Data'!AQ38</f>
        <v>0</v>
      </c>
      <c r="K38" s="94">
        <f>'Monthly Data'!AR38</f>
        <v>1</v>
      </c>
      <c r="M38" s="23">
        <f>'Res OLS Model'!$B$5</f>
        <v>-23168470.016197301</v>
      </c>
      <c r="N38" s="23">
        <f ca="1">'Res OLS Model'!$B$6*D38</f>
        <v>9393729.5028928593</v>
      </c>
      <c r="O38" s="23">
        <f ca="1">'Res OLS Model'!$B$7*E38</f>
        <v>0</v>
      </c>
      <c r="P38" s="23">
        <f>'Res OLS Model'!$B$8*F38</f>
        <v>-1016972.2848384383</v>
      </c>
      <c r="Q38" s="23">
        <f>'Res OLS Model'!$B$9*G38</f>
        <v>36241787.862457901</v>
      </c>
      <c r="R38" s="23">
        <f>'Res OLS Model'!$B$10*H38</f>
        <v>0</v>
      </c>
      <c r="S38" s="23">
        <f>'Res OLS Model'!$B$11*I38</f>
        <v>0</v>
      </c>
      <c r="T38" s="23">
        <f>'Res OLS Model'!$B$12*J38</f>
        <v>0</v>
      </c>
      <c r="U38" s="23">
        <f>'Res OLS Model'!$B$13*K38</f>
        <v>1122371.81652903</v>
      </c>
      <c r="V38" s="23">
        <f t="shared" ca="1" si="5"/>
        <v>22572446.880844049</v>
      </c>
    </row>
    <row r="39" spans="1:22">
      <c r="A39" s="11">
        <f>'Monthly Data'!A39</f>
        <v>40940</v>
      </c>
      <c r="B39" s="6">
        <f t="shared" si="2"/>
        <v>2012</v>
      </c>
      <c r="C39" s="30">
        <f>'Monthly Data'!F39</f>
        <v>18689053.260874771</v>
      </c>
      <c r="D39" s="30">
        <f t="shared" ca="1" si="4"/>
        <v>682.50999999999988</v>
      </c>
      <c r="E39" s="30">
        <f t="shared" ca="1" si="4"/>
        <v>0</v>
      </c>
      <c r="F39">
        <f>'Monthly Data'!AA39</f>
        <v>38</v>
      </c>
      <c r="G39" s="30">
        <f>'Monthly Data'!AB39</f>
        <v>23235</v>
      </c>
      <c r="H39" s="30">
        <f>'Monthly Data'!AM39</f>
        <v>0</v>
      </c>
      <c r="I39" s="30">
        <f>'Monthly Data'!AO39</f>
        <v>0</v>
      </c>
      <c r="J39" s="30">
        <f>'Monthly Data'!AQ39</f>
        <v>0</v>
      </c>
      <c r="K39" s="94">
        <f>'Monthly Data'!AR39</f>
        <v>0</v>
      </c>
      <c r="M39" s="23">
        <f>'Res OLS Model'!$B$5</f>
        <v>-23168470.016197301</v>
      </c>
      <c r="N39" s="23">
        <f ca="1">'Res OLS Model'!$B$6*D39</f>
        <v>8174673.0457093734</v>
      </c>
      <c r="O39" s="23">
        <f ca="1">'Res OLS Model'!$B$7*E39</f>
        <v>0</v>
      </c>
      <c r="P39" s="23">
        <f>'Res OLS Model'!$B$8*F39</f>
        <v>-1044458.0222665041</v>
      </c>
      <c r="Q39" s="23">
        <f>'Res OLS Model'!$B$9*G39</f>
        <v>36255831.438224807</v>
      </c>
      <c r="R39" s="23">
        <f>'Res OLS Model'!$B$10*H39</f>
        <v>0</v>
      </c>
      <c r="S39" s="23">
        <f>'Res OLS Model'!$B$11*I39</f>
        <v>0</v>
      </c>
      <c r="T39" s="23">
        <f>'Res OLS Model'!$B$12*J39</f>
        <v>0</v>
      </c>
      <c r="U39" s="23">
        <f>'Res OLS Model'!$B$13*K39</f>
        <v>0</v>
      </c>
      <c r="V39" s="23">
        <f t="shared" ca="1" si="5"/>
        <v>20217576.445470378</v>
      </c>
    </row>
    <row r="40" spans="1:22">
      <c r="A40" s="11">
        <f>'Monthly Data'!A40</f>
        <v>40969</v>
      </c>
      <c r="B40" s="6">
        <f t="shared" si="2"/>
        <v>2012</v>
      </c>
      <c r="C40" s="30">
        <f>'Monthly Data'!F40</f>
        <v>16791457.429876745</v>
      </c>
      <c r="D40" s="30">
        <f t="shared" ca="1" si="4"/>
        <v>556.99</v>
      </c>
      <c r="E40" s="30">
        <f t="shared" ca="1" si="4"/>
        <v>0</v>
      </c>
      <c r="F40">
        <f>'Monthly Data'!AA40</f>
        <v>39</v>
      </c>
      <c r="G40" s="30">
        <f>'Monthly Data'!AB40</f>
        <v>23259</v>
      </c>
      <c r="H40" s="30">
        <f>'Monthly Data'!AM40</f>
        <v>0</v>
      </c>
      <c r="I40" s="30">
        <f>'Monthly Data'!AO40</f>
        <v>0</v>
      </c>
      <c r="J40" s="30">
        <f>'Monthly Data'!AQ40</f>
        <v>0</v>
      </c>
      <c r="K40" s="94">
        <f>'Monthly Data'!AR40</f>
        <v>0</v>
      </c>
      <c r="M40" s="23">
        <f>'Res OLS Model'!$B$5</f>
        <v>-23168470.016197301</v>
      </c>
      <c r="N40" s="23">
        <f ca="1">'Res OLS Model'!$B$6*D40</f>
        <v>6671273.8857008172</v>
      </c>
      <c r="O40" s="23">
        <f ca="1">'Res OLS Model'!$B$7*E40</f>
        <v>0</v>
      </c>
      <c r="P40" s="23">
        <f>'Res OLS Model'!$B$8*F40</f>
        <v>-1071943.75969457</v>
      </c>
      <c r="Q40" s="23">
        <f>'Res OLS Model'!$B$9*G40</f>
        <v>36293280.973603219</v>
      </c>
      <c r="R40" s="23">
        <f>'Res OLS Model'!$B$10*H40</f>
        <v>0</v>
      </c>
      <c r="S40" s="23">
        <f>'Res OLS Model'!$B$11*I40</f>
        <v>0</v>
      </c>
      <c r="T40" s="23">
        <f>'Res OLS Model'!$B$12*J40</f>
        <v>0</v>
      </c>
      <c r="U40" s="23">
        <f>'Res OLS Model'!$B$13*K40</f>
        <v>0</v>
      </c>
      <c r="V40" s="23">
        <f t="shared" ca="1" si="5"/>
        <v>18724141.083412167</v>
      </c>
    </row>
    <row r="41" spans="1:22">
      <c r="A41" s="11">
        <f>'Monthly Data'!A41</f>
        <v>41000</v>
      </c>
      <c r="B41" s="6">
        <f t="shared" si="2"/>
        <v>2012</v>
      </c>
      <c r="C41" s="30">
        <f>'Monthly Data'!F41</f>
        <v>14517265.894378716</v>
      </c>
      <c r="D41" s="30">
        <f t="shared" ca="1" si="4"/>
        <v>326.58999999999997</v>
      </c>
      <c r="E41" s="30">
        <f t="shared" ca="1" si="4"/>
        <v>0.39</v>
      </c>
      <c r="F41">
        <f>'Monthly Data'!AA41</f>
        <v>40</v>
      </c>
      <c r="G41" s="30">
        <f>'Monthly Data'!AB41</f>
        <v>23160</v>
      </c>
      <c r="H41" s="30">
        <f>'Monthly Data'!AM41</f>
        <v>0</v>
      </c>
      <c r="I41" s="30">
        <f>'Monthly Data'!AO41</f>
        <v>1</v>
      </c>
      <c r="J41" s="30">
        <f>'Monthly Data'!AQ41</f>
        <v>0</v>
      </c>
      <c r="K41" s="94">
        <f>'Monthly Data'!AR41</f>
        <v>0</v>
      </c>
      <c r="M41" s="23">
        <f>'Res OLS Model'!$B$5</f>
        <v>-23168470.016197301</v>
      </c>
      <c r="N41" s="23">
        <f ca="1">'Res OLS Model'!$B$6*D41</f>
        <v>3911688.4294709596</v>
      </c>
      <c r="O41" s="23">
        <f ca="1">'Res OLS Model'!$B$7*E41</f>
        <v>13015.289534109019</v>
      </c>
      <c r="P41" s="23">
        <f>'Res OLS Model'!$B$8*F41</f>
        <v>-1099429.4971226361</v>
      </c>
      <c r="Q41" s="23">
        <f>'Res OLS Model'!$B$9*G41</f>
        <v>36138801.640167274</v>
      </c>
      <c r="R41" s="23">
        <f>'Res OLS Model'!$B$10*H41</f>
        <v>0</v>
      </c>
      <c r="S41" s="23">
        <f>'Res OLS Model'!$B$11*I41</f>
        <v>-1218613.41007658</v>
      </c>
      <c r="T41" s="23">
        <f>'Res OLS Model'!$B$12*J41</f>
        <v>0</v>
      </c>
      <c r="U41" s="23">
        <f>'Res OLS Model'!$B$13*K41</f>
        <v>0</v>
      </c>
      <c r="V41" s="23">
        <f t="shared" ca="1" si="5"/>
        <v>14576992.435775824</v>
      </c>
    </row>
    <row r="42" spans="1:22">
      <c r="A42" s="11">
        <f>'Monthly Data'!A42</f>
        <v>41030</v>
      </c>
      <c r="B42" s="6">
        <f t="shared" si="2"/>
        <v>2012</v>
      </c>
      <c r="C42" s="30">
        <f>'Monthly Data'!F42</f>
        <v>11855286.068080692</v>
      </c>
      <c r="D42" s="30">
        <f t="shared" ca="1" si="4"/>
        <v>144.96</v>
      </c>
      <c r="E42" s="30">
        <f t="shared" ca="1" si="4"/>
        <v>8.67</v>
      </c>
      <c r="F42">
        <f>'Monthly Data'!AA42</f>
        <v>41</v>
      </c>
      <c r="G42" s="30">
        <f>'Monthly Data'!AB42</f>
        <v>22994</v>
      </c>
      <c r="H42" s="30">
        <f>'Monthly Data'!AM42</f>
        <v>0</v>
      </c>
      <c r="I42" s="30">
        <f>'Monthly Data'!AO42</f>
        <v>0</v>
      </c>
      <c r="J42" s="30">
        <f>'Monthly Data'!AQ42</f>
        <v>1</v>
      </c>
      <c r="K42" s="94">
        <f>'Monthly Data'!AR42</f>
        <v>0</v>
      </c>
      <c r="M42" s="23">
        <f>'Res OLS Model'!$B$5</f>
        <v>-23168470.016197301</v>
      </c>
      <c r="N42" s="23">
        <f ca="1">'Res OLS Model'!$B$6*D42</f>
        <v>1736239.182877952</v>
      </c>
      <c r="O42" s="23">
        <f ca="1">'Res OLS Model'!$B$7*E42</f>
        <v>289339.89810442354</v>
      </c>
      <c r="P42" s="23">
        <f>'Res OLS Model'!$B$8*F42</f>
        <v>-1126915.2345507019</v>
      </c>
      <c r="Q42" s="23">
        <f>'Res OLS Model'!$B$9*G42</f>
        <v>35879775.68713326</v>
      </c>
      <c r="R42" s="23">
        <f>'Res OLS Model'!$B$10*H42</f>
        <v>0</v>
      </c>
      <c r="S42" s="23">
        <f>'Res OLS Model'!$B$11*I42</f>
        <v>0</v>
      </c>
      <c r="T42" s="23">
        <f>'Res OLS Model'!$B$12*J42</f>
        <v>-1511757.2538914999</v>
      </c>
      <c r="U42" s="23">
        <f>'Res OLS Model'!$B$13*K42</f>
        <v>0</v>
      </c>
      <c r="V42" s="23">
        <f t="shared" ca="1" si="5"/>
        <v>12098212.263476128</v>
      </c>
    </row>
    <row r="43" spans="1:22">
      <c r="A43" s="11">
        <f>'Monthly Data'!A43</f>
        <v>41061</v>
      </c>
      <c r="B43" s="6">
        <f t="shared" si="2"/>
        <v>2012</v>
      </c>
      <c r="C43" s="30">
        <f>'Monthly Data'!F43</f>
        <v>12561226.314682662</v>
      </c>
      <c r="D43" s="30">
        <f t="shared" ca="1" si="4"/>
        <v>41.510000000000005</v>
      </c>
      <c r="E43" s="30">
        <f t="shared" ca="1" si="4"/>
        <v>44.41</v>
      </c>
      <c r="F43">
        <f>'Monthly Data'!AA43</f>
        <v>42</v>
      </c>
      <c r="G43" s="30">
        <f>'Monthly Data'!AB43</f>
        <v>23023</v>
      </c>
      <c r="H43" s="30">
        <f>'Monthly Data'!AM43</f>
        <v>0</v>
      </c>
      <c r="I43" s="30">
        <f>'Monthly Data'!AO43</f>
        <v>0</v>
      </c>
      <c r="J43" s="30">
        <f>'Monthly Data'!AQ43</f>
        <v>1</v>
      </c>
      <c r="K43" s="94">
        <f>'Monthly Data'!AR43</f>
        <v>0</v>
      </c>
      <c r="M43" s="23">
        <f>'Res OLS Model'!$B$5</f>
        <v>-23168470.016197301</v>
      </c>
      <c r="N43" s="23">
        <f ca="1">'Res OLS Model'!$B$6*D43</f>
        <v>497180.52208377345</v>
      </c>
      <c r="O43" s="23">
        <f ca="1">'Res OLS Model'!$B$7*E43</f>
        <v>1482074.3800250806</v>
      </c>
      <c r="P43" s="23">
        <f>'Res OLS Model'!$B$8*F43</f>
        <v>-1154400.9719787678</v>
      </c>
      <c r="Q43" s="23">
        <f>'Res OLS Model'!$B$9*G43</f>
        <v>35925027.209048837</v>
      </c>
      <c r="R43" s="23">
        <f>'Res OLS Model'!$B$10*H43</f>
        <v>0</v>
      </c>
      <c r="S43" s="23">
        <f>'Res OLS Model'!$B$11*I43</f>
        <v>0</v>
      </c>
      <c r="T43" s="23">
        <f>'Res OLS Model'!$B$12*J43</f>
        <v>-1511757.2538914999</v>
      </c>
      <c r="U43" s="23">
        <f>'Res OLS Model'!$B$13*K43</f>
        <v>0</v>
      </c>
      <c r="V43" s="23">
        <f t="shared" ca="1" si="5"/>
        <v>12069653.869090123</v>
      </c>
    </row>
    <row r="44" spans="1:22">
      <c r="A44" s="11">
        <f>'Monthly Data'!A44</f>
        <v>41091</v>
      </c>
      <c r="B44" s="6">
        <f t="shared" si="2"/>
        <v>2012</v>
      </c>
      <c r="C44" s="30">
        <f>'Monthly Data'!F44</f>
        <v>14574665.599084636</v>
      </c>
      <c r="D44" s="30">
        <f t="shared" ca="1" si="4"/>
        <v>5.01</v>
      </c>
      <c r="E44" s="30">
        <f t="shared" ca="1" si="4"/>
        <v>96.909999999999982</v>
      </c>
      <c r="F44">
        <f>'Monthly Data'!AA44</f>
        <v>43</v>
      </c>
      <c r="G44" s="30">
        <f>'Monthly Data'!AB44</f>
        <v>23070</v>
      </c>
      <c r="H44" s="30">
        <f>'Monthly Data'!AM44</f>
        <v>0</v>
      </c>
      <c r="I44" s="30">
        <f>'Monthly Data'!AO44</f>
        <v>0</v>
      </c>
      <c r="J44" s="30">
        <f>'Monthly Data'!AQ44</f>
        <v>1</v>
      </c>
      <c r="K44" s="94">
        <f>'Monthly Data'!AR44</f>
        <v>0</v>
      </c>
      <c r="M44" s="23">
        <f>'Res OLS Model'!$B$5</f>
        <v>-23168470.016197301</v>
      </c>
      <c r="N44" s="23">
        <f ca="1">'Res OLS Model'!$B$6*D44</f>
        <v>60006.610832081533</v>
      </c>
      <c r="O44" s="23">
        <f ca="1">'Res OLS Model'!$B$7*E44</f>
        <v>3234132.5865397556</v>
      </c>
      <c r="P44" s="23">
        <f>'Res OLS Model'!$B$8*F44</f>
        <v>-1181886.7094068336</v>
      </c>
      <c r="Q44" s="23">
        <f>'Res OLS Model'!$B$9*G44</f>
        <v>35998365.882498227</v>
      </c>
      <c r="R44" s="23">
        <f>'Res OLS Model'!$B$10*H44</f>
        <v>0</v>
      </c>
      <c r="S44" s="23">
        <f>'Res OLS Model'!$B$11*I44</f>
        <v>0</v>
      </c>
      <c r="T44" s="23">
        <f>'Res OLS Model'!$B$12*J44</f>
        <v>-1511757.2538914999</v>
      </c>
      <c r="U44" s="23">
        <f>'Res OLS Model'!$B$13*K44</f>
        <v>0</v>
      </c>
      <c r="V44" s="23">
        <f t="shared" ca="1" si="5"/>
        <v>13430391.100374429</v>
      </c>
    </row>
    <row r="45" spans="1:22">
      <c r="A45" s="11">
        <f>'Monthly Data'!A45</f>
        <v>41122</v>
      </c>
      <c r="B45" s="6">
        <f t="shared" si="2"/>
        <v>2012</v>
      </c>
      <c r="C45" s="30">
        <f>'Monthly Data'!F45</f>
        <v>13992873.412486609</v>
      </c>
      <c r="D45" s="30">
        <f t="shared" ca="1" si="4"/>
        <v>12.719999999999999</v>
      </c>
      <c r="E45" s="30">
        <f t="shared" ca="1" si="4"/>
        <v>77.22999999999999</v>
      </c>
      <c r="F45">
        <f>'Monthly Data'!AA45</f>
        <v>44</v>
      </c>
      <c r="G45" s="30">
        <f>'Monthly Data'!AB45</f>
        <v>23160</v>
      </c>
      <c r="H45" s="30">
        <f>'Monthly Data'!AM45</f>
        <v>0</v>
      </c>
      <c r="I45" s="30">
        <f>'Monthly Data'!AO45</f>
        <v>0</v>
      </c>
      <c r="J45" s="30">
        <f>'Monthly Data'!AQ45</f>
        <v>1</v>
      </c>
      <c r="K45" s="94">
        <f>'Monthly Data'!AR45</f>
        <v>0</v>
      </c>
      <c r="M45" s="23">
        <f>'Res OLS Model'!$B$5</f>
        <v>-23168470.016197301</v>
      </c>
      <c r="N45" s="23">
        <f ca="1">'Res OLS Model'!$B$6*D45</f>
        <v>152352.1137293567</v>
      </c>
      <c r="O45" s="23">
        <f ca="1">'Res OLS Model'!$B$7*E45</f>
        <v>2577361.0531262546</v>
      </c>
      <c r="P45" s="23">
        <f>'Res OLS Model'!$B$8*F45</f>
        <v>-1209372.4468348995</v>
      </c>
      <c r="Q45" s="23">
        <f>'Res OLS Model'!$B$9*G45</f>
        <v>36138801.640167274</v>
      </c>
      <c r="R45" s="23">
        <f>'Res OLS Model'!$B$10*H45</f>
        <v>0</v>
      </c>
      <c r="S45" s="23">
        <f>'Res OLS Model'!$B$11*I45</f>
        <v>0</v>
      </c>
      <c r="T45" s="23">
        <f>'Res OLS Model'!$B$12*J45</f>
        <v>-1511757.2538914999</v>
      </c>
      <c r="U45" s="23">
        <f>'Res OLS Model'!$B$13*K45</f>
        <v>0</v>
      </c>
      <c r="V45" s="23">
        <f t="shared" ca="1" si="5"/>
        <v>12978915.090099184</v>
      </c>
    </row>
    <row r="46" spans="1:22">
      <c r="A46" s="11">
        <f>'Monthly Data'!A46</f>
        <v>41153</v>
      </c>
      <c r="B46" s="6">
        <f t="shared" si="2"/>
        <v>2012</v>
      </c>
      <c r="C46" s="30">
        <f>'Monthly Data'!F46</f>
        <v>12679818.294088582</v>
      </c>
      <c r="D46" s="30">
        <f t="shared" ca="1" si="4"/>
        <v>86.570000000000007</v>
      </c>
      <c r="E46" s="30">
        <f t="shared" ca="1" si="4"/>
        <v>19.899999999999999</v>
      </c>
      <c r="F46">
        <f>'Monthly Data'!AA46</f>
        <v>45</v>
      </c>
      <c r="G46" s="30">
        <f>'Monthly Data'!AB46</f>
        <v>23229</v>
      </c>
      <c r="H46" s="30">
        <f>'Monthly Data'!AM46</f>
        <v>1</v>
      </c>
      <c r="I46" s="30">
        <f>'Monthly Data'!AO46</f>
        <v>0</v>
      </c>
      <c r="J46" s="30">
        <f>'Monthly Data'!AQ46</f>
        <v>0</v>
      </c>
      <c r="K46" s="94">
        <f>'Monthly Data'!AR46</f>
        <v>0</v>
      </c>
      <c r="M46" s="23">
        <f>'Res OLS Model'!$B$5</f>
        <v>-23168470.016197301</v>
      </c>
      <c r="N46" s="23">
        <f ca="1">'Res OLS Model'!$B$6*D46</f>
        <v>1036880.6985495606</v>
      </c>
      <c r="O46" s="23">
        <f ca="1">'Res OLS Model'!$B$7*E46</f>
        <v>664113.49161222938</v>
      </c>
      <c r="P46" s="23">
        <f>'Res OLS Model'!$B$8*F46</f>
        <v>-1236858.1842629653</v>
      </c>
      <c r="Q46" s="23">
        <f>'Res OLS Model'!$B$9*G46</f>
        <v>36246469.054380208</v>
      </c>
      <c r="R46" s="23">
        <f>'Res OLS Model'!$B$10*H46</f>
        <v>-1279656.8259476901</v>
      </c>
      <c r="S46" s="23">
        <f>'Res OLS Model'!$B$11*I46</f>
        <v>0</v>
      </c>
      <c r="T46" s="23">
        <f>'Res OLS Model'!$B$12*J46</f>
        <v>0</v>
      </c>
      <c r="U46" s="23">
        <f>'Res OLS Model'!$B$13*K46</f>
        <v>0</v>
      </c>
      <c r="V46" s="23">
        <f t="shared" ca="1" si="5"/>
        <v>12262478.218134042</v>
      </c>
    </row>
    <row r="47" spans="1:22">
      <c r="A47" s="11">
        <f>'Monthly Data'!A47</f>
        <v>41183</v>
      </c>
      <c r="B47" s="6">
        <f t="shared" si="2"/>
        <v>2012</v>
      </c>
      <c r="C47" s="30">
        <f>'Monthly Data'!F47</f>
        <v>13241344.397090556</v>
      </c>
      <c r="D47" s="30">
        <f t="shared" ca="1" si="4"/>
        <v>270.3</v>
      </c>
      <c r="E47" s="30">
        <f t="shared" ca="1" si="4"/>
        <v>1.21</v>
      </c>
      <c r="F47">
        <f>'Monthly Data'!AA47</f>
        <v>46</v>
      </c>
      <c r="G47" s="30">
        <f>'Monthly Data'!AB47</f>
        <v>23301</v>
      </c>
      <c r="H47" s="30">
        <f>'Monthly Data'!AM47</f>
        <v>1</v>
      </c>
      <c r="I47" s="30">
        <f>'Monthly Data'!AO47</f>
        <v>0</v>
      </c>
      <c r="J47" s="30">
        <f>'Monthly Data'!AQ47</f>
        <v>0</v>
      </c>
      <c r="K47" s="94">
        <f>'Monthly Data'!AR47</f>
        <v>0</v>
      </c>
      <c r="M47" s="23">
        <f>'Res OLS Model'!$B$5</f>
        <v>-23168470.016197301</v>
      </c>
      <c r="N47" s="23">
        <f ca="1">'Res OLS Model'!$B$6*D47</f>
        <v>3237482.4167488301</v>
      </c>
      <c r="O47" s="23">
        <f ca="1">'Res OLS Model'!$B$7*E47</f>
        <v>40380.770093004903</v>
      </c>
      <c r="P47" s="23">
        <f>'Res OLS Model'!$B$8*F47</f>
        <v>-1264343.9216910314</v>
      </c>
      <c r="Q47" s="23">
        <f>'Res OLS Model'!$B$9*G47</f>
        <v>36358817.660515442</v>
      </c>
      <c r="R47" s="23">
        <f>'Res OLS Model'!$B$10*H47</f>
        <v>-1279656.8259476901</v>
      </c>
      <c r="S47" s="23">
        <f>'Res OLS Model'!$B$11*I47</f>
        <v>0</v>
      </c>
      <c r="T47" s="23">
        <f>'Res OLS Model'!$B$12*J47</f>
        <v>0</v>
      </c>
      <c r="U47" s="23">
        <f>'Res OLS Model'!$B$13*K47</f>
        <v>0</v>
      </c>
      <c r="V47" s="23">
        <f t="shared" ca="1" si="5"/>
        <v>13924210.083521254</v>
      </c>
    </row>
    <row r="48" spans="1:22">
      <c r="A48" s="11">
        <f>'Monthly Data'!A48</f>
        <v>41214</v>
      </c>
      <c r="B48" s="6">
        <f t="shared" si="2"/>
        <v>2012</v>
      </c>
      <c r="C48" s="30">
        <f>'Monthly Data'!F48</f>
        <v>16985573.910692532</v>
      </c>
      <c r="D48" s="30">
        <f t="shared" ca="1" si="4"/>
        <v>444.05</v>
      </c>
      <c r="E48" s="30">
        <f t="shared" ca="1" si="4"/>
        <v>0</v>
      </c>
      <c r="F48">
        <f>'Monthly Data'!AA48</f>
        <v>47</v>
      </c>
      <c r="G48" s="30">
        <f>'Monthly Data'!AB48</f>
        <v>23329</v>
      </c>
      <c r="H48" s="30">
        <f>'Monthly Data'!AM48</f>
        <v>1</v>
      </c>
      <c r="I48" s="30">
        <f>'Monthly Data'!AO48</f>
        <v>0</v>
      </c>
      <c r="J48" s="30">
        <f>'Monthly Data'!AQ48</f>
        <v>0</v>
      </c>
      <c r="K48" s="94">
        <f>'Monthly Data'!AR48</f>
        <v>0</v>
      </c>
      <c r="M48" s="23">
        <f>'Res OLS Model'!$B$5</f>
        <v>-23168470.016197301</v>
      </c>
      <c r="N48" s="23">
        <f ca="1">'Res OLS Model'!$B$6*D48</f>
        <v>5318550.0079811988</v>
      </c>
      <c r="O48" s="23">
        <f ca="1">'Res OLS Model'!$B$7*E48</f>
        <v>0</v>
      </c>
      <c r="P48" s="23">
        <f>'Res OLS Model'!$B$8*F48</f>
        <v>-1291829.6591190973</v>
      </c>
      <c r="Q48" s="23">
        <f>'Res OLS Model'!$B$9*G48</f>
        <v>36402508.785123587</v>
      </c>
      <c r="R48" s="23">
        <f>'Res OLS Model'!$B$10*H48</f>
        <v>-1279656.8259476901</v>
      </c>
      <c r="S48" s="23">
        <f>'Res OLS Model'!$B$11*I48</f>
        <v>0</v>
      </c>
      <c r="T48" s="23">
        <f>'Res OLS Model'!$B$12*J48</f>
        <v>0</v>
      </c>
      <c r="U48" s="23">
        <f>'Res OLS Model'!$B$13*K48</f>
        <v>0</v>
      </c>
      <c r="V48" s="23">
        <f t="shared" ca="1" si="5"/>
        <v>15981102.291840699</v>
      </c>
    </row>
    <row r="49" spans="1:22">
      <c r="A49" s="11">
        <f>'Monthly Data'!A49</f>
        <v>41244</v>
      </c>
      <c r="B49" s="6">
        <f t="shared" si="2"/>
        <v>2012</v>
      </c>
      <c r="C49" s="30">
        <f>'Monthly Data'!F49</f>
        <v>19688726.2089945</v>
      </c>
      <c r="D49" s="30">
        <f t="shared" ca="1" si="4"/>
        <v>684.01</v>
      </c>
      <c r="E49" s="30">
        <f t="shared" ca="1" si="4"/>
        <v>0</v>
      </c>
      <c r="F49">
        <f>'Monthly Data'!AA49</f>
        <v>48</v>
      </c>
      <c r="G49" s="30">
        <f>'Monthly Data'!AB49</f>
        <v>23324</v>
      </c>
      <c r="H49" s="30">
        <f>'Monthly Data'!AM49</f>
        <v>0</v>
      </c>
      <c r="I49" s="30">
        <f>'Monthly Data'!AO49</f>
        <v>0</v>
      </c>
      <c r="J49" s="30">
        <f>'Monthly Data'!AQ49</f>
        <v>0</v>
      </c>
      <c r="K49" s="94">
        <f>'Monthly Data'!AR49</f>
        <v>0</v>
      </c>
      <c r="M49" s="23">
        <f>'Res OLS Model'!$B$5</f>
        <v>-23168470.016197301</v>
      </c>
      <c r="N49" s="23">
        <f ca="1">'Res OLS Model'!$B$6*D49</f>
        <v>8192639.0968567049</v>
      </c>
      <c r="O49" s="23">
        <f ca="1">'Res OLS Model'!$B$7*E49</f>
        <v>0</v>
      </c>
      <c r="P49" s="23">
        <f>'Res OLS Model'!$B$8*F49</f>
        <v>-1319315.3965471631</v>
      </c>
      <c r="Q49" s="23">
        <f>'Res OLS Model'!$B$9*G49</f>
        <v>36394706.798586421</v>
      </c>
      <c r="R49" s="23">
        <f>'Res OLS Model'!$B$10*H49</f>
        <v>0</v>
      </c>
      <c r="S49" s="23">
        <f>'Res OLS Model'!$B$11*I49</f>
        <v>0</v>
      </c>
      <c r="T49" s="23">
        <f>'Res OLS Model'!$B$12*J49</f>
        <v>0</v>
      </c>
      <c r="U49" s="23">
        <f>'Res OLS Model'!$B$13*K49</f>
        <v>0</v>
      </c>
      <c r="V49" s="23">
        <f t="shared" ca="1" si="5"/>
        <v>20099560.482698664</v>
      </c>
    </row>
    <row r="50" spans="1:22">
      <c r="A50" s="11">
        <f>'Monthly Data'!A50</f>
        <v>41275</v>
      </c>
      <c r="B50" s="6">
        <f t="shared" si="2"/>
        <v>2013</v>
      </c>
      <c r="C50" s="30">
        <f>'Monthly Data'!F50</f>
        <v>22042229.190884668</v>
      </c>
      <c r="D50" s="30">
        <f t="shared" ca="1" si="4"/>
        <v>784.29</v>
      </c>
      <c r="E50" s="30">
        <f t="shared" ca="1" si="4"/>
        <v>0</v>
      </c>
      <c r="F50">
        <f>'Monthly Data'!AA50</f>
        <v>49</v>
      </c>
      <c r="G50" s="30">
        <f>'Monthly Data'!AB50</f>
        <v>23359</v>
      </c>
      <c r="H50" s="30">
        <f>'Monthly Data'!AM50</f>
        <v>0</v>
      </c>
      <c r="I50" s="30">
        <f>'Monthly Data'!AO50</f>
        <v>0</v>
      </c>
      <c r="J50" s="30">
        <f>'Monthly Data'!AQ50</f>
        <v>0</v>
      </c>
      <c r="K50" s="94">
        <f>'Monthly Data'!AR50</f>
        <v>1</v>
      </c>
      <c r="M50" s="23">
        <f>'Res OLS Model'!$B$5</f>
        <v>-23168470.016197301</v>
      </c>
      <c r="N50" s="23">
        <f ca="1">'Res OLS Model'!$B$6*D50</f>
        <v>9393729.5028928593</v>
      </c>
      <c r="O50" s="23">
        <f ca="1">'Res OLS Model'!$B$7*E50</f>
        <v>0</v>
      </c>
      <c r="P50" s="23">
        <f>'Res OLS Model'!$B$8*F50</f>
        <v>-1346801.133975229</v>
      </c>
      <c r="Q50" s="23">
        <f>'Res OLS Model'!$B$9*G50</f>
        <v>36449320.704346605</v>
      </c>
      <c r="R50" s="23">
        <f>'Res OLS Model'!$B$10*H50</f>
        <v>0</v>
      </c>
      <c r="S50" s="23">
        <f>'Res OLS Model'!$B$11*I50</f>
        <v>0</v>
      </c>
      <c r="T50" s="23">
        <f>'Res OLS Model'!$B$12*J50</f>
        <v>0</v>
      </c>
      <c r="U50" s="23">
        <f>'Res OLS Model'!$B$13*K50</f>
        <v>1122371.81652903</v>
      </c>
      <c r="V50" s="23">
        <f t="shared" ca="1" si="5"/>
        <v>22450150.87359596</v>
      </c>
    </row>
    <row r="51" spans="1:22">
      <c r="A51" s="11">
        <f>'Monthly Data'!A51</f>
        <v>41306</v>
      </c>
      <c r="B51" s="6">
        <f t="shared" si="2"/>
        <v>2013</v>
      </c>
      <c r="C51" s="30">
        <f>'Monthly Data'!F51</f>
        <v>19773607.005250089</v>
      </c>
      <c r="D51" s="30">
        <f t="shared" ca="1" si="4"/>
        <v>682.50999999999988</v>
      </c>
      <c r="E51" s="30">
        <f t="shared" ca="1" si="4"/>
        <v>0</v>
      </c>
      <c r="F51">
        <f>'Monthly Data'!AA51</f>
        <v>50</v>
      </c>
      <c r="G51" s="30">
        <f>'Monthly Data'!AB51</f>
        <v>23474</v>
      </c>
      <c r="H51" s="30">
        <f>'Monthly Data'!AM51</f>
        <v>0</v>
      </c>
      <c r="I51" s="30">
        <f>'Monthly Data'!AO51</f>
        <v>0</v>
      </c>
      <c r="J51" s="30">
        <f>'Monthly Data'!AQ51</f>
        <v>0</v>
      </c>
      <c r="K51" s="94">
        <f>'Monthly Data'!AR51</f>
        <v>0</v>
      </c>
      <c r="M51" s="23">
        <f>'Res OLS Model'!$B$5</f>
        <v>-23168470.016197301</v>
      </c>
      <c r="N51" s="23">
        <f ca="1">'Res OLS Model'!$B$6*D51</f>
        <v>8174673.0457093734</v>
      </c>
      <c r="O51" s="23">
        <f ca="1">'Res OLS Model'!$B$7*E51</f>
        <v>0</v>
      </c>
      <c r="P51" s="23">
        <f>'Res OLS Model'!$B$8*F51</f>
        <v>-1374286.8714032948</v>
      </c>
      <c r="Q51" s="23">
        <f>'Res OLS Model'!$B$9*G51</f>
        <v>36628766.394701496</v>
      </c>
      <c r="R51" s="23">
        <f>'Res OLS Model'!$B$10*H51</f>
        <v>0</v>
      </c>
      <c r="S51" s="23">
        <f>'Res OLS Model'!$B$11*I51</f>
        <v>0</v>
      </c>
      <c r="T51" s="23">
        <f>'Res OLS Model'!$B$12*J51</f>
        <v>0</v>
      </c>
      <c r="U51" s="23">
        <f>'Res OLS Model'!$B$13*K51</f>
        <v>0</v>
      </c>
      <c r="V51" s="23">
        <f t="shared" ca="1" si="5"/>
        <v>20260682.552810274</v>
      </c>
    </row>
    <row r="52" spans="1:22">
      <c r="A52" s="11">
        <f>'Monthly Data'!A52</f>
        <v>41334</v>
      </c>
      <c r="B52" s="6">
        <f t="shared" si="2"/>
        <v>2013</v>
      </c>
      <c r="C52" s="30">
        <f>'Monthly Data'!F52</f>
        <v>19002801.376715507</v>
      </c>
      <c r="D52" s="30">
        <f t="shared" ca="1" si="4"/>
        <v>556.99</v>
      </c>
      <c r="E52" s="30">
        <f t="shared" ca="1" si="4"/>
        <v>0</v>
      </c>
      <c r="F52">
        <f>'Monthly Data'!AA52</f>
        <v>51</v>
      </c>
      <c r="G52" s="30">
        <f>'Monthly Data'!AB52</f>
        <v>23489</v>
      </c>
      <c r="H52" s="30">
        <f>'Monthly Data'!AM52</f>
        <v>0</v>
      </c>
      <c r="I52" s="30">
        <f>'Monthly Data'!AO52</f>
        <v>0</v>
      </c>
      <c r="J52" s="30">
        <f>'Monthly Data'!AQ52</f>
        <v>0</v>
      </c>
      <c r="K52" s="94">
        <f>'Monthly Data'!AR52</f>
        <v>0</v>
      </c>
      <c r="M52" s="23">
        <f>'Res OLS Model'!$B$5</f>
        <v>-23168470.016197301</v>
      </c>
      <c r="N52" s="23">
        <f ca="1">'Res OLS Model'!$B$6*D52</f>
        <v>6671273.8857008172</v>
      </c>
      <c r="O52" s="23">
        <f ca="1">'Res OLS Model'!$B$7*E52</f>
        <v>0</v>
      </c>
      <c r="P52" s="23">
        <f>'Res OLS Model'!$B$8*F52</f>
        <v>-1401772.6088313609</v>
      </c>
      <c r="Q52" s="23">
        <f>'Res OLS Model'!$B$9*G52</f>
        <v>36652172.354313001</v>
      </c>
      <c r="R52" s="23">
        <f>'Res OLS Model'!$B$10*H52</f>
        <v>0</v>
      </c>
      <c r="S52" s="23">
        <f>'Res OLS Model'!$B$11*I52</f>
        <v>0</v>
      </c>
      <c r="T52" s="23">
        <f>'Res OLS Model'!$B$12*J52</f>
        <v>0</v>
      </c>
      <c r="U52" s="23">
        <f>'Res OLS Model'!$B$13*K52</f>
        <v>0</v>
      </c>
      <c r="V52" s="23">
        <f t="shared" ca="1" si="5"/>
        <v>18753203.614985157</v>
      </c>
    </row>
    <row r="53" spans="1:22">
      <c r="A53" s="11">
        <f>'Monthly Data'!A53</f>
        <v>41365</v>
      </c>
      <c r="B53" s="6">
        <f t="shared" si="2"/>
        <v>2013</v>
      </c>
      <c r="C53" s="30">
        <f>'Monthly Data'!F53</f>
        <v>15463434.860880928</v>
      </c>
      <c r="D53" s="30">
        <f t="shared" ca="1" si="4"/>
        <v>326.58999999999997</v>
      </c>
      <c r="E53" s="30">
        <f t="shared" ca="1" si="4"/>
        <v>0.39</v>
      </c>
      <c r="F53">
        <f>'Monthly Data'!AA53</f>
        <v>52</v>
      </c>
      <c r="G53" s="30">
        <f>'Monthly Data'!AB53</f>
        <v>23431</v>
      </c>
      <c r="H53" s="30">
        <f>'Monthly Data'!AM53</f>
        <v>0</v>
      </c>
      <c r="I53" s="30">
        <f>'Monthly Data'!AO53</f>
        <v>1</v>
      </c>
      <c r="J53" s="30">
        <f>'Monthly Data'!AQ53</f>
        <v>0</v>
      </c>
      <c r="K53" s="94">
        <f>'Monthly Data'!AR53</f>
        <v>0</v>
      </c>
      <c r="M53" s="23">
        <f>'Res OLS Model'!$B$5</f>
        <v>-23168470.016197301</v>
      </c>
      <c r="N53" s="23">
        <f ca="1">'Res OLS Model'!$B$6*D53</f>
        <v>3911688.4294709596</v>
      </c>
      <c r="O53" s="23">
        <f ca="1">'Res OLS Model'!$B$7*E53</f>
        <v>13015.289534109019</v>
      </c>
      <c r="P53" s="23">
        <f>'Res OLS Model'!$B$8*F53</f>
        <v>-1429258.3462594268</v>
      </c>
      <c r="Q53" s="23">
        <f>'Res OLS Model'!$B$9*G53</f>
        <v>36561669.310481839</v>
      </c>
      <c r="R53" s="23">
        <f>'Res OLS Model'!$B$10*H53</f>
        <v>0</v>
      </c>
      <c r="S53" s="23">
        <f>'Res OLS Model'!$B$11*I53</f>
        <v>-1218613.41007658</v>
      </c>
      <c r="T53" s="23">
        <f>'Res OLS Model'!$B$12*J53</f>
        <v>0</v>
      </c>
      <c r="U53" s="23">
        <f>'Res OLS Model'!$B$13*K53</f>
        <v>0</v>
      </c>
      <c r="V53" s="23">
        <f t="shared" ca="1" si="5"/>
        <v>14670031.256953601</v>
      </c>
    </row>
    <row r="54" spans="1:22">
      <c r="A54" s="11">
        <f>'Monthly Data'!A54</f>
        <v>41395</v>
      </c>
      <c r="B54" s="6">
        <f t="shared" si="2"/>
        <v>2013</v>
      </c>
      <c r="C54" s="30">
        <f>'Monthly Data'!F54</f>
        <v>11411798.742946351</v>
      </c>
      <c r="D54" s="30">
        <f t="shared" ref="D54:E73" ca="1" si="6">D42</f>
        <v>144.96</v>
      </c>
      <c r="E54" s="30">
        <f t="shared" ca="1" si="6"/>
        <v>8.67</v>
      </c>
      <c r="F54">
        <f>'Monthly Data'!AA54</f>
        <v>53</v>
      </c>
      <c r="G54" s="30">
        <f>'Monthly Data'!AB54</f>
        <v>23336</v>
      </c>
      <c r="H54" s="30">
        <f>'Monthly Data'!AM54</f>
        <v>0</v>
      </c>
      <c r="I54" s="30">
        <f>'Monthly Data'!AO54</f>
        <v>0</v>
      </c>
      <c r="J54" s="30">
        <f>'Monthly Data'!AQ54</f>
        <v>1</v>
      </c>
      <c r="K54" s="94">
        <f>'Monthly Data'!AR54</f>
        <v>0</v>
      </c>
      <c r="M54" s="23">
        <f>'Res OLS Model'!$B$5</f>
        <v>-23168470.016197301</v>
      </c>
      <c r="N54" s="23">
        <f ca="1">'Res OLS Model'!$B$6*D54</f>
        <v>1736239.182877952</v>
      </c>
      <c r="O54" s="23">
        <f ca="1">'Res OLS Model'!$B$7*E54</f>
        <v>289339.89810442354</v>
      </c>
      <c r="P54" s="23">
        <f>'Res OLS Model'!$B$8*F54</f>
        <v>-1456744.0836874926</v>
      </c>
      <c r="Q54" s="23">
        <f>'Res OLS Model'!$B$9*G54</f>
        <v>36413431.566275626</v>
      </c>
      <c r="R54" s="23">
        <f>'Res OLS Model'!$B$10*H54</f>
        <v>0</v>
      </c>
      <c r="S54" s="23">
        <f>'Res OLS Model'!$B$11*I54</f>
        <v>0</v>
      </c>
      <c r="T54" s="23">
        <f>'Res OLS Model'!$B$12*J54</f>
        <v>-1511757.2538914999</v>
      </c>
      <c r="U54" s="23">
        <f>'Res OLS Model'!$B$13*K54</f>
        <v>0</v>
      </c>
      <c r="V54" s="23">
        <f t="shared" ca="1" si="5"/>
        <v>12302039.293481706</v>
      </c>
    </row>
    <row r="55" spans="1:22">
      <c r="A55" s="11">
        <f>'Monthly Data'!A55</f>
        <v>41426</v>
      </c>
      <c r="B55" s="6">
        <f t="shared" si="2"/>
        <v>2013</v>
      </c>
      <c r="C55" s="30">
        <f>'Monthly Data'!F55</f>
        <v>11995475.306811769</v>
      </c>
      <c r="D55" s="30">
        <f t="shared" ca="1" si="6"/>
        <v>41.510000000000005</v>
      </c>
      <c r="E55" s="30">
        <f t="shared" ca="1" si="6"/>
        <v>44.41</v>
      </c>
      <c r="F55">
        <f>'Monthly Data'!AA55</f>
        <v>54</v>
      </c>
      <c r="G55" s="30">
        <f>'Monthly Data'!AB55</f>
        <v>23395</v>
      </c>
      <c r="H55" s="30">
        <f>'Monthly Data'!AM55</f>
        <v>0</v>
      </c>
      <c r="I55" s="30">
        <f>'Monthly Data'!AO55</f>
        <v>0</v>
      </c>
      <c r="J55" s="30">
        <f>'Monthly Data'!AQ55</f>
        <v>1</v>
      </c>
      <c r="K55" s="94">
        <f>'Monthly Data'!AR55</f>
        <v>0</v>
      </c>
      <c r="M55" s="23">
        <f>'Res OLS Model'!$B$5</f>
        <v>-23168470.016197301</v>
      </c>
      <c r="N55" s="23">
        <f ca="1">'Res OLS Model'!$B$6*D55</f>
        <v>497180.52208377345</v>
      </c>
      <c r="O55" s="23">
        <f ca="1">'Res OLS Model'!$B$7*E55</f>
        <v>1482074.3800250806</v>
      </c>
      <c r="P55" s="23">
        <f>'Res OLS Model'!$B$8*F55</f>
        <v>-1484229.8211155585</v>
      </c>
      <c r="Q55" s="23">
        <f>'Res OLS Model'!$B$9*G55</f>
        <v>36505495.007414222</v>
      </c>
      <c r="R55" s="23">
        <f>'Res OLS Model'!$B$10*H55</f>
        <v>0</v>
      </c>
      <c r="S55" s="23">
        <f>'Res OLS Model'!$B$11*I55</f>
        <v>0</v>
      </c>
      <c r="T55" s="23">
        <f>'Res OLS Model'!$B$12*J55</f>
        <v>-1511757.2538914999</v>
      </c>
      <c r="U55" s="23">
        <f>'Res OLS Model'!$B$13*K55</f>
        <v>0</v>
      </c>
      <c r="V55" s="23">
        <f t="shared" ca="1" si="5"/>
        <v>12320292.818318719</v>
      </c>
    </row>
    <row r="56" spans="1:22">
      <c r="A56" s="11">
        <f>'Monthly Data'!A56</f>
        <v>41456</v>
      </c>
      <c r="B56" s="6">
        <f t="shared" si="2"/>
        <v>2013</v>
      </c>
      <c r="C56" s="30">
        <f>'Monthly Data'!F56</f>
        <v>13886742.437877189</v>
      </c>
      <c r="D56" s="30">
        <f t="shared" ca="1" si="6"/>
        <v>5.01</v>
      </c>
      <c r="E56" s="30">
        <f t="shared" ca="1" si="6"/>
        <v>96.909999999999982</v>
      </c>
      <c r="F56">
        <f>'Monthly Data'!AA56</f>
        <v>55</v>
      </c>
      <c r="G56" s="30">
        <f>'Monthly Data'!AB56</f>
        <v>23379</v>
      </c>
      <c r="H56" s="30">
        <f>'Monthly Data'!AM56</f>
        <v>0</v>
      </c>
      <c r="I56" s="30">
        <f>'Monthly Data'!AO56</f>
        <v>0</v>
      </c>
      <c r="J56" s="30">
        <f>'Monthly Data'!AQ56</f>
        <v>1</v>
      </c>
      <c r="K56" s="94">
        <f>'Monthly Data'!AR56</f>
        <v>0</v>
      </c>
      <c r="M56" s="23">
        <f>'Res OLS Model'!$B$5</f>
        <v>-23168470.016197301</v>
      </c>
      <c r="N56" s="23">
        <f ca="1">'Res OLS Model'!$B$6*D56</f>
        <v>60006.610832081533</v>
      </c>
      <c r="O56" s="23">
        <f ca="1">'Res OLS Model'!$B$7*E56</f>
        <v>3234132.5865397556</v>
      </c>
      <c r="P56" s="23">
        <f>'Res OLS Model'!$B$8*F56</f>
        <v>-1511715.5585436244</v>
      </c>
      <c r="Q56" s="23">
        <f>'Res OLS Model'!$B$9*G56</f>
        <v>36480528.650495276</v>
      </c>
      <c r="R56" s="23">
        <f>'Res OLS Model'!$B$10*H56</f>
        <v>0</v>
      </c>
      <c r="S56" s="23">
        <f>'Res OLS Model'!$B$11*I56</f>
        <v>0</v>
      </c>
      <c r="T56" s="23">
        <f>'Res OLS Model'!$B$12*J56</f>
        <v>-1511757.2538914999</v>
      </c>
      <c r="U56" s="23">
        <f>'Res OLS Model'!$B$13*K56</f>
        <v>0</v>
      </c>
      <c r="V56" s="23">
        <f t="shared" ca="1" si="5"/>
        <v>13582725.019234685</v>
      </c>
    </row>
    <row r="57" spans="1:22">
      <c r="A57" s="11">
        <f>'Monthly Data'!A57</f>
        <v>41487</v>
      </c>
      <c r="B57" s="6">
        <f t="shared" si="2"/>
        <v>2013</v>
      </c>
      <c r="C57" s="30">
        <f>'Monthly Data'!F57</f>
        <v>12973729.18644261</v>
      </c>
      <c r="D57" s="30">
        <f t="shared" ca="1" si="6"/>
        <v>12.719999999999999</v>
      </c>
      <c r="E57" s="30">
        <f t="shared" ca="1" si="6"/>
        <v>77.22999999999999</v>
      </c>
      <c r="F57">
        <f>'Monthly Data'!AA57</f>
        <v>56</v>
      </c>
      <c r="G57" s="30">
        <f>'Monthly Data'!AB57</f>
        <v>23423</v>
      </c>
      <c r="H57" s="30">
        <f>'Monthly Data'!AM57</f>
        <v>0</v>
      </c>
      <c r="I57" s="30">
        <f>'Monthly Data'!AO57</f>
        <v>0</v>
      </c>
      <c r="J57" s="30">
        <f>'Monthly Data'!AQ57</f>
        <v>1</v>
      </c>
      <c r="K57" s="94">
        <f>'Monthly Data'!AR57</f>
        <v>0</v>
      </c>
      <c r="M57" s="23">
        <f>'Res OLS Model'!$B$5</f>
        <v>-23168470.016197301</v>
      </c>
      <c r="N57" s="23">
        <f ca="1">'Res OLS Model'!$B$6*D57</f>
        <v>152352.1137293567</v>
      </c>
      <c r="O57" s="23">
        <f ca="1">'Res OLS Model'!$B$7*E57</f>
        <v>2577361.0531262546</v>
      </c>
      <c r="P57" s="23">
        <f>'Res OLS Model'!$B$8*F57</f>
        <v>-1539201.2959716902</v>
      </c>
      <c r="Q57" s="23">
        <f>'Res OLS Model'!$B$9*G57</f>
        <v>36549186.132022366</v>
      </c>
      <c r="R57" s="23">
        <f>'Res OLS Model'!$B$10*H57</f>
        <v>0</v>
      </c>
      <c r="S57" s="23">
        <f>'Res OLS Model'!$B$11*I57</f>
        <v>0</v>
      </c>
      <c r="T57" s="23">
        <f>'Res OLS Model'!$B$12*J57</f>
        <v>-1511757.2538914999</v>
      </c>
      <c r="U57" s="23">
        <f>'Res OLS Model'!$B$13*K57</f>
        <v>0</v>
      </c>
      <c r="V57" s="23">
        <f t="shared" ca="1" si="5"/>
        <v>13059470.732817484</v>
      </c>
    </row>
    <row r="58" spans="1:22">
      <c r="A58" s="11">
        <f>'Monthly Data'!A58</f>
        <v>41518</v>
      </c>
      <c r="B58" s="6">
        <f t="shared" si="2"/>
        <v>2013</v>
      </c>
      <c r="C58" s="30">
        <f>'Monthly Data'!F58</f>
        <v>12414553.238608029</v>
      </c>
      <c r="D58" s="30">
        <f t="shared" ca="1" si="6"/>
        <v>86.570000000000007</v>
      </c>
      <c r="E58" s="30">
        <f t="shared" ca="1" si="6"/>
        <v>19.899999999999999</v>
      </c>
      <c r="F58">
        <f>'Monthly Data'!AA58</f>
        <v>57</v>
      </c>
      <c r="G58" s="30">
        <f>'Monthly Data'!AB58</f>
        <v>23499</v>
      </c>
      <c r="H58" s="30">
        <f>'Monthly Data'!AM58</f>
        <v>1</v>
      </c>
      <c r="I58" s="30">
        <f>'Monthly Data'!AO58</f>
        <v>0</v>
      </c>
      <c r="J58" s="30">
        <f>'Monthly Data'!AQ58</f>
        <v>0</v>
      </c>
      <c r="K58" s="94">
        <f>'Monthly Data'!AR58</f>
        <v>0</v>
      </c>
      <c r="M58" s="23">
        <f>'Res OLS Model'!$B$5</f>
        <v>-23168470.016197301</v>
      </c>
      <c r="N58" s="23">
        <f ca="1">'Res OLS Model'!$B$6*D58</f>
        <v>1036880.6985495606</v>
      </c>
      <c r="O58" s="23">
        <f ca="1">'Res OLS Model'!$B$7*E58</f>
        <v>664113.49161222938</v>
      </c>
      <c r="P58" s="23">
        <f>'Res OLS Model'!$B$8*F58</f>
        <v>-1566687.0333997563</v>
      </c>
      <c r="Q58" s="23">
        <f>'Res OLS Model'!$B$9*G58</f>
        <v>36667776.32738734</v>
      </c>
      <c r="R58" s="23">
        <f>'Res OLS Model'!$B$10*H58</f>
        <v>-1279656.8259476901</v>
      </c>
      <c r="S58" s="23">
        <f>'Res OLS Model'!$B$11*I58</f>
        <v>0</v>
      </c>
      <c r="T58" s="23">
        <f>'Res OLS Model'!$B$12*J58</f>
        <v>0</v>
      </c>
      <c r="U58" s="23">
        <f>'Res OLS Model'!$B$13*K58</f>
        <v>0</v>
      </c>
      <c r="V58" s="23">
        <f t="shared" ca="1" si="5"/>
        <v>12353956.642004382</v>
      </c>
    </row>
    <row r="59" spans="1:22">
      <c r="A59" s="11">
        <f>'Monthly Data'!A59</f>
        <v>41548</v>
      </c>
      <c r="B59" s="6">
        <f t="shared" si="2"/>
        <v>2013</v>
      </c>
      <c r="C59" s="30">
        <f>'Monthly Data'!F59</f>
        <v>13273674.921473451</v>
      </c>
      <c r="D59" s="30">
        <f t="shared" ca="1" si="6"/>
        <v>270.3</v>
      </c>
      <c r="E59" s="30">
        <f t="shared" ca="1" si="6"/>
        <v>1.21</v>
      </c>
      <c r="F59">
        <f>'Monthly Data'!AA59</f>
        <v>58</v>
      </c>
      <c r="G59" s="30">
        <f>'Monthly Data'!AB59</f>
        <v>23572</v>
      </c>
      <c r="H59" s="30">
        <f>'Monthly Data'!AM59</f>
        <v>1</v>
      </c>
      <c r="I59" s="30">
        <f>'Monthly Data'!AO59</f>
        <v>0</v>
      </c>
      <c r="J59" s="30">
        <f>'Monthly Data'!AQ59</f>
        <v>0</v>
      </c>
      <c r="K59" s="94">
        <f>'Monthly Data'!AR59</f>
        <v>0</v>
      </c>
      <c r="M59" s="23">
        <f>'Res OLS Model'!$B$5</f>
        <v>-23168470.016197301</v>
      </c>
      <c r="N59" s="23">
        <f ca="1">'Res OLS Model'!$B$6*D59</f>
        <v>3237482.4167488301</v>
      </c>
      <c r="O59" s="23">
        <f ca="1">'Res OLS Model'!$B$7*E59</f>
        <v>40380.770093004903</v>
      </c>
      <c r="P59" s="23">
        <f>'Res OLS Model'!$B$8*F59</f>
        <v>-1594172.7708278222</v>
      </c>
      <c r="Q59" s="23">
        <f>'Res OLS Model'!$B$9*G59</f>
        <v>36781685.330830008</v>
      </c>
      <c r="R59" s="23">
        <f>'Res OLS Model'!$B$10*H59</f>
        <v>-1279656.8259476901</v>
      </c>
      <c r="S59" s="23">
        <f>'Res OLS Model'!$B$11*I59</f>
        <v>0</v>
      </c>
      <c r="T59" s="23">
        <f>'Res OLS Model'!$B$12*J59</f>
        <v>0</v>
      </c>
      <c r="U59" s="23">
        <f>'Res OLS Model'!$B$13*K59</f>
        <v>0</v>
      </c>
      <c r="V59" s="23">
        <f t="shared" ca="1" si="5"/>
        <v>14017248.904699028</v>
      </c>
    </row>
    <row r="60" spans="1:22">
      <c r="A60" s="11">
        <f>'Monthly Data'!A60</f>
        <v>41579</v>
      </c>
      <c r="B60" s="6">
        <f t="shared" si="2"/>
        <v>2013</v>
      </c>
      <c r="C60" s="30">
        <f>'Monthly Data'!F60</f>
        <v>17575993.111538868</v>
      </c>
      <c r="D60" s="30">
        <f t="shared" ca="1" si="6"/>
        <v>444.05</v>
      </c>
      <c r="E60" s="30">
        <f t="shared" ca="1" si="6"/>
        <v>0</v>
      </c>
      <c r="F60">
        <f>'Monthly Data'!AA60</f>
        <v>59</v>
      </c>
      <c r="G60" s="30">
        <f>'Monthly Data'!AB60</f>
        <v>23628</v>
      </c>
      <c r="H60" s="30">
        <f>'Monthly Data'!AM60</f>
        <v>1</v>
      </c>
      <c r="I60" s="30">
        <f>'Monthly Data'!AO60</f>
        <v>0</v>
      </c>
      <c r="J60" s="30">
        <f>'Monthly Data'!AQ60</f>
        <v>0</v>
      </c>
      <c r="K60" s="94">
        <f>'Monthly Data'!AR60</f>
        <v>0</v>
      </c>
      <c r="M60" s="23">
        <f>'Res OLS Model'!$B$5</f>
        <v>-23168470.016197301</v>
      </c>
      <c r="N60" s="23">
        <f ca="1">'Res OLS Model'!$B$6*D60</f>
        <v>5318550.0079811988</v>
      </c>
      <c r="O60" s="23">
        <f ca="1">'Res OLS Model'!$B$7*E60</f>
        <v>0</v>
      </c>
      <c r="P60" s="23">
        <f>'Res OLS Model'!$B$8*F60</f>
        <v>-1621658.508255888</v>
      </c>
      <c r="Q60" s="23">
        <f>'Res OLS Model'!$B$9*G60</f>
        <v>36869067.580046304</v>
      </c>
      <c r="R60" s="23">
        <f>'Res OLS Model'!$B$10*H60</f>
        <v>-1279656.8259476901</v>
      </c>
      <c r="S60" s="23">
        <f>'Res OLS Model'!$B$11*I60</f>
        <v>0</v>
      </c>
      <c r="T60" s="23">
        <f>'Res OLS Model'!$B$12*J60</f>
        <v>0</v>
      </c>
      <c r="U60" s="23">
        <f>'Res OLS Model'!$B$13*K60</f>
        <v>0</v>
      </c>
      <c r="V60" s="23">
        <f t="shared" ca="1" si="5"/>
        <v>16117832.237626623</v>
      </c>
    </row>
    <row r="61" spans="1:22">
      <c r="A61" s="11">
        <f>'Monthly Data'!A61</f>
        <v>41609</v>
      </c>
      <c r="B61" s="6">
        <f t="shared" si="2"/>
        <v>2013</v>
      </c>
      <c r="C61" s="30">
        <f>'Monthly Data'!F61</f>
        <v>21455609.37580429</v>
      </c>
      <c r="D61" s="30">
        <f t="shared" ca="1" si="6"/>
        <v>684.01</v>
      </c>
      <c r="E61" s="30">
        <f t="shared" ca="1" si="6"/>
        <v>0</v>
      </c>
      <c r="F61">
        <f>'Monthly Data'!AA61</f>
        <v>60</v>
      </c>
      <c r="G61" s="30">
        <f>'Monthly Data'!AB61</f>
        <v>23625</v>
      </c>
      <c r="H61" s="30">
        <f>'Monthly Data'!AM61</f>
        <v>0</v>
      </c>
      <c r="I61" s="30">
        <f>'Monthly Data'!AO61</f>
        <v>0</v>
      </c>
      <c r="J61" s="30">
        <f>'Monthly Data'!AQ61</f>
        <v>0</v>
      </c>
      <c r="K61" s="94">
        <f>'Monthly Data'!AR61</f>
        <v>0</v>
      </c>
      <c r="M61" s="23">
        <f>'Res OLS Model'!$B$5</f>
        <v>-23168470.016197301</v>
      </c>
      <c r="N61" s="23">
        <f ca="1">'Res OLS Model'!$B$6*D61</f>
        <v>8192639.0968567049</v>
      </c>
      <c r="O61" s="23">
        <f ca="1">'Res OLS Model'!$B$7*E61</f>
        <v>0</v>
      </c>
      <c r="P61" s="23">
        <f>'Res OLS Model'!$B$8*F61</f>
        <v>-1649144.2456839539</v>
      </c>
      <c r="Q61" s="23">
        <f>'Res OLS Model'!$B$9*G61</f>
        <v>36864386.388123997</v>
      </c>
      <c r="R61" s="23">
        <f>'Res OLS Model'!$B$10*H61</f>
        <v>0</v>
      </c>
      <c r="S61" s="23">
        <f>'Res OLS Model'!$B$11*I61</f>
        <v>0</v>
      </c>
      <c r="T61" s="23">
        <f>'Res OLS Model'!$B$12*J61</f>
        <v>0</v>
      </c>
      <c r="U61" s="23">
        <f>'Res OLS Model'!$B$13*K61</f>
        <v>0</v>
      </c>
      <c r="V61" s="23">
        <f t="shared" ca="1" si="5"/>
        <v>20239411.223099448</v>
      </c>
    </row>
    <row r="62" spans="1:22">
      <c r="A62" s="11">
        <v>41640</v>
      </c>
      <c r="B62" s="6">
        <f t="shared" si="2"/>
        <v>2014</v>
      </c>
      <c r="C62" s="30">
        <f>'Monthly Data'!F62</f>
        <v>24218479.066692788</v>
      </c>
      <c r="D62" s="30">
        <f t="shared" ca="1" si="6"/>
        <v>784.29</v>
      </c>
      <c r="E62" s="30">
        <f t="shared" ca="1" si="6"/>
        <v>0</v>
      </c>
      <c r="F62">
        <f>F61+1</f>
        <v>61</v>
      </c>
      <c r="G62" s="30">
        <f>'Monthly Data'!AB62</f>
        <v>23649</v>
      </c>
      <c r="H62" s="30">
        <f>'Monthly Data'!AM62</f>
        <v>0</v>
      </c>
      <c r="I62" s="30">
        <f>'Monthly Data'!AO62</f>
        <v>0</v>
      </c>
      <c r="J62" s="30">
        <f>'Monthly Data'!AQ62</f>
        <v>0</v>
      </c>
      <c r="K62" s="94">
        <f>'Monthly Data'!AR62</f>
        <v>1</v>
      </c>
      <c r="M62" s="23">
        <f>'Res OLS Model'!$B$5</f>
        <v>-23168470.016197301</v>
      </c>
      <c r="N62" s="23">
        <f ca="1">'Res OLS Model'!$B$6*D62</f>
        <v>9393729.5028928593</v>
      </c>
      <c r="O62" s="23">
        <f ca="1">'Res OLS Model'!$B$7*E62</f>
        <v>0</v>
      </c>
      <c r="P62" s="23">
        <f>'Res OLS Model'!$B$8*F62</f>
        <v>-1676629.9831120197</v>
      </c>
      <c r="Q62" s="23">
        <f>'Res OLS Model'!$B$9*G62</f>
        <v>36901835.923502408</v>
      </c>
      <c r="R62" s="23">
        <f>'Res OLS Model'!$B$10*H62</f>
        <v>0</v>
      </c>
      <c r="S62" s="23">
        <f>'Res OLS Model'!$B$11*I62</f>
        <v>0</v>
      </c>
      <c r="T62" s="23">
        <f>'Res OLS Model'!$B$12*J62</f>
        <v>0</v>
      </c>
      <c r="U62" s="23">
        <f>'Res OLS Model'!$B$13*K62</f>
        <v>1122371.81652903</v>
      </c>
      <c r="V62" s="23">
        <f t="shared" ca="1" si="5"/>
        <v>22572837.243614972</v>
      </c>
    </row>
    <row r="63" spans="1:22">
      <c r="A63" s="11">
        <v>41671</v>
      </c>
      <c r="B63" s="6">
        <f t="shared" si="2"/>
        <v>2014</v>
      </c>
      <c r="C63" s="30">
        <f>'Monthly Data'!F63</f>
        <v>20929638.172979176</v>
      </c>
      <c r="D63" s="30">
        <f t="shared" ca="1" si="6"/>
        <v>682.50999999999988</v>
      </c>
      <c r="E63" s="30">
        <f t="shared" ca="1" si="6"/>
        <v>0</v>
      </c>
      <c r="F63">
        <f t="shared" ref="F63:F126" si="7">F62+1</f>
        <v>62</v>
      </c>
      <c r="G63" s="30">
        <f>'Monthly Data'!AB63</f>
        <v>23652</v>
      </c>
      <c r="H63" s="30">
        <f>'Monthly Data'!AM63</f>
        <v>0</v>
      </c>
      <c r="I63" s="30">
        <f>'Monthly Data'!AO63</f>
        <v>0</v>
      </c>
      <c r="J63" s="30">
        <f>'Monthly Data'!AQ63</f>
        <v>0</v>
      </c>
      <c r="K63" s="94">
        <f>'Monthly Data'!AR63</f>
        <v>0</v>
      </c>
      <c r="M63" s="23">
        <f>'Res OLS Model'!$B$5</f>
        <v>-23168470.016197301</v>
      </c>
      <c r="N63" s="23">
        <f ca="1">'Res OLS Model'!$B$6*D63</f>
        <v>8174673.0457093734</v>
      </c>
      <c r="O63" s="23">
        <f ca="1">'Res OLS Model'!$B$7*E63</f>
        <v>0</v>
      </c>
      <c r="P63" s="23">
        <f>'Res OLS Model'!$B$8*F63</f>
        <v>-1704115.7205400858</v>
      </c>
      <c r="Q63" s="23">
        <f>'Res OLS Model'!$B$9*G63</f>
        <v>36906517.115424715</v>
      </c>
      <c r="R63" s="23">
        <f>'Res OLS Model'!$B$10*H63</f>
        <v>0</v>
      </c>
      <c r="S63" s="23">
        <f>'Res OLS Model'!$B$11*I63</f>
        <v>0</v>
      </c>
      <c r="T63" s="23">
        <f>'Res OLS Model'!$B$12*J63</f>
        <v>0</v>
      </c>
      <c r="U63" s="23">
        <f>'Res OLS Model'!$B$13*K63</f>
        <v>0</v>
      </c>
      <c r="V63" s="23">
        <f t="shared" ca="1" si="5"/>
        <v>20208604.424396701</v>
      </c>
    </row>
    <row r="64" spans="1:22">
      <c r="A64" s="11">
        <v>41699</v>
      </c>
      <c r="B64" s="6">
        <f t="shared" si="2"/>
        <v>2014</v>
      </c>
      <c r="C64" s="30">
        <f>'Monthly Data'!F64</f>
        <v>20664080.366865564</v>
      </c>
      <c r="D64" s="30">
        <f t="shared" ca="1" si="6"/>
        <v>556.99</v>
      </c>
      <c r="E64" s="30">
        <f t="shared" ca="1" si="6"/>
        <v>0</v>
      </c>
      <c r="F64">
        <f t="shared" si="7"/>
        <v>63</v>
      </c>
      <c r="G64" s="30">
        <f>'Monthly Data'!AB64</f>
        <v>23692</v>
      </c>
      <c r="H64" s="30">
        <f>'Monthly Data'!AM64</f>
        <v>0</v>
      </c>
      <c r="I64" s="30">
        <f>'Monthly Data'!AO64</f>
        <v>0</v>
      </c>
      <c r="J64" s="30">
        <f>'Monthly Data'!AQ64</f>
        <v>0</v>
      </c>
      <c r="K64" s="94">
        <f>'Monthly Data'!AR64</f>
        <v>0</v>
      </c>
      <c r="M64" s="23">
        <f>'Res OLS Model'!$B$5</f>
        <v>-23168470.016197301</v>
      </c>
      <c r="N64" s="23">
        <f ca="1">'Res OLS Model'!$B$6*D64</f>
        <v>6671273.8857008172</v>
      </c>
      <c r="O64" s="23">
        <f ca="1">'Res OLS Model'!$B$7*E64</f>
        <v>0</v>
      </c>
      <c r="P64" s="23">
        <f>'Res OLS Model'!$B$8*F64</f>
        <v>-1731601.4579681517</v>
      </c>
      <c r="Q64" s="23">
        <f>'Res OLS Model'!$B$9*G64</f>
        <v>36968933.007722065</v>
      </c>
      <c r="R64" s="23">
        <f>'Res OLS Model'!$B$10*H64</f>
        <v>0</v>
      </c>
      <c r="S64" s="23">
        <f>'Res OLS Model'!$B$11*I64</f>
        <v>0</v>
      </c>
      <c r="T64" s="23">
        <f>'Res OLS Model'!$B$12*J64</f>
        <v>0</v>
      </c>
      <c r="U64" s="23">
        <f>'Res OLS Model'!$B$13*K64</f>
        <v>0</v>
      </c>
      <c r="V64" s="23">
        <f t="shared" ca="1" si="5"/>
        <v>18740135.419257428</v>
      </c>
    </row>
    <row r="65" spans="1:22">
      <c r="A65" s="11">
        <v>41730</v>
      </c>
      <c r="B65" s="6">
        <f t="shared" si="2"/>
        <v>2014</v>
      </c>
      <c r="C65" s="30">
        <f>'Monthly Data'!F65</f>
        <v>15800883.50705195</v>
      </c>
      <c r="D65" s="30">
        <f t="shared" ca="1" si="6"/>
        <v>326.58999999999997</v>
      </c>
      <c r="E65" s="30">
        <f t="shared" ca="1" si="6"/>
        <v>0.39</v>
      </c>
      <c r="F65">
        <f t="shared" si="7"/>
        <v>64</v>
      </c>
      <c r="G65" s="30">
        <f>'Monthly Data'!AB65</f>
        <v>23826</v>
      </c>
      <c r="H65" s="30">
        <f>'Monthly Data'!AM65</f>
        <v>0</v>
      </c>
      <c r="I65" s="30">
        <f>'Monthly Data'!AO65</f>
        <v>1</v>
      </c>
      <c r="J65" s="30">
        <f>'Monthly Data'!AQ65</f>
        <v>0</v>
      </c>
      <c r="K65" s="94">
        <f>'Monthly Data'!AR65</f>
        <v>0</v>
      </c>
      <c r="M65" s="23">
        <f>'Res OLS Model'!$B$5</f>
        <v>-23168470.016197301</v>
      </c>
      <c r="N65" s="23">
        <f ca="1">'Res OLS Model'!$B$6*D65</f>
        <v>3911688.4294709596</v>
      </c>
      <c r="O65" s="23">
        <f ca="1">'Res OLS Model'!$B$7*E65</f>
        <v>13015.289534109019</v>
      </c>
      <c r="P65" s="23">
        <f>'Res OLS Model'!$B$8*F65</f>
        <v>-1759087.1953962175</v>
      </c>
      <c r="Q65" s="23">
        <f>'Res OLS Model'!$B$9*G65</f>
        <v>37178026.246918194</v>
      </c>
      <c r="R65" s="23">
        <f>'Res OLS Model'!$B$10*H65</f>
        <v>0</v>
      </c>
      <c r="S65" s="23">
        <f>'Res OLS Model'!$B$11*I65</f>
        <v>-1218613.41007658</v>
      </c>
      <c r="T65" s="23">
        <f>'Res OLS Model'!$B$12*J65</f>
        <v>0</v>
      </c>
      <c r="U65" s="23">
        <f>'Res OLS Model'!$B$13*K65</f>
        <v>0</v>
      </c>
      <c r="V65" s="23">
        <f t="shared" ca="1" si="5"/>
        <v>14956559.344253164</v>
      </c>
    </row>
    <row r="66" spans="1:22">
      <c r="A66" s="11">
        <v>41760</v>
      </c>
      <c r="B66" s="6">
        <f t="shared" si="2"/>
        <v>2014</v>
      </c>
      <c r="C66" s="30">
        <f>'Monthly Data'!F66</f>
        <v>11643889.040738342</v>
      </c>
      <c r="D66" s="30">
        <f t="shared" ca="1" si="6"/>
        <v>144.96</v>
      </c>
      <c r="E66" s="30">
        <f t="shared" ca="1" si="6"/>
        <v>8.67</v>
      </c>
      <c r="F66">
        <f t="shared" si="7"/>
        <v>65</v>
      </c>
      <c r="G66" s="30">
        <f>'Monthly Data'!AB66</f>
        <v>23751</v>
      </c>
      <c r="H66" s="30">
        <f>'Monthly Data'!AM66</f>
        <v>0</v>
      </c>
      <c r="I66" s="30">
        <f>'Monthly Data'!AO66</f>
        <v>0</v>
      </c>
      <c r="J66" s="30">
        <f>'Monthly Data'!AQ66</f>
        <v>1</v>
      </c>
      <c r="K66" s="94">
        <f>'Monthly Data'!AR66</f>
        <v>0</v>
      </c>
      <c r="M66" s="23">
        <f>'Res OLS Model'!$B$5</f>
        <v>-23168470.016197301</v>
      </c>
      <c r="N66" s="23">
        <f ca="1">'Res OLS Model'!$B$6*D66</f>
        <v>1736239.182877952</v>
      </c>
      <c r="O66" s="23">
        <f ca="1">'Res OLS Model'!$B$7*E66</f>
        <v>289339.89810442354</v>
      </c>
      <c r="P66" s="23">
        <f>'Res OLS Model'!$B$8*F66</f>
        <v>-1786572.9328242834</v>
      </c>
      <c r="Q66" s="23">
        <f>'Res OLS Model'!$B$9*G66</f>
        <v>37060996.44886066</v>
      </c>
      <c r="R66" s="23">
        <f>'Res OLS Model'!$B$10*H66</f>
        <v>0</v>
      </c>
      <c r="S66" s="23">
        <f>'Res OLS Model'!$B$11*I66</f>
        <v>0</v>
      </c>
      <c r="T66" s="23">
        <f>'Res OLS Model'!$B$12*J66</f>
        <v>-1511757.2538914999</v>
      </c>
      <c r="U66" s="23">
        <f>'Res OLS Model'!$B$13*K66</f>
        <v>0</v>
      </c>
      <c r="V66" s="23">
        <f t="shared" ref="V66:V97" ca="1" si="8">SUM(M66:U66)</f>
        <v>12619775.326929947</v>
      </c>
    </row>
    <row r="67" spans="1:22">
      <c r="A67" s="11">
        <v>41791</v>
      </c>
      <c r="B67" s="6">
        <f t="shared" ref="B67:B97" si="9">YEAR(A67)</f>
        <v>2014</v>
      </c>
      <c r="C67" s="30">
        <f>'Monthly Data'!F67</f>
        <v>11658302.50462473</v>
      </c>
      <c r="D67" s="30">
        <f t="shared" ca="1" si="6"/>
        <v>41.510000000000005</v>
      </c>
      <c r="E67" s="30">
        <f t="shared" ca="1" si="6"/>
        <v>44.41</v>
      </c>
      <c r="F67">
        <f t="shared" si="7"/>
        <v>66</v>
      </c>
      <c r="G67" s="30">
        <f>'Monthly Data'!AB67</f>
        <v>23799</v>
      </c>
      <c r="H67" s="30">
        <f>'Monthly Data'!AM67</f>
        <v>0</v>
      </c>
      <c r="I67" s="30">
        <f>'Monthly Data'!AO67</f>
        <v>0</v>
      </c>
      <c r="J67" s="30">
        <f>'Monthly Data'!AQ67</f>
        <v>1</v>
      </c>
      <c r="K67" s="94">
        <f>'Monthly Data'!AR67</f>
        <v>0</v>
      </c>
      <c r="M67" s="23">
        <f>'Res OLS Model'!$B$5</f>
        <v>-23168470.016197301</v>
      </c>
      <c r="N67" s="23">
        <f ca="1">'Res OLS Model'!$B$6*D67</f>
        <v>497180.52208377345</v>
      </c>
      <c r="O67" s="23">
        <f ca="1">'Res OLS Model'!$B$7*E67</f>
        <v>1482074.3800250806</v>
      </c>
      <c r="P67" s="23">
        <f>'Res OLS Model'!$B$8*F67</f>
        <v>-1814058.6702523492</v>
      </c>
      <c r="Q67" s="23">
        <f>'Res OLS Model'!$B$9*G67</f>
        <v>37135895.519617483</v>
      </c>
      <c r="R67" s="23">
        <f>'Res OLS Model'!$B$10*H67</f>
        <v>0</v>
      </c>
      <c r="S67" s="23">
        <f>'Res OLS Model'!$B$11*I67</f>
        <v>0</v>
      </c>
      <c r="T67" s="23">
        <f>'Res OLS Model'!$B$12*J67</f>
        <v>-1511757.2538914999</v>
      </c>
      <c r="U67" s="23">
        <f>'Res OLS Model'!$B$13*K67</f>
        <v>0</v>
      </c>
      <c r="V67" s="23">
        <f t="shared" ca="1" si="8"/>
        <v>12620864.481385188</v>
      </c>
    </row>
    <row r="68" spans="1:22">
      <c r="A68" s="11">
        <v>41821</v>
      </c>
      <c r="B68" s="6">
        <f t="shared" si="9"/>
        <v>2014</v>
      </c>
      <c r="C68" s="30">
        <f>'Monthly Data'!F68</f>
        <v>12874081.848611118</v>
      </c>
      <c r="D68" s="30">
        <f t="shared" ca="1" si="6"/>
        <v>5.01</v>
      </c>
      <c r="E68" s="30">
        <f t="shared" ca="1" si="6"/>
        <v>96.909999999999982</v>
      </c>
      <c r="F68">
        <f t="shared" si="7"/>
        <v>67</v>
      </c>
      <c r="G68" s="30">
        <f>'Monthly Data'!AB68</f>
        <v>23834</v>
      </c>
      <c r="H68" s="30">
        <f>'Monthly Data'!AM68</f>
        <v>0</v>
      </c>
      <c r="I68" s="30">
        <f>'Monthly Data'!AO68</f>
        <v>0</v>
      </c>
      <c r="J68" s="30">
        <f>'Monthly Data'!AQ68</f>
        <v>1</v>
      </c>
      <c r="K68" s="94">
        <f>'Monthly Data'!AR68</f>
        <v>0</v>
      </c>
      <c r="M68" s="23">
        <f>'Res OLS Model'!$B$5</f>
        <v>-23168470.016197301</v>
      </c>
      <c r="N68" s="23">
        <f ca="1">'Res OLS Model'!$B$6*D68</f>
        <v>60006.610832081533</v>
      </c>
      <c r="O68" s="23">
        <f ca="1">'Res OLS Model'!$B$7*E68</f>
        <v>3234132.5865397556</v>
      </c>
      <c r="P68" s="23">
        <f>'Res OLS Model'!$B$8*F68</f>
        <v>-1841544.4076804153</v>
      </c>
      <c r="Q68" s="23">
        <f>'Res OLS Model'!$B$9*G68</f>
        <v>37190509.425377667</v>
      </c>
      <c r="R68" s="23">
        <f>'Res OLS Model'!$B$10*H68</f>
        <v>0</v>
      </c>
      <c r="S68" s="23">
        <f>'Res OLS Model'!$B$11*I68</f>
        <v>0</v>
      </c>
      <c r="T68" s="23">
        <f>'Res OLS Model'!$B$12*J68</f>
        <v>-1511757.2538914999</v>
      </c>
      <c r="U68" s="23">
        <f>'Res OLS Model'!$B$13*K68</f>
        <v>0</v>
      </c>
      <c r="V68" s="23">
        <f t="shared" ca="1" si="8"/>
        <v>13962876.944980288</v>
      </c>
    </row>
    <row r="69" spans="1:22">
      <c r="A69" s="11">
        <v>41852</v>
      </c>
      <c r="B69" s="6">
        <f t="shared" si="9"/>
        <v>2014</v>
      </c>
      <c r="C69" s="30">
        <f>'Monthly Data'!F69</f>
        <v>12912263.277197508</v>
      </c>
      <c r="D69" s="30">
        <f t="shared" ca="1" si="6"/>
        <v>12.719999999999999</v>
      </c>
      <c r="E69" s="30">
        <f t="shared" ca="1" si="6"/>
        <v>77.22999999999999</v>
      </c>
      <c r="F69">
        <f t="shared" si="7"/>
        <v>68</v>
      </c>
      <c r="G69" s="30">
        <f>'Monthly Data'!AB69</f>
        <v>23862</v>
      </c>
      <c r="H69" s="30">
        <f>'Monthly Data'!AM69</f>
        <v>0</v>
      </c>
      <c r="I69" s="30">
        <f>'Monthly Data'!AO69</f>
        <v>0</v>
      </c>
      <c r="J69" s="30">
        <f>'Monthly Data'!AQ69</f>
        <v>1</v>
      </c>
      <c r="K69" s="94">
        <f>'Monthly Data'!AR69</f>
        <v>0</v>
      </c>
      <c r="M69" s="23">
        <f>'Res OLS Model'!$B$5</f>
        <v>-23168470.016197301</v>
      </c>
      <c r="N69" s="23">
        <f ca="1">'Res OLS Model'!$B$6*D69</f>
        <v>152352.1137293567</v>
      </c>
      <c r="O69" s="23">
        <f ca="1">'Res OLS Model'!$B$7*E69</f>
        <v>2577361.0531262546</v>
      </c>
      <c r="P69" s="23">
        <f>'Res OLS Model'!$B$8*F69</f>
        <v>-1869030.1451084812</v>
      </c>
      <c r="Q69" s="23">
        <f>'Res OLS Model'!$B$9*G69</f>
        <v>37234200.549985811</v>
      </c>
      <c r="R69" s="23">
        <f>'Res OLS Model'!$B$10*H69</f>
        <v>0</v>
      </c>
      <c r="S69" s="23">
        <f>'Res OLS Model'!$B$11*I69</f>
        <v>0</v>
      </c>
      <c r="T69" s="23">
        <f>'Res OLS Model'!$B$12*J69</f>
        <v>-1511757.2538914999</v>
      </c>
      <c r="U69" s="23">
        <f>'Res OLS Model'!$B$13*K69</f>
        <v>0</v>
      </c>
      <c r="V69" s="23">
        <f t="shared" ca="1" si="8"/>
        <v>13414656.301644141</v>
      </c>
    </row>
    <row r="70" spans="1:22">
      <c r="A70" s="11">
        <v>41883</v>
      </c>
      <c r="B70" s="6">
        <f t="shared" si="9"/>
        <v>2014</v>
      </c>
      <c r="C70" s="30">
        <f>'Monthly Data'!F70</f>
        <v>12625706.091483895</v>
      </c>
      <c r="D70" s="30">
        <f t="shared" ca="1" si="6"/>
        <v>86.570000000000007</v>
      </c>
      <c r="E70" s="30">
        <f t="shared" ca="1" si="6"/>
        <v>19.899999999999999</v>
      </c>
      <c r="F70">
        <f t="shared" si="7"/>
        <v>69</v>
      </c>
      <c r="G70" s="30">
        <f>'Monthly Data'!AB70</f>
        <v>24020</v>
      </c>
      <c r="H70" s="30">
        <f>'Monthly Data'!AM70</f>
        <v>1</v>
      </c>
      <c r="I70" s="30">
        <f>'Monthly Data'!AO70</f>
        <v>0</v>
      </c>
      <c r="J70" s="30">
        <f>'Monthly Data'!AQ70</f>
        <v>0</v>
      </c>
      <c r="K70" s="94">
        <f>'Monthly Data'!AR70</f>
        <v>0</v>
      </c>
      <c r="M70" s="23">
        <f>'Res OLS Model'!$B$5</f>
        <v>-23168470.016197301</v>
      </c>
      <c r="N70" s="23">
        <f ca="1">'Res OLS Model'!$B$6*D70</f>
        <v>1036880.6985495606</v>
      </c>
      <c r="O70" s="23">
        <f ca="1">'Res OLS Model'!$B$7*E70</f>
        <v>664113.49161222938</v>
      </c>
      <c r="P70" s="23">
        <f>'Res OLS Model'!$B$8*F70</f>
        <v>-1896515.882536547</v>
      </c>
      <c r="Q70" s="23">
        <f>'Res OLS Model'!$B$9*G70</f>
        <v>37480743.324560359</v>
      </c>
      <c r="R70" s="23">
        <f>'Res OLS Model'!$B$10*H70</f>
        <v>-1279656.8259476901</v>
      </c>
      <c r="S70" s="23">
        <f>'Res OLS Model'!$B$11*I70</f>
        <v>0</v>
      </c>
      <c r="T70" s="23">
        <f>'Res OLS Model'!$B$12*J70</f>
        <v>0</v>
      </c>
      <c r="U70" s="23">
        <f>'Res OLS Model'!$B$13*K70</f>
        <v>0</v>
      </c>
      <c r="V70" s="23">
        <f t="shared" ca="1" si="8"/>
        <v>12837094.790040612</v>
      </c>
    </row>
    <row r="71" spans="1:22">
      <c r="A71" s="11">
        <v>41913</v>
      </c>
      <c r="B71" s="6">
        <f t="shared" si="9"/>
        <v>2014</v>
      </c>
      <c r="C71" s="30">
        <f>'Monthly Data'!F71</f>
        <v>13300745.681970283</v>
      </c>
      <c r="D71" s="30">
        <f t="shared" ca="1" si="6"/>
        <v>270.3</v>
      </c>
      <c r="E71" s="30">
        <f t="shared" ca="1" si="6"/>
        <v>1.21</v>
      </c>
      <c r="F71">
        <f t="shared" si="7"/>
        <v>70</v>
      </c>
      <c r="G71" s="30">
        <f>'Monthly Data'!AB71</f>
        <v>24052</v>
      </c>
      <c r="H71" s="30">
        <f>'Monthly Data'!AM71</f>
        <v>1</v>
      </c>
      <c r="I71" s="30">
        <f>'Monthly Data'!AO71</f>
        <v>0</v>
      </c>
      <c r="J71" s="30">
        <f>'Monthly Data'!AQ71</f>
        <v>0</v>
      </c>
      <c r="K71" s="94">
        <f>'Monthly Data'!AR71</f>
        <v>0</v>
      </c>
      <c r="M71" s="23">
        <f>'Res OLS Model'!$B$5</f>
        <v>-23168470.016197301</v>
      </c>
      <c r="N71" s="23">
        <f ca="1">'Res OLS Model'!$B$6*D71</f>
        <v>3237482.4167488301</v>
      </c>
      <c r="O71" s="23">
        <f ca="1">'Res OLS Model'!$B$7*E71</f>
        <v>40380.770093004903</v>
      </c>
      <c r="P71" s="23">
        <f>'Res OLS Model'!$B$8*F71</f>
        <v>-1924001.6199646129</v>
      </c>
      <c r="Q71" s="23">
        <f>'Res OLS Model'!$B$9*G71</f>
        <v>37530676.038398243</v>
      </c>
      <c r="R71" s="23">
        <f>'Res OLS Model'!$B$10*H71</f>
        <v>-1279656.8259476901</v>
      </c>
      <c r="S71" s="23">
        <f>'Res OLS Model'!$B$11*I71</f>
        <v>0</v>
      </c>
      <c r="T71" s="23">
        <f>'Res OLS Model'!$B$12*J71</f>
        <v>0</v>
      </c>
      <c r="U71" s="23">
        <f>'Res OLS Model'!$B$13*K71</f>
        <v>0</v>
      </c>
      <c r="V71" s="23">
        <f t="shared" ca="1" si="8"/>
        <v>14436410.763130471</v>
      </c>
    </row>
    <row r="72" spans="1:22">
      <c r="A72" s="11">
        <v>41944</v>
      </c>
      <c r="B72" s="6">
        <f t="shared" si="9"/>
        <v>2014</v>
      </c>
      <c r="C72" s="30">
        <f>'Monthly Data'!F72</f>
        <v>17497032.314156674</v>
      </c>
      <c r="D72" s="30">
        <f t="shared" ca="1" si="6"/>
        <v>444.05</v>
      </c>
      <c r="E72" s="30">
        <f t="shared" ca="1" si="6"/>
        <v>0</v>
      </c>
      <c r="F72">
        <f t="shared" si="7"/>
        <v>71</v>
      </c>
      <c r="G72" s="30">
        <f>'Monthly Data'!AB72</f>
        <v>24048</v>
      </c>
      <c r="H72" s="30">
        <f>'Monthly Data'!AM72</f>
        <v>1</v>
      </c>
      <c r="I72" s="30">
        <f>'Monthly Data'!AO72</f>
        <v>0</v>
      </c>
      <c r="J72" s="30">
        <f>'Monthly Data'!AQ72</f>
        <v>0</v>
      </c>
      <c r="K72" s="94">
        <f>'Monthly Data'!AR72</f>
        <v>0</v>
      </c>
      <c r="M72" s="23">
        <f>'Res OLS Model'!$B$5</f>
        <v>-23168470.016197301</v>
      </c>
      <c r="N72" s="23">
        <f ca="1">'Res OLS Model'!$B$6*D72</f>
        <v>5318550.0079811988</v>
      </c>
      <c r="O72" s="23">
        <f ca="1">'Res OLS Model'!$B$7*E72</f>
        <v>0</v>
      </c>
      <c r="P72" s="23">
        <f>'Res OLS Model'!$B$8*F72</f>
        <v>-1951487.3573926787</v>
      </c>
      <c r="Q72" s="23">
        <f>'Res OLS Model'!$B$9*G72</f>
        <v>37524434.449168503</v>
      </c>
      <c r="R72" s="23">
        <f>'Res OLS Model'!$B$10*H72</f>
        <v>-1279656.8259476901</v>
      </c>
      <c r="S72" s="23">
        <f>'Res OLS Model'!$B$11*I72</f>
        <v>0</v>
      </c>
      <c r="T72" s="23">
        <f>'Res OLS Model'!$B$12*J72</f>
        <v>0</v>
      </c>
      <c r="U72" s="23">
        <f>'Res OLS Model'!$B$13*K72</f>
        <v>0</v>
      </c>
      <c r="V72" s="23">
        <f t="shared" ca="1" si="8"/>
        <v>16443370.257612031</v>
      </c>
    </row>
    <row r="73" spans="1:22">
      <c r="A73" s="11">
        <v>41974</v>
      </c>
      <c r="B73" s="6">
        <f t="shared" si="9"/>
        <v>2014</v>
      </c>
      <c r="C73" s="30">
        <f>'Monthly Data'!F73</f>
        <v>20471821.27884306</v>
      </c>
      <c r="D73" s="30">
        <f t="shared" ca="1" si="6"/>
        <v>684.01</v>
      </c>
      <c r="E73" s="30">
        <f t="shared" ca="1" si="6"/>
        <v>0</v>
      </c>
      <c r="F73">
        <f t="shared" si="7"/>
        <v>72</v>
      </c>
      <c r="G73" s="30">
        <f>'Monthly Data'!AB73</f>
        <v>24046</v>
      </c>
      <c r="H73" s="30">
        <f>'Monthly Data'!AM73</f>
        <v>0</v>
      </c>
      <c r="I73" s="30">
        <f>'Monthly Data'!AO73</f>
        <v>0</v>
      </c>
      <c r="J73" s="30">
        <f>'Monthly Data'!AQ73</f>
        <v>0</v>
      </c>
      <c r="K73" s="94">
        <f>'Monthly Data'!AR73</f>
        <v>0</v>
      </c>
      <c r="M73" s="23">
        <f>'Res OLS Model'!$B$5</f>
        <v>-23168470.016197301</v>
      </c>
      <c r="N73" s="23">
        <f ca="1">'Res OLS Model'!$B$6*D73</f>
        <v>8192639.0968567049</v>
      </c>
      <c r="O73" s="23">
        <f ca="1">'Res OLS Model'!$B$7*E73</f>
        <v>0</v>
      </c>
      <c r="P73" s="23">
        <f>'Res OLS Model'!$B$8*F73</f>
        <v>-1978973.0948207448</v>
      </c>
      <c r="Q73" s="23">
        <f>'Res OLS Model'!$B$9*G73</f>
        <v>37521313.654553637</v>
      </c>
      <c r="R73" s="23">
        <f>'Res OLS Model'!$B$10*H73</f>
        <v>0</v>
      </c>
      <c r="S73" s="23">
        <f>'Res OLS Model'!$B$11*I73</f>
        <v>0</v>
      </c>
      <c r="T73" s="23">
        <f>'Res OLS Model'!$B$12*J73</f>
        <v>0</v>
      </c>
      <c r="U73" s="23">
        <f>'Res OLS Model'!$B$13*K73</f>
        <v>0</v>
      </c>
      <c r="V73" s="23">
        <f t="shared" ca="1" si="8"/>
        <v>20566509.640392296</v>
      </c>
    </row>
    <row r="74" spans="1:22">
      <c r="A74" s="11">
        <v>42005</v>
      </c>
      <c r="B74" s="6">
        <f t="shared" si="9"/>
        <v>2015</v>
      </c>
      <c r="D74" s="30">
        <f t="shared" ref="D74:E93" ca="1" si="10">D62</f>
        <v>784.29</v>
      </c>
      <c r="E74" s="30">
        <f t="shared" ca="1" si="10"/>
        <v>0</v>
      </c>
      <c r="F74">
        <f t="shared" si="7"/>
        <v>73</v>
      </c>
      <c r="G74" s="60">
        <f>SUMIF('Connection count '!B:B,B74,'Connection count '!C:C)</f>
        <v>24004.475833780409</v>
      </c>
      <c r="H74" s="60">
        <f t="shared" ref="H74:J74" si="11">H62</f>
        <v>0</v>
      </c>
      <c r="I74" s="60">
        <f t="shared" si="11"/>
        <v>0</v>
      </c>
      <c r="J74" s="60">
        <f t="shared" si="11"/>
        <v>0</v>
      </c>
      <c r="K74" s="97">
        <f t="shared" ref="K74" si="12">K62</f>
        <v>1</v>
      </c>
      <c r="M74" s="23">
        <f>'Res OLS Model'!$B$5</f>
        <v>-23168470.016197301</v>
      </c>
      <c r="N74" s="23">
        <f ca="1">'Res OLS Model'!$B$6*D74</f>
        <v>9393729.5028928593</v>
      </c>
      <c r="O74" s="23">
        <f ca="1">'Res OLS Model'!$B$7*E74</f>
        <v>0</v>
      </c>
      <c r="P74" s="23">
        <f>'Res OLS Model'!$B$8*F74</f>
        <v>-2006458.8322488107</v>
      </c>
      <c r="Q74" s="23">
        <f>'Res OLS Model'!$B$9*G74</f>
        <v>37456519.45739115</v>
      </c>
      <c r="R74" s="23">
        <f>'Res OLS Model'!$B$10*H74</f>
        <v>0</v>
      </c>
      <c r="S74" s="23">
        <f>'Res OLS Model'!$B$11*I74</f>
        <v>0</v>
      </c>
      <c r="T74" s="23">
        <f>'Res OLS Model'!$B$12*J74</f>
        <v>0</v>
      </c>
      <c r="U74" s="23">
        <f>'Res OLS Model'!$B$13*K74</f>
        <v>1122371.81652903</v>
      </c>
      <c r="V74" s="23">
        <f t="shared" ca="1" si="8"/>
        <v>22797691.928366929</v>
      </c>
    </row>
    <row r="75" spans="1:22">
      <c r="A75" s="11">
        <v>42036</v>
      </c>
      <c r="B75" s="6">
        <f t="shared" si="9"/>
        <v>2015</v>
      </c>
      <c r="D75" s="30">
        <f t="shared" ca="1" si="10"/>
        <v>682.50999999999988</v>
      </c>
      <c r="E75" s="30">
        <f t="shared" ca="1" si="10"/>
        <v>0</v>
      </c>
      <c r="F75">
        <f t="shared" si="7"/>
        <v>74</v>
      </c>
      <c r="G75" s="60">
        <f>SUMIF('Connection count '!B:B,B75,'Connection count '!C:C)</f>
        <v>24004.475833780409</v>
      </c>
      <c r="H75" s="60">
        <f t="shared" ref="H75:J75" si="13">H63</f>
        <v>0</v>
      </c>
      <c r="I75" s="60">
        <f t="shared" si="13"/>
        <v>0</v>
      </c>
      <c r="J75" s="60">
        <f t="shared" si="13"/>
        <v>0</v>
      </c>
      <c r="K75" s="97">
        <f t="shared" ref="K75" si="14">K63</f>
        <v>0</v>
      </c>
      <c r="M75" s="23">
        <f>'Res OLS Model'!$B$5</f>
        <v>-23168470.016197301</v>
      </c>
      <c r="N75" s="23">
        <f ca="1">'Res OLS Model'!$B$6*D75</f>
        <v>8174673.0457093734</v>
      </c>
      <c r="O75" s="23">
        <f ca="1">'Res OLS Model'!$B$7*E75</f>
        <v>0</v>
      </c>
      <c r="P75" s="23">
        <f>'Res OLS Model'!$B$8*F75</f>
        <v>-2033944.5696768765</v>
      </c>
      <c r="Q75" s="23">
        <f>'Res OLS Model'!$B$9*G75</f>
        <v>37456519.45739115</v>
      </c>
      <c r="R75" s="23">
        <f>'Res OLS Model'!$B$10*H75</f>
        <v>0</v>
      </c>
      <c r="S75" s="23">
        <f>'Res OLS Model'!$B$11*I75</f>
        <v>0</v>
      </c>
      <c r="T75" s="23">
        <f>'Res OLS Model'!$B$12*J75</f>
        <v>0</v>
      </c>
      <c r="U75" s="23">
        <f>'Res OLS Model'!$B$13*K75</f>
        <v>0</v>
      </c>
      <c r="V75" s="23">
        <f t="shared" ca="1" si="8"/>
        <v>20428777.917226344</v>
      </c>
    </row>
    <row r="76" spans="1:22">
      <c r="A76" s="11">
        <v>42064</v>
      </c>
      <c r="B76" s="6">
        <f t="shared" si="9"/>
        <v>2015</v>
      </c>
      <c r="D76" s="30">
        <f t="shared" ca="1" si="10"/>
        <v>556.99</v>
      </c>
      <c r="E76" s="30">
        <f t="shared" ca="1" si="10"/>
        <v>0</v>
      </c>
      <c r="F76">
        <f t="shared" si="7"/>
        <v>75</v>
      </c>
      <c r="G76" s="60">
        <f>SUMIF('Connection count '!B:B,B76,'Connection count '!C:C)</f>
        <v>24004.475833780409</v>
      </c>
      <c r="H76" s="60">
        <f t="shared" ref="H76:J76" si="15">H64</f>
        <v>0</v>
      </c>
      <c r="I76" s="60">
        <f t="shared" si="15"/>
        <v>0</v>
      </c>
      <c r="J76" s="60">
        <f t="shared" si="15"/>
        <v>0</v>
      </c>
      <c r="K76" s="97">
        <f t="shared" ref="K76" si="16">K64</f>
        <v>0</v>
      </c>
      <c r="M76" s="23">
        <f>'Res OLS Model'!$B$5</f>
        <v>-23168470.016197301</v>
      </c>
      <c r="N76" s="23">
        <f ca="1">'Res OLS Model'!$B$6*D76</f>
        <v>6671273.8857008172</v>
      </c>
      <c r="O76" s="23">
        <f ca="1">'Res OLS Model'!$B$7*E76</f>
        <v>0</v>
      </c>
      <c r="P76" s="23">
        <f>'Res OLS Model'!$B$8*F76</f>
        <v>-2061430.3071049424</v>
      </c>
      <c r="Q76" s="23">
        <f>'Res OLS Model'!$B$9*G76</f>
        <v>37456519.45739115</v>
      </c>
      <c r="R76" s="23">
        <f>'Res OLS Model'!$B$10*H76</f>
        <v>0</v>
      </c>
      <c r="S76" s="23">
        <f>'Res OLS Model'!$B$11*I76</f>
        <v>0</v>
      </c>
      <c r="T76" s="23">
        <f>'Res OLS Model'!$B$12*J76</f>
        <v>0</v>
      </c>
      <c r="U76" s="23">
        <f>'Res OLS Model'!$B$13*K76</f>
        <v>0</v>
      </c>
      <c r="V76" s="23">
        <f t="shared" ca="1" si="8"/>
        <v>18897893.019789726</v>
      </c>
    </row>
    <row r="77" spans="1:22">
      <c r="A77" s="11">
        <v>42095</v>
      </c>
      <c r="B77" s="6">
        <f t="shared" si="9"/>
        <v>2015</v>
      </c>
      <c r="D77" s="30">
        <f t="shared" ca="1" si="10"/>
        <v>326.58999999999997</v>
      </c>
      <c r="E77" s="30">
        <f t="shared" ca="1" si="10"/>
        <v>0.39</v>
      </c>
      <c r="F77">
        <f t="shared" si="7"/>
        <v>76</v>
      </c>
      <c r="G77" s="60">
        <f>SUMIF('Connection count '!B:B,B77,'Connection count '!C:C)</f>
        <v>24004.475833780409</v>
      </c>
      <c r="H77" s="60">
        <f t="shared" ref="H77:J77" si="17">H65</f>
        <v>0</v>
      </c>
      <c r="I77" s="60">
        <f t="shared" si="17"/>
        <v>1</v>
      </c>
      <c r="J77" s="60">
        <f t="shared" si="17"/>
        <v>0</v>
      </c>
      <c r="K77" s="97">
        <f t="shared" ref="K77" si="18">K65</f>
        <v>0</v>
      </c>
      <c r="M77" s="23">
        <f>'Res OLS Model'!$B$5</f>
        <v>-23168470.016197301</v>
      </c>
      <c r="N77" s="23">
        <f ca="1">'Res OLS Model'!$B$6*D77</f>
        <v>3911688.4294709596</v>
      </c>
      <c r="O77" s="23">
        <f ca="1">'Res OLS Model'!$B$7*E77</f>
        <v>13015.289534109019</v>
      </c>
      <c r="P77" s="23">
        <f>'Res OLS Model'!$B$8*F77</f>
        <v>-2088916.0445330082</v>
      </c>
      <c r="Q77" s="23">
        <f>'Res OLS Model'!$B$9*G77</f>
        <v>37456519.45739115</v>
      </c>
      <c r="R77" s="23">
        <f>'Res OLS Model'!$B$10*H77</f>
        <v>0</v>
      </c>
      <c r="S77" s="23">
        <f>'Res OLS Model'!$B$11*I77</f>
        <v>-1218613.41007658</v>
      </c>
      <c r="T77" s="23">
        <f>'Res OLS Model'!$B$12*J77</f>
        <v>0</v>
      </c>
      <c r="U77" s="23">
        <f>'Res OLS Model'!$B$13*K77</f>
        <v>0</v>
      </c>
      <c r="V77" s="23">
        <f t="shared" ca="1" si="8"/>
        <v>14905223.705589332</v>
      </c>
    </row>
    <row r="78" spans="1:22">
      <c r="A78" s="11">
        <v>42125</v>
      </c>
      <c r="B78" s="6">
        <f t="shared" si="9"/>
        <v>2015</v>
      </c>
      <c r="D78" s="30">
        <f t="shared" ca="1" si="10"/>
        <v>144.96</v>
      </c>
      <c r="E78" s="30">
        <f t="shared" ca="1" si="10"/>
        <v>8.67</v>
      </c>
      <c r="F78">
        <f t="shared" si="7"/>
        <v>77</v>
      </c>
      <c r="G78" s="60">
        <f>SUMIF('Connection count '!B:B,B78,'Connection count '!C:C)</f>
        <v>24004.475833780409</v>
      </c>
      <c r="H78" s="60">
        <f t="shared" ref="H78:J78" si="19">H66</f>
        <v>0</v>
      </c>
      <c r="I78" s="60">
        <f t="shared" si="19"/>
        <v>0</v>
      </c>
      <c r="J78" s="60">
        <f t="shared" si="19"/>
        <v>1</v>
      </c>
      <c r="K78" s="97">
        <f t="shared" ref="K78" si="20">K66</f>
        <v>0</v>
      </c>
      <c r="M78" s="23">
        <f>'Res OLS Model'!$B$5</f>
        <v>-23168470.016197301</v>
      </c>
      <c r="N78" s="23">
        <f ca="1">'Res OLS Model'!$B$6*D78</f>
        <v>1736239.182877952</v>
      </c>
      <c r="O78" s="23">
        <f ca="1">'Res OLS Model'!$B$7*E78</f>
        <v>289339.89810442354</v>
      </c>
      <c r="P78" s="23">
        <f>'Res OLS Model'!$B$8*F78</f>
        <v>-2116401.7819610741</v>
      </c>
      <c r="Q78" s="23">
        <f>'Res OLS Model'!$B$9*G78</f>
        <v>37456519.45739115</v>
      </c>
      <c r="R78" s="23">
        <f>'Res OLS Model'!$B$10*H78</f>
        <v>0</v>
      </c>
      <c r="S78" s="23">
        <f>'Res OLS Model'!$B$11*I78</f>
        <v>0</v>
      </c>
      <c r="T78" s="23">
        <f>'Res OLS Model'!$B$12*J78</f>
        <v>-1511757.2538914999</v>
      </c>
      <c r="U78" s="23">
        <f>'Res OLS Model'!$B$13*K78</f>
        <v>0</v>
      </c>
      <c r="V78" s="23">
        <f t="shared" ca="1" si="8"/>
        <v>12685469.486323645</v>
      </c>
    </row>
    <row r="79" spans="1:22">
      <c r="A79" s="11">
        <v>42156</v>
      </c>
      <c r="B79" s="6">
        <f t="shared" si="9"/>
        <v>2015</v>
      </c>
      <c r="D79" s="30">
        <f t="shared" ca="1" si="10"/>
        <v>41.510000000000005</v>
      </c>
      <c r="E79" s="30">
        <f t="shared" ca="1" si="10"/>
        <v>44.41</v>
      </c>
      <c r="F79">
        <f t="shared" si="7"/>
        <v>78</v>
      </c>
      <c r="G79" s="60">
        <f>SUMIF('Connection count '!B:B,B79,'Connection count '!C:C)</f>
        <v>24004.475833780409</v>
      </c>
      <c r="H79" s="60">
        <f t="shared" ref="H79:J79" si="21">H67</f>
        <v>0</v>
      </c>
      <c r="I79" s="60">
        <f t="shared" si="21"/>
        <v>0</v>
      </c>
      <c r="J79" s="60">
        <f t="shared" si="21"/>
        <v>1</v>
      </c>
      <c r="K79" s="97">
        <f t="shared" ref="K79" si="22">K67</f>
        <v>0</v>
      </c>
      <c r="M79" s="23">
        <f>'Res OLS Model'!$B$5</f>
        <v>-23168470.016197301</v>
      </c>
      <c r="N79" s="23">
        <f ca="1">'Res OLS Model'!$B$6*D79</f>
        <v>497180.52208377345</v>
      </c>
      <c r="O79" s="23">
        <f ca="1">'Res OLS Model'!$B$7*E79</f>
        <v>1482074.3800250806</v>
      </c>
      <c r="P79" s="23">
        <f>'Res OLS Model'!$B$8*F79</f>
        <v>-2143887.51938914</v>
      </c>
      <c r="Q79" s="23">
        <f>'Res OLS Model'!$B$9*G79</f>
        <v>37456519.45739115</v>
      </c>
      <c r="R79" s="23">
        <f>'Res OLS Model'!$B$10*H79</f>
        <v>0</v>
      </c>
      <c r="S79" s="23">
        <f>'Res OLS Model'!$B$11*I79</f>
        <v>0</v>
      </c>
      <c r="T79" s="23">
        <f>'Res OLS Model'!$B$12*J79</f>
        <v>-1511757.2538914999</v>
      </c>
      <c r="U79" s="23">
        <f>'Res OLS Model'!$B$13*K79</f>
        <v>0</v>
      </c>
      <c r="V79" s="23">
        <f t="shared" ca="1" si="8"/>
        <v>12611659.570022063</v>
      </c>
    </row>
    <row r="80" spans="1:22">
      <c r="A80" s="11">
        <v>42186</v>
      </c>
      <c r="B80" s="6">
        <f t="shared" si="9"/>
        <v>2015</v>
      </c>
      <c r="D80" s="30">
        <f t="shared" ca="1" si="10"/>
        <v>5.01</v>
      </c>
      <c r="E80" s="30">
        <f t="shared" ca="1" si="10"/>
        <v>96.909999999999982</v>
      </c>
      <c r="F80">
        <f t="shared" si="7"/>
        <v>79</v>
      </c>
      <c r="G80" s="60">
        <f>SUMIF('Connection count '!B:B,B80,'Connection count '!C:C)</f>
        <v>24004.475833780409</v>
      </c>
      <c r="H80" s="60">
        <f t="shared" ref="H80:J80" si="23">H68</f>
        <v>0</v>
      </c>
      <c r="I80" s="60">
        <f t="shared" si="23"/>
        <v>0</v>
      </c>
      <c r="J80" s="60">
        <f t="shared" si="23"/>
        <v>1</v>
      </c>
      <c r="K80" s="97">
        <f t="shared" ref="K80" si="24">K68</f>
        <v>0</v>
      </c>
      <c r="M80" s="23">
        <f>'Res OLS Model'!$B$5</f>
        <v>-23168470.016197301</v>
      </c>
      <c r="N80" s="23">
        <f ca="1">'Res OLS Model'!$B$6*D80</f>
        <v>60006.610832081533</v>
      </c>
      <c r="O80" s="23">
        <f ca="1">'Res OLS Model'!$B$7*E80</f>
        <v>3234132.5865397556</v>
      </c>
      <c r="P80" s="23">
        <f>'Res OLS Model'!$B$8*F80</f>
        <v>-2171373.2568172058</v>
      </c>
      <c r="Q80" s="23">
        <f>'Res OLS Model'!$B$9*G80</f>
        <v>37456519.45739115</v>
      </c>
      <c r="R80" s="23">
        <f>'Res OLS Model'!$B$10*H80</f>
        <v>0</v>
      </c>
      <c r="S80" s="23">
        <f>'Res OLS Model'!$B$11*I80</f>
        <v>0</v>
      </c>
      <c r="T80" s="23">
        <f>'Res OLS Model'!$B$12*J80</f>
        <v>-1511757.2538914999</v>
      </c>
      <c r="U80" s="23">
        <f>'Res OLS Model'!$B$13*K80</f>
        <v>0</v>
      </c>
      <c r="V80" s="23">
        <f t="shared" ca="1" si="8"/>
        <v>13899058.127856979</v>
      </c>
    </row>
    <row r="81" spans="1:22">
      <c r="A81" s="11">
        <v>42217</v>
      </c>
      <c r="B81" s="6">
        <f t="shared" si="9"/>
        <v>2015</v>
      </c>
      <c r="D81" s="30">
        <f t="shared" ca="1" si="10"/>
        <v>12.719999999999999</v>
      </c>
      <c r="E81" s="30">
        <f t="shared" ca="1" si="10"/>
        <v>77.22999999999999</v>
      </c>
      <c r="F81">
        <f t="shared" si="7"/>
        <v>80</v>
      </c>
      <c r="G81" s="60">
        <f>SUMIF('Connection count '!B:B,B81,'Connection count '!C:C)</f>
        <v>24004.475833780409</v>
      </c>
      <c r="H81" s="60">
        <f t="shared" ref="H81:J81" si="25">H69</f>
        <v>0</v>
      </c>
      <c r="I81" s="60">
        <f t="shared" si="25"/>
        <v>0</v>
      </c>
      <c r="J81" s="60">
        <f t="shared" si="25"/>
        <v>1</v>
      </c>
      <c r="K81" s="97">
        <f t="shared" ref="K81" si="26">K69</f>
        <v>0</v>
      </c>
      <c r="M81" s="23">
        <f>'Res OLS Model'!$B$5</f>
        <v>-23168470.016197301</v>
      </c>
      <c r="N81" s="23">
        <f ca="1">'Res OLS Model'!$B$6*D81</f>
        <v>152352.1137293567</v>
      </c>
      <c r="O81" s="23">
        <f ca="1">'Res OLS Model'!$B$7*E81</f>
        <v>2577361.0531262546</v>
      </c>
      <c r="P81" s="23">
        <f>'Res OLS Model'!$B$8*F81</f>
        <v>-2198858.9942452721</v>
      </c>
      <c r="Q81" s="23">
        <f>'Res OLS Model'!$B$9*G81</f>
        <v>37456519.45739115</v>
      </c>
      <c r="R81" s="23">
        <f>'Res OLS Model'!$B$10*H81</f>
        <v>0</v>
      </c>
      <c r="S81" s="23">
        <f>'Res OLS Model'!$B$11*I81</f>
        <v>0</v>
      </c>
      <c r="T81" s="23">
        <f>'Res OLS Model'!$B$12*J81</f>
        <v>-1511757.2538914999</v>
      </c>
      <c r="U81" s="23">
        <f>'Res OLS Model'!$B$13*K81</f>
        <v>0</v>
      </c>
      <c r="V81" s="23">
        <f t="shared" ca="1" si="8"/>
        <v>13307146.359912688</v>
      </c>
    </row>
    <row r="82" spans="1:22">
      <c r="A82" s="11">
        <v>42248</v>
      </c>
      <c r="B82" s="6">
        <f t="shared" si="9"/>
        <v>2015</v>
      </c>
      <c r="D82" s="30">
        <f t="shared" ca="1" si="10"/>
        <v>86.570000000000007</v>
      </c>
      <c r="E82" s="30">
        <f t="shared" ca="1" si="10"/>
        <v>19.899999999999999</v>
      </c>
      <c r="F82">
        <f t="shared" si="7"/>
        <v>81</v>
      </c>
      <c r="G82" s="60">
        <f>SUMIF('Connection count '!B:B,B82,'Connection count '!C:C)</f>
        <v>24004.475833780409</v>
      </c>
      <c r="H82" s="60">
        <f t="shared" ref="H82:J82" si="27">H70</f>
        <v>1</v>
      </c>
      <c r="I82" s="60">
        <f t="shared" si="27"/>
        <v>0</v>
      </c>
      <c r="J82" s="60">
        <f t="shared" si="27"/>
        <v>0</v>
      </c>
      <c r="K82" s="97">
        <f t="shared" ref="K82" si="28">K70</f>
        <v>0</v>
      </c>
      <c r="M82" s="23">
        <f>'Res OLS Model'!$B$5</f>
        <v>-23168470.016197301</v>
      </c>
      <c r="N82" s="23">
        <f ca="1">'Res OLS Model'!$B$6*D82</f>
        <v>1036880.6985495606</v>
      </c>
      <c r="O82" s="23">
        <f ca="1">'Res OLS Model'!$B$7*E82</f>
        <v>664113.49161222938</v>
      </c>
      <c r="P82" s="23">
        <f>'Res OLS Model'!$B$8*F82</f>
        <v>-2226344.731673338</v>
      </c>
      <c r="Q82" s="23">
        <f>'Res OLS Model'!$B$9*G82</f>
        <v>37456519.45739115</v>
      </c>
      <c r="R82" s="23">
        <f>'Res OLS Model'!$B$10*H82</f>
        <v>-1279656.8259476901</v>
      </c>
      <c r="S82" s="23">
        <f>'Res OLS Model'!$B$11*I82</f>
        <v>0</v>
      </c>
      <c r="T82" s="23">
        <f>'Res OLS Model'!$B$12*J82</f>
        <v>0</v>
      </c>
      <c r="U82" s="23">
        <f>'Res OLS Model'!$B$13*K82</f>
        <v>0</v>
      </c>
      <c r="V82" s="23">
        <f t="shared" ca="1" si="8"/>
        <v>12483042.073734611</v>
      </c>
    </row>
    <row r="83" spans="1:22">
      <c r="A83" s="11">
        <v>42278</v>
      </c>
      <c r="B83" s="6">
        <f t="shared" si="9"/>
        <v>2015</v>
      </c>
      <c r="D83" s="30">
        <f t="shared" ca="1" si="10"/>
        <v>270.3</v>
      </c>
      <c r="E83" s="30">
        <f t="shared" ca="1" si="10"/>
        <v>1.21</v>
      </c>
      <c r="F83">
        <f t="shared" si="7"/>
        <v>82</v>
      </c>
      <c r="G83" s="60">
        <f>SUMIF('Connection count '!B:B,B83,'Connection count '!C:C)</f>
        <v>24004.475833780409</v>
      </c>
      <c r="H83" s="60">
        <f t="shared" ref="H83:J83" si="29">H71</f>
        <v>1</v>
      </c>
      <c r="I83" s="60">
        <f t="shared" si="29"/>
        <v>0</v>
      </c>
      <c r="J83" s="60">
        <f t="shared" si="29"/>
        <v>0</v>
      </c>
      <c r="K83" s="97">
        <f t="shared" ref="K83" si="30">K71</f>
        <v>0</v>
      </c>
      <c r="M83" s="23">
        <f>'Res OLS Model'!$B$5</f>
        <v>-23168470.016197301</v>
      </c>
      <c r="N83" s="23">
        <f ca="1">'Res OLS Model'!$B$6*D83</f>
        <v>3237482.4167488301</v>
      </c>
      <c r="O83" s="23">
        <f ca="1">'Res OLS Model'!$B$7*E83</f>
        <v>40380.770093004903</v>
      </c>
      <c r="P83" s="23">
        <f>'Res OLS Model'!$B$8*F83</f>
        <v>-2253830.4691014038</v>
      </c>
      <c r="Q83" s="23">
        <f>'Res OLS Model'!$B$9*G83</f>
        <v>37456519.45739115</v>
      </c>
      <c r="R83" s="23">
        <f>'Res OLS Model'!$B$10*H83</f>
        <v>-1279656.8259476901</v>
      </c>
      <c r="S83" s="23">
        <f>'Res OLS Model'!$B$11*I83</f>
        <v>0</v>
      </c>
      <c r="T83" s="23">
        <f>'Res OLS Model'!$B$12*J83</f>
        <v>0</v>
      </c>
      <c r="U83" s="23">
        <f>'Res OLS Model'!$B$13*K83</f>
        <v>0</v>
      </c>
      <c r="V83" s="23">
        <f t="shared" ca="1" si="8"/>
        <v>14032425.33298659</v>
      </c>
    </row>
    <row r="84" spans="1:22">
      <c r="A84" s="11">
        <v>42309</v>
      </c>
      <c r="B84" s="6">
        <f t="shared" si="9"/>
        <v>2015</v>
      </c>
      <c r="D84" s="30">
        <f t="shared" ca="1" si="10"/>
        <v>444.05</v>
      </c>
      <c r="E84" s="30">
        <f t="shared" ca="1" si="10"/>
        <v>0</v>
      </c>
      <c r="F84">
        <f t="shared" si="7"/>
        <v>83</v>
      </c>
      <c r="G84" s="60">
        <f>SUMIF('Connection count '!B:B,B84,'Connection count '!C:C)</f>
        <v>24004.475833780409</v>
      </c>
      <c r="H84" s="60">
        <f t="shared" ref="H84:J84" si="31">H72</f>
        <v>1</v>
      </c>
      <c r="I84" s="60">
        <f t="shared" si="31"/>
        <v>0</v>
      </c>
      <c r="J84" s="60">
        <f t="shared" si="31"/>
        <v>0</v>
      </c>
      <c r="K84" s="97">
        <f t="shared" ref="K84" si="32">K72</f>
        <v>0</v>
      </c>
      <c r="M84" s="23">
        <f>'Res OLS Model'!$B$5</f>
        <v>-23168470.016197301</v>
      </c>
      <c r="N84" s="23">
        <f ca="1">'Res OLS Model'!$B$6*D84</f>
        <v>5318550.0079811988</v>
      </c>
      <c r="O84" s="23">
        <f ca="1">'Res OLS Model'!$B$7*E84</f>
        <v>0</v>
      </c>
      <c r="P84" s="23">
        <f>'Res OLS Model'!$B$8*F84</f>
        <v>-2281316.2065294697</v>
      </c>
      <c r="Q84" s="23">
        <f>'Res OLS Model'!$B$9*G84</f>
        <v>37456519.45739115</v>
      </c>
      <c r="R84" s="23">
        <f>'Res OLS Model'!$B$10*H84</f>
        <v>-1279656.8259476901</v>
      </c>
      <c r="S84" s="23">
        <f>'Res OLS Model'!$B$11*I84</f>
        <v>0</v>
      </c>
      <c r="T84" s="23">
        <f>'Res OLS Model'!$B$12*J84</f>
        <v>0</v>
      </c>
      <c r="U84" s="23">
        <f>'Res OLS Model'!$B$13*K84</f>
        <v>0</v>
      </c>
      <c r="V84" s="23">
        <f t="shared" ca="1" si="8"/>
        <v>16045626.41669789</v>
      </c>
    </row>
    <row r="85" spans="1:22">
      <c r="A85" s="11">
        <v>42339</v>
      </c>
      <c r="B85" s="6">
        <f t="shared" si="9"/>
        <v>2015</v>
      </c>
      <c r="D85" s="30">
        <f t="shared" ca="1" si="10"/>
        <v>684.01</v>
      </c>
      <c r="E85" s="30">
        <f t="shared" ca="1" si="10"/>
        <v>0</v>
      </c>
      <c r="F85">
        <f t="shared" si="7"/>
        <v>84</v>
      </c>
      <c r="G85" s="60">
        <f>SUMIF('Connection count '!B:B,B85,'Connection count '!C:C)</f>
        <v>24004.475833780409</v>
      </c>
      <c r="H85" s="60">
        <f t="shared" ref="H85:J85" si="33">H73</f>
        <v>0</v>
      </c>
      <c r="I85" s="60">
        <f t="shared" si="33"/>
        <v>0</v>
      </c>
      <c r="J85" s="60">
        <f t="shared" si="33"/>
        <v>0</v>
      </c>
      <c r="K85" s="97">
        <f t="shared" ref="K85" si="34">K73</f>
        <v>0</v>
      </c>
      <c r="M85" s="23">
        <f>'Res OLS Model'!$B$5</f>
        <v>-23168470.016197301</v>
      </c>
      <c r="N85" s="23">
        <f ca="1">'Res OLS Model'!$B$6*D85</f>
        <v>8192639.0968567049</v>
      </c>
      <c r="O85" s="23">
        <f ca="1">'Res OLS Model'!$B$7*E85</f>
        <v>0</v>
      </c>
      <c r="P85" s="23">
        <f>'Res OLS Model'!$B$8*F85</f>
        <v>-2308801.9439575355</v>
      </c>
      <c r="Q85" s="23">
        <f>'Res OLS Model'!$B$9*G85</f>
        <v>37456519.45739115</v>
      </c>
      <c r="R85" s="23">
        <f>'Res OLS Model'!$B$10*H85</f>
        <v>0</v>
      </c>
      <c r="S85" s="23">
        <f>'Res OLS Model'!$B$11*I85</f>
        <v>0</v>
      </c>
      <c r="T85" s="23">
        <f>'Res OLS Model'!$B$12*J85</f>
        <v>0</v>
      </c>
      <c r="U85" s="23">
        <f>'Res OLS Model'!$B$13*K85</f>
        <v>0</v>
      </c>
      <c r="V85" s="23">
        <f t="shared" ca="1" si="8"/>
        <v>20171886.594093017</v>
      </c>
    </row>
    <row r="86" spans="1:22">
      <c r="A86" s="11">
        <v>42370</v>
      </c>
      <c r="B86" s="6">
        <f t="shared" si="9"/>
        <v>2016</v>
      </c>
      <c r="D86" s="30">
        <f t="shared" ca="1" si="10"/>
        <v>784.29</v>
      </c>
      <c r="E86" s="30">
        <f t="shared" ca="1" si="10"/>
        <v>0</v>
      </c>
      <c r="F86">
        <f t="shared" si="7"/>
        <v>85</v>
      </c>
      <c r="G86" s="60">
        <f>SUMIF('Connection count '!B:B,B86,'Connection count '!C:C)</f>
        <v>24157.335580892955</v>
      </c>
      <c r="H86" s="60">
        <f t="shared" ref="H86:J86" si="35">H74</f>
        <v>0</v>
      </c>
      <c r="I86" s="60">
        <f t="shared" si="35"/>
        <v>0</v>
      </c>
      <c r="J86" s="60">
        <f t="shared" si="35"/>
        <v>0</v>
      </c>
      <c r="K86" s="97">
        <f t="shared" ref="K86" si="36">K74</f>
        <v>1</v>
      </c>
      <c r="M86" s="23">
        <f>'Res OLS Model'!$B$5</f>
        <v>-23168470.016197301</v>
      </c>
      <c r="N86" s="23">
        <f ca="1">'Res OLS Model'!$B$6*D86</f>
        <v>9393729.5028928593</v>
      </c>
      <c r="O86" s="23">
        <f ca="1">'Res OLS Model'!$B$7*E86</f>
        <v>0</v>
      </c>
      <c r="P86" s="23">
        <f>'Res OLS Model'!$B$8*F86</f>
        <v>-2336287.6813856014</v>
      </c>
      <c r="Q86" s="23">
        <f>'Res OLS Model'!$B$9*G86</f>
        <v>37695041.395200588</v>
      </c>
      <c r="R86" s="23">
        <f>'Res OLS Model'!$B$10*H86</f>
        <v>0</v>
      </c>
      <c r="S86" s="23">
        <f>'Res OLS Model'!$B$11*I86</f>
        <v>0</v>
      </c>
      <c r="T86" s="23">
        <f>'Res OLS Model'!$B$12*J86</f>
        <v>0</v>
      </c>
      <c r="U86" s="23">
        <f>'Res OLS Model'!$B$13*K86</f>
        <v>1122371.81652903</v>
      </c>
      <c r="V86" s="23">
        <f t="shared" ca="1" si="8"/>
        <v>22706385.017039575</v>
      </c>
    </row>
    <row r="87" spans="1:22">
      <c r="A87" s="11">
        <v>42401</v>
      </c>
      <c r="B87" s="6">
        <f t="shared" si="9"/>
        <v>2016</v>
      </c>
      <c r="D87" s="30">
        <f t="shared" ca="1" si="10"/>
        <v>682.50999999999988</v>
      </c>
      <c r="E87" s="30">
        <f t="shared" ca="1" si="10"/>
        <v>0</v>
      </c>
      <c r="F87">
        <f t="shared" si="7"/>
        <v>86</v>
      </c>
      <c r="G87" s="60">
        <f>SUMIF('Connection count '!B:B,B87,'Connection count '!C:C)</f>
        <v>24157.335580892955</v>
      </c>
      <c r="H87" s="60">
        <f t="shared" ref="H87:J87" si="37">H75</f>
        <v>0</v>
      </c>
      <c r="I87" s="60">
        <f t="shared" si="37"/>
        <v>0</v>
      </c>
      <c r="J87" s="60">
        <f t="shared" si="37"/>
        <v>0</v>
      </c>
      <c r="K87" s="97">
        <f t="shared" ref="K87" si="38">K75</f>
        <v>0</v>
      </c>
      <c r="M87" s="23">
        <f>'Res OLS Model'!$B$5</f>
        <v>-23168470.016197301</v>
      </c>
      <c r="N87" s="23">
        <f ca="1">'Res OLS Model'!$B$6*D87</f>
        <v>8174673.0457093734</v>
      </c>
      <c r="O87" s="23">
        <f ca="1">'Res OLS Model'!$B$7*E87</f>
        <v>0</v>
      </c>
      <c r="P87" s="23">
        <f>'Res OLS Model'!$B$8*F87</f>
        <v>-2363773.4188136673</v>
      </c>
      <c r="Q87" s="23">
        <f>'Res OLS Model'!$B$9*G87</f>
        <v>37695041.395200588</v>
      </c>
      <c r="R87" s="23">
        <f>'Res OLS Model'!$B$10*H87</f>
        <v>0</v>
      </c>
      <c r="S87" s="23">
        <f>'Res OLS Model'!$B$11*I87</f>
        <v>0</v>
      </c>
      <c r="T87" s="23">
        <f>'Res OLS Model'!$B$12*J87</f>
        <v>0</v>
      </c>
      <c r="U87" s="23">
        <f>'Res OLS Model'!$B$13*K87</f>
        <v>0</v>
      </c>
      <c r="V87" s="23">
        <f t="shared" ca="1" si="8"/>
        <v>20337471.005898993</v>
      </c>
    </row>
    <row r="88" spans="1:22">
      <c r="A88" s="11">
        <v>42430</v>
      </c>
      <c r="B88" s="6">
        <f t="shared" si="9"/>
        <v>2016</v>
      </c>
      <c r="D88" s="30">
        <f t="shared" ca="1" si="10"/>
        <v>556.99</v>
      </c>
      <c r="E88" s="30">
        <f t="shared" ca="1" si="10"/>
        <v>0</v>
      </c>
      <c r="F88">
        <f t="shared" si="7"/>
        <v>87</v>
      </c>
      <c r="G88" s="60">
        <f>SUMIF('Connection count '!B:B,B88,'Connection count '!C:C)</f>
        <v>24157.335580892955</v>
      </c>
      <c r="H88" s="60">
        <f t="shared" ref="H88:J88" si="39">H76</f>
        <v>0</v>
      </c>
      <c r="I88" s="60">
        <f t="shared" si="39"/>
        <v>0</v>
      </c>
      <c r="J88" s="60">
        <f t="shared" si="39"/>
        <v>0</v>
      </c>
      <c r="K88" s="97">
        <f t="shared" ref="K88" si="40">K76</f>
        <v>0</v>
      </c>
      <c r="M88" s="23">
        <f>'Res OLS Model'!$B$5</f>
        <v>-23168470.016197301</v>
      </c>
      <c r="N88" s="23">
        <f ca="1">'Res OLS Model'!$B$6*D88</f>
        <v>6671273.8857008172</v>
      </c>
      <c r="O88" s="23">
        <f ca="1">'Res OLS Model'!$B$7*E88</f>
        <v>0</v>
      </c>
      <c r="P88" s="23">
        <f>'Res OLS Model'!$B$8*F88</f>
        <v>-2391259.1562417331</v>
      </c>
      <c r="Q88" s="23">
        <f>'Res OLS Model'!$B$9*G88</f>
        <v>37695041.395200588</v>
      </c>
      <c r="R88" s="23">
        <f>'Res OLS Model'!$B$10*H88</f>
        <v>0</v>
      </c>
      <c r="S88" s="23">
        <f>'Res OLS Model'!$B$11*I88</f>
        <v>0</v>
      </c>
      <c r="T88" s="23">
        <f>'Res OLS Model'!$B$12*J88</f>
        <v>0</v>
      </c>
      <c r="U88" s="23">
        <f>'Res OLS Model'!$B$13*K88</f>
        <v>0</v>
      </c>
      <c r="V88" s="23">
        <f t="shared" ca="1" si="8"/>
        <v>18806586.108462371</v>
      </c>
    </row>
    <row r="89" spans="1:22">
      <c r="A89" s="11">
        <v>42461</v>
      </c>
      <c r="B89" s="6">
        <f t="shared" si="9"/>
        <v>2016</v>
      </c>
      <c r="D89" s="30">
        <f t="shared" ca="1" si="10"/>
        <v>326.58999999999997</v>
      </c>
      <c r="E89" s="30">
        <f t="shared" ca="1" si="10"/>
        <v>0.39</v>
      </c>
      <c r="F89">
        <f t="shared" si="7"/>
        <v>88</v>
      </c>
      <c r="G89" s="60">
        <f>SUMIF('Connection count '!B:B,B89,'Connection count '!C:C)</f>
        <v>24157.335580892955</v>
      </c>
      <c r="H89" s="60">
        <f t="shared" ref="H89:J89" si="41">H77</f>
        <v>0</v>
      </c>
      <c r="I89" s="60">
        <f t="shared" si="41"/>
        <v>1</v>
      </c>
      <c r="J89" s="60">
        <f t="shared" si="41"/>
        <v>0</v>
      </c>
      <c r="K89" s="97">
        <f t="shared" ref="K89" si="42">K77</f>
        <v>0</v>
      </c>
      <c r="M89" s="23">
        <f>'Res OLS Model'!$B$5</f>
        <v>-23168470.016197301</v>
      </c>
      <c r="N89" s="23">
        <f ca="1">'Res OLS Model'!$B$6*D89</f>
        <v>3911688.4294709596</v>
      </c>
      <c r="O89" s="23">
        <f ca="1">'Res OLS Model'!$B$7*E89</f>
        <v>13015.289534109019</v>
      </c>
      <c r="P89" s="23">
        <f>'Res OLS Model'!$B$8*F89</f>
        <v>-2418744.893669799</v>
      </c>
      <c r="Q89" s="23">
        <f>'Res OLS Model'!$B$9*G89</f>
        <v>37695041.395200588</v>
      </c>
      <c r="R89" s="23">
        <f>'Res OLS Model'!$B$10*H89</f>
        <v>0</v>
      </c>
      <c r="S89" s="23">
        <f>'Res OLS Model'!$B$11*I89</f>
        <v>-1218613.41007658</v>
      </c>
      <c r="T89" s="23">
        <f>'Res OLS Model'!$B$12*J89</f>
        <v>0</v>
      </c>
      <c r="U89" s="23">
        <f>'Res OLS Model'!$B$13*K89</f>
        <v>0</v>
      </c>
      <c r="V89" s="23">
        <f t="shared" ca="1" si="8"/>
        <v>14813916.794261977</v>
      </c>
    </row>
    <row r="90" spans="1:22">
      <c r="A90" s="11">
        <v>42491</v>
      </c>
      <c r="B90" s="6">
        <f t="shared" si="9"/>
        <v>2016</v>
      </c>
      <c r="D90" s="30">
        <f t="shared" ca="1" si="10"/>
        <v>144.96</v>
      </c>
      <c r="E90" s="30">
        <f t="shared" ca="1" si="10"/>
        <v>8.67</v>
      </c>
      <c r="F90">
        <f t="shared" si="7"/>
        <v>89</v>
      </c>
      <c r="G90" s="60">
        <f>SUMIF('Connection count '!B:B,B90,'Connection count '!C:C)</f>
        <v>24157.335580892955</v>
      </c>
      <c r="H90" s="60">
        <f t="shared" ref="H90:J90" si="43">H78</f>
        <v>0</v>
      </c>
      <c r="I90" s="60">
        <f t="shared" si="43"/>
        <v>0</v>
      </c>
      <c r="J90" s="60">
        <f t="shared" si="43"/>
        <v>1</v>
      </c>
      <c r="K90" s="97">
        <f t="shared" ref="K90" si="44">K78</f>
        <v>0</v>
      </c>
      <c r="M90" s="23">
        <f>'Res OLS Model'!$B$5</f>
        <v>-23168470.016197301</v>
      </c>
      <c r="N90" s="23">
        <f ca="1">'Res OLS Model'!$B$6*D90</f>
        <v>1736239.182877952</v>
      </c>
      <c r="O90" s="23">
        <f ca="1">'Res OLS Model'!$B$7*E90</f>
        <v>289339.89810442354</v>
      </c>
      <c r="P90" s="23">
        <f>'Res OLS Model'!$B$8*F90</f>
        <v>-2446230.6310978648</v>
      </c>
      <c r="Q90" s="23">
        <f>'Res OLS Model'!$B$9*G90</f>
        <v>37695041.395200588</v>
      </c>
      <c r="R90" s="23">
        <f>'Res OLS Model'!$B$10*H90</f>
        <v>0</v>
      </c>
      <c r="S90" s="23">
        <f>'Res OLS Model'!$B$11*I90</f>
        <v>0</v>
      </c>
      <c r="T90" s="23">
        <f>'Res OLS Model'!$B$12*J90</f>
        <v>-1511757.2538914999</v>
      </c>
      <c r="U90" s="23">
        <f>'Res OLS Model'!$B$13*K90</f>
        <v>0</v>
      </c>
      <c r="V90" s="23">
        <f t="shared" ca="1" si="8"/>
        <v>12594162.574996294</v>
      </c>
    </row>
    <row r="91" spans="1:22">
      <c r="A91" s="11">
        <v>42522</v>
      </c>
      <c r="B91" s="6">
        <f t="shared" si="9"/>
        <v>2016</v>
      </c>
      <c r="D91" s="30">
        <f t="shared" ca="1" si="10"/>
        <v>41.510000000000005</v>
      </c>
      <c r="E91" s="30">
        <f t="shared" ca="1" si="10"/>
        <v>44.41</v>
      </c>
      <c r="F91">
        <f t="shared" si="7"/>
        <v>90</v>
      </c>
      <c r="G91" s="60">
        <f>SUMIF('Connection count '!B:B,B91,'Connection count '!C:C)</f>
        <v>24157.335580892955</v>
      </c>
      <c r="H91" s="60">
        <f t="shared" ref="H91:J91" si="45">H79</f>
        <v>0</v>
      </c>
      <c r="I91" s="60">
        <f t="shared" si="45"/>
        <v>0</v>
      </c>
      <c r="J91" s="60">
        <f t="shared" si="45"/>
        <v>1</v>
      </c>
      <c r="K91" s="97">
        <f t="shared" ref="K91" si="46">K79</f>
        <v>0</v>
      </c>
      <c r="M91" s="23">
        <f>'Res OLS Model'!$B$5</f>
        <v>-23168470.016197301</v>
      </c>
      <c r="N91" s="23">
        <f ca="1">'Res OLS Model'!$B$6*D91</f>
        <v>497180.52208377345</v>
      </c>
      <c r="O91" s="23">
        <f ca="1">'Res OLS Model'!$B$7*E91</f>
        <v>1482074.3800250806</v>
      </c>
      <c r="P91" s="23">
        <f>'Res OLS Model'!$B$8*F91</f>
        <v>-2473716.3685259307</v>
      </c>
      <c r="Q91" s="23">
        <f>'Res OLS Model'!$B$9*G91</f>
        <v>37695041.395200588</v>
      </c>
      <c r="R91" s="23">
        <f>'Res OLS Model'!$B$10*H91</f>
        <v>0</v>
      </c>
      <c r="S91" s="23">
        <f>'Res OLS Model'!$B$11*I91</f>
        <v>0</v>
      </c>
      <c r="T91" s="23">
        <f>'Res OLS Model'!$B$12*J91</f>
        <v>-1511757.2538914999</v>
      </c>
      <c r="U91" s="23">
        <f>'Res OLS Model'!$B$13*K91</f>
        <v>0</v>
      </c>
      <c r="V91" s="23">
        <f t="shared" ca="1" si="8"/>
        <v>12520352.658694712</v>
      </c>
    </row>
    <row r="92" spans="1:22">
      <c r="A92" s="11">
        <v>42552</v>
      </c>
      <c r="B92" s="6">
        <f t="shared" si="9"/>
        <v>2016</v>
      </c>
      <c r="D92" s="30">
        <f t="shared" ca="1" si="10"/>
        <v>5.01</v>
      </c>
      <c r="E92" s="30">
        <f t="shared" ca="1" si="10"/>
        <v>96.909999999999982</v>
      </c>
      <c r="F92">
        <f t="shared" si="7"/>
        <v>91</v>
      </c>
      <c r="G92" s="60">
        <f>SUMIF('Connection count '!B:B,B92,'Connection count '!C:C)</f>
        <v>24157.335580892955</v>
      </c>
      <c r="H92" s="60">
        <f t="shared" ref="H92:J92" si="47">H80</f>
        <v>0</v>
      </c>
      <c r="I92" s="60">
        <f t="shared" si="47"/>
        <v>0</v>
      </c>
      <c r="J92" s="60">
        <f t="shared" si="47"/>
        <v>1</v>
      </c>
      <c r="K92" s="97">
        <f t="shared" ref="K92" si="48">K80</f>
        <v>0</v>
      </c>
      <c r="M92" s="23">
        <f>'Res OLS Model'!$B$5</f>
        <v>-23168470.016197301</v>
      </c>
      <c r="N92" s="23">
        <f ca="1">'Res OLS Model'!$B$6*D92</f>
        <v>60006.610832081533</v>
      </c>
      <c r="O92" s="23">
        <f ca="1">'Res OLS Model'!$B$7*E92</f>
        <v>3234132.5865397556</v>
      </c>
      <c r="P92" s="23">
        <f>'Res OLS Model'!$B$8*F92</f>
        <v>-2501202.105953997</v>
      </c>
      <c r="Q92" s="23">
        <f>'Res OLS Model'!$B$9*G92</f>
        <v>37695041.395200588</v>
      </c>
      <c r="R92" s="23">
        <f>'Res OLS Model'!$B$10*H92</f>
        <v>0</v>
      </c>
      <c r="S92" s="23">
        <f>'Res OLS Model'!$B$11*I92</f>
        <v>0</v>
      </c>
      <c r="T92" s="23">
        <f>'Res OLS Model'!$B$12*J92</f>
        <v>-1511757.2538914999</v>
      </c>
      <c r="U92" s="23">
        <f>'Res OLS Model'!$B$13*K92</f>
        <v>0</v>
      </c>
      <c r="V92" s="23">
        <f t="shared" ca="1" si="8"/>
        <v>13807751.216529628</v>
      </c>
    </row>
    <row r="93" spans="1:22">
      <c r="A93" s="11">
        <v>42583</v>
      </c>
      <c r="B93" s="6">
        <f t="shared" si="9"/>
        <v>2016</v>
      </c>
      <c r="D93" s="30">
        <f t="shared" ca="1" si="10"/>
        <v>12.719999999999999</v>
      </c>
      <c r="E93" s="30">
        <f t="shared" ca="1" si="10"/>
        <v>77.22999999999999</v>
      </c>
      <c r="F93">
        <f t="shared" si="7"/>
        <v>92</v>
      </c>
      <c r="G93" s="60">
        <f>SUMIF('Connection count '!B:B,B93,'Connection count '!C:C)</f>
        <v>24157.335580892955</v>
      </c>
      <c r="H93" s="60">
        <f t="shared" ref="H93:J93" si="49">H81</f>
        <v>0</v>
      </c>
      <c r="I93" s="60">
        <f t="shared" si="49"/>
        <v>0</v>
      </c>
      <c r="J93" s="60">
        <f t="shared" si="49"/>
        <v>1</v>
      </c>
      <c r="K93" s="97">
        <f t="shared" ref="K93" si="50">K81</f>
        <v>0</v>
      </c>
      <c r="M93" s="23">
        <f>'Res OLS Model'!$B$5</f>
        <v>-23168470.016197301</v>
      </c>
      <c r="N93" s="23">
        <f ca="1">'Res OLS Model'!$B$6*D93</f>
        <v>152352.1137293567</v>
      </c>
      <c r="O93" s="23">
        <f ca="1">'Res OLS Model'!$B$7*E93</f>
        <v>2577361.0531262546</v>
      </c>
      <c r="P93" s="23">
        <f>'Res OLS Model'!$B$8*F93</f>
        <v>-2528687.8433820629</v>
      </c>
      <c r="Q93" s="23">
        <f>'Res OLS Model'!$B$9*G93</f>
        <v>37695041.395200588</v>
      </c>
      <c r="R93" s="23">
        <f>'Res OLS Model'!$B$10*H93</f>
        <v>0</v>
      </c>
      <c r="S93" s="23">
        <f>'Res OLS Model'!$B$11*I93</f>
        <v>0</v>
      </c>
      <c r="T93" s="23">
        <f>'Res OLS Model'!$B$12*J93</f>
        <v>-1511757.2538914999</v>
      </c>
      <c r="U93" s="23">
        <f>'Res OLS Model'!$B$13*K93</f>
        <v>0</v>
      </c>
      <c r="V93" s="23">
        <f t="shared" ca="1" si="8"/>
        <v>13215839.448585333</v>
      </c>
    </row>
    <row r="94" spans="1:22">
      <c r="A94" s="11">
        <v>42614</v>
      </c>
      <c r="B94" s="6">
        <f t="shared" si="9"/>
        <v>2016</v>
      </c>
      <c r="D94" s="30">
        <f t="shared" ref="D94:E113" ca="1" si="51">D82</f>
        <v>86.570000000000007</v>
      </c>
      <c r="E94" s="30">
        <f t="shared" ca="1" si="51"/>
        <v>19.899999999999999</v>
      </c>
      <c r="F94">
        <f t="shared" si="7"/>
        <v>93</v>
      </c>
      <c r="G94" s="60">
        <f>SUMIF('Connection count '!B:B,B94,'Connection count '!C:C)</f>
        <v>24157.335580892955</v>
      </c>
      <c r="H94" s="60">
        <f t="shared" ref="H94:J94" si="52">H82</f>
        <v>1</v>
      </c>
      <c r="I94" s="60">
        <f t="shared" si="52"/>
        <v>0</v>
      </c>
      <c r="J94" s="60">
        <f t="shared" si="52"/>
        <v>0</v>
      </c>
      <c r="K94" s="97">
        <f t="shared" ref="K94" si="53">K82</f>
        <v>0</v>
      </c>
      <c r="M94" s="23">
        <f>'Res OLS Model'!$B$5</f>
        <v>-23168470.016197301</v>
      </c>
      <c r="N94" s="23">
        <f ca="1">'Res OLS Model'!$B$6*D94</f>
        <v>1036880.6985495606</v>
      </c>
      <c r="O94" s="23">
        <f ca="1">'Res OLS Model'!$B$7*E94</f>
        <v>664113.49161222938</v>
      </c>
      <c r="P94" s="23">
        <f>'Res OLS Model'!$B$8*F94</f>
        <v>-2556173.5808101287</v>
      </c>
      <c r="Q94" s="23">
        <f>'Res OLS Model'!$B$9*G94</f>
        <v>37695041.395200588</v>
      </c>
      <c r="R94" s="23">
        <f>'Res OLS Model'!$B$10*H94</f>
        <v>-1279656.8259476901</v>
      </c>
      <c r="S94" s="23">
        <f>'Res OLS Model'!$B$11*I94</f>
        <v>0</v>
      </c>
      <c r="T94" s="23">
        <f>'Res OLS Model'!$B$12*J94</f>
        <v>0</v>
      </c>
      <c r="U94" s="23">
        <f>'Res OLS Model'!$B$13*K94</f>
        <v>0</v>
      </c>
      <c r="V94" s="23">
        <f t="shared" ca="1" si="8"/>
        <v>12391735.162407257</v>
      </c>
    </row>
    <row r="95" spans="1:22">
      <c r="A95" s="11">
        <v>42644</v>
      </c>
      <c r="B95" s="6">
        <f t="shared" si="9"/>
        <v>2016</v>
      </c>
      <c r="D95" s="30">
        <f t="shared" ca="1" si="51"/>
        <v>270.3</v>
      </c>
      <c r="E95" s="30">
        <f t="shared" ca="1" si="51"/>
        <v>1.21</v>
      </c>
      <c r="F95">
        <f t="shared" si="7"/>
        <v>94</v>
      </c>
      <c r="G95" s="60">
        <f>SUMIF('Connection count '!B:B,B95,'Connection count '!C:C)</f>
        <v>24157.335580892955</v>
      </c>
      <c r="H95" s="60">
        <f t="shared" ref="H95:J95" si="54">H83</f>
        <v>1</v>
      </c>
      <c r="I95" s="60">
        <f t="shared" si="54"/>
        <v>0</v>
      </c>
      <c r="J95" s="60">
        <f t="shared" si="54"/>
        <v>0</v>
      </c>
      <c r="K95" s="97">
        <f t="shared" ref="K95" si="55">K83</f>
        <v>0</v>
      </c>
      <c r="M95" s="23">
        <f>'Res OLS Model'!$B$5</f>
        <v>-23168470.016197301</v>
      </c>
      <c r="N95" s="23">
        <f ca="1">'Res OLS Model'!$B$6*D95</f>
        <v>3237482.4167488301</v>
      </c>
      <c r="O95" s="23">
        <f ca="1">'Res OLS Model'!$B$7*E95</f>
        <v>40380.770093004903</v>
      </c>
      <c r="P95" s="23">
        <f>'Res OLS Model'!$B$8*F95</f>
        <v>-2583659.3182381946</v>
      </c>
      <c r="Q95" s="23">
        <f>'Res OLS Model'!$B$9*G95</f>
        <v>37695041.395200588</v>
      </c>
      <c r="R95" s="23">
        <f>'Res OLS Model'!$B$10*H95</f>
        <v>-1279656.8259476901</v>
      </c>
      <c r="S95" s="23">
        <f>'Res OLS Model'!$B$11*I95</f>
        <v>0</v>
      </c>
      <c r="T95" s="23">
        <f>'Res OLS Model'!$B$12*J95</f>
        <v>0</v>
      </c>
      <c r="U95" s="23">
        <f>'Res OLS Model'!$B$13*K95</f>
        <v>0</v>
      </c>
      <c r="V95" s="23">
        <f t="shared" ca="1" si="8"/>
        <v>13941118.421659235</v>
      </c>
    </row>
    <row r="96" spans="1:22">
      <c r="A96" s="11">
        <v>42675</v>
      </c>
      <c r="B96" s="6">
        <f t="shared" si="9"/>
        <v>2016</v>
      </c>
      <c r="D96" s="30">
        <f t="shared" ca="1" si="51"/>
        <v>444.05</v>
      </c>
      <c r="E96" s="30">
        <f t="shared" ca="1" si="51"/>
        <v>0</v>
      </c>
      <c r="F96">
        <f t="shared" si="7"/>
        <v>95</v>
      </c>
      <c r="G96" s="60">
        <f>SUMIF('Connection count '!B:B,B96,'Connection count '!C:C)</f>
        <v>24157.335580892955</v>
      </c>
      <c r="H96" s="60">
        <f t="shared" ref="H96:J96" si="56">H84</f>
        <v>1</v>
      </c>
      <c r="I96" s="60">
        <f t="shared" si="56"/>
        <v>0</v>
      </c>
      <c r="J96" s="60">
        <f t="shared" si="56"/>
        <v>0</v>
      </c>
      <c r="K96" s="97">
        <f t="shared" ref="K96" si="57">K84</f>
        <v>0</v>
      </c>
      <c r="M96" s="23">
        <f>'Res OLS Model'!$B$5</f>
        <v>-23168470.016197301</v>
      </c>
      <c r="N96" s="23">
        <f ca="1">'Res OLS Model'!$B$6*D96</f>
        <v>5318550.0079811988</v>
      </c>
      <c r="O96" s="23">
        <f ca="1">'Res OLS Model'!$B$7*E96</f>
        <v>0</v>
      </c>
      <c r="P96" s="23">
        <f>'Res OLS Model'!$B$8*F96</f>
        <v>-2611145.0556662604</v>
      </c>
      <c r="Q96" s="23">
        <f>'Res OLS Model'!$B$9*G96</f>
        <v>37695041.395200588</v>
      </c>
      <c r="R96" s="23">
        <f>'Res OLS Model'!$B$10*H96</f>
        <v>-1279656.8259476901</v>
      </c>
      <c r="S96" s="23">
        <f>'Res OLS Model'!$B$11*I96</f>
        <v>0</v>
      </c>
      <c r="T96" s="23">
        <f>'Res OLS Model'!$B$12*J96</f>
        <v>0</v>
      </c>
      <c r="U96" s="23">
        <f>'Res OLS Model'!$B$13*K96</f>
        <v>0</v>
      </c>
      <c r="V96" s="23">
        <f t="shared" ca="1" si="8"/>
        <v>15954319.505370535</v>
      </c>
    </row>
    <row r="97" spans="1:22">
      <c r="A97" s="11">
        <v>42705</v>
      </c>
      <c r="B97" s="6">
        <f t="shared" si="9"/>
        <v>2016</v>
      </c>
      <c r="D97" s="30">
        <f t="shared" ca="1" si="51"/>
        <v>684.01</v>
      </c>
      <c r="E97" s="30">
        <f t="shared" ca="1" si="51"/>
        <v>0</v>
      </c>
      <c r="F97">
        <f t="shared" si="7"/>
        <v>96</v>
      </c>
      <c r="G97" s="60">
        <f>SUMIF('Connection count '!B:B,B97,'Connection count '!C:C)</f>
        <v>24157.335580892955</v>
      </c>
      <c r="H97" s="60">
        <f t="shared" ref="H97:J97" si="58">H85</f>
        <v>0</v>
      </c>
      <c r="I97" s="60">
        <f t="shared" si="58"/>
        <v>0</v>
      </c>
      <c r="J97" s="60">
        <f t="shared" si="58"/>
        <v>0</v>
      </c>
      <c r="K97" s="97">
        <f t="shared" ref="K97" si="59">K85</f>
        <v>0</v>
      </c>
      <c r="M97" s="23">
        <f>'Res OLS Model'!$B$5</f>
        <v>-23168470.016197301</v>
      </c>
      <c r="N97" s="23">
        <f ca="1">'Res OLS Model'!$B$6*D97</f>
        <v>8192639.0968567049</v>
      </c>
      <c r="O97" s="23">
        <f ca="1">'Res OLS Model'!$B$7*E97</f>
        <v>0</v>
      </c>
      <c r="P97" s="23">
        <f>'Res OLS Model'!$B$8*F97</f>
        <v>-2638630.7930943263</v>
      </c>
      <c r="Q97" s="23">
        <f>'Res OLS Model'!$B$9*G97</f>
        <v>37695041.395200588</v>
      </c>
      <c r="R97" s="23">
        <f>'Res OLS Model'!$B$10*H97</f>
        <v>0</v>
      </c>
      <c r="S97" s="23">
        <f>'Res OLS Model'!$B$11*I97</f>
        <v>0</v>
      </c>
      <c r="T97" s="23">
        <f>'Res OLS Model'!$B$12*J97</f>
        <v>0</v>
      </c>
      <c r="U97" s="23">
        <f>'Res OLS Model'!$B$13*K97</f>
        <v>0</v>
      </c>
      <c r="V97" s="23">
        <f t="shared" ca="1" si="8"/>
        <v>20080579.682765666</v>
      </c>
    </row>
    <row r="98" spans="1:22">
      <c r="A98" s="11">
        <v>42736</v>
      </c>
      <c r="B98" s="6">
        <f t="shared" ref="B98:B145" si="60">YEAR(A98)</f>
        <v>2017</v>
      </c>
      <c r="D98" s="30">
        <f t="shared" ca="1" si="51"/>
        <v>784.29</v>
      </c>
      <c r="E98" s="30">
        <f t="shared" ca="1" si="51"/>
        <v>0</v>
      </c>
      <c r="F98">
        <f t="shared" si="7"/>
        <v>97</v>
      </c>
      <c r="G98" s="60">
        <f>SUMIF('Connection count '!B:B,B98,'Connection count '!C:C)</f>
        <v>24311.16873406732</v>
      </c>
      <c r="H98" s="60">
        <f t="shared" ref="H98:J98" si="61">H86</f>
        <v>0</v>
      </c>
      <c r="I98" s="60">
        <f t="shared" si="61"/>
        <v>0</v>
      </c>
      <c r="J98" s="60">
        <f t="shared" si="61"/>
        <v>0</v>
      </c>
      <c r="K98" s="97">
        <f t="shared" ref="K98" si="62">K86</f>
        <v>1</v>
      </c>
      <c r="M98" s="23">
        <f>'Res OLS Model'!$B$5</f>
        <v>-23168470.016197301</v>
      </c>
      <c r="N98" s="23">
        <f ca="1">'Res OLS Model'!$B$6*D98</f>
        <v>9393729.5028928593</v>
      </c>
      <c r="O98" s="23">
        <f ca="1">'Res OLS Model'!$B$7*E98</f>
        <v>0</v>
      </c>
      <c r="P98" s="23">
        <f>'Res OLS Model'!$B$8*F98</f>
        <v>-2666116.5305223921</v>
      </c>
      <c r="Q98" s="23">
        <f>'Res OLS Model'!$B$9*G98</f>
        <v>37935082.233207919</v>
      </c>
      <c r="R98" s="23">
        <f>'Res OLS Model'!$B$10*H98</f>
        <v>0</v>
      </c>
      <c r="S98" s="23">
        <f>'Res OLS Model'!$B$11*I98</f>
        <v>0</v>
      </c>
      <c r="T98" s="23">
        <f>'Res OLS Model'!$B$12*J98</f>
        <v>0</v>
      </c>
      <c r="U98" s="23">
        <f>'Res OLS Model'!$B$13*K98</f>
        <v>1122371.81652903</v>
      </c>
      <c r="V98" s="23">
        <f t="shared" ref="V98:V129" ca="1" si="63">SUM(M98:U98)</f>
        <v>22616597.005910113</v>
      </c>
    </row>
    <row r="99" spans="1:22">
      <c r="A99" s="11">
        <v>42767</v>
      </c>
      <c r="B99" s="6">
        <f t="shared" si="60"/>
        <v>2017</v>
      </c>
      <c r="D99" s="30">
        <f t="shared" ca="1" si="51"/>
        <v>682.50999999999988</v>
      </c>
      <c r="E99" s="30">
        <f t="shared" ca="1" si="51"/>
        <v>0</v>
      </c>
      <c r="F99">
        <f t="shared" si="7"/>
        <v>98</v>
      </c>
      <c r="G99" s="60">
        <f>SUMIF('Connection count '!B:B,B99,'Connection count '!C:C)</f>
        <v>24311.16873406732</v>
      </c>
      <c r="H99" s="60">
        <f t="shared" ref="H99:J99" si="64">H87</f>
        <v>0</v>
      </c>
      <c r="I99" s="60">
        <f t="shared" si="64"/>
        <v>0</v>
      </c>
      <c r="J99" s="60">
        <f t="shared" si="64"/>
        <v>0</v>
      </c>
      <c r="K99" s="97">
        <f t="shared" ref="K99" si="65">K87</f>
        <v>0</v>
      </c>
      <c r="M99" s="23">
        <f>'Res OLS Model'!$B$5</f>
        <v>-23168470.016197301</v>
      </c>
      <c r="N99" s="23">
        <f ca="1">'Res OLS Model'!$B$6*D99</f>
        <v>8174673.0457093734</v>
      </c>
      <c r="O99" s="23">
        <f ca="1">'Res OLS Model'!$B$7*E99</f>
        <v>0</v>
      </c>
      <c r="P99" s="23">
        <f>'Res OLS Model'!$B$8*F99</f>
        <v>-2693602.267950458</v>
      </c>
      <c r="Q99" s="23">
        <f>'Res OLS Model'!$B$9*G99</f>
        <v>37935082.233207919</v>
      </c>
      <c r="R99" s="23">
        <f>'Res OLS Model'!$B$10*H99</f>
        <v>0</v>
      </c>
      <c r="S99" s="23">
        <f>'Res OLS Model'!$B$11*I99</f>
        <v>0</v>
      </c>
      <c r="T99" s="23">
        <f>'Res OLS Model'!$B$12*J99</f>
        <v>0</v>
      </c>
      <c r="U99" s="23">
        <f>'Res OLS Model'!$B$13*K99</f>
        <v>0</v>
      </c>
      <c r="V99" s="23">
        <f t="shared" ca="1" si="63"/>
        <v>20247682.994769532</v>
      </c>
    </row>
    <row r="100" spans="1:22">
      <c r="A100" s="11">
        <v>42795</v>
      </c>
      <c r="B100" s="6">
        <f t="shared" si="60"/>
        <v>2017</v>
      </c>
      <c r="D100" s="30">
        <f t="shared" ca="1" si="51"/>
        <v>556.99</v>
      </c>
      <c r="E100" s="30">
        <f t="shared" ca="1" si="51"/>
        <v>0</v>
      </c>
      <c r="F100">
        <f t="shared" si="7"/>
        <v>99</v>
      </c>
      <c r="G100" s="60">
        <f>SUMIF('Connection count '!B:B,B100,'Connection count '!C:C)</f>
        <v>24311.16873406732</v>
      </c>
      <c r="H100" s="60">
        <f t="shared" ref="H100:J100" si="66">H88</f>
        <v>0</v>
      </c>
      <c r="I100" s="60">
        <f t="shared" si="66"/>
        <v>0</v>
      </c>
      <c r="J100" s="60">
        <f t="shared" si="66"/>
        <v>0</v>
      </c>
      <c r="K100" s="97">
        <f t="shared" ref="K100" si="67">K88</f>
        <v>0</v>
      </c>
      <c r="M100" s="23">
        <f>'Res OLS Model'!$B$5</f>
        <v>-23168470.016197301</v>
      </c>
      <c r="N100" s="23">
        <f ca="1">'Res OLS Model'!$B$6*D100</f>
        <v>6671273.8857008172</v>
      </c>
      <c r="O100" s="23">
        <f ca="1">'Res OLS Model'!$B$7*E100</f>
        <v>0</v>
      </c>
      <c r="P100" s="23">
        <f>'Res OLS Model'!$B$8*F100</f>
        <v>-2721088.0053785238</v>
      </c>
      <c r="Q100" s="23">
        <f>'Res OLS Model'!$B$9*G100</f>
        <v>37935082.233207919</v>
      </c>
      <c r="R100" s="23">
        <f>'Res OLS Model'!$B$10*H100</f>
        <v>0</v>
      </c>
      <c r="S100" s="23">
        <f>'Res OLS Model'!$B$11*I100</f>
        <v>0</v>
      </c>
      <c r="T100" s="23">
        <f>'Res OLS Model'!$B$12*J100</f>
        <v>0</v>
      </c>
      <c r="U100" s="23">
        <f>'Res OLS Model'!$B$13*K100</f>
        <v>0</v>
      </c>
      <c r="V100" s="23">
        <f t="shared" ca="1" si="63"/>
        <v>18716798.09733291</v>
      </c>
    </row>
    <row r="101" spans="1:22">
      <c r="A101" s="11">
        <v>42826</v>
      </c>
      <c r="B101" s="6">
        <f t="shared" si="60"/>
        <v>2017</v>
      </c>
      <c r="D101" s="30">
        <f t="shared" ca="1" si="51"/>
        <v>326.58999999999997</v>
      </c>
      <c r="E101" s="30">
        <f t="shared" ca="1" si="51"/>
        <v>0.39</v>
      </c>
      <c r="F101">
        <f t="shared" si="7"/>
        <v>100</v>
      </c>
      <c r="G101" s="60">
        <f>SUMIF('Connection count '!B:B,B101,'Connection count '!C:C)</f>
        <v>24311.16873406732</v>
      </c>
      <c r="H101" s="60">
        <f t="shared" ref="H101:J101" si="68">H89</f>
        <v>0</v>
      </c>
      <c r="I101" s="60">
        <f t="shared" si="68"/>
        <v>1</v>
      </c>
      <c r="J101" s="60">
        <f t="shared" si="68"/>
        <v>0</v>
      </c>
      <c r="K101" s="97">
        <f t="shared" ref="K101" si="69">K89</f>
        <v>0</v>
      </c>
      <c r="M101" s="23">
        <f>'Res OLS Model'!$B$5</f>
        <v>-23168470.016197301</v>
      </c>
      <c r="N101" s="23">
        <f ca="1">'Res OLS Model'!$B$6*D101</f>
        <v>3911688.4294709596</v>
      </c>
      <c r="O101" s="23">
        <f ca="1">'Res OLS Model'!$B$7*E101</f>
        <v>13015.289534109019</v>
      </c>
      <c r="P101" s="23">
        <f>'Res OLS Model'!$B$8*F101</f>
        <v>-2748573.7428065897</v>
      </c>
      <c r="Q101" s="23">
        <f>'Res OLS Model'!$B$9*G101</f>
        <v>37935082.233207919</v>
      </c>
      <c r="R101" s="23">
        <f>'Res OLS Model'!$B$10*H101</f>
        <v>0</v>
      </c>
      <c r="S101" s="23">
        <f>'Res OLS Model'!$B$11*I101</f>
        <v>-1218613.41007658</v>
      </c>
      <c r="T101" s="23">
        <f>'Res OLS Model'!$B$12*J101</f>
        <v>0</v>
      </c>
      <c r="U101" s="23">
        <f>'Res OLS Model'!$B$13*K101</f>
        <v>0</v>
      </c>
      <c r="V101" s="23">
        <f t="shared" ca="1" si="63"/>
        <v>14724128.783132516</v>
      </c>
    </row>
    <row r="102" spans="1:22">
      <c r="A102" s="11">
        <v>42856</v>
      </c>
      <c r="B102" s="6">
        <f t="shared" si="60"/>
        <v>2017</v>
      </c>
      <c r="D102" s="30">
        <f t="shared" ca="1" si="51"/>
        <v>144.96</v>
      </c>
      <c r="E102" s="30">
        <f t="shared" ca="1" si="51"/>
        <v>8.67</v>
      </c>
      <c r="F102">
        <f t="shared" si="7"/>
        <v>101</v>
      </c>
      <c r="G102" s="60">
        <f>SUMIF('Connection count '!B:B,B102,'Connection count '!C:C)</f>
        <v>24311.16873406732</v>
      </c>
      <c r="H102" s="60">
        <f t="shared" ref="H102:J102" si="70">H90</f>
        <v>0</v>
      </c>
      <c r="I102" s="60">
        <f t="shared" si="70"/>
        <v>0</v>
      </c>
      <c r="J102" s="60">
        <f t="shared" si="70"/>
        <v>1</v>
      </c>
      <c r="K102" s="97">
        <f t="shared" ref="K102" si="71">K90</f>
        <v>0</v>
      </c>
      <c r="M102" s="23">
        <f>'Res OLS Model'!$B$5</f>
        <v>-23168470.016197301</v>
      </c>
      <c r="N102" s="23">
        <f ca="1">'Res OLS Model'!$B$6*D102</f>
        <v>1736239.182877952</v>
      </c>
      <c r="O102" s="23">
        <f ca="1">'Res OLS Model'!$B$7*E102</f>
        <v>289339.89810442354</v>
      </c>
      <c r="P102" s="23">
        <f>'Res OLS Model'!$B$8*F102</f>
        <v>-2776059.4802346556</v>
      </c>
      <c r="Q102" s="23">
        <f>'Res OLS Model'!$B$9*G102</f>
        <v>37935082.233207919</v>
      </c>
      <c r="R102" s="23">
        <f>'Res OLS Model'!$B$10*H102</f>
        <v>0</v>
      </c>
      <c r="S102" s="23">
        <f>'Res OLS Model'!$B$11*I102</f>
        <v>0</v>
      </c>
      <c r="T102" s="23">
        <f>'Res OLS Model'!$B$12*J102</f>
        <v>-1511757.2538914999</v>
      </c>
      <c r="U102" s="23">
        <f>'Res OLS Model'!$B$13*K102</f>
        <v>0</v>
      </c>
      <c r="V102" s="23">
        <f t="shared" ca="1" si="63"/>
        <v>12504374.563866833</v>
      </c>
    </row>
    <row r="103" spans="1:22">
      <c r="A103" s="11">
        <v>42887</v>
      </c>
      <c r="B103" s="6">
        <f t="shared" si="60"/>
        <v>2017</v>
      </c>
      <c r="D103" s="30">
        <f t="shared" ca="1" si="51"/>
        <v>41.510000000000005</v>
      </c>
      <c r="E103" s="30">
        <f t="shared" ca="1" si="51"/>
        <v>44.41</v>
      </c>
      <c r="F103">
        <f t="shared" si="7"/>
        <v>102</v>
      </c>
      <c r="G103" s="60">
        <f>SUMIF('Connection count '!B:B,B103,'Connection count '!C:C)</f>
        <v>24311.16873406732</v>
      </c>
      <c r="H103" s="60">
        <f t="shared" ref="H103:J103" si="72">H91</f>
        <v>0</v>
      </c>
      <c r="I103" s="60">
        <f t="shared" si="72"/>
        <v>0</v>
      </c>
      <c r="J103" s="60">
        <f t="shared" si="72"/>
        <v>1</v>
      </c>
      <c r="K103" s="97">
        <f t="shared" ref="K103" si="73">K91</f>
        <v>0</v>
      </c>
      <c r="M103" s="23">
        <f>'Res OLS Model'!$B$5</f>
        <v>-23168470.016197301</v>
      </c>
      <c r="N103" s="23">
        <f ca="1">'Res OLS Model'!$B$6*D103</f>
        <v>497180.52208377345</v>
      </c>
      <c r="O103" s="23">
        <f ca="1">'Res OLS Model'!$B$7*E103</f>
        <v>1482074.3800250806</v>
      </c>
      <c r="P103" s="23">
        <f>'Res OLS Model'!$B$8*F103</f>
        <v>-2803545.2176627219</v>
      </c>
      <c r="Q103" s="23">
        <f>'Res OLS Model'!$B$9*G103</f>
        <v>37935082.233207919</v>
      </c>
      <c r="R103" s="23">
        <f>'Res OLS Model'!$B$10*H103</f>
        <v>0</v>
      </c>
      <c r="S103" s="23">
        <f>'Res OLS Model'!$B$11*I103</f>
        <v>0</v>
      </c>
      <c r="T103" s="23">
        <f>'Res OLS Model'!$B$12*J103</f>
        <v>-1511757.2538914999</v>
      </c>
      <c r="U103" s="23">
        <f>'Res OLS Model'!$B$13*K103</f>
        <v>0</v>
      </c>
      <c r="V103" s="23">
        <f t="shared" ca="1" si="63"/>
        <v>12430564.647565251</v>
      </c>
    </row>
    <row r="104" spans="1:22">
      <c r="A104" s="11">
        <v>42917</v>
      </c>
      <c r="B104" s="6">
        <f t="shared" si="60"/>
        <v>2017</v>
      </c>
      <c r="D104" s="30">
        <f t="shared" ca="1" si="51"/>
        <v>5.01</v>
      </c>
      <c r="E104" s="30">
        <f t="shared" ca="1" si="51"/>
        <v>96.909999999999982</v>
      </c>
      <c r="F104">
        <f t="shared" si="7"/>
        <v>103</v>
      </c>
      <c r="G104" s="60">
        <f>SUMIF('Connection count '!B:B,B104,'Connection count '!C:C)</f>
        <v>24311.16873406732</v>
      </c>
      <c r="H104" s="60">
        <f t="shared" ref="H104:J104" si="74">H92</f>
        <v>0</v>
      </c>
      <c r="I104" s="60">
        <f t="shared" si="74"/>
        <v>0</v>
      </c>
      <c r="J104" s="60">
        <f t="shared" si="74"/>
        <v>1</v>
      </c>
      <c r="K104" s="97">
        <f t="shared" ref="K104" si="75">K92</f>
        <v>0</v>
      </c>
      <c r="M104" s="23">
        <f>'Res OLS Model'!$B$5</f>
        <v>-23168470.016197301</v>
      </c>
      <c r="N104" s="23">
        <f ca="1">'Res OLS Model'!$B$6*D104</f>
        <v>60006.610832081533</v>
      </c>
      <c r="O104" s="23">
        <f ca="1">'Res OLS Model'!$B$7*E104</f>
        <v>3234132.5865397556</v>
      </c>
      <c r="P104" s="23">
        <f>'Res OLS Model'!$B$8*F104</f>
        <v>-2831030.9550907877</v>
      </c>
      <c r="Q104" s="23">
        <f>'Res OLS Model'!$B$9*G104</f>
        <v>37935082.233207919</v>
      </c>
      <c r="R104" s="23">
        <f>'Res OLS Model'!$B$10*H104</f>
        <v>0</v>
      </c>
      <c r="S104" s="23">
        <f>'Res OLS Model'!$B$11*I104</f>
        <v>0</v>
      </c>
      <c r="T104" s="23">
        <f>'Res OLS Model'!$B$12*J104</f>
        <v>-1511757.2538914999</v>
      </c>
      <c r="U104" s="23">
        <f>'Res OLS Model'!$B$13*K104</f>
        <v>0</v>
      </c>
      <c r="V104" s="23">
        <f t="shared" ca="1" si="63"/>
        <v>13717963.205400167</v>
      </c>
    </row>
    <row r="105" spans="1:22">
      <c r="A105" s="11">
        <v>42948</v>
      </c>
      <c r="B105" s="6">
        <f t="shared" si="60"/>
        <v>2017</v>
      </c>
      <c r="D105" s="30">
        <f t="shared" ca="1" si="51"/>
        <v>12.719999999999999</v>
      </c>
      <c r="E105" s="30">
        <f t="shared" ca="1" si="51"/>
        <v>77.22999999999999</v>
      </c>
      <c r="F105">
        <f t="shared" si="7"/>
        <v>104</v>
      </c>
      <c r="G105" s="60">
        <f>SUMIF('Connection count '!B:B,B105,'Connection count '!C:C)</f>
        <v>24311.16873406732</v>
      </c>
      <c r="H105" s="60">
        <f t="shared" ref="H105:J105" si="76">H93</f>
        <v>0</v>
      </c>
      <c r="I105" s="60">
        <f t="shared" si="76"/>
        <v>0</v>
      </c>
      <c r="J105" s="60">
        <f t="shared" si="76"/>
        <v>1</v>
      </c>
      <c r="K105" s="97">
        <f t="shared" ref="K105" si="77">K93</f>
        <v>0</v>
      </c>
      <c r="M105" s="23">
        <f>'Res OLS Model'!$B$5</f>
        <v>-23168470.016197301</v>
      </c>
      <c r="N105" s="23">
        <f ca="1">'Res OLS Model'!$B$6*D105</f>
        <v>152352.1137293567</v>
      </c>
      <c r="O105" s="23">
        <f ca="1">'Res OLS Model'!$B$7*E105</f>
        <v>2577361.0531262546</v>
      </c>
      <c r="P105" s="23">
        <f>'Res OLS Model'!$B$8*F105</f>
        <v>-2858516.6925188536</v>
      </c>
      <c r="Q105" s="23">
        <f>'Res OLS Model'!$B$9*G105</f>
        <v>37935082.233207919</v>
      </c>
      <c r="R105" s="23">
        <f>'Res OLS Model'!$B$10*H105</f>
        <v>0</v>
      </c>
      <c r="S105" s="23">
        <f>'Res OLS Model'!$B$11*I105</f>
        <v>0</v>
      </c>
      <c r="T105" s="23">
        <f>'Res OLS Model'!$B$12*J105</f>
        <v>-1511757.2538914999</v>
      </c>
      <c r="U105" s="23">
        <f>'Res OLS Model'!$B$13*K105</f>
        <v>0</v>
      </c>
      <c r="V105" s="23">
        <f t="shared" ca="1" si="63"/>
        <v>13126051.437455876</v>
      </c>
    </row>
    <row r="106" spans="1:22">
      <c r="A106" s="11">
        <v>42979</v>
      </c>
      <c r="B106" s="6">
        <f t="shared" si="60"/>
        <v>2017</v>
      </c>
      <c r="D106" s="30">
        <f t="shared" ca="1" si="51"/>
        <v>86.570000000000007</v>
      </c>
      <c r="E106" s="30">
        <f t="shared" ca="1" si="51"/>
        <v>19.899999999999999</v>
      </c>
      <c r="F106">
        <f t="shared" si="7"/>
        <v>105</v>
      </c>
      <c r="G106" s="60">
        <f>SUMIF('Connection count '!B:B,B106,'Connection count '!C:C)</f>
        <v>24311.16873406732</v>
      </c>
      <c r="H106" s="60">
        <f t="shared" ref="H106:J106" si="78">H94</f>
        <v>1</v>
      </c>
      <c r="I106" s="60">
        <f t="shared" si="78"/>
        <v>0</v>
      </c>
      <c r="J106" s="60">
        <f t="shared" si="78"/>
        <v>0</v>
      </c>
      <c r="K106" s="97">
        <f t="shared" ref="K106" si="79">K94</f>
        <v>0</v>
      </c>
      <c r="M106" s="23">
        <f>'Res OLS Model'!$B$5</f>
        <v>-23168470.016197301</v>
      </c>
      <c r="N106" s="23">
        <f ca="1">'Res OLS Model'!$B$6*D106</f>
        <v>1036880.6985495606</v>
      </c>
      <c r="O106" s="23">
        <f ca="1">'Res OLS Model'!$B$7*E106</f>
        <v>664113.49161222938</v>
      </c>
      <c r="P106" s="23">
        <f>'Res OLS Model'!$B$8*F106</f>
        <v>-2886002.4299469194</v>
      </c>
      <c r="Q106" s="23">
        <f>'Res OLS Model'!$B$9*G106</f>
        <v>37935082.233207919</v>
      </c>
      <c r="R106" s="23">
        <f>'Res OLS Model'!$B$10*H106</f>
        <v>-1279656.8259476901</v>
      </c>
      <c r="S106" s="23">
        <f>'Res OLS Model'!$B$11*I106</f>
        <v>0</v>
      </c>
      <c r="T106" s="23">
        <f>'Res OLS Model'!$B$12*J106</f>
        <v>0</v>
      </c>
      <c r="U106" s="23">
        <f>'Res OLS Model'!$B$13*K106</f>
        <v>0</v>
      </c>
      <c r="V106" s="23">
        <f t="shared" ca="1" si="63"/>
        <v>12301947.151277799</v>
      </c>
    </row>
    <row r="107" spans="1:22">
      <c r="A107" s="11">
        <v>43009</v>
      </c>
      <c r="B107" s="6">
        <f t="shared" si="60"/>
        <v>2017</v>
      </c>
      <c r="D107" s="30">
        <f t="shared" ca="1" si="51"/>
        <v>270.3</v>
      </c>
      <c r="E107" s="30">
        <f t="shared" ca="1" si="51"/>
        <v>1.21</v>
      </c>
      <c r="F107">
        <f t="shared" si="7"/>
        <v>106</v>
      </c>
      <c r="G107" s="60">
        <f>SUMIF('Connection count '!B:B,B107,'Connection count '!C:C)</f>
        <v>24311.16873406732</v>
      </c>
      <c r="H107" s="60">
        <f t="shared" ref="H107:J107" si="80">H95</f>
        <v>1</v>
      </c>
      <c r="I107" s="60">
        <f t="shared" si="80"/>
        <v>0</v>
      </c>
      <c r="J107" s="60">
        <f t="shared" si="80"/>
        <v>0</v>
      </c>
      <c r="K107" s="97">
        <f t="shared" ref="K107" si="81">K95</f>
        <v>0</v>
      </c>
      <c r="M107" s="23">
        <f>'Res OLS Model'!$B$5</f>
        <v>-23168470.016197301</v>
      </c>
      <c r="N107" s="23">
        <f ca="1">'Res OLS Model'!$B$6*D107</f>
        <v>3237482.4167488301</v>
      </c>
      <c r="O107" s="23">
        <f ca="1">'Res OLS Model'!$B$7*E107</f>
        <v>40380.770093004903</v>
      </c>
      <c r="P107" s="23">
        <f>'Res OLS Model'!$B$8*F107</f>
        <v>-2913488.1673749853</v>
      </c>
      <c r="Q107" s="23">
        <f>'Res OLS Model'!$B$9*G107</f>
        <v>37935082.233207919</v>
      </c>
      <c r="R107" s="23">
        <f>'Res OLS Model'!$B$10*H107</f>
        <v>-1279656.8259476901</v>
      </c>
      <c r="S107" s="23">
        <f>'Res OLS Model'!$B$11*I107</f>
        <v>0</v>
      </c>
      <c r="T107" s="23">
        <f>'Res OLS Model'!$B$12*J107</f>
        <v>0</v>
      </c>
      <c r="U107" s="23">
        <f>'Res OLS Model'!$B$13*K107</f>
        <v>0</v>
      </c>
      <c r="V107" s="23">
        <f t="shared" ca="1" si="63"/>
        <v>13851330.410529774</v>
      </c>
    </row>
    <row r="108" spans="1:22">
      <c r="A108" s="11">
        <v>43040</v>
      </c>
      <c r="B108" s="6">
        <f t="shared" si="60"/>
        <v>2017</v>
      </c>
      <c r="D108" s="30">
        <f t="shared" ca="1" si="51"/>
        <v>444.05</v>
      </c>
      <c r="E108" s="30">
        <f t="shared" ca="1" si="51"/>
        <v>0</v>
      </c>
      <c r="F108">
        <f t="shared" si="7"/>
        <v>107</v>
      </c>
      <c r="G108" s="60">
        <f>SUMIF('Connection count '!B:B,B108,'Connection count '!C:C)</f>
        <v>24311.16873406732</v>
      </c>
      <c r="H108" s="60">
        <f t="shared" ref="H108:J108" si="82">H96</f>
        <v>1</v>
      </c>
      <c r="I108" s="60">
        <f t="shared" si="82"/>
        <v>0</v>
      </c>
      <c r="J108" s="60">
        <f t="shared" si="82"/>
        <v>0</v>
      </c>
      <c r="K108" s="97">
        <f t="shared" ref="K108" si="83">K96</f>
        <v>0</v>
      </c>
      <c r="M108" s="23">
        <f>'Res OLS Model'!$B$5</f>
        <v>-23168470.016197301</v>
      </c>
      <c r="N108" s="23">
        <f ca="1">'Res OLS Model'!$B$6*D108</f>
        <v>5318550.0079811988</v>
      </c>
      <c r="O108" s="23">
        <f ca="1">'Res OLS Model'!$B$7*E108</f>
        <v>0</v>
      </c>
      <c r="P108" s="23">
        <f>'Res OLS Model'!$B$8*F108</f>
        <v>-2940973.9048030511</v>
      </c>
      <c r="Q108" s="23">
        <f>'Res OLS Model'!$B$9*G108</f>
        <v>37935082.233207919</v>
      </c>
      <c r="R108" s="23">
        <f>'Res OLS Model'!$B$10*H108</f>
        <v>-1279656.8259476901</v>
      </c>
      <c r="S108" s="23">
        <f>'Res OLS Model'!$B$11*I108</f>
        <v>0</v>
      </c>
      <c r="T108" s="23">
        <f>'Res OLS Model'!$B$12*J108</f>
        <v>0</v>
      </c>
      <c r="U108" s="23">
        <f>'Res OLS Model'!$B$13*K108</f>
        <v>0</v>
      </c>
      <c r="V108" s="23">
        <f t="shared" ca="1" si="63"/>
        <v>15864531.494241074</v>
      </c>
    </row>
    <row r="109" spans="1:22">
      <c r="A109" s="11">
        <v>43070</v>
      </c>
      <c r="B109" s="6">
        <f t="shared" si="60"/>
        <v>2017</v>
      </c>
      <c r="D109" s="30">
        <f t="shared" ca="1" si="51"/>
        <v>684.01</v>
      </c>
      <c r="E109" s="30">
        <f t="shared" ca="1" si="51"/>
        <v>0</v>
      </c>
      <c r="F109">
        <f t="shared" si="7"/>
        <v>108</v>
      </c>
      <c r="G109" s="60">
        <f>SUMIF('Connection count '!B:B,B109,'Connection count '!C:C)</f>
        <v>24311.16873406732</v>
      </c>
      <c r="H109" s="60">
        <f t="shared" ref="H109:J109" si="84">H97</f>
        <v>0</v>
      </c>
      <c r="I109" s="60">
        <f t="shared" si="84"/>
        <v>0</v>
      </c>
      <c r="J109" s="60">
        <f t="shared" si="84"/>
        <v>0</v>
      </c>
      <c r="K109" s="97">
        <f t="shared" ref="K109" si="85">K97</f>
        <v>0</v>
      </c>
      <c r="M109" s="23">
        <f>'Res OLS Model'!$B$5</f>
        <v>-23168470.016197301</v>
      </c>
      <c r="N109" s="23">
        <f ca="1">'Res OLS Model'!$B$6*D109</f>
        <v>8192639.0968567049</v>
      </c>
      <c r="O109" s="23">
        <f ca="1">'Res OLS Model'!$B$7*E109</f>
        <v>0</v>
      </c>
      <c r="P109" s="23">
        <f>'Res OLS Model'!$B$8*F109</f>
        <v>-2968459.642231117</v>
      </c>
      <c r="Q109" s="23">
        <f>'Res OLS Model'!$B$9*G109</f>
        <v>37935082.233207919</v>
      </c>
      <c r="R109" s="23">
        <f>'Res OLS Model'!$B$10*H109</f>
        <v>0</v>
      </c>
      <c r="S109" s="23">
        <f>'Res OLS Model'!$B$11*I109</f>
        <v>0</v>
      </c>
      <c r="T109" s="23">
        <f>'Res OLS Model'!$B$12*J109</f>
        <v>0</v>
      </c>
      <c r="U109" s="23">
        <f>'Res OLS Model'!$B$13*K109</f>
        <v>0</v>
      </c>
      <c r="V109" s="23">
        <f t="shared" ca="1" si="63"/>
        <v>19990791.671636205</v>
      </c>
    </row>
    <row r="110" spans="1:22">
      <c r="A110" s="11">
        <v>43101</v>
      </c>
      <c r="B110" s="6">
        <f t="shared" si="60"/>
        <v>2018</v>
      </c>
      <c r="D110" s="30">
        <f t="shared" ca="1" si="51"/>
        <v>784.29</v>
      </c>
      <c r="E110" s="30">
        <f t="shared" ca="1" si="51"/>
        <v>0</v>
      </c>
      <c r="F110">
        <f t="shared" si="7"/>
        <v>109</v>
      </c>
      <c r="G110" s="60">
        <f>SUMIF('Connection count '!B:B,B110,'Connection count '!C:C)</f>
        <v>24465.981491922685</v>
      </c>
      <c r="H110" s="60">
        <f t="shared" ref="H110:J110" si="86">H98</f>
        <v>0</v>
      </c>
      <c r="I110" s="60">
        <f t="shared" si="86"/>
        <v>0</v>
      </c>
      <c r="J110" s="60">
        <f t="shared" si="86"/>
        <v>0</v>
      </c>
      <c r="K110" s="97">
        <f t="shared" ref="K110" si="87">K98</f>
        <v>1</v>
      </c>
      <c r="M110" s="23">
        <f>'Res OLS Model'!$B$5</f>
        <v>-23168470.016197301</v>
      </c>
      <c r="N110" s="23">
        <f ca="1">'Res OLS Model'!$B$6*D110</f>
        <v>9393729.5028928593</v>
      </c>
      <c r="O110" s="23">
        <f ca="1">'Res OLS Model'!$B$7*E110</f>
        <v>0</v>
      </c>
      <c r="P110" s="23">
        <f>'Res OLS Model'!$B$8*F110</f>
        <v>-2995945.3796591829</v>
      </c>
      <c r="Q110" s="23">
        <f>'Res OLS Model'!$B$9*G110</f>
        <v>38176651.643721834</v>
      </c>
      <c r="R110" s="23">
        <f>'Res OLS Model'!$B$10*H110</f>
        <v>0</v>
      </c>
      <c r="S110" s="23">
        <f>'Res OLS Model'!$B$11*I110</f>
        <v>0</v>
      </c>
      <c r="T110" s="23">
        <f>'Res OLS Model'!$B$12*J110</f>
        <v>0</v>
      </c>
      <c r="U110" s="23">
        <f>'Res OLS Model'!$B$13*K110</f>
        <v>1122371.81652903</v>
      </c>
      <c r="V110" s="23">
        <f t="shared" ca="1" si="63"/>
        <v>22528337.567287236</v>
      </c>
    </row>
    <row r="111" spans="1:22">
      <c r="A111" s="11">
        <v>43132</v>
      </c>
      <c r="B111" s="6">
        <f t="shared" si="60"/>
        <v>2018</v>
      </c>
      <c r="D111" s="30">
        <f t="shared" ca="1" si="51"/>
        <v>682.50999999999988</v>
      </c>
      <c r="E111" s="30">
        <f t="shared" ca="1" si="51"/>
        <v>0</v>
      </c>
      <c r="F111">
        <f t="shared" si="7"/>
        <v>110</v>
      </c>
      <c r="G111" s="60">
        <f>SUMIF('Connection count '!B:B,B111,'Connection count '!C:C)</f>
        <v>24465.981491922685</v>
      </c>
      <c r="H111" s="60">
        <f t="shared" ref="H111:J111" si="88">H99</f>
        <v>0</v>
      </c>
      <c r="I111" s="60">
        <f t="shared" si="88"/>
        <v>0</v>
      </c>
      <c r="J111" s="60">
        <f t="shared" si="88"/>
        <v>0</v>
      </c>
      <c r="K111" s="97">
        <f t="shared" ref="K111" si="89">K99</f>
        <v>0</v>
      </c>
      <c r="M111" s="23">
        <f>'Res OLS Model'!$B$5</f>
        <v>-23168470.016197301</v>
      </c>
      <c r="N111" s="23">
        <f ca="1">'Res OLS Model'!$B$6*D111</f>
        <v>8174673.0457093734</v>
      </c>
      <c r="O111" s="23">
        <f ca="1">'Res OLS Model'!$B$7*E111</f>
        <v>0</v>
      </c>
      <c r="P111" s="23">
        <f>'Res OLS Model'!$B$8*F111</f>
        <v>-3023431.1170872487</v>
      </c>
      <c r="Q111" s="23">
        <f>'Res OLS Model'!$B$9*G111</f>
        <v>38176651.643721834</v>
      </c>
      <c r="R111" s="23">
        <f>'Res OLS Model'!$B$10*H111</f>
        <v>0</v>
      </c>
      <c r="S111" s="23">
        <f>'Res OLS Model'!$B$11*I111</f>
        <v>0</v>
      </c>
      <c r="T111" s="23">
        <f>'Res OLS Model'!$B$12*J111</f>
        <v>0</v>
      </c>
      <c r="U111" s="23">
        <f>'Res OLS Model'!$B$13*K111</f>
        <v>0</v>
      </c>
      <c r="V111" s="23">
        <f t="shared" ca="1" si="63"/>
        <v>20159423.556146659</v>
      </c>
    </row>
    <row r="112" spans="1:22">
      <c r="A112" s="11">
        <v>43160</v>
      </c>
      <c r="B112" s="6">
        <f t="shared" si="60"/>
        <v>2018</v>
      </c>
      <c r="D112" s="30">
        <f t="shared" ca="1" si="51"/>
        <v>556.99</v>
      </c>
      <c r="E112" s="30">
        <f t="shared" ca="1" si="51"/>
        <v>0</v>
      </c>
      <c r="F112">
        <f t="shared" si="7"/>
        <v>111</v>
      </c>
      <c r="G112" s="60">
        <f>SUMIF('Connection count '!B:B,B112,'Connection count '!C:C)</f>
        <v>24465.981491922685</v>
      </c>
      <c r="H112" s="60">
        <f t="shared" ref="H112:J112" si="90">H100</f>
        <v>0</v>
      </c>
      <c r="I112" s="60">
        <f t="shared" si="90"/>
        <v>0</v>
      </c>
      <c r="J112" s="60">
        <f t="shared" si="90"/>
        <v>0</v>
      </c>
      <c r="K112" s="97">
        <f t="shared" ref="K112" si="91">K100</f>
        <v>0</v>
      </c>
      <c r="M112" s="23">
        <f>'Res OLS Model'!$B$5</f>
        <v>-23168470.016197301</v>
      </c>
      <c r="N112" s="23">
        <f ca="1">'Res OLS Model'!$B$6*D112</f>
        <v>6671273.8857008172</v>
      </c>
      <c r="O112" s="23">
        <f ca="1">'Res OLS Model'!$B$7*E112</f>
        <v>0</v>
      </c>
      <c r="P112" s="23">
        <f>'Res OLS Model'!$B$8*F112</f>
        <v>-3050916.8545153146</v>
      </c>
      <c r="Q112" s="23">
        <f>'Res OLS Model'!$B$9*G112</f>
        <v>38176651.643721834</v>
      </c>
      <c r="R112" s="23">
        <f>'Res OLS Model'!$B$10*H112</f>
        <v>0</v>
      </c>
      <c r="S112" s="23">
        <f>'Res OLS Model'!$B$11*I112</f>
        <v>0</v>
      </c>
      <c r="T112" s="23">
        <f>'Res OLS Model'!$B$12*J112</f>
        <v>0</v>
      </c>
      <c r="U112" s="23">
        <f>'Res OLS Model'!$B$13*K112</f>
        <v>0</v>
      </c>
      <c r="V112" s="23">
        <f t="shared" ca="1" si="63"/>
        <v>18628538.658710036</v>
      </c>
    </row>
    <row r="113" spans="1:22">
      <c r="A113" s="11">
        <v>43191</v>
      </c>
      <c r="B113" s="6">
        <f t="shared" si="60"/>
        <v>2018</v>
      </c>
      <c r="D113" s="30">
        <f t="shared" ca="1" si="51"/>
        <v>326.58999999999997</v>
      </c>
      <c r="E113" s="30">
        <f t="shared" ca="1" si="51"/>
        <v>0.39</v>
      </c>
      <c r="F113">
        <f t="shared" si="7"/>
        <v>112</v>
      </c>
      <c r="G113" s="60">
        <f>SUMIF('Connection count '!B:B,B113,'Connection count '!C:C)</f>
        <v>24465.981491922685</v>
      </c>
      <c r="H113" s="60">
        <f t="shared" ref="H113:J113" si="92">H101</f>
        <v>0</v>
      </c>
      <c r="I113" s="60">
        <f t="shared" si="92"/>
        <v>1</v>
      </c>
      <c r="J113" s="60">
        <f t="shared" si="92"/>
        <v>0</v>
      </c>
      <c r="K113" s="97">
        <f t="shared" ref="K113" si="93">K101</f>
        <v>0</v>
      </c>
      <c r="M113" s="23">
        <f>'Res OLS Model'!$B$5</f>
        <v>-23168470.016197301</v>
      </c>
      <c r="N113" s="23">
        <f ca="1">'Res OLS Model'!$B$6*D113</f>
        <v>3911688.4294709596</v>
      </c>
      <c r="O113" s="23">
        <f ca="1">'Res OLS Model'!$B$7*E113</f>
        <v>13015.289534109019</v>
      </c>
      <c r="P113" s="23">
        <f>'Res OLS Model'!$B$8*F113</f>
        <v>-3078402.5919433804</v>
      </c>
      <c r="Q113" s="23">
        <f>'Res OLS Model'!$B$9*G113</f>
        <v>38176651.643721834</v>
      </c>
      <c r="R113" s="23">
        <f>'Res OLS Model'!$B$10*H113</f>
        <v>0</v>
      </c>
      <c r="S113" s="23">
        <f>'Res OLS Model'!$B$11*I113</f>
        <v>-1218613.41007658</v>
      </c>
      <c r="T113" s="23">
        <f>'Res OLS Model'!$B$12*J113</f>
        <v>0</v>
      </c>
      <c r="U113" s="23">
        <f>'Res OLS Model'!$B$13*K113</f>
        <v>0</v>
      </c>
      <c r="V113" s="23">
        <f t="shared" ca="1" si="63"/>
        <v>14635869.344509643</v>
      </c>
    </row>
    <row r="114" spans="1:22">
      <c r="A114" s="11">
        <v>43221</v>
      </c>
      <c r="B114" s="6">
        <f t="shared" si="60"/>
        <v>2018</v>
      </c>
      <c r="D114" s="30">
        <f t="shared" ref="D114:E133" ca="1" si="94">D102</f>
        <v>144.96</v>
      </c>
      <c r="E114" s="30">
        <f t="shared" ca="1" si="94"/>
        <v>8.67</v>
      </c>
      <c r="F114">
        <f t="shared" si="7"/>
        <v>113</v>
      </c>
      <c r="G114" s="60">
        <f>SUMIF('Connection count '!B:B,B114,'Connection count '!C:C)</f>
        <v>24465.981491922685</v>
      </c>
      <c r="H114" s="60">
        <f t="shared" ref="H114:J114" si="95">H102</f>
        <v>0</v>
      </c>
      <c r="I114" s="60">
        <f t="shared" si="95"/>
        <v>0</v>
      </c>
      <c r="J114" s="60">
        <f t="shared" si="95"/>
        <v>1</v>
      </c>
      <c r="K114" s="97">
        <f t="shared" ref="K114" si="96">K102</f>
        <v>0</v>
      </c>
      <c r="M114" s="23">
        <f>'Res OLS Model'!$B$5</f>
        <v>-23168470.016197301</v>
      </c>
      <c r="N114" s="23">
        <f ca="1">'Res OLS Model'!$B$6*D114</f>
        <v>1736239.182877952</v>
      </c>
      <c r="O114" s="23">
        <f ca="1">'Res OLS Model'!$B$7*E114</f>
        <v>289339.89810442354</v>
      </c>
      <c r="P114" s="23">
        <f>'Res OLS Model'!$B$8*F114</f>
        <v>-3105888.3293714467</v>
      </c>
      <c r="Q114" s="23">
        <f>'Res OLS Model'!$B$9*G114</f>
        <v>38176651.643721834</v>
      </c>
      <c r="R114" s="23">
        <f>'Res OLS Model'!$B$10*H114</f>
        <v>0</v>
      </c>
      <c r="S114" s="23">
        <f>'Res OLS Model'!$B$11*I114</f>
        <v>0</v>
      </c>
      <c r="T114" s="23">
        <f>'Res OLS Model'!$B$12*J114</f>
        <v>-1511757.2538914999</v>
      </c>
      <c r="U114" s="23">
        <f>'Res OLS Model'!$B$13*K114</f>
        <v>0</v>
      </c>
      <c r="V114" s="23">
        <f t="shared" ca="1" si="63"/>
        <v>12416115.12524396</v>
      </c>
    </row>
    <row r="115" spans="1:22">
      <c r="A115" s="11">
        <v>43252</v>
      </c>
      <c r="B115" s="6">
        <f t="shared" si="60"/>
        <v>2018</v>
      </c>
      <c r="D115" s="30">
        <f t="shared" ca="1" si="94"/>
        <v>41.510000000000005</v>
      </c>
      <c r="E115" s="30">
        <f t="shared" ca="1" si="94"/>
        <v>44.41</v>
      </c>
      <c r="F115">
        <f t="shared" si="7"/>
        <v>114</v>
      </c>
      <c r="G115" s="60">
        <f>SUMIF('Connection count '!B:B,B115,'Connection count '!C:C)</f>
        <v>24465.981491922685</v>
      </c>
      <c r="H115" s="60">
        <f t="shared" ref="H115:J115" si="97">H103</f>
        <v>0</v>
      </c>
      <c r="I115" s="60">
        <f t="shared" si="97"/>
        <v>0</v>
      </c>
      <c r="J115" s="60">
        <f t="shared" si="97"/>
        <v>1</v>
      </c>
      <c r="K115" s="97">
        <f t="shared" ref="K115" si="98">K103</f>
        <v>0</v>
      </c>
      <c r="M115" s="23">
        <f>'Res OLS Model'!$B$5</f>
        <v>-23168470.016197301</v>
      </c>
      <c r="N115" s="23">
        <f ca="1">'Res OLS Model'!$B$6*D115</f>
        <v>497180.52208377345</v>
      </c>
      <c r="O115" s="23">
        <f ca="1">'Res OLS Model'!$B$7*E115</f>
        <v>1482074.3800250806</v>
      </c>
      <c r="P115" s="23">
        <f>'Res OLS Model'!$B$8*F115</f>
        <v>-3133374.0667995126</v>
      </c>
      <c r="Q115" s="23">
        <f>'Res OLS Model'!$B$9*G115</f>
        <v>38176651.643721834</v>
      </c>
      <c r="R115" s="23">
        <f>'Res OLS Model'!$B$10*H115</f>
        <v>0</v>
      </c>
      <c r="S115" s="23">
        <f>'Res OLS Model'!$B$11*I115</f>
        <v>0</v>
      </c>
      <c r="T115" s="23">
        <f>'Res OLS Model'!$B$12*J115</f>
        <v>-1511757.2538914999</v>
      </c>
      <c r="U115" s="23">
        <f>'Res OLS Model'!$B$13*K115</f>
        <v>0</v>
      </c>
      <c r="V115" s="23">
        <f t="shared" ca="1" si="63"/>
        <v>12342305.208942374</v>
      </c>
    </row>
    <row r="116" spans="1:22">
      <c r="A116" s="11">
        <v>43282</v>
      </c>
      <c r="B116" s="6">
        <f t="shared" si="60"/>
        <v>2018</v>
      </c>
      <c r="D116" s="30">
        <f t="shared" ca="1" si="94"/>
        <v>5.01</v>
      </c>
      <c r="E116" s="30">
        <f t="shared" ca="1" si="94"/>
        <v>96.909999999999982</v>
      </c>
      <c r="F116">
        <f t="shared" si="7"/>
        <v>115</v>
      </c>
      <c r="G116" s="60">
        <f>SUMIF('Connection count '!B:B,B116,'Connection count '!C:C)</f>
        <v>24465.981491922685</v>
      </c>
      <c r="H116" s="60">
        <f t="shared" ref="H116:J116" si="99">H104</f>
        <v>0</v>
      </c>
      <c r="I116" s="60">
        <f t="shared" si="99"/>
        <v>0</v>
      </c>
      <c r="J116" s="60">
        <f t="shared" si="99"/>
        <v>1</v>
      </c>
      <c r="K116" s="97">
        <f t="shared" ref="K116" si="100">K104</f>
        <v>0</v>
      </c>
      <c r="M116" s="23">
        <f>'Res OLS Model'!$B$5</f>
        <v>-23168470.016197301</v>
      </c>
      <c r="N116" s="23">
        <f ca="1">'Res OLS Model'!$B$6*D116</f>
        <v>60006.610832081533</v>
      </c>
      <c r="O116" s="23">
        <f ca="1">'Res OLS Model'!$B$7*E116</f>
        <v>3234132.5865397556</v>
      </c>
      <c r="P116" s="23">
        <f>'Res OLS Model'!$B$8*F116</f>
        <v>-3160859.8042275785</v>
      </c>
      <c r="Q116" s="23">
        <f>'Res OLS Model'!$B$9*G116</f>
        <v>38176651.643721834</v>
      </c>
      <c r="R116" s="23">
        <f>'Res OLS Model'!$B$10*H116</f>
        <v>0</v>
      </c>
      <c r="S116" s="23">
        <f>'Res OLS Model'!$B$11*I116</f>
        <v>0</v>
      </c>
      <c r="T116" s="23">
        <f>'Res OLS Model'!$B$12*J116</f>
        <v>-1511757.2538914999</v>
      </c>
      <c r="U116" s="23">
        <f>'Res OLS Model'!$B$13*K116</f>
        <v>0</v>
      </c>
      <c r="V116" s="23">
        <f t="shared" ca="1" si="63"/>
        <v>13629703.76677729</v>
      </c>
    </row>
    <row r="117" spans="1:22">
      <c r="A117" s="11">
        <v>43313</v>
      </c>
      <c r="B117" s="6">
        <f t="shared" si="60"/>
        <v>2018</v>
      </c>
      <c r="D117" s="30">
        <f t="shared" ca="1" si="94"/>
        <v>12.719999999999999</v>
      </c>
      <c r="E117" s="30">
        <f t="shared" ca="1" si="94"/>
        <v>77.22999999999999</v>
      </c>
      <c r="F117">
        <f t="shared" si="7"/>
        <v>116</v>
      </c>
      <c r="G117" s="60">
        <f>SUMIF('Connection count '!B:B,B117,'Connection count '!C:C)</f>
        <v>24465.981491922685</v>
      </c>
      <c r="H117" s="60">
        <f t="shared" ref="H117:J117" si="101">H105</f>
        <v>0</v>
      </c>
      <c r="I117" s="60">
        <f t="shared" si="101"/>
        <v>0</v>
      </c>
      <c r="J117" s="60">
        <f t="shared" si="101"/>
        <v>1</v>
      </c>
      <c r="K117" s="97">
        <f t="shared" ref="K117" si="102">K105</f>
        <v>0</v>
      </c>
      <c r="M117" s="23">
        <f>'Res OLS Model'!$B$5</f>
        <v>-23168470.016197301</v>
      </c>
      <c r="N117" s="23">
        <f ca="1">'Res OLS Model'!$B$6*D117</f>
        <v>152352.1137293567</v>
      </c>
      <c r="O117" s="23">
        <f ca="1">'Res OLS Model'!$B$7*E117</f>
        <v>2577361.0531262546</v>
      </c>
      <c r="P117" s="23">
        <f>'Res OLS Model'!$B$8*F117</f>
        <v>-3188345.5416556443</v>
      </c>
      <c r="Q117" s="23">
        <f>'Res OLS Model'!$B$9*G117</f>
        <v>38176651.643721834</v>
      </c>
      <c r="R117" s="23">
        <f>'Res OLS Model'!$B$10*H117</f>
        <v>0</v>
      </c>
      <c r="S117" s="23">
        <f>'Res OLS Model'!$B$11*I117</f>
        <v>0</v>
      </c>
      <c r="T117" s="23">
        <f>'Res OLS Model'!$B$12*J117</f>
        <v>-1511757.2538914999</v>
      </c>
      <c r="U117" s="23">
        <f>'Res OLS Model'!$B$13*K117</f>
        <v>0</v>
      </c>
      <c r="V117" s="23">
        <f t="shared" ca="1" si="63"/>
        <v>13037791.998832999</v>
      </c>
    </row>
    <row r="118" spans="1:22">
      <c r="A118" s="11">
        <v>43344</v>
      </c>
      <c r="B118" s="6">
        <f t="shared" si="60"/>
        <v>2018</v>
      </c>
      <c r="D118" s="30">
        <f t="shared" ca="1" si="94"/>
        <v>86.570000000000007</v>
      </c>
      <c r="E118" s="30">
        <f t="shared" ca="1" si="94"/>
        <v>19.899999999999999</v>
      </c>
      <c r="F118">
        <f t="shared" si="7"/>
        <v>117</v>
      </c>
      <c r="G118" s="60">
        <f>SUMIF('Connection count '!B:B,B118,'Connection count '!C:C)</f>
        <v>24465.981491922685</v>
      </c>
      <c r="H118" s="60">
        <f t="shared" ref="H118:J118" si="103">H106</f>
        <v>1</v>
      </c>
      <c r="I118" s="60">
        <f t="shared" si="103"/>
        <v>0</v>
      </c>
      <c r="J118" s="60">
        <f t="shared" si="103"/>
        <v>0</v>
      </c>
      <c r="K118" s="97">
        <f t="shared" ref="K118" si="104">K106</f>
        <v>0</v>
      </c>
      <c r="M118" s="23">
        <f>'Res OLS Model'!$B$5</f>
        <v>-23168470.016197301</v>
      </c>
      <c r="N118" s="23">
        <f ca="1">'Res OLS Model'!$B$6*D118</f>
        <v>1036880.6985495606</v>
      </c>
      <c r="O118" s="23">
        <f ca="1">'Res OLS Model'!$B$7*E118</f>
        <v>664113.49161222938</v>
      </c>
      <c r="P118" s="23">
        <f>'Res OLS Model'!$B$8*F118</f>
        <v>-3215831.2790837102</v>
      </c>
      <c r="Q118" s="23">
        <f>'Res OLS Model'!$B$9*G118</f>
        <v>38176651.643721834</v>
      </c>
      <c r="R118" s="23">
        <f>'Res OLS Model'!$B$10*H118</f>
        <v>-1279656.8259476901</v>
      </c>
      <c r="S118" s="23">
        <f>'Res OLS Model'!$B$11*I118</f>
        <v>0</v>
      </c>
      <c r="T118" s="23">
        <f>'Res OLS Model'!$B$12*J118</f>
        <v>0</v>
      </c>
      <c r="U118" s="23">
        <f>'Res OLS Model'!$B$13*K118</f>
        <v>0</v>
      </c>
      <c r="V118" s="23">
        <f t="shared" ca="1" si="63"/>
        <v>12213687.712654922</v>
      </c>
    </row>
    <row r="119" spans="1:22">
      <c r="A119" s="11">
        <v>43374</v>
      </c>
      <c r="B119" s="6">
        <f t="shared" si="60"/>
        <v>2018</v>
      </c>
      <c r="D119" s="30">
        <f t="shared" ca="1" si="94"/>
        <v>270.3</v>
      </c>
      <c r="E119" s="30">
        <f t="shared" ca="1" si="94"/>
        <v>1.21</v>
      </c>
      <c r="F119">
        <f t="shared" si="7"/>
        <v>118</v>
      </c>
      <c r="G119" s="60">
        <f>SUMIF('Connection count '!B:B,B119,'Connection count '!C:C)</f>
        <v>24465.981491922685</v>
      </c>
      <c r="H119" s="60">
        <f t="shared" ref="H119:J119" si="105">H107</f>
        <v>1</v>
      </c>
      <c r="I119" s="60">
        <f t="shared" si="105"/>
        <v>0</v>
      </c>
      <c r="J119" s="60">
        <f t="shared" si="105"/>
        <v>0</v>
      </c>
      <c r="K119" s="97">
        <f t="shared" ref="K119" si="106">K107</f>
        <v>0</v>
      </c>
      <c r="M119" s="23">
        <f>'Res OLS Model'!$B$5</f>
        <v>-23168470.016197301</v>
      </c>
      <c r="N119" s="23">
        <f ca="1">'Res OLS Model'!$B$6*D119</f>
        <v>3237482.4167488301</v>
      </c>
      <c r="O119" s="23">
        <f ca="1">'Res OLS Model'!$B$7*E119</f>
        <v>40380.770093004903</v>
      </c>
      <c r="P119" s="23">
        <f>'Res OLS Model'!$B$8*F119</f>
        <v>-3243317.016511776</v>
      </c>
      <c r="Q119" s="23">
        <f>'Res OLS Model'!$B$9*G119</f>
        <v>38176651.643721834</v>
      </c>
      <c r="R119" s="23">
        <f>'Res OLS Model'!$B$10*H119</f>
        <v>-1279656.8259476901</v>
      </c>
      <c r="S119" s="23">
        <f>'Res OLS Model'!$B$11*I119</f>
        <v>0</v>
      </c>
      <c r="T119" s="23">
        <f>'Res OLS Model'!$B$12*J119</f>
        <v>0</v>
      </c>
      <c r="U119" s="23">
        <f>'Res OLS Model'!$B$13*K119</f>
        <v>0</v>
      </c>
      <c r="V119" s="23">
        <f t="shared" ca="1" si="63"/>
        <v>13763070.9719069</v>
      </c>
    </row>
    <row r="120" spans="1:22">
      <c r="A120" s="11">
        <v>43405</v>
      </c>
      <c r="B120" s="6">
        <f t="shared" si="60"/>
        <v>2018</v>
      </c>
      <c r="D120" s="30">
        <f t="shared" ca="1" si="94"/>
        <v>444.05</v>
      </c>
      <c r="E120" s="30">
        <f t="shared" ca="1" si="94"/>
        <v>0</v>
      </c>
      <c r="F120">
        <f t="shared" si="7"/>
        <v>119</v>
      </c>
      <c r="G120" s="60">
        <f>SUMIF('Connection count '!B:B,B120,'Connection count '!C:C)</f>
        <v>24465.981491922685</v>
      </c>
      <c r="H120" s="60">
        <f t="shared" ref="H120:J120" si="107">H108</f>
        <v>1</v>
      </c>
      <c r="I120" s="60">
        <f t="shared" si="107"/>
        <v>0</v>
      </c>
      <c r="J120" s="60">
        <f t="shared" si="107"/>
        <v>0</v>
      </c>
      <c r="K120" s="97">
        <f t="shared" ref="K120" si="108">K108</f>
        <v>0</v>
      </c>
      <c r="M120" s="23">
        <f>'Res OLS Model'!$B$5</f>
        <v>-23168470.016197301</v>
      </c>
      <c r="N120" s="23">
        <f ca="1">'Res OLS Model'!$B$6*D120</f>
        <v>5318550.0079811988</v>
      </c>
      <c r="O120" s="23">
        <f ca="1">'Res OLS Model'!$B$7*E120</f>
        <v>0</v>
      </c>
      <c r="P120" s="23">
        <f>'Res OLS Model'!$B$8*F120</f>
        <v>-3270802.7539398419</v>
      </c>
      <c r="Q120" s="23">
        <f>'Res OLS Model'!$B$9*G120</f>
        <v>38176651.643721834</v>
      </c>
      <c r="R120" s="23">
        <f>'Res OLS Model'!$B$10*H120</f>
        <v>-1279656.8259476901</v>
      </c>
      <c r="S120" s="23">
        <f>'Res OLS Model'!$B$11*I120</f>
        <v>0</v>
      </c>
      <c r="T120" s="23">
        <f>'Res OLS Model'!$B$12*J120</f>
        <v>0</v>
      </c>
      <c r="U120" s="23">
        <f>'Res OLS Model'!$B$13*K120</f>
        <v>0</v>
      </c>
      <c r="V120" s="23">
        <f t="shared" ca="1" si="63"/>
        <v>15776272.0556182</v>
      </c>
    </row>
    <row r="121" spans="1:22">
      <c r="A121" s="11">
        <v>43435</v>
      </c>
      <c r="B121" s="6">
        <f t="shared" si="60"/>
        <v>2018</v>
      </c>
      <c r="D121" s="30">
        <f t="shared" ca="1" si="94"/>
        <v>684.01</v>
      </c>
      <c r="E121" s="30">
        <f t="shared" ca="1" si="94"/>
        <v>0</v>
      </c>
      <c r="F121">
        <f t="shared" si="7"/>
        <v>120</v>
      </c>
      <c r="G121" s="60">
        <f>SUMIF('Connection count '!B:B,B121,'Connection count '!C:C)</f>
        <v>24465.981491922685</v>
      </c>
      <c r="H121" s="60">
        <f t="shared" ref="H121:J121" si="109">H109</f>
        <v>0</v>
      </c>
      <c r="I121" s="60">
        <f t="shared" si="109"/>
        <v>0</v>
      </c>
      <c r="J121" s="60">
        <f t="shared" si="109"/>
        <v>0</v>
      </c>
      <c r="K121" s="97">
        <f t="shared" ref="K121" si="110">K109</f>
        <v>0</v>
      </c>
      <c r="M121" s="23">
        <f>'Res OLS Model'!$B$5</f>
        <v>-23168470.016197301</v>
      </c>
      <c r="N121" s="23">
        <f ca="1">'Res OLS Model'!$B$6*D121</f>
        <v>8192639.0968567049</v>
      </c>
      <c r="O121" s="23">
        <f ca="1">'Res OLS Model'!$B$7*E121</f>
        <v>0</v>
      </c>
      <c r="P121" s="23">
        <f>'Res OLS Model'!$B$8*F121</f>
        <v>-3298288.4913679077</v>
      </c>
      <c r="Q121" s="23">
        <f>'Res OLS Model'!$B$9*G121</f>
        <v>38176651.643721834</v>
      </c>
      <c r="R121" s="23">
        <f>'Res OLS Model'!$B$10*H121</f>
        <v>0</v>
      </c>
      <c r="S121" s="23">
        <f>'Res OLS Model'!$B$11*I121</f>
        <v>0</v>
      </c>
      <c r="T121" s="23">
        <f>'Res OLS Model'!$B$12*J121</f>
        <v>0</v>
      </c>
      <c r="U121" s="23">
        <f>'Res OLS Model'!$B$13*K121</f>
        <v>0</v>
      </c>
      <c r="V121" s="23">
        <f t="shared" ca="1" si="63"/>
        <v>19902532.233013332</v>
      </c>
    </row>
    <row r="122" spans="1:22">
      <c r="A122" s="11">
        <v>43466</v>
      </c>
      <c r="B122" s="6">
        <f t="shared" si="60"/>
        <v>2019</v>
      </c>
      <c r="D122" s="30">
        <f t="shared" ca="1" si="94"/>
        <v>784.29</v>
      </c>
      <c r="E122" s="30">
        <f t="shared" ca="1" si="94"/>
        <v>0</v>
      </c>
      <c r="F122">
        <f t="shared" si="7"/>
        <v>121</v>
      </c>
      <c r="G122" s="60">
        <f>SUMIF('Connection count '!B:B,B122,'Connection count '!C:C)</f>
        <v>24621.780092550849</v>
      </c>
      <c r="H122" s="60">
        <f t="shared" ref="H122:J122" si="111">H110</f>
        <v>0</v>
      </c>
      <c r="I122" s="60">
        <f t="shared" si="111"/>
        <v>0</v>
      </c>
      <c r="J122" s="60">
        <f t="shared" si="111"/>
        <v>0</v>
      </c>
      <c r="K122" s="97">
        <f t="shared" ref="K122" si="112">K110</f>
        <v>1</v>
      </c>
      <c r="M122" s="23">
        <f>'Res OLS Model'!$B$5</f>
        <v>-23168470.016197301</v>
      </c>
      <c r="N122" s="23">
        <f ca="1">'Res OLS Model'!$B$6*D122</f>
        <v>9393729.5028928593</v>
      </c>
      <c r="O122" s="23">
        <f ca="1">'Res OLS Model'!$B$7*E122</f>
        <v>0</v>
      </c>
      <c r="P122" s="23">
        <f>'Res OLS Model'!$B$8*F122</f>
        <v>-3325774.2287959736</v>
      </c>
      <c r="Q122" s="23">
        <f>'Res OLS Model'!$B$9*G122</f>
        <v>38419759.360643975</v>
      </c>
      <c r="R122" s="23">
        <f>'Res OLS Model'!$B$10*H122</f>
        <v>0</v>
      </c>
      <c r="S122" s="23">
        <f>'Res OLS Model'!$B$11*I122</f>
        <v>0</v>
      </c>
      <c r="T122" s="23">
        <f>'Res OLS Model'!$B$12*J122</f>
        <v>0</v>
      </c>
      <c r="U122" s="23">
        <f>'Res OLS Model'!$B$13*K122</f>
        <v>1122371.81652903</v>
      </c>
      <c r="V122" s="23">
        <f t="shared" ca="1" si="63"/>
        <v>22441616.435072586</v>
      </c>
    </row>
    <row r="123" spans="1:22">
      <c r="A123" s="11">
        <v>43497</v>
      </c>
      <c r="B123" s="6">
        <f t="shared" si="60"/>
        <v>2019</v>
      </c>
      <c r="D123" s="30">
        <f t="shared" ca="1" si="94"/>
        <v>682.50999999999988</v>
      </c>
      <c r="E123" s="30">
        <f t="shared" ca="1" si="94"/>
        <v>0</v>
      </c>
      <c r="F123">
        <f t="shared" si="7"/>
        <v>122</v>
      </c>
      <c r="G123" s="60">
        <f>SUMIF('Connection count '!B:B,B123,'Connection count '!C:C)</f>
        <v>24621.780092550849</v>
      </c>
      <c r="H123" s="60">
        <f t="shared" ref="H123:J123" si="113">H111</f>
        <v>0</v>
      </c>
      <c r="I123" s="60">
        <f t="shared" si="113"/>
        <v>0</v>
      </c>
      <c r="J123" s="60">
        <f t="shared" si="113"/>
        <v>0</v>
      </c>
      <c r="K123" s="97">
        <f t="shared" ref="K123" si="114">K111</f>
        <v>0</v>
      </c>
      <c r="M123" s="23">
        <f>'Res OLS Model'!$B$5</f>
        <v>-23168470.016197301</v>
      </c>
      <c r="N123" s="23">
        <f ca="1">'Res OLS Model'!$B$6*D123</f>
        <v>8174673.0457093734</v>
      </c>
      <c r="O123" s="23">
        <f ca="1">'Res OLS Model'!$B$7*E123</f>
        <v>0</v>
      </c>
      <c r="P123" s="23">
        <f>'Res OLS Model'!$B$8*F123</f>
        <v>-3353259.9662240394</v>
      </c>
      <c r="Q123" s="23">
        <f>'Res OLS Model'!$B$9*G123</f>
        <v>38419759.360643975</v>
      </c>
      <c r="R123" s="23">
        <f>'Res OLS Model'!$B$10*H123</f>
        <v>0</v>
      </c>
      <c r="S123" s="23">
        <f>'Res OLS Model'!$B$11*I123</f>
        <v>0</v>
      </c>
      <c r="T123" s="23">
        <f>'Res OLS Model'!$B$12*J123</f>
        <v>0</v>
      </c>
      <c r="U123" s="23">
        <f>'Res OLS Model'!$B$13*K123</f>
        <v>0</v>
      </c>
      <c r="V123" s="23">
        <f t="shared" ca="1" si="63"/>
        <v>20072702.423932008</v>
      </c>
    </row>
    <row r="124" spans="1:22">
      <c r="A124" s="11">
        <v>43525</v>
      </c>
      <c r="B124" s="6">
        <f t="shared" si="60"/>
        <v>2019</v>
      </c>
      <c r="D124" s="30">
        <f t="shared" ca="1" si="94"/>
        <v>556.99</v>
      </c>
      <c r="E124" s="30">
        <f t="shared" ca="1" si="94"/>
        <v>0</v>
      </c>
      <c r="F124">
        <f t="shared" si="7"/>
        <v>123</v>
      </c>
      <c r="G124" s="60">
        <f>SUMIF('Connection count '!B:B,B124,'Connection count '!C:C)</f>
        <v>24621.780092550849</v>
      </c>
      <c r="H124" s="60">
        <f t="shared" ref="H124:J124" si="115">H112</f>
        <v>0</v>
      </c>
      <c r="I124" s="60">
        <f t="shared" si="115"/>
        <v>0</v>
      </c>
      <c r="J124" s="60">
        <f t="shared" si="115"/>
        <v>0</v>
      </c>
      <c r="K124" s="97">
        <f t="shared" ref="K124" si="116">K112</f>
        <v>0</v>
      </c>
      <c r="M124" s="23">
        <f>'Res OLS Model'!$B$5</f>
        <v>-23168470.016197301</v>
      </c>
      <c r="N124" s="23">
        <f ca="1">'Res OLS Model'!$B$6*D124</f>
        <v>6671273.8857008172</v>
      </c>
      <c r="O124" s="23">
        <f ca="1">'Res OLS Model'!$B$7*E124</f>
        <v>0</v>
      </c>
      <c r="P124" s="23">
        <f>'Res OLS Model'!$B$8*F124</f>
        <v>-3380745.7036521058</v>
      </c>
      <c r="Q124" s="23">
        <f>'Res OLS Model'!$B$9*G124</f>
        <v>38419759.360643975</v>
      </c>
      <c r="R124" s="23">
        <f>'Res OLS Model'!$B$10*H124</f>
        <v>0</v>
      </c>
      <c r="S124" s="23">
        <f>'Res OLS Model'!$B$11*I124</f>
        <v>0</v>
      </c>
      <c r="T124" s="23">
        <f>'Res OLS Model'!$B$12*J124</f>
        <v>0</v>
      </c>
      <c r="U124" s="23">
        <f>'Res OLS Model'!$B$13*K124</f>
        <v>0</v>
      </c>
      <c r="V124" s="23">
        <f t="shared" ca="1" si="63"/>
        <v>18541817.526495386</v>
      </c>
    </row>
    <row r="125" spans="1:22">
      <c r="A125" s="11">
        <v>43556</v>
      </c>
      <c r="B125" s="6">
        <f t="shared" si="60"/>
        <v>2019</v>
      </c>
      <c r="D125" s="30">
        <f t="shared" ca="1" si="94"/>
        <v>326.58999999999997</v>
      </c>
      <c r="E125" s="30">
        <f t="shared" ca="1" si="94"/>
        <v>0.39</v>
      </c>
      <c r="F125">
        <f t="shared" si="7"/>
        <v>124</v>
      </c>
      <c r="G125" s="60">
        <f>SUMIF('Connection count '!B:B,B125,'Connection count '!C:C)</f>
        <v>24621.780092550849</v>
      </c>
      <c r="H125" s="60">
        <f t="shared" ref="H125:J125" si="117">H113</f>
        <v>0</v>
      </c>
      <c r="I125" s="60">
        <f t="shared" si="117"/>
        <v>1</v>
      </c>
      <c r="J125" s="60">
        <f t="shared" si="117"/>
        <v>0</v>
      </c>
      <c r="K125" s="97">
        <f t="shared" ref="K125" si="118">K113</f>
        <v>0</v>
      </c>
      <c r="M125" s="23">
        <f>'Res OLS Model'!$B$5</f>
        <v>-23168470.016197301</v>
      </c>
      <c r="N125" s="23">
        <f ca="1">'Res OLS Model'!$B$6*D125</f>
        <v>3911688.4294709596</v>
      </c>
      <c r="O125" s="23">
        <f ca="1">'Res OLS Model'!$B$7*E125</f>
        <v>13015.289534109019</v>
      </c>
      <c r="P125" s="23">
        <f>'Res OLS Model'!$B$8*F125</f>
        <v>-3408231.4410801716</v>
      </c>
      <c r="Q125" s="23">
        <f>'Res OLS Model'!$B$9*G125</f>
        <v>38419759.360643975</v>
      </c>
      <c r="R125" s="23">
        <f>'Res OLS Model'!$B$10*H125</f>
        <v>0</v>
      </c>
      <c r="S125" s="23">
        <f>'Res OLS Model'!$B$11*I125</f>
        <v>-1218613.41007658</v>
      </c>
      <c r="T125" s="23">
        <f>'Res OLS Model'!$B$12*J125</f>
        <v>0</v>
      </c>
      <c r="U125" s="23">
        <f>'Res OLS Model'!$B$13*K125</f>
        <v>0</v>
      </c>
      <c r="V125" s="23">
        <f t="shared" ca="1" si="63"/>
        <v>14549148.212294992</v>
      </c>
    </row>
    <row r="126" spans="1:22">
      <c r="A126" s="11">
        <v>43586</v>
      </c>
      <c r="B126" s="6">
        <f t="shared" si="60"/>
        <v>2019</v>
      </c>
      <c r="D126" s="30">
        <f t="shared" ca="1" si="94"/>
        <v>144.96</v>
      </c>
      <c r="E126" s="30">
        <f t="shared" ca="1" si="94"/>
        <v>8.67</v>
      </c>
      <c r="F126">
        <f t="shared" si="7"/>
        <v>125</v>
      </c>
      <c r="G126" s="60">
        <f>SUMIF('Connection count '!B:B,B126,'Connection count '!C:C)</f>
        <v>24621.780092550849</v>
      </c>
      <c r="H126" s="60">
        <f t="shared" ref="H126:J126" si="119">H114</f>
        <v>0</v>
      </c>
      <c r="I126" s="60">
        <f t="shared" si="119"/>
        <v>0</v>
      </c>
      <c r="J126" s="60">
        <f t="shared" si="119"/>
        <v>1</v>
      </c>
      <c r="K126" s="97">
        <f t="shared" ref="K126" si="120">K114</f>
        <v>0</v>
      </c>
      <c r="M126" s="23">
        <f>'Res OLS Model'!$B$5</f>
        <v>-23168470.016197301</v>
      </c>
      <c r="N126" s="23">
        <f ca="1">'Res OLS Model'!$B$6*D126</f>
        <v>1736239.182877952</v>
      </c>
      <c r="O126" s="23">
        <f ca="1">'Res OLS Model'!$B$7*E126</f>
        <v>289339.89810442354</v>
      </c>
      <c r="P126" s="23">
        <f>'Res OLS Model'!$B$8*F126</f>
        <v>-3435717.1785082375</v>
      </c>
      <c r="Q126" s="23">
        <f>'Res OLS Model'!$B$9*G126</f>
        <v>38419759.360643975</v>
      </c>
      <c r="R126" s="23">
        <f>'Res OLS Model'!$B$10*H126</f>
        <v>0</v>
      </c>
      <c r="S126" s="23">
        <f>'Res OLS Model'!$B$11*I126</f>
        <v>0</v>
      </c>
      <c r="T126" s="23">
        <f>'Res OLS Model'!$B$12*J126</f>
        <v>-1511757.2538914999</v>
      </c>
      <c r="U126" s="23">
        <f>'Res OLS Model'!$B$13*K126</f>
        <v>0</v>
      </c>
      <c r="V126" s="23">
        <f t="shared" ca="1" si="63"/>
        <v>12329393.993029309</v>
      </c>
    </row>
    <row r="127" spans="1:22">
      <c r="A127" s="11">
        <v>43617</v>
      </c>
      <c r="B127" s="6">
        <f t="shared" si="60"/>
        <v>2019</v>
      </c>
      <c r="D127" s="30">
        <f t="shared" ca="1" si="94"/>
        <v>41.510000000000005</v>
      </c>
      <c r="E127" s="30">
        <f t="shared" ca="1" si="94"/>
        <v>44.41</v>
      </c>
      <c r="F127">
        <f t="shared" ref="F127:F145" si="121">F126+1</f>
        <v>126</v>
      </c>
      <c r="G127" s="60">
        <f>SUMIF('Connection count '!B:B,B127,'Connection count '!C:C)</f>
        <v>24621.780092550849</v>
      </c>
      <c r="H127" s="60">
        <f t="shared" ref="H127:J127" si="122">H115</f>
        <v>0</v>
      </c>
      <c r="I127" s="60">
        <f t="shared" si="122"/>
        <v>0</v>
      </c>
      <c r="J127" s="60">
        <f t="shared" si="122"/>
        <v>1</v>
      </c>
      <c r="K127" s="97">
        <f t="shared" ref="K127" si="123">K115</f>
        <v>0</v>
      </c>
      <c r="M127" s="23">
        <f>'Res OLS Model'!$B$5</f>
        <v>-23168470.016197301</v>
      </c>
      <c r="N127" s="23">
        <f ca="1">'Res OLS Model'!$B$6*D127</f>
        <v>497180.52208377345</v>
      </c>
      <c r="O127" s="23">
        <f ca="1">'Res OLS Model'!$B$7*E127</f>
        <v>1482074.3800250806</v>
      </c>
      <c r="P127" s="23">
        <f>'Res OLS Model'!$B$8*F127</f>
        <v>-3463202.9159363033</v>
      </c>
      <c r="Q127" s="23">
        <f>'Res OLS Model'!$B$9*G127</f>
        <v>38419759.360643975</v>
      </c>
      <c r="R127" s="23">
        <f>'Res OLS Model'!$B$10*H127</f>
        <v>0</v>
      </c>
      <c r="S127" s="23">
        <f>'Res OLS Model'!$B$11*I127</f>
        <v>0</v>
      </c>
      <c r="T127" s="23">
        <f>'Res OLS Model'!$B$12*J127</f>
        <v>-1511757.2538914999</v>
      </c>
      <c r="U127" s="23">
        <f>'Res OLS Model'!$B$13*K127</f>
        <v>0</v>
      </c>
      <c r="V127" s="23">
        <f t="shared" ca="1" si="63"/>
        <v>12255584.076727727</v>
      </c>
    </row>
    <row r="128" spans="1:22">
      <c r="A128" s="11">
        <v>43647</v>
      </c>
      <c r="B128" s="6">
        <f t="shared" si="60"/>
        <v>2019</v>
      </c>
      <c r="D128" s="30">
        <f t="shared" ca="1" si="94"/>
        <v>5.01</v>
      </c>
      <c r="E128" s="30">
        <f t="shared" ca="1" si="94"/>
        <v>96.909999999999982</v>
      </c>
      <c r="F128">
        <f t="shared" si="121"/>
        <v>127</v>
      </c>
      <c r="G128" s="60">
        <f>SUMIF('Connection count '!B:B,B128,'Connection count '!C:C)</f>
        <v>24621.780092550849</v>
      </c>
      <c r="H128" s="60">
        <f t="shared" ref="H128:J128" si="124">H116</f>
        <v>0</v>
      </c>
      <c r="I128" s="60">
        <f t="shared" si="124"/>
        <v>0</v>
      </c>
      <c r="J128" s="60">
        <f t="shared" si="124"/>
        <v>1</v>
      </c>
      <c r="K128" s="97">
        <f t="shared" ref="K128" si="125">K116</f>
        <v>0</v>
      </c>
      <c r="M128" s="23">
        <f>'Res OLS Model'!$B$5</f>
        <v>-23168470.016197301</v>
      </c>
      <c r="N128" s="23">
        <f ca="1">'Res OLS Model'!$B$6*D128</f>
        <v>60006.610832081533</v>
      </c>
      <c r="O128" s="23">
        <f ca="1">'Res OLS Model'!$B$7*E128</f>
        <v>3234132.5865397556</v>
      </c>
      <c r="P128" s="23">
        <f>'Res OLS Model'!$B$8*F128</f>
        <v>-3490688.6533643692</v>
      </c>
      <c r="Q128" s="23">
        <f>'Res OLS Model'!$B$9*G128</f>
        <v>38419759.360643975</v>
      </c>
      <c r="R128" s="23">
        <f>'Res OLS Model'!$B$10*H128</f>
        <v>0</v>
      </c>
      <c r="S128" s="23">
        <f>'Res OLS Model'!$B$11*I128</f>
        <v>0</v>
      </c>
      <c r="T128" s="23">
        <f>'Res OLS Model'!$B$12*J128</f>
        <v>-1511757.2538914999</v>
      </c>
      <c r="U128" s="23">
        <f>'Res OLS Model'!$B$13*K128</f>
        <v>0</v>
      </c>
      <c r="V128" s="23">
        <f t="shared" ca="1" si="63"/>
        <v>13542982.634562643</v>
      </c>
    </row>
    <row r="129" spans="1:22">
      <c r="A129" s="11">
        <v>43678</v>
      </c>
      <c r="B129" s="6">
        <f t="shared" si="60"/>
        <v>2019</v>
      </c>
      <c r="D129" s="30">
        <f t="shared" ca="1" si="94"/>
        <v>12.719999999999999</v>
      </c>
      <c r="E129" s="30">
        <f t="shared" ca="1" si="94"/>
        <v>77.22999999999999</v>
      </c>
      <c r="F129">
        <f t="shared" si="121"/>
        <v>128</v>
      </c>
      <c r="G129" s="60">
        <f>SUMIF('Connection count '!B:B,B129,'Connection count '!C:C)</f>
        <v>24621.780092550849</v>
      </c>
      <c r="H129" s="60">
        <f t="shared" ref="H129:J129" si="126">H117</f>
        <v>0</v>
      </c>
      <c r="I129" s="60">
        <f t="shared" si="126"/>
        <v>0</v>
      </c>
      <c r="J129" s="60">
        <f t="shared" si="126"/>
        <v>1</v>
      </c>
      <c r="K129" s="97">
        <f t="shared" ref="K129" si="127">K117</f>
        <v>0</v>
      </c>
      <c r="M129" s="23">
        <f>'Res OLS Model'!$B$5</f>
        <v>-23168470.016197301</v>
      </c>
      <c r="N129" s="23">
        <f ca="1">'Res OLS Model'!$B$6*D129</f>
        <v>152352.1137293567</v>
      </c>
      <c r="O129" s="23">
        <f ca="1">'Res OLS Model'!$B$7*E129</f>
        <v>2577361.0531262546</v>
      </c>
      <c r="P129" s="23">
        <f>'Res OLS Model'!$B$8*F129</f>
        <v>-3518174.390792435</v>
      </c>
      <c r="Q129" s="23">
        <f>'Res OLS Model'!$B$9*G129</f>
        <v>38419759.360643975</v>
      </c>
      <c r="R129" s="23">
        <f>'Res OLS Model'!$B$10*H129</f>
        <v>0</v>
      </c>
      <c r="S129" s="23">
        <f>'Res OLS Model'!$B$11*I129</f>
        <v>0</v>
      </c>
      <c r="T129" s="23">
        <f>'Res OLS Model'!$B$12*J129</f>
        <v>-1511757.2538914999</v>
      </c>
      <c r="U129" s="23">
        <f>'Res OLS Model'!$B$13*K129</f>
        <v>0</v>
      </c>
      <c r="V129" s="23">
        <f t="shared" ca="1" si="63"/>
        <v>12951070.866618348</v>
      </c>
    </row>
    <row r="130" spans="1:22">
      <c r="A130" s="11">
        <v>43709</v>
      </c>
      <c r="B130" s="6">
        <f t="shared" si="60"/>
        <v>2019</v>
      </c>
      <c r="D130" s="30">
        <f t="shared" ca="1" si="94"/>
        <v>86.570000000000007</v>
      </c>
      <c r="E130" s="30">
        <f t="shared" ca="1" si="94"/>
        <v>19.899999999999999</v>
      </c>
      <c r="F130">
        <f t="shared" si="121"/>
        <v>129</v>
      </c>
      <c r="G130" s="60">
        <f>SUMIF('Connection count '!B:B,B130,'Connection count '!C:C)</f>
        <v>24621.780092550849</v>
      </c>
      <c r="H130" s="60">
        <f t="shared" ref="H130:J130" si="128">H118</f>
        <v>1</v>
      </c>
      <c r="I130" s="60">
        <f t="shared" si="128"/>
        <v>0</v>
      </c>
      <c r="J130" s="60">
        <f t="shared" si="128"/>
        <v>0</v>
      </c>
      <c r="K130" s="97">
        <f t="shared" ref="K130" si="129">K118</f>
        <v>0</v>
      </c>
      <c r="M130" s="23">
        <f>'Res OLS Model'!$B$5</f>
        <v>-23168470.016197301</v>
      </c>
      <c r="N130" s="23">
        <f ca="1">'Res OLS Model'!$B$6*D130</f>
        <v>1036880.6985495606</v>
      </c>
      <c r="O130" s="23">
        <f ca="1">'Res OLS Model'!$B$7*E130</f>
        <v>664113.49161222938</v>
      </c>
      <c r="P130" s="23">
        <f>'Res OLS Model'!$B$8*F130</f>
        <v>-3545660.1282205009</v>
      </c>
      <c r="Q130" s="23">
        <f>'Res OLS Model'!$B$9*G130</f>
        <v>38419759.360643975</v>
      </c>
      <c r="R130" s="23">
        <f>'Res OLS Model'!$B$10*H130</f>
        <v>-1279656.8259476901</v>
      </c>
      <c r="S130" s="23">
        <f>'Res OLS Model'!$B$11*I130</f>
        <v>0</v>
      </c>
      <c r="T130" s="23">
        <f>'Res OLS Model'!$B$12*J130</f>
        <v>0</v>
      </c>
      <c r="U130" s="23">
        <f>'Res OLS Model'!$B$13*K130</f>
        <v>0</v>
      </c>
      <c r="V130" s="23">
        <f t="shared" ref="V130:V145" ca="1" si="130">SUM(M130:U130)</f>
        <v>12126966.580440272</v>
      </c>
    </row>
    <row r="131" spans="1:22">
      <c r="A131" s="11">
        <v>43739</v>
      </c>
      <c r="B131" s="6">
        <f t="shared" si="60"/>
        <v>2019</v>
      </c>
      <c r="D131" s="30">
        <f t="shared" ca="1" si="94"/>
        <v>270.3</v>
      </c>
      <c r="E131" s="30">
        <f t="shared" ca="1" si="94"/>
        <v>1.21</v>
      </c>
      <c r="F131">
        <f t="shared" si="121"/>
        <v>130</v>
      </c>
      <c r="G131" s="60">
        <f>SUMIF('Connection count '!B:B,B131,'Connection count '!C:C)</f>
        <v>24621.780092550849</v>
      </c>
      <c r="H131" s="60">
        <f t="shared" ref="H131:J131" si="131">H119</f>
        <v>1</v>
      </c>
      <c r="I131" s="60">
        <f t="shared" si="131"/>
        <v>0</v>
      </c>
      <c r="J131" s="60">
        <f t="shared" si="131"/>
        <v>0</v>
      </c>
      <c r="K131" s="97">
        <f t="shared" ref="K131" si="132">K119</f>
        <v>0</v>
      </c>
      <c r="M131" s="23">
        <f>'Res OLS Model'!$B$5</f>
        <v>-23168470.016197301</v>
      </c>
      <c r="N131" s="23">
        <f ca="1">'Res OLS Model'!$B$6*D131</f>
        <v>3237482.4167488301</v>
      </c>
      <c r="O131" s="23">
        <f ca="1">'Res OLS Model'!$B$7*E131</f>
        <v>40380.770093004903</v>
      </c>
      <c r="P131" s="23">
        <f>'Res OLS Model'!$B$8*F131</f>
        <v>-3573145.8656485667</v>
      </c>
      <c r="Q131" s="23">
        <f>'Res OLS Model'!$B$9*G131</f>
        <v>38419759.360643975</v>
      </c>
      <c r="R131" s="23">
        <f>'Res OLS Model'!$B$10*H131</f>
        <v>-1279656.8259476901</v>
      </c>
      <c r="S131" s="23">
        <f>'Res OLS Model'!$B$11*I131</f>
        <v>0</v>
      </c>
      <c r="T131" s="23">
        <f>'Res OLS Model'!$B$12*J131</f>
        <v>0</v>
      </c>
      <c r="U131" s="23">
        <f>'Res OLS Model'!$B$13*K131</f>
        <v>0</v>
      </c>
      <c r="V131" s="23">
        <f t="shared" ca="1" si="130"/>
        <v>13676349.83969225</v>
      </c>
    </row>
    <row r="132" spans="1:22">
      <c r="A132" s="11">
        <v>43770</v>
      </c>
      <c r="B132" s="6">
        <f t="shared" si="60"/>
        <v>2019</v>
      </c>
      <c r="D132" s="30">
        <f t="shared" ca="1" si="94"/>
        <v>444.05</v>
      </c>
      <c r="E132" s="30">
        <f t="shared" ca="1" si="94"/>
        <v>0</v>
      </c>
      <c r="F132">
        <f t="shared" si="121"/>
        <v>131</v>
      </c>
      <c r="G132" s="60">
        <f>SUMIF('Connection count '!B:B,B132,'Connection count '!C:C)</f>
        <v>24621.780092550849</v>
      </c>
      <c r="H132" s="60">
        <f t="shared" ref="H132:J132" si="133">H120</f>
        <v>1</v>
      </c>
      <c r="I132" s="60">
        <f t="shared" si="133"/>
        <v>0</v>
      </c>
      <c r="J132" s="60">
        <f t="shared" si="133"/>
        <v>0</v>
      </c>
      <c r="K132" s="97">
        <f t="shared" ref="K132" si="134">K120</f>
        <v>0</v>
      </c>
      <c r="M132" s="23">
        <f>'Res OLS Model'!$B$5</f>
        <v>-23168470.016197301</v>
      </c>
      <c r="N132" s="23">
        <f ca="1">'Res OLS Model'!$B$6*D132</f>
        <v>5318550.0079811988</v>
      </c>
      <c r="O132" s="23">
        <f ca="1">'Res OLS Model'!$B$7*E132</f>
        <v>0</v>
      </c>
      <c r="P132" s="23">
        <f>'Res OLS Model'!$B$8*F132</f>
        <v>-3600631.6030766326</v>
      </c>
      <c r="Q132" s="23">
        <f>'Res OLS Model'!$B$9*G132</f>
        <v>38419759.360643975</v>
      </c>
      <c r="R132" s="23">
        <f>'Res OLS Model'!$B$10*H132</f>
        <v>-1279656.8259476901</v>
      </c>
      <c r="S132" s="23">
        <f>'Res OLS Model'!$B$11*I132</f>
        <v>0</v>
      </c>
      <c r="T132" s="23">
        <f>'Res OLS Model'!$B$12*J132</f>
        <v>0</v>
      </c>
      <c r="U132" s="23">
        <f>'Res OLS Model'!$B$13*K132</f>
        <v>0</v>
      </c>
      <c r="V132" s="23">
        <f t="shared" ca="1" si="130"/>
        <v>15689550.92340355</v>
      </c>
    </row>
    <row r="133" spans="1:22">
      <c r="A133" s="11">
        <v>43800</v>
      </c>
      <c r="B133" s="6">
        <f t="shared" si="60"/>
        <v>2019</v>
      </c>
      <c r="D133" s="30">
        <f t="shared" ca="1" si="94"/>
        <v>684.01</v>
      </c>
      <c r="E133" s="30">
        <f t="shared" ca="1" si="94"/>
        <v>0</v>
      </c>
      <c r="F133">
        <f t="shared" si="121"/>
        <v>132</v>
      </c>
      <c r="G133" s="60">
        <f>SUMIF('Connection count '!B:B,B133,'Connection count '!C:C)</f>
        <v>24621.780092550849</v>
      </c>
      <c r="H133" s="60">
        <f t="shared" ref="H133:J133" si="135">H121</f>
        <v>0</v>
      </c>
      <c r="I133" s="60">
        <f t="shared" si="135"/>
        <v>0</v>
      </c>
      <c r="J133" s="60">
        <f t="shared" si="135"/>
        <v>0</v>
      </c>
      <c r="K133" s="97">
        <f t="shared" ref="K133" si="136">K121</f>
        <v>0</v>
      </c>
      <c r="M133" s="23">
        <f>'Res OLS Model'!$B$5</f>
        <v>-23168470.016197301</v>
      </c>
      <c r="N133" s="23">
        <f ca="1">'Res OLS Model'!$B$6*D133</f>
        <v>8192639.0968567049</v>
      </c>
      <c r="O133" s="23">
        <f ca="1">'Res OLS Model'!$B$7*E133</f>
        <v>0</v>
      </c>
      <c r="P133" s="23">
        <f>'Res OLS Model'!$B$8*F133</f>
        <v>-3628117.3405046985</v>
      </c>
      <c r="Q133" s="23">
        <f>'Res OLS Model'!$B$9*G133</f>
        <v>38419759.360643975</v>
      </c>
      <c r="R133" s="23">
        <f>'Res OLS Model'!$B$10*H133</f>
        <v>0</v>
      </c>
      <c r="S133" s="23">
        <f>'Res OLS Model'!$B$11*I133</f>
        <v>0</v>
      </c>
      <c r="T133" s="23">
        <f>'Res OLS Model'!$B$12*J133</f>
        <v>0</v>
      </c>
      <c r="U133" s="23">
        <f>'Res OLS Model'!$B$13*K133</f>
        <v>0</v>
      </c>
      <c r="V133" s="23">
        <f t="shared" ca="1" si="130"/>
        <v>19815811.100798681</v>
      </c>
    </row>
    <row r="134" spans="1:22">
      <c r="A134" s="11">
        <v>43831</v>
      </c>
      <c r="B134" s="6">
        <f t="shared" si="60"/>
        <v>2020</v>
      </c>
      <c r="D134" s="30">
        <f t="shared" ref="D134:E145" ca="1" si="137">D122</f>
        <v>784.29</v>
      </c>
      <c r="E134" s="30">
        <f t="shared" ca="1" si="137"/>
        <v>0</v>
      </c>
      <c r="F134">
        <f t="shared" si="121"/>
        <v>133</v>
      </c>
      <c r="G134" s="60">
        <f>SUMIF('Connection count '!B:B,B134,'Connection count '!C:C)</f>
        <v>24778.570813767583</v>
      </c>
      <c r="H134" s="60">
        <f t="shared" ref="H134:J134" si="138">H122</f>
        <v>0</v>
      </c>
      <c r="I134" s="60">
        <f t="shared" si="138"/>
        <v>0</v>
      </c>
      <c r="J134" s="60">
        <f t="shared" si="138"/>
        <v>0</v>
      </c>
      <c r="K134" s="97">
        <f t="shared" ref="K134" si="139">K122</f>
        <v>1</v>
      </c>
      <c r="M134" s="23">
        <f>'Res OLS Model'!$B$5</f>
        <v>-23168470.016197301</v>
      </c>
      <c r="N134" s="23">
        <f ca="1">'Res OLS Model'!$B$6*D134</f>
        <v>9393729.5028928593</v>
      </c>
      <c r="O134" s="23">
        <f ca="1">'Res OLS Model'!$B$7*E134</f>
        <v>0</v>
      </c>
      <c r="P134" s="23">
        <f>'Res OLS Model'!$B$8*F134</f>
        <v>-3655603.0779327643</v>
      </c>
      <c r="Q134" s="23">
        <f>'Res OLS Model'!$B$9*G134</f>
        <v>38664415.179861173</v>
      </c>
      <c r="R134" s="23">
        <f>'Res OLS Model'!$B$10*H134</f>
        <v>0</v>
      </c>
      <c r="S134" s="23">
        <f>'Res OLS Model'!$B$11*I134</f>
        <v>0</v>
      </c>
      <c r="T134" s="23">
        <f>'Res OLS Model'!$B$12*J134</f>
        <v>0</v>
      </c>
      <c r="U134" s="23">
        <f>'Res OLS Model'!$B$13*K134</f>
        <v>1122371.81652903</v>
      </c>
      <c r="V134" s="23">
        <f t="shared" ca="1" si="130"/>
        <v>22356443.405152999</v>
      </c>
    </row>
    <row r="135" spans="1:22">
      <c r="A135" s="11">
        <v>43862</v>
      </c>
      <c r="B135" s="6">
        <f t="shared" si="60"/>
        <v>2020</v>
      </c>
      <c r="D135" s="30">
        <f t="shared" ca="1" si="137"/>
        <v>682.50999999999988</v>
      </c>
      <c r="E135" s="30">
        <f t="shared" ca="1" si="137"/>
        <v>0</v>
      </c>
      <c r="F135">
        <f t="shared" si="121"/>
        <v>134</v>
      </c>
      <c r="G135" s="60">
        <f>SUMIF('Connection count '!B:B,B135,'Connection count '!C:C)</f>
        <v>24778.570813767583</v>
      </c>
      <c r="H135" s="60">
        <f t="shared" ref="H135:J135" si="140">H123</f>
        <v>0</v>
      </c>
      <c r="I135" s="60">
        <f t="shared" si="140"/>
        <v>0</v>
      </c>
      <c r="J135" s="60">
        <f t="shared" si="140"/>
        <v>0</v>
      </c>
      <c r="K135" s="97">
        <f t="shared" ref="K135" si="141">K123</f>
        <v>0</v>
      </c>
      <c r="M135" s="23">
        <f>'Res OLS Model'!$B$5</f>
        <v>-23168470.016197301</v>
      </c>
      <c r="N135" s="23">
        <f ca="1">'Res OLS Model'!$B$6*D135</f>
        <v>8174673.0457093734</v>
      </c>
      <c r="O135" s="23">
        <f ca="1">'Res OLS Model'!$B$7*E135</f>
        <v>0</v>
      </c>
      <c r="P135" s="23">
        <f>'Res OLS Model'!$B$8*F135</f>
        <v>-3683088.8153608306</v>
      </c>
      <c r="Q135" s="23">
        <f>'Res OLS Model'!$B$9*G135</f>
        <v>38664415.179861173</v>
      </c>
      <c r="R135" s="23">
        <f>'Res OLS Model'!$B$10*H135</f>
        <v>0</v>
      </c>
      <c r="S135" s="23">
        <f>'Res OLS Model'!$B$11*I135</f>
        <v>0</v>
      </c>
      <c r="T135" s="23">
        <f>'Res OLS Model'!$B$12*J135</f>
        <v>0</v>
      </c>
      <c r="U135" s="23">
        <f>'Res OLS Model'!$B$13*K135</f>
        <v>0</v>
      </c>
      <c r="V135" s="23">
        <f t="shared" ca="1" si="130"/>
        <v>19987529.394012414</v>
      </c>
    </row>
    <row r="136" spans="1:22">
      <c r="A136" s="11">
        <v>43891</v>
      </c>
      <c r="B136" s="6">
        <f t="shared" si="60"/>
        <v>2020</v>
      </c>
      <c r="D136" s="30">
        <f t="shared" ca="1" si="137"/>
        <v>556.99</v>
      </c>
      <c r="E136" s="30">
        <f t="shared" ca="1" si="137"/>
        <v>0</v>
      </c>
      <c r="F136">
        <f t="shared" si="121"/>
        <v>135</v>
      </c>
      <c r="G136" s="60">
        <f>SUMIF('Connection count '!B:B,B136,'Connection count '!C:C)</f>
        <v>24778.570813767583</v>
      </c>
      <c r="H136" s="60">
        <f t="shared" ref="H136:J136" si="142">H124</f>
        <v>0</v>
      </c>
      <c r="I136" s="60">
        <f t="shared" si="142"/>
        <v>0</v>
      </c>
      <c r="J136" s="60">
        <f t="shared" si="142"/>
        <v>0</v>
      </c>
      <c r="K136" s="97">
        <f t="shared" ref="K136" si="143">K124</f>
        <v>0</v>
      </c>
      <c r="M136" s="23">
        <f>'Res OLS Model'!$B$5</f>
        <v>-23168470.016197301</v>
      </c>
      <c r="N136" s="23">
        <f ca="1">'Res OLS Model'!$B$6*D136</f>
        <v>6671273.8857008172</v>
      </c>
      <c r="O136" s="23">
        <f ca="1">'Res OLS Model'!$B$7*E136</f>
        <v>0</v>
      </c>
      <c r="P136" s="23">
        <f>'Res OLS Model'!$B$8*F136</f>
        <v>-3710574.5527888965</v>
      </c>
      <c r="Q136" s="23">
        <f>'Res OLS Model'!$B$9*G136</f>
        <v>38664415.179861173</v>
      </c>
      <c r="R136" s="23">
        <f>'Res OLS Model'!$B$10*H136</f>
        <v>0</v>
      </c>
      <c r="S136" s="23">
        <f>'Res OLS Model'!$B$11*I136</f>
        <v>0</v>
      </c>
      <c r="T136" s="23">
        <f>'Res OLS Model'!$B$12*J136</f>
        <v>0</v>
      </c>
      <c r="U136" s="23">
        <f>'Res OLS Model'!$B$13*K136</f>
        <v>0</v>
      </c>
      <c r="V136" s="23">
        <f t="shared" ca="1" si="130"/>
        <v>18456644.496575795</v>
      </c>
    </row>
    <row r="137" spans="1:22">
      <c r="A137" s="11">
        <v>43922</v>
      </c>
      <c r="B137" s="6">
        <f t="shared" si="60"/>
        <v>2020</v>
      </c>
      <c r="D137" s="30">
        <f t="shared" ca="1" si="137"/>
        <v>326.58999999999997</v>
      </c>
      <c r="E137" s="30">
        <f t="shared" ca="1" si="137"/>
        <v>0.39</v>
      </c>
      <c r="F137">
        <f t="shared" si="121"/>
        <v>136</v>
      </c>
      <c r="G137" s="60">
        <f>SUMIF('Connection count '!B:B,B137,'Connection count '!C:C)</f>
        <v>24778.570813767583</v>
      </c>
      <c r="H137" s="60">
        <f t="shared" ref="H137:J137" si="144">H125</f>
        <v>0</v>
      </c>
      <c r="I137" s="60">
        <f t="shared" si="144"/>
        <v>1</v>
      </c>
      <c r="J137" s="60">
        <f t="shared" si="144"/>
        <v>0</v>
      </c>
      <c r="K137" s="97">
        <f t="shared" ref="K137" si="145">K125</f>
        <v>0</v>
      </c>
      <c r="M137" s="23">
        <f>'Res OLS Model'!$B$5</f>
        <v>-23168470.016197301</v>
      </c>
      <c r="N137" s="23">
        <f ca="1">'Res OLS Model'!$B$6*D137</f>
        <v>3911688.4294709596</v>
      </c>
      <c r="O137" s="23">
        <f ca="1">'Res OLS Model'!$B$7*E137</f>
        <v>13015.289534109019</v>
      </c>
      <c r="P137" s="23">
        <f>'Res OLS Model'!$B$8*F137</f>
        <v>-3738060.2902169623</v>
      </c>
      <c r="Q137" s="23">
        <f>'Res OLS Model'!$B$9*G137</f>
        <v>38664415.179861173</v>
      </c>
      <c r="R137" s="23">
        <f>'Res OLS Model'!$B$10*H137</f>
        <v>0</v>
      </c>
      <c r="S137" s="23">
        <f>'Res OLS Model'!$B$11*I137</f>
        <v>-1218613.41007658</v>
      </c>
      <c r="T137" s="23">
        <f>'Res OLS Model'!$B$12*J137</f>
        <v>0</v>
      </c>
      <c r="U137" s="23">
        <f>'Res OLS Model'!$B$13*K137</f>
        <v>0</v>
      </c>
      <c r="V137" s="23">
        <f t="shared" ca="1" si="130"/>
        <v>14463975.182375398</v>
      </c>
    </row>
    <row r="138" spans="1:22">
      <c r="A138" s="11">
        <v>43952</v>
      </c>
      <c r="B138" s="6">
        <f t="shared" si="60"/>
        <v>2020</v>
      </c>
      <c r="D138" s="30">
        <f t="shared" ca="1" si="137"/>
        <v>144.96</v>
      </c>
      <c r="E138" s="30">
        <f t="shared" ca="1" si="137"/>
        <v>8.67</v>
      </c>
      <c r="F138">
        <f t="shared" si="121"/>
        <v>137</v>
      </c>
      <c r="G138" s="60">
        <f>SUMIF('Connection count '!B:B,B138,'Connection count '!C:C)</f>
        <v>24778.570813767583</v>
      </c>
      <c r="H138" s="60">
        <f t="shared" ref="H138:J138" si="146">H126</f>
        <v>0</v>
      </c>
      <c r="I138" s="60">
        <f t="shared" si="146"/>
        <v>0</v>
      </c>
      <c r="J138" s="60">
        <f t="shared" si="146"/>
        <v>1</v>
      </c>
      <c r="K138" s="97">
        <f t="shared" ref="K138" si="147">K126</f>
        <v>0</v>
      </c>
      <c r="M138" s="23">
        <f>'Res OLS Model'!$B$5</f>
        <v>-23168470.016197301</v>
      </c>
      <c r="N138" s="23">
        <f ca="1">'Res OLS Model'!$B$6*D138</f>
        <v>1736239.182877952</v>
      </c>
      <c r="O138" s="23">
        <f ca="1">'Res OLS Model'!$B$7*E138</f>
        <v>289339.89810442354</v>
      </c>
      <c r="P138" s="23">
        <f>'Res OLS Model'!$B$8*F138</f>
        <v>-3765546.0276450282</v>
      </c>
      <c r="Q138" s="23">
        <f>'Res OLS Model'!$B$9*G138</f>
        <v>38664415.179861173</v>
      </c>
      <c r="R138" s="23">
        <f>'Res OLS Model'!$B$10*H138</f>
        <v>0</v>
      </c>
      <c r="S138" s="23">
        <f>'Res OLS Model'!$B$11*I138</f>
        <v>0</v>
      </c>
      <c r="T138" s="23">
        <f>'Res OLS Model'!$B$12*J138</f>
        <v>-1511757.2538914999</v>
      </c>
      <c r="U138" s="23">
        <f>'Res OLS Model'!$B$13*K138</f>
        <v>0</v>
      </c>
      <c r="V138" s="23">
        <f t="shared" ca="1" si="130"/>
        <v>12244220.963109715</v>
      </c>
    </row>
    <row r="139" spans="1:22">
      <c r="A139" s="11">
        <v>43983</v>
      </c>
      <c r="B139" s="6">
        <f t="shared" si="60"/>
        <v>2020</v>
      </c>
      <c r="D139" s="30">
        <f t="shared" ca="1" si="137"/>
        <v>41.510000000000005</v>
      </c>
      <c r="E139" s="30">
        <f t="shared" ca="1" si="137"/>
        <v>44.41</v>
      </c>
      <c r="F139">
        <f t="shared" si="121"/>
        <v>138</v>
      </c>
      <c r="G139" s="60">
        <f>SUMIF('Connection count '!B:B,B139,'Connection count '!C:C)</f>
        <v>24778.570813767583</v>
      </c>
      <c r="H139" s="60">
        <f t="shared" ref="H139:J139" si="148">H127</f>
        <v>0</v>
      </c>
      <c r="I139" s="60">
        <f t="shared" si="148"/>
        <v>0</v>
      </c>
      <c r="J139" s="60">
        <f t="shared" si="148"/>
        <v>1</v>
      </c>
      <c r="K139" s="97">
        <f t="shared" ref="K139" si="149">K127</f>
        <v>0</v>
      </c>
      <c r="M139" s="23">
        <f>'Res OLS Model'!$B$5</f>
        <v>-23168470.016197301</v>
      </c>
      <c r="N139" s="23">
        <f ca="1">'Res OLS Model'!$B$6*D139</f>
        <v>497180.52208377345</v>
      </c>
      <c r="O139" s="23">
        <f ca="1">'Res OLS Model'!$B$7*E139</f>
        <v>1482074.3800250806</v>
      </c>
      <c r="P139" s="23">
        <f>'Res OLS Model'!$B$8*F139</f>
        <v>-3793031.7650730941</v>
      </c>
      <c r="Q139" s="23">
        <f>'Res OLS Model'!$B$9*G139</f>
        <v>38664415.179861173</v>
      </c>
      <c r="R139" s="23">
        <f>'Res OLS Model'!$B$10*H139</f>
        <v>0</v>
      </c>
      <c r="S139" s="23">
        <f>'Res OLS Model'!$B$11*I139</f>
        <v>0</v>
      </c>
      <c r="T139" s="23">
        <f>'Res OLS Model'!$B$12*J139</f>
        <v>-1511757.2538914999</v>
      </c>
      <c r="U139" s="23">
        <f>'Res OLS Model'!$B$13*K139</f>
        <v>0</v>
      </c>
      <c r="V139" s="23">
        <f t="shared" ca="1" si="130"/>
        <v>12170411.046808133</v>
      </c>
    </row>
    <row r="140" spans="1:22">
      <c r="A140" s="11">
        <v>44013</v>
      </c>
      <c r="B140" s="6">
        <f t="shared" si="60"/>
        <v>2020</v>
      </c>
      <c r="D140" s="30">
        <f t="shared" ca="1" si="137"/>
        <v>5.01</v>
      </c>
      <c r="E140" s="30">
        <f t="shared" ca="1" si="137"/>
        <v>96.909999999999982</v>
      </c>
      <c r="F140">
        <f t="shared" si="121"/>
        <v>139</v>
      </c>
      <c r="G140" s="60">
        <f>SUMIF('Connection count '!B:B,B140,'Connection count '!C:C)</f>
        <v>24778.570813767583</v>
      </c>
      <c r="H140" s="60">
        <f t="shared" ref="H140:J140" si="150">H128</f>
        <v>0</v>
      </c>
      <c r="I140" s="60">
        <f t="shared" si="150"/>
        <v>0</v>
      </c>
      <c r="J140" s="60">
        <f t="shared" si="150"/>
        <v>1</v>
      </c>
      <c r="K140" s="97">
        <f t="shared" ref="K140" si="151">K128</f>
        <v>0</v>
      </c>
      <c r="M140" s="23">
        <f>'Res OLS Model'!$B$5</f>
        <v>-23168470.016197301</v>
      </c>
      <c r="N140" s="23">
        <f ca="1">'Res OLS Model'!$B$6*D140</f>
        <v>60006.610832081533</v>
      </c>
      <c r="O140" s="23">
        <f ca="1">'Res OLS Model'!$B$7*E140</f>
        <v>3234132.5865397556</v>
      </c>
      <c r="P140" s="23">
        <f>'Res OLS Model'!$B$8*F140</f>
        <v>-3820517.5025011599</v>
      </c>
      <c r="Q140" s="23">
        <f>'Res OLS Model'!$B$9*G140</f>
        <v>38664415.179861173</v>
      </c>
      <c r="R140" s="23">
        <f>'Res OLS Model'!$B$10*H140</f>
        <v>0</v>
      </c>
      <c r="S140" s="23">
        <f>'Res OLS Model'!$B$11*I140</f>
        <v>0</v>
      </c>
      <c r="T140" s="23">
        <f>'Res OLS Model'!$B$12*J140</f>
        <v>-1511757.2538914999</v>
      </c>
      <c r="U140" s="23">
        <f>'Res OLS Model'!$B$13*K140</f>
        <v>0</v>
      </c>
      <c r="V140" s="23">
        <f t="shared" ca="1" si="130"/>
        <v>13457809.604643049</v>
      </c>
    </row>
    <row r="141" spans="1:22">
      <c r="A141" s="11">
        <v>44044</v>
      </c>
      <c r="B141" s="6">
        <f t="shared" si="60"/>
        <v>2020</v>
      </c>
      <c r="D141" s="30">
        <f t="shared" ca="1" si="137"/>
        <v>12.719999999999999</v>
      </c>
      <c r="E141" s="30">
        <f t="shared" ca="1" si="137"/>
        <v>77.22999999999999</v>
      </c>
      <c r="F141">
        <f t="shared" si="121"/>
        <v>140</v>
      </c>
      <c r="G141" s="60">
        <f>SUMIF('Connection count '!B:B,B141,'Connection count '!C:C)</f>
        <v>24778.570813767583</v>
      </c>
      <c r="H141" s="60">
        <f t="shared" ref="H141:J141" si="152">H129</f>
        <v>0</v>
      </c>
      <c r="I141" s="60">
        <f t="shared" si="152"/>
        <v>0</v>
      </c>
      <c r="J141" s="60">
        <f t="shared" si="152"/>
        <v>1</v>
      </c>
      <c r="K141" s="97">
        <f t="shared" ref="K141" si="153">K129</f>
        <v>0</v>
      </c>
      <c r="M141" s="23">
        <f>'Res OLS Model'!$B$5</f>
        <v>-23168470.016197301</v>
      </c>
      <c r="N141" s="23">
        <f ca="1">'Res OLS Model'!$B$6*D141</f>
        <v>152352.1137293567</v>
      </c>
      <c r="O141" s="23">
        <f ca="1">'Res OLS Model'!$B$7*E141</f>
        <v>2577361.0531262546</v>
      </c>
      <c r="P141" s="23">
        <f>'Res OLS Model'!$B$8*F141</f>
        <v>-3848003.2399292258</v>
      </c>
      <c r="Q141" s="23">
        <f>'Res OLS Model'!$B$9*G141</f>
        <v>38664415.179861173</v>
      </c>
      <c r="R141" s="23">
        <f>'Res OLS Model'!$B$10*H141</f>
        <v>0</v>
      </c>
      <c r="S141" s="23">
        <f>'Res OLS Model'!$B$11*I141</f>
        <v>0</v>
      </c>
      <c r="T141" s="23">
        <f>'Res OLS Model'!$B$12*J141</f>
        <v>-1511757.2538914999</v>
      </c>
      <c r="U141" s="23">
        <f>'Res OLS Model'!$B$13*K141</f>
        <v>0</v>
      </c>
      <c r="V141" s="23">
        <f t="shared" ca="1" si="130"/>
        <v>12865897.836698757</v>
      </c>
    </row>
    <row r="142" spans="1:22">
      <c r="A142" s="11">
        <v>44075</v>
      </c>
      <c r="B142" s="6">
        <f t="shared" si="60"/>
        <v>2020</v>
      </c>
      <c r="D142" s="30">
        <f t="shared" ca="1" si="137"/>
        <v>86.570000000000007</v>
      </c>
      <c r="E142" s="30">
        <f t="shared" ca="1" si="137"/>
        <v>19.899999999999999</v>
      </c>
      <c r="F142">
        <f t="shared" si="121"/>
        <v>141</v>
      </c>
      <c r="G142" s="60">
        <f>SUMIF('Connection count '!B:B,B142,'Connection count '!C:C)</f>
        <v>24778.570813767583</v>
      </c>
      <c r="H142" s="60">
        <f t="shared" ref="H142:J142" si="154">H130</f>
        <v>1</v>
      </c>
      <c r="I142" s="60">
        <f t="shared" si="154"/>
        <v>0</v>
      </c>
      <c r="J142" s="60">
        <f t="shared" si="154"/>
        <v>0</v>
      </c>
      <c r="K142" s="97">
        <f t="shared" ref="K142" si="155">K130</f>
        <v>0</v>
      </c>
      <c r="M142" s="23">
        <f>'Res OLS Model'!$B$5</f>
        <v>-23168470.016197301</v>
      </c>
      <c r="N142" s="23">
        <f ca="1">'Res OLS Model'!$B$6*D142</f>
        <v>1036880.6985495606</v>
      </c>
      <c r="O142" s="23">
        <f ca="1">'Res OLS Model'!$B$7*E142</f>
        <v>664113.49161222938</v>
      </c>
      <c r="P142" s="23">
        <f>'Res OLS Model'!$B$8*F142</f>
        <v>-3875488.9773572916</v>
      </c>
      <c r="Q142" s="23">
        <f>'Res OLS Model'!$B$9*G142</f>
        <v>38664415.179861173</v>
      </c>
      <c r="R142" s="23">
        <f>'Res OLS Model'!$B$10*H142</f>
        <v>-1279656.8259476901</v>
      </c>
      <c r="S142" s="23">
        <f>'Res OLS Model'!$B$11*I142</f>
        <v>0</v>
      </c>
      <c r="T142" s="23">
        <f>'Res OLS Model'!$B$12*J142</f>
        <v>0</v>
      </c>
      <c r="U142" s="23">
        <f>'Res OLS Model'!$B$13*K142</f>
        <v>0</v>
      </c>
      <c r="V142" s="23">
        <f t="shared" ca="1" si="130"/>
        <v>12041793.550520681</v>
      </c>
    </row>
    <row r="143" spans="1:22">
      <c r="A143" s="11">
        <v>44105</v>
      </c>
      <c r="B143" s="6">
        <f t="shared" si="60"/>
        <v>2020</v>
      </c>
      <c r="D143" s="30">
        <f t="shared" ca="1" si="137"/>
        <v>270.3</v>
      </c>
      <c r="E143" s="30">
        <f t="shared" ca="1" si="137"/>
        <v>1.21</v>
      </c>
      <c r="F143">
        <f t="shared" si="121"/>
        <v>142</v>
      </c>
      <c r="G143" s="60">
        <f>SUMIF('Connection count '!B:B,B143,'Connection count '!C:C)</f>
        <v>24778.570813767583</v>
      </c>
      <c r="H143" s="60">
        <f t="shared" ref="H143:J143" si="156">H131</f>
        <v>1</v>
      </c>
      <c r="I143" s="60">
        <f t="shared" si="156"/>
        <v>0</v>
      </c>
      <c r="J143" s="60">
        <f t="shared" si="156"/>
        <v>0</v>
      </c>
      <c r="K143" s="97">
        <f t="shared" ref="K143" si="157">K131</f>
        <v>0</v>
      </c>
      <c r="M143" s="23">
        <f>'Res OLS Model'!$B$5</f>
        <v>-23168470.016197301</v>
      </c>
      <c r="N143" s="23">
        <f ca="1">'Res OLS Model'!$B$6*D143</f>
        <v>3237482.4167488301</v>
      </c>
      <c r="O143" s="23">
        <f ca="1">'Res OLS Model'!$B$7*E143</f>
        <v>40380.770093004903</v>
      </c>
      <c r="P143" s="23">
        <f>'Res OLS Model'!$B$8*F143</f>
        <v>-3902974.7147853575</v>
      </c>
      <c r="Q143" s="23">
        <f>'Res OLS Model'!$B$9*G143</f>
        <v>38664415.179861173</v>
      </c>
      <c r="R143" s="23">
        <f>'Res OLS Model'!$B$10*H143</f>
        <v>-1279656.8259476901</v>
      </c>
      <c r="S143" s="23">
        <f>'Res OLS Model'!$B$11*I143</f>
        <v>0</v>
      </c>
      <c r="T143" s="23">
        <f>'Res OLS Model'!$B$12*J143</f>
        <v>0</v>
      </c>
      <c r="U143" s="23">
        <f>'Res OLS Model'!$B$13*K143</f>
        <v>0</v>
      </c>
      <c r="V143" s="23">
        <f t="shared" ca="1" si="130"/>
        <v>13591176.809772659</v>
      </c>
    </row>
    <row r="144" spans="1:22">
      <c r="A144" s="11">
        <v>44136</v>
      </c>
      <c r="B144" s="6">
        <f t="shared" si="60"/>
        <v>2020</v>
      </c>
      <c r="D144" s="30">
        <f t="shared" ca="1" si="137"/>
        <v>444.05</v>
      </c>
      <c r="E144" s="30">
        <f t="shared" ca="1" si="137"/>
        <v>0</v>
      </c>
      <c r="F144">
        <f t="shared" si="121"/>
        <v>143</v>
      </c>
      <c r="G144" s="60">
        <f>SUMIF('Connection count '!B:B,B144,'Connection count '!C:C)</f>
        <v>24778.570813767583</v>
      </c>
      <c r="H144" s="60">
        <f t="shared" ref="H144:J144" si="158">H132</f>
        <v>1</v>
      </c>
      <c r="I144" s="60">
        <f t="shared" si="158"/>
        <v>0</v>
      </c>
      <c r="J144" s="60">
        <f t="shared" si="158"/>
        <v>0</v>
      </c>
      <c r="K144" s="97">
        <f t="shared" ref="K144" si="159">K132</f>
        <v>0</v>
      </c>
      <c r="M144" s="23">
        <f>'Res OLS Model'!$B$5</f>
        <v>-23168470.016197301</v>
      </c>
      <c r="N144" s="23">
        <f ca="1">'Res OLS Model'!$B$6*D144</f>
        <v>5318550.0079811988</v>
      </c>
      <c r="O144" s="23">
        <f ca="1">'Res OLS Model'!$B$7*E144</f>
        <v>0</v>
      </c>
      <c r="P144" s="23">
        <f>'Res OLS Model'!$B$8*F144</f>
        <v>-3930460.4522134233</v>
      </c>
      <c r="Q144" s="23">
        <f>'Res OLS Model'!$B$9*G144</f>
        <v>38664415.179861173</v>
      </c>
      <c r="R144" s="23">
        <f>'Res OLS Model'!$B$10*H144</f>
        <v>-1279656.8259476901</v>
      </c>
      <c r="S144" s="23">
        <f>'Res OLS Model'!$B$11*I144</f>
        <v>0</v>
      </c>
      <c r="T144" s="23">
        <f>'Res OLS Model'!$B$12*J144</f>
        <v>0</v>
      </c>
      <c r="U144" s="23">
        <f>'Res OLS Model'!$B$13*K144</f>
        <v>0</v>
      </c>
      <c r="V144" s="23">
        <f t="shared" ca="1" si="130"/>
        <v>15604377.893483955</v>
      </c>
    </row>
    <row r="145" spans="1:22">
      <c r="A145" s="11">
        <v>44166</v>
      </c>
      <c r="B145" s="6">
        <f t="shared" si="60"/>
        <v>2020</v>
      </c>
      <c r="D145" s="30">
        <f t="shared" ca="1" si="137"/>
        <v>684.01</v>
      </c>
      <c r="E145" s="30">
        <f t="shared" ca="1" si="137"/>
        <v>0</v>
      </c>
      <c r="F145">
        <f t="shared" si="121"/>
        <v>144</v>
      </c>
      <c r="G145" s="60">
        <f>SUMIF('Connection count '!B:B,B145,'Connection count '!C:C)</f>
        <v>24778.570813767583</v>
      </c>
      <c r="H145" s="60">
        <f t="shared" ref="H145:J145" si="160">H133</f>
        <v>0</v>
      </c>
      <c r="I145" s="60">
        <f t="shared" si="160"/>
        <v>0</v>
      </c>
      <c r="J145" s="60">
        <f t="shared" si="160"/>
        <v>0</v>
      </c>
      <c r="K145" s="97">
        <f t="shared" ref="K145" si="161">K133</f>
        <v>0</v>
      </c>
      <c r="M145" s="23">
        <f>'Res OLS Model'!$B$5</f>
        <v>-23168470.016197301</v>
      </c>
      <c r="N145" s="23">
        <f ca="1">'Res OLS Model'!$B$6*D145</f>
        <v>8192639.0968567049</v>
      </c>
      <c r="O145" s="23">
        <f ca="1">'Res OLS Model'!$B$7*E145</f>
        <v>0</v>
      </c>
      <c r="P145" s="23">
        <f>'Res OLS Model'!$B$8*F145</f>
        <v>-3957946.1896414896</v>
      </c>
      <c r="Q145" s="23">
        <f>'Res OLS Model'!$B$9*G145</f>
        <v>38664415.179861173</v>
      </c>
      <c r="R145" s="23">
        <f>'Res OLS Model'!$B$10*H145</f>
        <v>0</v>
      </c>
      <c r="S145" s="23">
        <f>'Res OLS Model'!$B$11*I145</f>
        <v>0</v>
      </c>
      <c r="T145" s="23">
        <f>'Res OLS Model'!$B$12*J145</f>
        <v>0</v>
      </c>
      <c r="U145" s="23">
        <f>'Res OLS Model'!$B$13*K145</f>
        <v>0</v>
      </c>
      <c r="V145" s="23">
        <f t="shared" ca="1" si="130"/>
        <v>19730638.070879087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workbookViewId="0"/>
  </sheetViews>
  <sheetFormatPr defaultRowHeight="12.75"/>
  <cols>
    <col min="1" max="1" width="7.14062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11.28515625" bestFit="1" customWidth="1"/>
    <col min="7" max="7" width="14.140625" bestFit="1" customWidth="1"/>
    <col min="8" max="8" width="4" style="30" bestFit="1" customWidth="1"/>
    <col min="9" max="9" width="6" style="30" bestFit="1" customWidth="1"/>
    <col min="10" max="10" width="6.140625" style="30" bestFit="1" customWidth="1"/>
    <col min="12" max="14" width="10.28515625" style="23" bestFit="1" customWidth="1"/>
    <col min="15" max="15" width="12.42578125" style="23" bestFit="1" customWidth="1"/>
    <col min="16" max="16" width="15.28515625" style="23" bestFit="1" customWidth="1"/>
    <col min="17" max="19" width="8.7109375" style="23" bestFit="1" customWidth="1"/>
    <col min="20" max="20" width="15.42578125" style="23" bestFit="1" customWidth="1"/>
  </cols>
  <sheetData>
    <row r="1" spans="1:20">
      <c r="A1" s="11" t="str">
        <f>'Monthly Data'!A1</f>
        <v>Date</v>
      </c>
      <c r="B1" s="15" t="s">
        <v>33</v>
      </c>
      <c r="C1" t="str">
        <f>'Monthly Data'!G1</f>
        <v>GSlt50kWh</v>
      </c>
      <c r="D1" s="30" t="str">
        <f>'Monthly Data'!U1</f>
        <v>HDD</v>
      </c>
      <c r="E1" s="30" t="str">
        <f>'Monthly Data'!V1</f>
        <v>CDD</v>
      </c>
      <c r="F1" s="30" t="str">
        <f>'Monthly Data'!AC1</f>
        <v>GS&lt;50 Cust</v>
      </c>
      <c r="G1" s="30" t="str">
        <f>'Monthly Data'!AG1</f>
        <v>Reclassification</v>
      </c>
      <c r="H1" s="30" t="str">
        <f>'Monthly Data'!AM1</f>
        <v>Fall</v>
      </c>
      <c r="I1" s="30" t="str">
        <f>'Monthly Data'!AN1</f>
        <v>DFEB</v>
      </c>
      <c r="J1" s="30" t="str">
        <f>'Monthly Data'!AO1</f>
        <v>DAPR</v>
      </c>
      <c r="L1" s="23" t="s">
        <v>13</v>
      </c>
      <c r="M1" s="23" t="str">
        <f t="shared" ref="M1:S1" si="0">D1</f>
        <v>HDD</v>
      </c>
      <c r="N1" s="23" t="str">
        <f t="shared" si="0"/>
        <v>CDD</v>
      </c>
      <c r="O1" s="23" t="str">
        <f t="shared" si="0"/>
        <v>GS&lt;50 Cust</v>
      </c>
      <c r="P1" s="23" t="str">
        <f t="shared" si="0"/>
        <v>Reclassification</v>
      </c>
      <c r="Q1" s="23" t="str">
        <f t="shared" si="0"/>
        <v>Fall</v>
      </c>
      <c r="R1" s="23" t="str">
        <f t="shared" si="0"/>
        <v>DFEB</v>
      </c>
      <c r="S1" s="23" t="str">
        <f t="shared" si="0"/>
        <v>DAPR</v>
      </c>
      <c r="T1" s="58" t="s">
        <v>58</v>
      </c>
    </row>
    <row r="2" spans="1:20">
      <c r="A2" s="11">
        <f>'Monthly Data'!A2</f>
        <v>39814</v>
      </c>
      <c r="B2" s="6">
        <f>YEAR(A2)</f>
        <v>2009</v>
      </c>
      <c r="C2">
        <f>'Monthly Data'!I2</f>
        <v>9408092.4600828551</v>
      </c>
      <c r="D2">
        <f ca="1">'Weather Data'!G66</f>
        <v>784.29</v>
      </c>
      <c r="E2" s="30">
        <f ca="1">'Weather Data'!H66</f>
        <v>0</v>
      </c>
      <c r="F2" s="30">
        <f>'Monthly Data'!AC2</f>
        <v>3262</v>
      </c>
      <c r="G2" s="30">
        <f>'Monthly Data'!AG2</f>
        <v>0</v>
      </c>
      <c r="H2" s="30">
        <f>'Monthly Data'!AM2</f>
        <v>0</v>
      </c>
      <c r="I2" s="30">
        <f>'Monthly Data'!AN2</f>
        <v>0</v>
      </c>
      <c r="J2" s="30">
        <f>'Monthly Data'!AO2</f>
        <v>0</v>
      </c>
      <c r="L2" s="23">
        <f>'GS &lt; 50 OLS Model'!$B$5</f>
        <v>-6867500.9582801796</v>
      </c>
      <c r="M2" s="23">
        <f ca="1">'GS &lt; 50 OLS Model'!$B$6*D2</f>
        <v>2528569.3438547184</v>
      </c>
      <c r="N2" s="23">
        <f ca="1">'GS &lt; 50 OLS Model'!$B$7*E2</f>
        <v>0</v>
      </c>
      <c r="O2" s="23">
        <f>'GS &lt; 50 OLS Model'!$B$8*F2</f>
        <v>13483267.028770069</v>
      </c>
      <c r="P2" s="23">
        <f>'GS &lt; 50 OLS Model'!$B$9*G2</f>
        <v>0</v>
      </c>
      <c r="Q2" s="23">
        <f>'GS &lt; 50 OLS Model'!$B$10*H2</f>
        <v>0</v>
      </c>
      <c r="R2" s="23">
        <f>'GS &lt; 50 OLS Model'!$B$11*I2</f>
        <v>0</v>
      </c>
      <c r="S2" s="23">
        <f>'GS &lt; 50 OLS Model'!$B$12*J2</f>
        <v>0</v>
      </c>
      <c r="T2" s="23">
        <f ca="1">SUM(L2:S2)</f>
        <v>9144335.4143446069</v>
      </c>
    </row>
    <row r="3" spans="1:20">
      <c r="A3" s="11">
        <f>'Monthly Data'!A3</f>
        <v>39845</v>
      </c>
      <c r="B3" s="6">
        <f t="shared" ref="B3:B66" si="1">YEAR(A3)</f>
        <v>2009</v>
      </c>
      <c r="C3" s="30">
        <f>'Monthly Data'!I3</f>
        <v>8303130.0614485741</v>
      </c>
      <c r="D3" s="30">
        <f ca="1">'Weather Data'!G67</f>
        <v>682.50999999999988</v>
      </c>
      <c r="E3" s="30">
        <f ca="1">'Weather Data'!H67</f>
        <v>0</v>
      </c>
      <c r="F3" s="30">
        <f>'Monthly Data'!AC3</f>
        <v>3265</v>
      </c>
      <c r="G3" s="30">
        <f>'Monthly Data'!AG3</f>
        <v>0</v>
      </c>
      <c r="H3" s="30">
        <f>'Monthly Data'!AM3</f>
        <v>0</v>
      </c>
      <c r="I3" s="30">
        <f>'Monthly Data'!AN3</f>
        <v>1</v>
      </c>
      <c r="J3" s="30">
        <f>'Monthly Data'!AO3</f>
        <v>0</v>
      </c>
      <c r="L3" s="23">
        <f>'GS &lt; 50 OLS Model'!$B$5</f>
        <v>-6867500.9582801796</v>
      </c>
      <c r="M3" s="23">
        <f ca="1">'GS &lt; 50 OLS Model'!$B$6*D3</f>
        <v>2200428.2381189149</v>
      </c>
      <c r="N3" s="23">
        <f ca="1">'GS &lt; 50 OLS Model'!$B$7*E3</f>
        <v>0</v>
      </c>
      <c r="O3" s="23">
        <f>'GS &lt; 50 OLS Model'!$B$8*F3</f>
        <v>13495667.335663481</v>
      </c>
      <c r="P3" s="23">
        <f>'GS &lt; 50 OLS Model'!$B$9*G3</f>
        <v>0</v>
      </c>
      <c r="Q3" s="23">
        <f>'GS &lt; 50 OLS Model'!$B$10*H3</f>
        <v>0</v>
      </c>
      <c r="R3" s="23">
        <f>'GS &lt; 50 OLS Model'!$B$11*I3</f>
        <v>-326910.06421591499</v>
      </c>
      <c r="S3" s="23">
        <f>'GS &lt; 50 OLS Model'!$B$12*J3</f>
        <v>0</v>
      </c>
      <c r="T3" s="23">
        <f t="shared" ref="T3:T34" ca="1" si="2">SUM(L3:P3)</f>
        <v>8828594.6155022159</v>
      </c>
    </row>
    <row r="4" spans="1:20">
      <c r="A4" s="11">
        <f>'Monthly Data'!A4</f>
        <v>39873</v>
      </c>
      <c r="B4" s="6">
        <f t="shared" si="1"/>
        <v>2009</v>
      </c>
      <c r="C4" s="30">
        <f>'Monthly Data'!I4</f>
        <v>8616455.7063142881</v>
      </c>
      <c r="D4" s="30">
        <f ca="1">'Weather Data'!G68</f>
        <v>556.99</v>
      </c>
      <c r="E4" s="30">
        <f ca="1">'Weather Data'!H68</f>
        <v>0</v>
      </c>
      <c r="F4" s="30">
        <f>'Monthly Data'!AC4</f>
        <v>3290</v>
      </c>
      <c r="G4" s="30">
        <f>'Monthly Data'!AG4</f>
        <v>0</v>
      </c>
      <c r="H4" s="30">
        <f>'Monthly Data'!AM4</f>
        <v>0</v>
      </c>
      <c r="I4" s="30">
        <f>'Monthly Data'!AN4</f>
        <v>0</v>
      </c>
      <c r="J4" s="30">
        <f>'Monthly Data'!AO4</f>
        <v>0</v>
      </c>
      <c r="L4" s="23">
        <f>'GS &lt; 50 OLS Model'!$B$5</f>
        <v>-6867500.9582801796</v>
      </c>
      <c r="M4" s="23">
        <f ca="1">'GS &lt; 50 OLS Model'!$B$6*D4</f>
        <v>1795748.815914572</v>
      </c>
      <c r="N4" s="23">
        <f ca="1">'GS &lt; 50 OLS Model'!$B$7*E4</f>
        <v>0</v>
      </c>
      <c r="O4" s="23">
        <f>'GS &lt; 50 OLS Model'!$B$8*F4</f>
        <v>13599003.226441916</v>
      </c>
      <c r="P4" s="23">
        <f>'GS &lt; 50 OLS Model'!$B$9*G4</f>
        <v>0</v>
      </c>
      <c r="Q4" s="23">
        <f>'GS &lt; 50 OLS Model'!$B$10*H4</f>
        <v>0</v>
      </c>
      <c r="R4" s="23">
        <f>'GS &lt; 50 OLS Model'!$B$11*I4</f>
        <v>0</v>
      </c>
      <c r="S4" s="23">
        <f>'GS &lt; 50 OLS Model'!$B$12*J4</f>
        <v>0</v>
      </c>
      <c r="T4" s="23">
        <f t="shared" ca="1" si="2"/>
        <v>8527251.0840763077</v>
      </c>
    </row>
    <row r="5" spans="1:20">
      <c r="A5" s="11">
        <f>'Monthly Data'!A5</f>
        <v>39904</v>
      </c>
      <c r="B5" s="6">
        <f t="shared" si="1"/>
        <v>2009</v>
      </c>
      <c r="C5" s="30">
        <f>'Monthly Data'!I5</f>
        <v>7332910.1634800034</v>
      </c>
      <c r="D5" s="30">
        <f ca="1">'Weather Data'!G69</f>
        <v>326.58999999999997</v>
      </c>
      <c r="E5" s="30">
        <f ca="1">'Weather Data'!H69</f>
        <v>0.39</v>
      </c>
      <c r="F5" s="30">
        <f>'Monthly Data'!AC5</f>
        <v>3289</v>
      </c>
      <c r="G5" s="30">
        <f>'Monthly Data'!AG5</f>
        <v>0</v>
      </c>
      <c r="H5" s="30">
        <f>'Monthly Data'!AM5</f>
        <v>0</v>
      </c>
      <c r="I5" s="30">
        <f>'Monthly Data'!AN5</f>
        <v>0</v>
      </c>
      <c r="J5" s="30">
        <f>'Monthly Data'!AO5</f>
        <v>1</v>
      </c>
      <c r="L5" s="23">
        <f>'GS &lt; 50 OLS Model'!$B$5</f>
        <v>-6867500.9582801796</v>
      </c>
      <c r="M5" s="23">
        <f ca="1">'GS &lt; 50 OLS Model'!$B$6*D5</f>
        <v>1052933.8153100414</v>
      </c>
      <c r="N5" s="23">
        <f ca="1">'GS &lt; 50 OLS Model'!$B$7*E5</f>
        <v>5916.9172633461158</v>
      </c>
      <c r="O5" s="23">
        <f>'GS &lt; 50 OLS Model'!$B$8*F5</f>
        <v>13594869.790810779</v>
      </c>
      <c r="P5" s="23">
        <f>'GS &lt; 50 OLS Model'!$B$9*G5</f>
        <v>0</v>
      </c>
      <c r="Q5" s="23">
        <f>'GS &lt; 50 OLS Model'!$B$10*H5</f>
        <v>0</v>
      </c>
      <c r="R5" s="23">
        <f>'GS &lt; 50 OLS Model'!$B$11*I5</f>
        <v>0</v>
      </c>
      <c r="S5" s="23">
        <f>'GS &lt; 50 OLS Model'!$B$12*J5</f>
        <v>-430621.67531502497</v>
      </c>
      <c r="T5" s="23">
        <f t="shared" ca="1" si="2"/>
        <v>7786219.5651039863</v>
      </c>
    </row>
    <row r="6" spans="1:20">
      <c r="A6" s="11">
        <f>'Monthly Data'!A6</f>
        <v>39934</v>
      </c>
      <c r="B6" s="6">
        <f t="shared" si="1"/>
        <v>2009</v>
      </c>
      <c r="C6" s="30">
        <f>'Monthly Data'!I6</f>
        <v>6914339.2261457164</v>
      </c>
      <c r="D6" s="30">
        <f ca="1">'Weather Data'!G70</f>
        <v>144.96</v>
      </c>
      <c r="E6" s="30">
        <f ca="1">'Weather Data'!H70</f>
        <v>8.67</v>
      </c>
      <c r="F6" s="30">
        <f>'Monthly Data'!AC6</f>
        <v>3284</v>
      </c>
      <c r="G6" s="30">
        <f>'Monthly Data'!AG6</f>
        <v>0</v>
      </c>
      <c r="H6" s="30">
        <f>'Monthly Data'!AM6</f>
        <v>0</v>
      </c>
      <c r="I6" s="30">
        <f>'Monthly Data'!AN6</f>
        <v>0</v>
      </c>
      <c r="J6" s="30">
        <f>'Monthly Data'!AO6</f>
        <v>0</v>
      </c>
      <c r="L6" s="23">
        <f>'GS &lt; 50 OLS Model'!$B$5</f>
        <v>-6867500.9582801796</v>
      </c>
      <c r="M6" s="23">
        <f ca="1">'GS &lt; 50 OLS Model'!$B$6*D6</f>
        <v>467354.43788035039</v>
      </c>
      <c r="N6" s="23">
        <f ca="1">'GS &lt; 50 OLS Model'!$B$7*E6</f>
        <v>131537.62223900211</v>
      </c>
      <c r="O6" s="23">
        <f>'GS &lt; 50 OLS Model'!$B$8*F6</f>
        <v>13574202.612655092</v>
      </c>
      <c r="P6" s="23">
        <f>'GS &lt; 50 OLS Model'!$B$9*G6</f>
        <v>0</v>
      </c>
      <c r="Q6" s="23">
        <f>'GS &lt; 50 OLS Model'!$B$10*H6</f>
        <v>0</v>
      </c>
      <c r="R6" s="23">
        <f>'GS &lt; 50 OLS Model'!$B$11*I6</f>
        <v>0</v>
      </c>
      <c r="S6" s="23">
        <f>'GS &lt; 50 OLS Model'!$B$12*J6</f>
        <v>0</v>
      </c>
      <c r="T6" s="23">
        <f t="shared" ca="1" si="2"/>
        <v>7305593.7144942647</v>
      </c>
    </row>
    <row r="7" spans="1:20">
      <c r="A7" s="11">
        <f>'Monthly Data'!A7</f>
        <v>39965</v>
      </c>
      <c r="B7" s="6">
        <f t="shared" si="1"/>
        <v>2009</v>
      </c>
      <c r="C7" s="30">
        <f>'Monthly Data'!I7</f>
        <v>6923072.5982114328</v>
      </c>
      <c r="D7" s="30">
        <f ca="1">'Weather Data'!G71</f>
        <v>41.510000000000005</v>
      </c>
      <c r="E7" s="30">
        <f ca="1">'Weather Data'!H71</f>
        <v>44.41</v>
      </c>
      <c r="F7" s="30">
        <f>'Monthly Data'!AC7</f>
        <v>3268</v>
      </c>
      <c r="G7" s="30">
        <f>'Monthly Data'!AG7</f>
        <v>0</v>
      </c>
      <c r="H7" s="30">
        <f>'Monthly Data'!AM7</f>
        <v>0</v>
      </c>
      <c r="I7" s="30">
        <f>'Monthly Data'!AN7</f>
        <v>0</v>
      </c>
      <c r="J7" s="30">
        <f>'Monthly Data'!AO7</f>
        <v>0</v>
      </c>
      <c r="L7" s="23">
        <f>'GS &lt; 50 OLS Model'!$B$5</f>
        <v>-6867500.9582801796</v>
      </c>
      <c r="M7" s="23">
        <f ca="1">'GS &lt; 50 OLS Model'!$B$6*D7</f>
        <v>133829.21299954021</v>
      </c>
      <c r="N7" s="23">
        <f ca="1">'GS &lt; 50 OLS Model'!$B$7*E7</f>
        <v>673769.98888513062</v>
      </c>
      <c r="O7" s="23">
        <f>'GS &lt; 50 OLS Model'!$B$8*F7</f>
        <v>13508067.642556895</v>
      </c>
      <c r="P7" s="23">
        <f>'GS &lt; 50 OLS Model'!$B$9*G7</f>
        <v>0</v>
      </c>
      <c r="Q7" s="23">
        <f>'GS &lt; 50 OLS Model'!$B$10*H7</f>
        <v>0</v>
      </c>
      <c r="R7" s="23">
        <f>'GS &lt; 50 OLS Model'!$B$11*I7</f>
        <v>0</v>
      </c>
      <c r="S7" s="23">
        <f>'GS &lt; 50 OLS Model'!$B$12*J7</f>
        <v>0</v>
      </c>
      <c r="T7" s="23">
        <f t="shared" ca="1" si="2"/>
        <v>7448165.886161386</v>
      </c>
    </row>
    <row r="8" spans="1:20">
      <c r="A8" s="11">
        <f>'Monthly Data'!A8</f>
        <v>39995</v>
      </c>
      <c r="B8" s="6">
        <f t="shared" si="1"/>
        <v>2009</v>
      </c>
      <c r="C8" s="30">
        <f>'Monthly Data'!I8</f>
        <v>7578625.0371771464</v>
      </c>
      <c r="D8" s="30">
        <f ca="1">'Weather Data'!G72</f>
        <v>5.01</v>
      </c>
      <c r="E8" s="30">
        <f ca="1">'Weather Data'!H72</f>
        <v>96.909999999999982</v>
      </c>
      <c r="F8" s="30">
        <f>'Monthly Data'!AC8</f>
        <v>3268</v>
      </c>
      <c r="G8" s="30">
        <f>'Monthly Data'!AG8</f>
        <v>0</v>
      </c>
      <c r="H8" s="30">
        <f>'Monthly Data'!AM8</f>
        <v>0</v>
      </c>
      <c r="I8" s="30">
        <f>'Monthly Data'!AN8</f>
        <v>0</v>
      </c>
      <c r="J8" s="30">
        <f>'Monthly Data'!AO8</f>
        <v>0</v>
      </c>
      <c r="L8" s="23">
        <f>'GS &lt; 50 OLS Model'!$B$5</f>
        <v>-6867500.9582801796</v>
      </c>
      <c r="M8" s="23">
        <f ca="1">'GS &lt; 50 OLS Model'!$B$6*D8</f>
        <v>16152.357435020387</v>
      </c>
      <c r="N8" s="23">
        <f ca="1">'GS &lt; 50 OLS Model'!$B$7*E8</f>
        <v>1470278.0820278767</v>
      </c>
      <c r="O8" s="23">
        <f>'GS &lt; 50 OLS Model'!$B$8*F8</f>
        <v>13508067.642556895</v>
      </c>
      <c r="P8" s="23">
        <f>'GS &lt; 50 OLS Model'!$B$9*G8</f>
        <v>0</v>
      </c>
      <c r="Q8" s="23">
        <f>'GS &lt; 50 OLS Model'!$B$10*H8</f>
        <v>0</v>
      </c>
      <c r="R8" s="23">
        <f>'GS &lt; 50 OLS Model'!$B$11*I8</f>
        <v>0</v>
      </c>
      <c r="S8" s="23">
        <f>'GS &lt; 50 OLS Model'!$B$12*J8</f>
        <v>0</v>
      </c>
      <c r="T8" s="23">
        <f t="shared" ca="1" si="2"/>
        <v>8126997.1237396123</v>
      </c>
    </row>
    <row r="9" spans="1:20">
      <c r="A9" s="11">
        <f>'Monthly Data'!A9</f>
        <v>40026</v>
      </c>
      <c r="B9" s="6">
        <f t="shared" si="1"/>
        <v>2009</v>
      </c>
      <c r="C9" s="30">
        <f>'Monthly Data'!I9</f>
        <v>7854475.5284428624</v>
      </c>
      <c r="D9" s="30">
        <f ca="1">'Weather Data'!G73</f>
        <v>12.719999999999999</v>
      </c>
      <c r="E9" s="30">
        <f ca="1">'Weather Data'!H73</f>
        <v>77.22999999999999</v>
      </c>
      <c r="F9" s="30">
        <f>'Monthly Data'!AC9</f>
        <v>3261</v>
      </c>
      <c r="G9" s="30">
        <f>'Monthly Data'!AG9</f>
        <v>0</v>
      </c>
      <c r="H9" s="30">
        <f>'Monthly Data'!AM9</f>
        <v>0</v>
      </c>
      <c r="I9" s="30">
        <f>'Monthly Data'!AN9</f>
        <v>0</v>
      </c>
      <c r="J9" s="30">
        <f>'Monthly Data'!AO9</f>
        <v>0</v>
      </c>
      <c r="L9" s="23">
        <f>'GS &lt; 50 OLS Model'!$B$5</f>
        <v>-6867500.9582801796</v>
      </c>
      <c r="M9" s="23">
        <f ca="1">'GS &lt; 50 OLS Model'!$B$6*D9</f>
        <v>41009.578158375116</v>
      </c>
      <c r="N9" s="23">
        <f ca="1">'GS &lt; 50 OLS Model'!$B$7*E9</f>
        <v>1171701.3339697958</v>
      </c>
      <c r="O9" s="23">
        <f>'GS &lt; 50 OLS Model'!$B$8*F9</f>
        <v>13479133.593138931</v>
      </c>
      <c r="P9" s="23">
        <f>'GS &lt; 50 OLS Model'!$B$9*G9</f>
        <v>0</v>
      </c>
      <c r="Q9" s="23">
        <f>'GS &lt; 50 OLS Model'!$B$10*H9</f>
        <v>0</v>
      </c>
      <c r="R9" s="23">
        <f>'GS &lt; 50 OLS Model'!$B$11*I9</f>
        <v>0</v>
      </c>
      <c r="S9" s="23">
        <f>'GS &lt; 50 OLS Model'!$B$12*J9</f>
        <v>0</v>
      </c>
      <c r="T9" s="23">
        <f t="shared" ca="1" si="2"/>
        <v>7824343.5469869226</v>
      </c>
    </row>
    <row r="10" spans="1:20">
      <c r="A10" s="11">
        <f>'Monthly Data'!A10</f>
        <v>40057</v>
      </c>
      <c r="B10" s="6">
        <f t="shared" si="1"/>
        <v>2009</v>
      </c>
      <c r="C10" s="30">
        <f>'Monthly Data'!I10</f>
        <v>7127223.8715085778</v>
      </c>
      <c r="D10" s="30">
        <f ca="1">'Weather Data'!G74</f>
        <v>86.570000000000007</v>
      </c>
      <c r="E10" s="30">
        <f ca="1">'Weather Data'!H74</f>
        <v>19.899999999999999</v>
      </c>
      <c r="F10" s="30">
        <f>'Monthly Data'!AC10</f>
        <v>3260</v>
      </c>
      <c r="G10" s="30">
        <f>'Monthly Data'!AG10</f>
        <v>0</v>
      </c>
      <c r="H10" s="30">
        <f>'Monthly Data'!AM10</f>
        <v>1</v>
      </c>
      <c r="I10" s="30">
        <f>'Monthly Data'!AN10</f>
        <v>0</v>
      </c>
      <c r="J10" s="30">
        <f>'Monthly Data'!AO10</f>
        <v>0</v>
      </c>
      <c r="L10" s="23">
        <f>'GS &lt; 50 OLS Model'!$B$5</f>
        <v>-6867500.9582801796</v>
      </c>
      <c r="M10" s="23">
        <f ca="1">'GS &lt; 50 OLS Model'!$B$6*D10</f>
        <v>279103.70921151998</v>
      </c>
      <c r="N10" s="23">
        <f ca="1">'GS &lt; 50 OLS Model'!$B$7*E10</f>
        <v>301914.49625791714</v>
      </c>
      <c r="O10" s="23">
        <f>'GS &lt; 50 OLS Model'!$B$8*F10</f>
        <v>13475000.157507794</v>
      </c>
      <c r="P10" s="23">
        <f>'GS &lt; 50 OLS Model'!$B$9*G10</f>
        <v>0</v>
      </c>
      <c r="Q10" s="23">
        <f>'GS &lt; 50 OLS Model'!$B$10*H10</f>
        <v>-165959.07761345801</v>
      </c>
      <c r="R10" s="23">
        <f>'GS &lt; 50 OLS Model'!$B$11*I10</f>
        <v>0</v>
      </c>
      <c r="S10" s="23">
        <f>'GS &lt; 50 OLS Model'!$B$12*J10</f>
        <v>0</v>
      </c>
      <c r="T10" s="23">
        <f t="shared" ca="1" si="2"/>
        <v>7188517.4046970513</v>
      </c>
    </row>
    <row r="11" spans="1:20">
      <c r="A11" s="11">
        <f>'Monthly Data'!A11</f>
        <v>40087</v>
      </c>
      <c r="B11" s="6">
        <f t="shared" si="1"/>
        <v>2009</v>
      </c>
      <c r="C11" s="30">
        <f>'Monthly Data'!I11</f>
        <v>7360544.6932742912</v>
      </c>
      <c r="D11" s="30">
        <f ca="1">'Weather Data'!G75</f>
        <v>270.3</v>
      </c>
      <c r="E11" s="30">
        <f ca="1">'Weather Data'!H75</f>
        <v>1.21</v>
      </c>
      <c r="F11" s="30">
        <f>'Monthly Data'!AC11</f>
        <v>3248</v>
      </c>
      <c r="G11" s="30">
        <f>'Monthly Data'!AG11</f>
        <v>0</v>
      </c>
      <c r="H11" s="30">
        <f>'Monthly Data'!AM11</f>
        <v>1</v>
      </c>
      <c r="I11" s="30">
        <f>'Monthly Data'!AN11</f>
        <v>0</v>
      </c>
      <c r="J11" s="30">
        <f>'Monthly Data'!AO11</f>
        <v>0</v>
      </c>
      <c r="L11" s="23">
        <f>'GS &lt; 50 OLS Model'!$B$5</f>
        <v>-6867500.9582801796</v>
      </c>
      <c r="M11" s="23">
        <f ca="1">'GS &lt; 50 OLS Model'!$B$6*D11</f>
        <v>871453.53586547123</v>
      </c>
      <c r="N11" s="23">
        <f ca="1">'GS &lt; 50 OLS Model'!$B$7*E11</f>
        <v>18357.615099099487</v>
      </c>
      <c r="O11" s="23">
        <f>'GS &lt; 50 OLS Model'!$B$8*F11</f>
        <v>13425398.929934146</v>
      </c>
      <c r="P11" s="23">
        <f>'GS &lt; 50 OLS Model'!$B$9*G11</f>
        <v>0</v>
      </c>
      <c r="Q11" s="23">
        <f>'GS &lt; 50 OLS Model'!$B$10*H11</f>
        <v>-165959.07761345801</v>
      </c>
      <c r="R11" s="23">
        <f>'GS &lt; 50 OLS Model'!$B$11*I11</f>
        <v>0</v>
      </c>
      <c r="S11" s="23">
        <f>'GS &lt; 50 OLS Model'!$B$12*J11</f>
        <v>0</v>
      </c>
      <c r="T11" s="23">
        <f t="shared" ca="1" si="2"/>
        <v>7447709.1226185365</v>
      </c>
    </row>
    <row r="12" spans="1:20">
      <c r="A12" s="11">
        <f>'Monthly Data'!A12</f>
        <v>40118</v>
      </c>
      <c r="B12" s="6">
        <f t="shared" si="1"/>
        <v>2009</v>
      </c>
      <c r="C12" s="30">
        <f>'Monthly Data'!I12</f>
        <v>7597920.9622400068</v>
      </c>
      <c r="D12" s="30">
        <f ca="1">'Weather Data'!G76</f>
        <v>444.05</v>
      </c>
      <c r="E12" s="30">
        <f ca="1">'Weather Data'!H76</f>
        <v>0</v>
      </c>
      <c r="F12" s="30">
        <f>'Monthly Data'!AC12</f>
        <v>3247</v>
      </c>
      <c r="G12" s="30">
        <f>'Monthly Data'!AG12</f>
        <v>0</v>
      </c>
      <c r="H12" s="30">
        <f>'Monthly Data'!AM12</f>
        <v>1</v>
      </c>
      <c r="I12" s="30">
        <f>'Monthly Data'!AN12</f>
        <v>0</v>
      </c>
      <c r="J12" s="30">
        <f>'Monthly Data'!AO12</f>
        <v>0</v>
      </c>
      <c r="L12" s="23">
        <f>'GS &lt; 50 OLS Model'!$B$5</f>
        <v>-6867500.9582801796</v>
      </c>
      <c r="M12" s="23">
        <f ca="1">'GS &lt; 50 OLS Model'!$B$6*D12</f>
        <v>1431627.6085869868</v>
      </c>
      <c r="N12" s="23">
        <f ca="1">'GS &lt; 50 OLS Model'!$B$7*E12</f>
        <v>0</v>
      </c>
      <c r="O12" s="23">
        <f>'GS &lt; 50 OLS Model'!$B$8*F12</f>
        <v>13421265.494303009</v>
      </c>
      <c r="P12" s="23">
        <f>'GS &lt; 50 OLS Model'!$B$9*G12</f>
        <v>0</v>
      </c>
      <c r="Q12" s="23">
        <f>'GS &lt; 50 OLS Model'!$B$10*H12</f>
        <v>-165959.07761345801</v>
      </c>
      <c r="R12" s="23">
        <f>'GS &lt; 50 OLS Model'!$B$11*I12</f>
        <v>0</v>
      </c>
      <c r="S12" s="23">
        <f>'GS &lt; 50 OLS Model'!$B$12*J12</f>
        <v>0</v>
      </c>
      <c r="T12" s="23">
        <f t="shared" ca="1" si="2"/>
        <v>7985392.1446098154</v>
      </c>
    </row>
    <row r="13" spans="1:20">
      <c r="A13" s="11">
        <f>'Monthly Data'!A13</f>
        <v>40148</v>
      </c>
      <c r="B13" s="6">
        <f t="shared" si="1"/>
        <v>2009</v>
      </c>
      <c r="C13" s="30">
        <f>'Monthly Data'!I13</f>
        <v>8675418.3758057225</v>
      </c>
      <c r="D13" s="30">
        <f ca="1">'Weather Data'!G77</f>
        <v>684.01</v>
      </c>
      <c r="E13" s="30">
        <f ca="1">'Weather Data'!H77</f>
        <v>0</v>
      </c>
      <c r="F13" s="30">
        <f>'Monthly Data'!AC13</f>
        <v>3255</v>
      </c>
      <c r="G13" s="30">
        <f>'Monthly Data'!AG13</f>
        <v>0</v>
      </c>
      <c r="H13" s="30">
        <f>'Monthly Data'!AM13</f>
        <v>0</v>
      </c>
      <c r="I13" s="30">
        <f>'Monthly Data'!AN13</f>
        <v>0</v>
      </c>
      <c r="J13" s="30">
        <f>'Monthly Data'!AO13</f>
        <v>0</v>
      </c>
      <c r="L13" s="23">
        <f>'GS &lt; 50 OLS Model'!$B$5</f>
        <v>-6867500.9582801796</v>
      </c>
      <c r="M13" s="23">
        <f ca="1">'GS &lt; 50 OLS Model'!$B$6*D13</f>
        <v>2205264.2732791007</v>
      </c>
      <c r="N13" s="23">
        <f ca="1">'GS &lt; 50 OLS Model'!$B$7*E13</f>
        <v>0</v>
      </c>
      <c r="O13" s="23">
        <f>'GS &lt; 50 OLS Model'!$B$8*F13</f>
        <v>13454332.979352107</v>
      </c>
      <c r="P13" s="23">
        <f>'GS &lt; 50 OLS Model'!$B$9*G13</f>
        <v>0</v>
      </c>
      <c r="Q13" s="23">
        <f>'GS &lt; 50 OLS Model'!$B$10*H13</f>
        <v>0</v>
      </c>
      <c r="R13" s="23">
        <f>'GS &lt; 50 OLS Model'!$B$11*I13</f>
        <v>0</v>
      </c>
      <c r="S13" s="23">
        <f>'GS &lt; 50 OLS Model'!$B$12*J13</f>
        <v>0</v>
      </c>
      <c r="T13" s="23">
        <f t="shared" ca="1" si="2"/>
        <v>8792096.2943510283</v>
      </c>
    </row>
    <row r="14" spans="1:20">
      <c r="A14" s="11">
        <f>'Monthly Data'!A14</f>
        <v>40179</v>
      </c>
      <c r="B14" s="6">
        <f t="shared" si="1"/>
        <v>2010</v>
      </c>
      <c r="C14" s="30">
        <f>'Monthly Data'!I14</f>
        <v>9383974.6045029908</v>
      </c>
      <c r="D14">
        <f ca="1">D2</f>
        <v>784.29</v>
      </c>
      <c r="E14">
        <f ca="1">E2</f>
        <v>0</v>
      </c>
      <c r="F14" s="30">
        <f>'Monthly Data'!AC14</f>
        <v>3254</v>
      </c>
      <c r="G14" s="30">
        <f>'Monthly Data'!AG14</f>
        <v>0</v>
      </c>
      <c r="H14" s="30">
        <f>'Monthly Data'!AM14</f>
        <v>0</v>
      </c>
      <c r="I14" s="30">
        <f>'Monthly Data'!AN14</f>
        <v>0</v>
      </c>
      <c r="J14" s="30">
        <f>'Monthly Data'!AO14</f>
        <v>0</v>
      </c>
      <c r="L14" s="23">
        <f>'GS &lt; 50 OLS Model'!$B$5</f>
        <v>-6867500.9582801796</v>
      </c>
      <c r="M14" s="23">
        <f ca="1">'GS &lt; 50 OLS Model'!$B$6*D14</f>
        <v>2528569.3438547184</v>
      </c>
      <c r="N14" s="23">
        <f ca="1">'GS &lt; 50 OLS Model'!$B$7*E14</f>
        <v>0</v>
      </c>
      <c r="O14" s="23">
        <f>'GS &lt; 50 OLS Model'!$B$8*F14</f>
        <v>13450199.54372097</v>
      </c>
      <c r="P14" s="23">
        <f>'GS &lt; 50 OLS Model'!$B$9*G14</f>
        <v>0</v>
      </c>
      <c r="Q14" s="23">
        <f>'GS &lt; 50 OLS Model'!$B$10*H14</f>
        <v>0</v>
      </c>
      <c r="R14" s="23">
        <f>'GS &lt; 50 OLS Model'!$B$11*I14</f>
        <v>0</v>
      </c>
      <c r="S14" s="23">
        <f>'GS &lt; 50 OLS Model'!$B$12*J14</f>
        <v>0</v>
      </c>
      <c r="T14" s="23">
        <f t="shared" ca="1" si="2"/>
        <v>9111267.9292955082</v>
      </c>
    </row>
    <row r="15" spans="1:20">
      <c r="A15" s="11">
        <f>'Monthly Data'!A15</f>
        <v>40210</v>
      </c>
      <c r="B15" s="6">
        <f t="shared" si="1"/>
        <v>2010</v>
      </c>
      <c r="C15" s="30">
        <f>'Monthly Data'!I15</f>
        <v>8654532.3013318107</v>
      </c>
      <c r="D15">
        <f t="shared" ref="D15:E30" ca="1" si="3">D3</f>
        <v>682.50999999999988</v>
      </c>
      <c r="E15">
        <f t="shared" ca="1" si="3"/>
        <v>0</v>
      </c>
      <c r="F15" s="30">
        <f>'Monthly Data'!AC15</f>
        <v>3250</v>
      </c>
      <c r="G15" s="30">
        <f>'Monthly Data'!AG15</f>
        <v>0</v>
      </c>
      <c r="H15" s="30">
        <f>'Monthly Data'!AM15</f>
        <v>0</v>
      </c>
      <c r="I15" s="30">
        <f>'Monthly Data'!AN15</f>
        <v>1</v>
      </c>
      <c r="J15" s="30">
        <f>'Monthly Data'!AO15</f>
        <v>0</v>
      </c>
      <c r="L15" s="23">
        <f>'GS &lt; 50 OLS Model'!$B$5</f>
        <v>-6867500.9582801796</v>
      </c>
      <c r="M15" s="23">
        <f ca="1">'GS &lt; 50 OLS Model'!$B$6*D15</f>
        <v>2200428.2381189149</v>
      </c>
      <c r="N15" s="23">
        <f ca="1">'GS &lt; 50 OLS Model'!$B$7*E15</f>
        <v>0</v>
      </c>
      <c r="O15" s="23">
        <f>'GS &lt; 50 OLS Model'!$B$8*F15</f>
        <v>13433665.801196421</v>
      </c>
      <c r="P15" s="23">
        <f>'GS &lt; 50 OLS Model'!$B$9*G15</f>
        <v>0</v>
      </c>
      <c r="Q15" s="23">
        <f>'GS &lt; 50 OLS Model'!$B$10*H15</f>
        <v>0</v>
      </c>
      <c r="R15" s="23">
        <f>'GS &lt; 50 OLS Model'!$B$11*I15</f>
        <v>-326910.06421591499</v>
      </c>
      <c r="S15" s="23">
        <f>'GS &lt; 50 OLS Model'!$B$12*J15</f>
        <v>0</v>
      </c>
      <c r="T15" s="23">
        <f t="shared" ca="1" si="2"/>
        <v>8766593.0810351558</v>
      </c>
    </row>
    <row r="16" spans="1:20">
      <c r="A16" s="11">
        <f>'Monthly Data'!A16</f>
        <v>40238</v>
      </c>
      <c r="B16" s="6">
        <f t="shared" si="1"/>
        <v>2010</v>
      </c>
      <c r="C16" s="30">
        <f>'Monthly Data'!I16</f>
        <v>8273380.9928606292</v>
      </c>
      <c r="D16">
        <f t="shared" ca="1" si="3"/>
        <v>556.99</v>
      </c>
      <c r="E16">
        <f t="shared" ca="1" si="3"/>
        <v>0</v>
      </c>
      <c r="F16" s="30">
        <f>'Monthly Data'!AC16</f>
        <v>3249</v>
      </c>
      <c r="G16" s="30">
        <f>'Monthly Data'!AG16</f>
        <v>0</v>
      </c>
      <c r="H16" s="30">
        <f>'Monthly Data'!AM16</f>
        <v>0</v>
      </c>
      <c r="I16" s="30">
        <f>'Monthly Data'!AN16</f>
        <v>0</v>
      </c>
      <c r="J16" s="30">
        <f>'Monthly Data'!AO16</f>
        <v>0</v>
      </c>
      <c r="L16" s="23">
        <f>'GS &lt; 50 OLS Model'!$B$5</f>
        <v>-6867500.9582801796</v>
      </c>
      <c r="M16" s="23">
        <f ca="1">'GS &lt; 50 OLS Model'!$B$6*D16</f>
        <v>1795748.815914572</v>
      </c>
      <c r="N16" s="23">
        <f ca="1">'GS &lt; 50 OLS Model'!$B$7*E16</f>
        <v>0</v>
      </c>
      <c r="O16" s="23">
        <f>'GS &lt; 50 OLS Model'!$B$8*F16</f>
        <v>13429532.365565283</v>
      </c>
      <c r="P16" s="23">
        <f>'GS &lt; 50 OLS Model'!$B$9*G16</f>
        <v>0</v>
      </c>
      <c r="Q16" s="23">
        <f>'GS &lt; 50 OLS Model'!$B$10*H16</f>
        <v>0</v>
      </c>
      <c r="R16" s="23">
        <f>'GS &lt; 50 OLS Model'!$B$11*I16</f>
        <v>0</v>
      </c>
      <c r="S16" s="23">
        <f>'GS &lt; 50 OLS Model'!$B$12*J16</f>
        <v>0</v>
      </c>
      <c r="T16" s="23">
        <f t="shared" ca="1" si="2"/>
        <v>8357780.2231996758</v>
      </c>
    </row>
    <row r="17" spans="1:20">
      <c r="A17" s="11">
        <f>'Monthly Data'!A17</f>
        <v>40269</v>
      </c>
      <c r="B17" s="6">
        <f t="shared" si="1"/>
        <v>2010</v>
      </c>
      <c r="C17" s="30">
        <f>'Monthly Data'!I17</f>
        <v>6988849.8994894521</v>
      </c>
      <c r="D17">
        <f t="shared" ca="1" si="3"/>
        <v>326.58999999999997</v>
      </c>
      <c r="E17">
        <f t="shared" ca="1" si="3"/>
        <v>0.39</v>
      </c>
      <c r="F17" s="30">
        <f>'Monthly Data'!AC17</f>
        <v>3250</v>
      </c>
      <c r="G17" s="30">
        <f>'Monthly Data'!AG17</f>
        <v>0</v>
      </c>
      <c r="H17" s="30">
        <f>'Monthly Data'!AM17</f>
        <v>0</v>
      </c>
      <c r="I17" s="30">
        <f>'Monthly Data'!AN17</f>
        <v>0</v>
      </c>
      <c r="J17" s="30">
        <f>'Monthly Data'!AO17</f>
        <v>1</v>
      </c>
      <c r="L17" s="23">
        <f>'GS &lt; 50 OLS Model'!$B$5</f>
        <v>-6867500.9582801796</v>
      </c>
      <c r="M17" s="23">
        <f ca="1">'GS &lt; 50 OLS Model'!$B$6*D17</f>
        <v>1052933.8153100414</v>
      </c>
      <c r="N17" s="23">
        <f ca="1">'GS &lt; 50 OLS Model'!$B$7*E17</f>
        <v>5916.9172633461158</v>
      </c>
      <c r="O17" s="23">
        <f>'GS &lt; 50 OLS Model'!$B$8*F17</f>
        <v>13433665.801196421</v>
      </c>
      <c r="P17" s="23">
        <f>'GS &lt; 50 OLS Model'!$B$9*G17</f>
        <v>0</v>
      </c>
      <c r="Q17" s="23">
        <f>'GS &lt; 50 OLS Model'!$B$10*H17</f>
        <v>0</v>
      </c>
      <c r="R17" s="23">
        <f>'GS &lt; 50 OLS Model'!$B$11*I17</f>
        <v>0</v>
      </c>
      <c r="S17" s="23">
        <f>'GS &lt; 50 OLS Model'!$B$12*J17</f>
        <v>-430621.67531502497</v>
      </c>
      <c r="T17" s="23">
        <f t="shared" ca="1" si="2"/>
        <v>7625015.5754896281</v>
      </c>
    </row>
    <row r="18" spans="1:20">
      <c r="A18" s="11">
        <f>'Monthly Data'!A18</f>
        <v>40299</v>
      </c>
      <c r="B18" s="6">
        <f t="shared" si="1"/>
        <v>2010</v>
      </c>
      <c r="C18" s="30">
        <f>'Monthly Data'!I18</f>
        <v>7059902.6826182716</v>
      </c>
      <c r="D18">
        <f t="shared" ca="1" si="3"/>
        <v>144.96</v>
      </c>
      <c r="E18">
        <f t="shared" ca="1" si="3"/>
        <v>8.67</v>
      </c>
      <c r="F18" s="30">
        <f>'Monthly Data'!AC18</f>
        <v>3237</v>
      </c>
      <c r="G18" s="30">
        <f>'Monthly Data'!AG18</f>
        <v>0</v>
      </c>
      <c r="H18" s="30">
        <f>'Monthly Data'!AM18</f>
        <v>0</v>
      </c>
      <c r="I18" s="30">
        <f>'Monthly Data'!AN18</f>
        <v>0</v>
      </c>
      <c r="J18" s="30">
        <f>'Monthly Data'!AO18</f>
        <v>0</v>
      </c>
      <c r="L18" s="23">
        <f>'GS &lt; 50 OLS Model'!$B$5</f>
        <v>-6867500.9582801796</v>
      </c>
      <c r="M18" s="23">
        <f ca="1">'GS &lt; 50 OLS Model'!$B$6*D18</f>
        <v>467354.43788035039</v>
      </c>
      <c r="N18" s="23">
        <f ca="1">'GS &lt; 50 OLS Model'!$B$7*E18</f>
        <v>131537.62223900211</v>
      </c>
      <c r="O18" s="23">
        <f>'GS &lt; 50 OLS Model'!$B$8*F18</f>
        <v>13379931.137991635</v>
      </c>
      <c r="P18" s="23">
        <f>'GS &lt; 50 OLS Model'!$B$9*G18</f>
        <v>0</v>
      </c>
      <c r="Q18" s="23">
        <f>'GS &lt; 50 OLS Model'!$B$10*H18</f>
        <v>0</v>
      </c>
      <c r="R18" s="23">
        <f>'GS &lt; 50 OLS Model'!$B$11*I18</f>
        <v>0</v>
      </c>
      <c r="S18" s="23">
        <f>'GS &lt; 50 OLS Model'!$B$12*J18</f>
        <v>0</v>
      </c>
      <c r="T18" s="23">
        <f t="shared" ca="1" si="2"/>
        <v>7111322.2398308078</v>
      </c>
    </row>
    <row r="19" spans="1:20">
      <c r="A19" s="11">
        <f>'Monthly Data'!A19</f>
        <v>40330</v>
      </c>
      <c r="B19" s="6">
        <f t="shared" si="1"/>
        <v>2010</v>
      </c>
      <c r="C19" s="30">
        <f>'Monthly Data'!I19</f>
        <v>7262687.729847094</v>
      </c>
      <c r="D19">
        <f t="shared" ca="1" si="3"/>
        <v>41.510000000000005</v>
      </c>
      <c r="E19">
        <f t="shared" ca="1" si="3"/>
        <v>44.41</v>
      </c>
      <c r="F19" s="30">
        <f>'Monthly Data'!AC19</f>
        <v>3237</v>
      </c>
      <c r="G19" s="30">
        <f>'Monthly Data'!AG19</f>
        <v>0</v>
      </c>
      <c r="H19" s="30">
        <f>'Monthly Data'!AM19</f>
        <v>0</v>
      </c>
      <c r="I19" s="30">
        <f>'Monthly Data'!AN19</f>
        <v>0</v>
      </c>
      <c r="J19" s="30">
        <f>'Monthly Data'!AO19</f>
        <v>0</v>
      </c>
      <c r="L19" s="23">
        <f>'GS &lt; 50 OLS Model'!$B$5</f>
        <v>-6867500.9582801796</v>
      </c>
      <c r="M19" s="23">
        <f ca="1">'GS &lt; 50 OLS Model'!$B$6*D19</f>
        <v>133829.21299954021</v>
      </c>
      <c r="N19" s="23">
        <f ca="1">'GS &lt; 50 OLS Model'!$B$7*E19</f>
        <v>673769.98888513062</v>
      </c>
      <c r="O19" s="23">
        <f>'GS &lt; 50 OLS Model'!$B$8*F19</f>
        <v>13379931.137991635</v>
      </c>
      <c r="P19" s="23">
        <f>'GS &lt; 50 OLS Model'!$B$9*G19</f>
        <v>0</v>
      </c>
      <c r="Q19" s="23">
        <f>'GS &lt; 50 OLS Model'!$B$10*H19</f>
        <v>0</v>
      </c>
      <c r="R19" s="23">
        <f>'GS &lt; 50 OLS Model'!$B$11*I19</f>
        <v>0</v>
      </c>
      <c r="S19" s="23">
        <f>'GS &lt; 50 OLS Model'!$B$12*J19</f>
        <v>0</v>
      </c>
      <c r="T19" s="23">
        <f t="shared" ca="1" si="2"/>
        <v>7320029.3815961266</v>
      </c>
    </row>
    <row r="20" spans="1:20">
      <c r="A20" s="11">
        <f>'Monthly Data'!A20</f>
        <v>40360</v>
      </c>
      <c r="B20" s="6">
        <f t="shared" si="1"/>
        <v>2010</v>
      </c>
      <c r="C20" s="30">
        <f>'Monthly Data'!I20</f>
        <v>8372270.7691759132</v>
      </c>
      <c r="D20">
        <f t="shared" ca="1" si="3"/>
        <v>5.01</v>
      </c>
      <c r="E20">
        <f t="shared" ca="1" si="3"/>
        <v>96.909999999999982</v>
      </c>
      <c r="F20" s="30">
        <f>'Monthly Data'!AC20</f>
        <v>3227</v>
      </c>
      <c r="G20" s="30">
        <f>'Monthly Data'!AG20</f>
        <v>0</v>
      </c>
      <c r="H20" s="30">
        <f>'Monthly Data'!AM20</f>
        <v>0</v>
      </c>
      <c r="I20" s="30">
        <f>'Monthly Data'!AN20</f>
        <v>0</v>
      </c>
      <c r="J20" s="30">
        <f>'Monthly Data'!AO20</f>
        <v>0</v>
      </c>
      <c r="L20" s="23">
        <f>'GS &lt; 50 OLS Model'!$B$5</f>
        <v>-6867500.9582801796</v>
      </c>
      <c r="M20" s="23">
        <f ca="1">'GS &lt; 50 OLS Model'!$B$6*D20</f>
        <v>16152.357435020387</v>
      </c>
      <c r="N20" s="23">
        <f ca="1">'GS &lt; 50 OLS Model'!$B$7*E20</f>
        <v>1470278.0820278767</v>
      </c>
      <c r="O20" s="23">
        <f>'GS &lt; 50 OLS Model'!$B$8*F20</f>
        <v>13338596.781680262</v>
      </c>
      <c r="P20" s="23">
        <f>'GS &lt; 50 OLS Model'!$B$9*G20</f>
        <v>0</v>
      </c>
      <c r="Q20" s="23">
        <f>'GS &lt; 50 OLS Model'!$B$10*H20</f>
        <v>0</v>
      </c>
      <c r="R20" s="23">
        <f>'GS &lt; 50 OLS Model'!$B$11*I20</f>
        <v>0</v>
      </c>
      <c r="S20" s="23">
        <f>'GS &lt; 50 OLS Model'!$B$12*J20</f>
        <v>0</v>
      </c>
      <c r="T20" s="23">
        <f t="shared" ca="1" si="2"/>
        <v>7957526.2628629794</v>
      </c>
    </row>
    <row r="21" spans="1:20">
      <c r="A21" s="11">
        <f>'Monthly Data'!A21</f>
        <v>40391</v>
      </c>
      <c r="B21" s="6">
        <f t="shared" si="1"/>
        <v>2010</v>
      </c>
      <c r="C21" s="30">
        <f>'Monthly Data'!I21</f>
        <v>8176242.1304047331</v>
      </c>
      <c r="D21">
        <f t="shared" ca="1" si="3"/>
        <v>12.719999999999999</v>
      </c>
      <c r="E21">
        <f t="shared" ca="1" si="3"/>
        <v>77.22999999999999</v>
      </c>
      <c r="F21" s="30">
        <f>'Monthly Data'!AC21</f>
        <v>3244</v>
      </c>
      <c r="G21" s="30">
        <f>'Monthly Data'!AG21</f>
        <v>0</v>
      </c>
      <c r="H21" s="30">
        <f>'Monthly Data'!AM21</f>
        <v>0</v>
      </c>
      <c r="I21" s="30">
        <f>'Monthly Data'!AN21</f>
        <v>0</v>
      </c>
      <c r="J21" s="30">
        <f>'Monthly Data'!AO21</f>
        <v>0</v>
      </c>
      <c r="L21" s="23">
        <f>'GS &lt; 50 OLS Model'!$B$5</f>
        <v>-6867500.9582801796</v>
      </c>
      <c r="M21" s="23">
        <f ca="1">'GS &lt; 50 OLS Model'!$B$6*D21</f>
        <v>41009.578158375116</v>
      </c>
      <c r="N21" s="23">
        <f ca="1">'GS &lt; 50 OLS Model'!$B$7*E21</f>
        <v>1171701.3339697958</v>
      </c>
      <c r="O21" s="23">
        <f>'GS &lt; 50 OLS Model'!$B$8*F21</f>
        <v>13408865.187409597</v>
      </c>
      <c r="P21" s="23">
        <f>'GS &lt; 50 OLS Model'!$B$9*G21</f>
        <v>0</v>
      </c>
      <c r="Q21" s="23">
        <f>'GS &lt; 50 OLS Model'!$B$10*H21</f>
        <v>0</v>
      </c>
      <c r="R21" s="23">
        <f>'GS &lt; 50 OLS Model'!$B$11*I21</f>
        <v>0</v>
      </c>
      <c r="S21" s="23">
        <f>'GS &lt; 50 OLS Model'!$B$12*J21</f>
        <v>0</v>
      </c>
      <c r="T21" s="23">
        <f t="shared" ca="1" si="2"/>
        <v>7754075.1412575878</v>
      </c>
    </row>
    <row r="22" spans="1:20">
      <c r="A22" s="11">
        <f>'Monthly Data'!A22</f>
        <v>40422</v>
      </c>
      <c r="B22" s="6">
        <f t="shared" si="1"/>
        <v>2010</v>
      </c>
      <c r="C22" s="30">
        <f>'Monthly Data'!I22</f>
        <v>7195797.6649335548</v>
      </c>
      <c r="D22">
        <f t="shared" ca="1" si="3"/>
        <v>86.570000000000007</v>
      </c>
      <c r="E22">
        <f t="shared" ca="1" si="3"/>
        <v>19.899999999999999</v>
      </c>
      <c r="F22" s="30">
        <f>'Monthly Data'!AC22</f>
        <v>3242</v>
      </c>
      <c r="G22" s="30">
        <f>'Monthly Data'!AG22</f>
        <v>0</v>
      </c>
      <c r="H22" s="30">
        <f>'Monthly Data'!AM22</f>
        <v>1</v>
      </c>
      <c r="I22" s="30">
        <f>'Monthly Data'!AN22</f>
        <v>0</v>
      </c>
      <c r="J22" s="30">
        <f>'Monthly Data'!AO22</f>
        <v>0</v>
      </c>
      <c r="L22" s="23">
        <f>'GS &lt; 50 OLS Model'!$B$5</f>
        <v>-6867500.9582801796</v>
      </c>
      <c r="M22" s="23">
        <f ca="1">'GS &lt; 50 OLS Model'!$B$6*D22</f>
        <v>279103.70921151998</v>
      </c>
      <c r="N22" s="23">
        <f ca="1">'GS &lt; 50 OLS Model'!$B$7*E22</f>
        <v>301914.49625791714</v>
      </c>
      <c r="O22" s="23">
        <f>'GS &lt; 50 OLS Model'!$B$8*F22</f>
        <v>13400598.316147322</v>
      </c>
      <c r="P22" s="23">
        <f>'GS &lt; 50 OLS Model'!$B$9*G22</f>
        <v>0</v>
      </c>
      <c r="Q22" s="23">
        <f>'GS &lt; 50 OLS Model'!$B$10*H22</f>
        <v>-165959.07761345801</v>
      </c>
      <c r="R22" s="23">
        <f>'GS &lt; 50 OLS Model'!$B$11*I22</f>
        <v>0</v>
      </c>
      <c r="S22" s="23">
        <f>'GS &lt; 50 OLS Model'!$B$12*J22</f>
        <v>0</v>
      </c>
      <c r="T22" s="23">
        <f t="shared" ca="1" si="2"/>
        <v>7114115.5633365791</v>
      </c>
    </row>
    <row r="23" spans="1:20">
      <c r="A23" s="11">
        <f>'Monthly Data'!A23</f>
        <v>40452</v>
      </c>
      <c r="B23" s="6">
        <f t="shared" si="1"/>
        <v>2010</v>
      </c>
      <c r="C23" s="30">
        <f>'Monthly Data'!I23</f>
        <v>7205179.4104623739</v>
      </c>
      <c r="D23">
        <f t="shared" ca="1" si="3"/>
        <v>270.3</v>
      </c>
      <c r="E23">
        <f t="shared" ca="1" si="3"/>
        <v>1.21</v>
      </c>
      <c r="F23" s="30">
        <f>'Monthly Data'!AC23</f>
        <v>3247</v>
      </c>
      <c r="G23" s="30">
        <f>'Monthly Data'!AG23</f>
        <v>0</v>
      </c>
      <c r="H23" s="30">
        <f>'Monthly Data'!AM23</f>
        <v>1</v>
      </c>
      <c r="I23" s="30">
        <f>'Monthly Data'!AN23</f>
        <v>0</v>
      </c>
      <c r="J23" s="30">
        <f>'Monthly Data'!AO23</f>
        <v>0</v>
      </c>
      <c r="L23" s="23">
        <f>'GS &lt; 50 OLS Model'!$B$5</f>
        <v>-6867500.9582801796</v>
      </c>
      <c r="M23" s="23">
        <f ca="1">'GS &lt; 50 OLS Model'!$B$6*D23</f>
        <v>871453.53586547123</v>
      </c>
      <c r="N23" s="23">
        <f ca="1">'GS &lt; 50 OLS Model'!$B$7*E23</f>
        <v>18357.615099099487</v>
      </c>
      <c r="O23" s="23">
        <f>'GS &lt; 50 OLS Model'!$B$8*F23</f>
        <v>13421265.494303009</v>
      </c>
      <c r="P23" s="23">
        <f>'GS &lt; 50 OLS Model'!$B$9*G23</f>
        <v>0</v>
      </c>
      <c r="Q23" s="23">
        <f>'GS &lt; 50 OLS Model'!$B$10*H23</f>
        <v>-165959.07761345801</v>
      </c>
      <c r="R23" s="23">
        <f>'GS &lt; 50 OLS Model'!$B$11*I23</f>
        <v>0</v>
      </c>
      <c r="S23" s="23">
        <f>'GS &lt; 50 OLS Model'!$B$12*J23</f>
        <v>0</v>
      </c>
      <c r="T23" s="23">
        <f t="shared" ca="1" si="2"/>
        <v>7443575.6869873991</v>
      </c>
    </row>
    <row r="24" spans="1:20">
      <c r="A24" s="11">
        <f>'Monthly Data'!A24</f>
        <v>40483</v>
      </c>
      <c r="B24" s="6">
        <f t="shared" si="1"/>
        <v>2010</v>
      </c>
      <c r="C24" s="30">
        <f>'Monthly Data'!I24</f>
        <v>7687689.7357911961</v>
      </c>
      <c r="D24">
        <f t="shared" ca="1" si="3"/>
        <v>444.05</v>
      </c>
      <c r="E24">
        <f t="shared" ca="1" si="3"/>
        <v>0</v>
      </c>
      <c r="F24" s="30">
        <f>'Monthly Data'!AC24</f>
        <v>3263</v>
      </c>
      <c r="G24" s="30">
        <f>'Monthly Data'!AG24</f>
        <v>0</v>
      </c>
      <c r="H24" s="30">
        <f>'Monthly Data'!AM24</f>
        <v>1</v>
      </c>
      <c r="I24" s="30">
        <f>'Monthly Data'!AN24</f>
        <v>0</v>
      </c>
      <c r="J24" s="30">
        <f>'Monthly Data'!AO24</f>
        <v>0</v>
      </c>
      <c r="L24" s="23">
        <f>'GS &lt; 50 OLS Model'!$B$5</f>
        <v>-6867500.9582801796</v>
      </c>
      <c r="M24" s="23">
        <f ca="1">'GS &lt; 50 OLS Model'!$B$6*D24</f>
        <v>1431627.6085869868</v>
      </c>
      <c r="N24" s="23">
        <f ca="1">'GS &lt; 50 OLS Model'!$B$7*E24</f>
        <v>0</v>
      </c>
      <c r="O24" s="23">
        <f>'GS &lt; 50 OLS Model'!$B$8*F24</f>
        <v>13487400.464401206</v>
      </c>
      <c r="P24" s="23">
        <f>'GS &lt; 50 OLS Model'!$B$9*G24</f>
        <v>0</v>
      </c>
      <c r="Q24" s="23">
        <f>'GS &lt; 50 OLS Model'!$B$10*H24</f>
        <v>-165959.07761345801</v>
      </c>
      <c r="R24" s="23">
        <f>'GS &lt; 50 OLS Model'!$B$11*I24</f>
        <v>0</v>
      </c>
      <c r="S24" s="23">
        <f>'GS &lt; 50 OLS Model'!$B$12*J24</f>
        <v>0</v>
      </c>
      <c r="T24" s="23">
        <f t="shared" ca="1" si="2"/>
        <v>8051527.1147080129</v>
      </c>
    </row>
    <row r="25" spans="1:20">
      <c r="A25" s="11">
        <f>'Monthly Data'!A25</f>
        <v>40513</v>
      </c>
      <c r="B25" s="6">
        <f t="shared" si="1"/>
        <v>2010</v>
      </c>
      <c r="C25" s="30">
        <f>'Monthly Data'!I25</f>
        <v>8818324.9083200172</v>
      </c>
      <c r="D25">
        <f t="shared" ca="1" si="3"/>
        <v>684.01</v>
      </c>
      <c r="E25">
        <f t="shared" ca="1" si="3"/>
        <v>0</v>
      </c>
      <c r="F25" s="30">
        <f>'Monthly Data'!AC25</f>
        <v>3264</v>
      </c>
      <c r="G25" s="30">
        <f>'Monthly Data'!AG25</f>
        <v>0</v>
      </c>
      <c r="H25" s="30">
        <f>'Monthly Data'!AM25</f>
        <v>0</v>
      </c>
      <c r="I25" s="30">
        <f>'Monthly Data'!AN25</f>
        <v>0</v>
      </c>
      <c r="J25" s="30">
        <f>'Monthly Data'!AO25</f>
        <v>0</v>
      </c>
      <c r="L25" s="23">
        <f>'GS &lt; 50 OLS Model'!$B$5</f>
        <v>-6867500.9582801796</v>
      </c>
      <c r="M25" s="23">
        <f ca="1">'GS &lt; 50 OLS Model'!$B$6*D25</f>
        <v>2205264.2732791007</v>
      </c>
      <c r="N25" s="23">
        <f ca="1">'GS &lt; 50 OLS Model'!$B$7*E25</f>
        <v>0</v>
      </c>
      <c r="O25" s="23">
        <f>'GS &lt; 50 OLS Model'!$B$8*F25</f>
        <v>13491533.900032343</v>
      </c>
      <c r="P25" s="23">
        <f>'GS &lt; 50 OLS Model'!$B$9*G25</f>
        <v>0</v>
      </c>
      <c r="Q25" s="23">
        <f>'GS &lt; 50 OLS Model'!$B$10*H25</f>
        <v>0</v>
      </c>
      <c r="R25" s="23">
        <f>'GS &lt; 50 OLS Model'!$B$11*I25</f>
        <v>0</v>
      </c>
      <c r="S25" s="23">
        <f>'GS &lt; 50 OLS Model'!$B$12*J25</f>
        <v>0</v>
      </c>
      <c r="T25" s="23">
        <f t="shared" ca="1" si="2"/>
        <v>8829297.2150312643</v>
      </c>
    </row>
    <row r="26" spans="1:20">
      <c r="A26" s="11">
        <f>'Monthly Data'!A26</f>
        <v>40544</v>
      </c>
      <c r="B26" s="6">
        <f t="shared" si="1"/>
        <v>2011</v>
      </c>
      <c r="C26" s="30">
        <f>'Monthly Data'!I26</f>
        <v>9497858.1950556487</v>
      </c>
      <c r="D26">
        <f t="shared" ca="1" si="3"/>
        <v>784.29</v>
      </c>
      <c r="E26">
        <f t="shared" ca="1" si="3"/>
        <v>0</v>
      </c>
      <c r="F26" s="30">
        <f>'Monthly Data'!AC26</f>
        <v>3262</v>
      </c>
      <c r="G26" s="30">
        <f>'Monthly Data'!AG26</f>
        <v>0</v>
      </c>
      <c r="H26" s="30">
        <f>'Monthly Data'!AM26</f>
        <v>0</v>
      </c>
      <c r="I26" s="30">
        <f>'Monthly Data'!AN26</f>
        <v>0</v>
      </c>
      <c r="J26" s="30">
        <f>'Monthly Data'!AO26</f>
        <v>0</v>
      </c>
      <c r="L26" s="23">
        <f>'GS &lt; 50 OLS Model'!$B$5</f>
        <v>-6867500.9582801796</v>
      </c>
      <c r="M26" s="23">
        <f ca="1">'GS &lt; 50 OLS Model'!$B$6*D26</f>
        <v>2528569.3438547184</v>
      </c>
      <c r="N26" s="23">
        <f ca="1">'GS &lt; 50 OLS Model'!$B$7*E26</f>
        <v>0</v>
      </c>
      <c r="O26" s="23">
        <f>'GS &lt; 50 OLS Model'!$B$8*F26</f>
        <v>13483267.028770069</v>
      </c>
      <c r="P26" s="23">
        <f>'GS &lt; 50 OLS Model'!$B$9*G26</f>
        <v>0</v>
      </c>
      <c r="Q26" s="23">
        <f>'GS &lt; 50 OLS Model'!$B$10*H26</f>
        <v>0</v>
      </c>
      <c r="R26" s="23">
        <f>'GS &lt; 50 OLS Model'!$B$11*I26</f>
        <v>0</v>
      </c>
      <c r="S26" s="23">
        <f>'GS &lt; 50 OLS Model'!$B$12*J26</f>
        <v>0</v>
      </c>
      <c r="T26" s="23">
        <f t="shared" ca="1" si="2"/>
        <v>9144335.4143446069</v>
      </c>
    </row>
    <row r="27" spans="1:20">
      <c r="A27" s="11">
        <f>'Monthly Data'!A27</f>
        <v>40575</v>
      </c>
      <c r="B27" s="6">
        <f t="shared" si="1"/>
        <v>2011</v>
      </c>
      <c r="C27" s="30">
        <f>'Monthly Data'!I27</f>
        <v>8561553.1791980918</v>
      </c>
      <c r="D27">
        <f t="shared" ca="1" si="3"/>
        <v>682.50999999999988</v>
      </c>
      <c r="E27">
        <f t="shared" ca="1" si="3"/>
        <v>0</v>
      </c>
      <c r="F27" s="30">
        <f>'Monthly Data'!AC27</f>
        <v>3264</v>
      </c>
      <c r="G27" s="30">
        <f>'Monthly Data'!AG27</f>
        <v>0</v>
      </c>
      <c r="H27" s="30">
        <f>'Monthly Data'!AM27</f>
        <v>0</v>
      </c>
      <c r="I27" s="30">
        <f>'Monthly Data'!AN27</f>
        <v>1</v>
      </c>
      <c r="J27" s="30">
        <f>'Monthly Data'!AO27</f>
        <v>0</v>
      </c>
      <c r="L27" s="23">
        <f>'GS &lt; 50 OLS Model'!$B$5</f>
        <v>-6867500.9582801796</v>
      </c>
      <c r="M27" s="23">
        <f ca="1">'GS &lt; 50 OLS Model'!$B$6*D27</f>
        <v>2200428.2381189149</v>
      </c>
      <c r="N27" s="23">
        <f ca="1">'GS &lt; 50 OLS Model'!$B$7*E27</f>
        <v>0</v>
      </c>
      <c r="O27" s="23">
        <f>'GS &lt; 50 OLS Model'!$B$8*F27</f>
        <v>13491533.900032343</v>
      </c>
      <c r="P27" s="23">
        <f>'GS &lt; 50 OLS Model'!$B$9*G27</f>
        <v>0</v>
      </c>
      <c r="Q27" s="23">
        <f>'GS &lt; 50 OLS Model'!$B$10*H27</f>
        <v>0</v>
      </c>
      <c r="R27" s="23">
        <f>'GS &lt; 50 OLS Model'!$B$11*I27</f>
        <v>-326910.06421591499</v>
      </c>
      <c r="S27" s="23">
        <f>'GS &lt; 50 OLS Model'!$B$12*J27</f>
        <v>0</v>
      </c>
      <c r="T27" s="23">
        <f t="shared" ca="1" si="2"/>
        <v>8824461.1798710786</v>
      </c>
    </row>
    <row r="28" spans="1:20">
      <c r="A28" s="11">
        <f>'Monthly Data'!A28</f>
        <v>40603</v>
      </c>
      <c r="B28" s="6">
        <f t="shared" si="1"/>
        <v>2011</v>
      </c>
      <c r="C28" s="30">
        <f>'Monthly Data'!I28</f>
        <v>8681746.0780405328</v>
      </c>
      <c r="D28">
        <f t="shared" ca="1" si="3"/>
        <v>556.99</v>
      </c>
      <c r="E28">
        <f t="shared" ca="1" si="3"/>
        <v>0</v>
      </c>
      <c r="F28" s="30">
        <f>'Monthly Data'!AC28</f>
        <v>3261</v>
      </c>
      <c r="G28" s="30">
        <f>'Monthly Data'!AG28</f>
        <v>0</v>
      </c>
      <c r="H28" s="30">
        <f>'Monthly Data'!AM28</f>
        <v>0</v>
      </c>
      <c r="I28" s="30">
        <f>'Monthly Data'!AN28</f>
        <v>0</v>
      </c>
      <c r="J28" s="30">
        <f>'Monthly Data'!AO28</f>
        <v>0</v>
      </c>
      <c r="L28" s="23">
        <f>'GS &lt; 50 OLS Model'!$B$5</f>
        <v>-6867500.9582801796</v>
      </c>
      <c r="M28" s="23">
        <f ca="1">'GS &lt; 50 OLS Model'!$B$6*D28</f>
        <v>1795748.815914572</v>
      </c>
      <c r="N28" s="23">
        <f ca="1">'GS &lt; 50 OLS Model'!$B$7*E28</f>
        <v>0</v>
      </c>
      <c r="O28" s="23">
        <f>'GS &lt; 50 OLS Model'!$B$8*F28</f>
        <v>13479133.593138931</v>
      </c>
      <c r="P28" s="23">
        <f>'GS &lt; 50 OLS Model'!$B$9*G28</f>
        <v>0</v>
      </c>
      <c r="Q28" s="23">
        <f>'GS &lt; 50 OLS Model'!$B$10*H28</f>
        <v>0</v>
      </c>
      <c r="R28" s="23">
        <f>'GS &lt; 50 OLS Model'!$B$11*I28</f>
        <v>0</v>
      </c>
      <c r="S28" s="23">
        <f>'GS &lt; 50 OLS Model'!$B$12*J28</f>
        <v>0</v>
      </c>
      <c r="T28" s="23">
        <f t="shared" ca="1" si="2"/>
        <v>8407381.4507733248</v>
      </c>
    </row>
    <row r="29" spans="1:20">
      <c r="A29" s="11">
        <f>'Monthly Data'!A29</f>
        <v>40634</v>
      </c>
      <c r="B29" s="6">
        <f t="shared" si="1"/>
        <v>2011</v>
      </c>
      <c r="C29" s="30">
        <f>'Monthly Data'!I29</f>
        <v>7464534.0887829745</v>
      </c>
      <c r="D29">
        <f t="shared" ca="1" si="3"/>
        <v>326.58999999999997</v>
      </c>
      <c r="E29">
        <f t="shared" ca="1" si="3"/>
        <v>0.39</v>
      </c>
      <c r="F29" s="30">
        <f>'Monthly Data'!AC29</f>
        <v>3260</v>
      </c>
      <c r="G29" s="30">
        <f>'Monthly Data'!AG29</f>
        <v>0</v>
      </c>
      <c r="H29" s="30">
        <f>'Monthly Data'!AM29</f>
        <v>0</v>
      </c>
      <c r="I29" s="30">
        <f>'Monthly Data'!AN29</f>
        <v>0</v>
      </c>
      <c r="J29" s="30">
        <f>'Monthly Data'!AO29</f>
        <v>1</v>
      </c>
      <c r="L29" s="23">
        <f>'GS &lt; 50 OLS Model'!$B$5</f>
        <v>-6867500.9582801796</v>
      </c>
      <c r="M29" s="23">
        <f ca="1">'GS &lt; 50 OLS Model'!$B$6*D29</f>
        <v>1052933.8153100414</v>
      </c>
      <c r="N29" s="23">
        <f ca="1">'GS &lt; 50 OLS Model'!$B$7*E29</f>
        <v>5916.9172633461158</v>
      </c>
      <c r="O29" s="23">
        <f>'GS &lt; 50 OLS Model'!$B$8*F29</f>
        <v>13475000.157507794</v>
      </c>
      <c r="P29" s="23">
        <f>'GS &lt; 50 OLS Model'!$B$9*G29</f>
        <v>0</v>
      </c>
      <c r="Q29" s="23">
        <f>'GS &lt; 50 OLS Model'!$B$10*H29</f>
        <v>0</v>
      </c>
      <c r="R29" s="23">
        <f>'GS &lt; 50 OLS Model'!$B$11*I29</f>
        <v>0</v>
      </c>
      <c r="S29" s="23">
        <f>'GS &lt; 50 OLS Model'!$B$12*J29</f>
        <v>-430621.67531502497</v>
      </c>
      <c r="T29" s="23">
        <f t="shared" ca="1" si="2"/>
        <v>7666349.9318010015</v>
      </c>
    </row>
    <row r="30" spans="1:20">
      <c r="A30" s="11">
        <f>'Monthly Data'!A30</f>
        <v>40664</v>
      </c>
      <c r="B30" s="6">
        <f t="shared" si="1"/>
        <v>2011</v>
      </c>
      <c r="C30" s="30">
        <f>'Monthly Data'!I30</f>
        <v>7490970.5370254153</v>
      </c>
      <c r="D30">
        <f t="shared" ca="1" si="3"/>
        <v>144.96</v>
      </c>
      <c r="E30">
        <f t="shared" ca="1" si="3"/>
        <v>8.67</v>
      </c>
      <c r="F30" s="30">
        <f>'Monthly Data'!AC30</f>
        <v>3250</v>
      </c>
      <c r="G30" s="30">
        <f>'Monthly Data'!AG30</f>
        <v>0</v>
      </c>
      <c r="H30" s="30">
        <f>'Monthly Data'!AM30</f>
        <v>0</v>
      </c>
      <c r="I30" s="30">
        <f>'Monthly Data'!AN30</f>
        <v>0</v>
      </c>
      <c r="J30" s="30">
        <f>'Monthly Data'!AO30</f>
        <v>0</v>
      </c>
      <c r="L30" s="23">
        <f>'GS &lt; 50 OLS Model'!$B$5</f>
        <v>-6867500.9582801796</v>
      </c>
      <c r="M30" s="23">
        <f ca="1">'GS &lt; 50 OLS Model'!$B$6*D30</f>
        <v>467354.43788035039</v>
      </c>
      <c r="N30" s="23">
        <f ca="1">'GS &lt; 50 OLS Model'!$B$7*E30</f>
        <v>131537.62223900211</v>
      </c>
      <c r="O30" s="23">
        <f>'GS &lt; 50 OLS Model'!$B$8*F30</f>
        <v>13433665.801196421</v>
      </c>
      <c r="P30" s="23">
        <f>'GS &lt; 50 OLS Model'!$B$9*G30</f>
        <v>0</v>
      </c>
      <c r="Q30" s="23">
        <f>'GS &lt; 50 OLS Model'!$B$10*H30</f>
        <v>0</v>
      </c>
      <c r="R30" s="23">
        <f>'GS &lt; 50 OLS Model'!$B$11*I30</f>
        <v>0</v>
      </c>
      <c r="S30" s="23">
        <f>'GS &lt; 50 OLS Model'!$B$12*J30</f>
        <v>0</v>
      </c>
      <c r="T30" s="23">
        <f t="shared" ca="1" si="2"/>
        <v>7165056.9030355932</v>
      </c>
    </row>
    <row r="31" spans="1:20">
      <c r="A31" s="11">
        <f>'Monthly Data'!A31</f>
        <v>40695</v>
      </c>
      <c r="B31" s="6">
        <f t="shared" si="1"/>
        <v>2011</v>
      </c>
      <c r="C31" s="30">
        <f>'Monthly Data'!I31</f>
        <v>7258377.2131678574</v>
      </c>
      <c r="D31">
        <f t="shared" ref="D31:E46" ca="1" si="4">D19</f>
        <v>41.510000000000005</v>
      </c>
      <c r="E31">
        <f t="shared" ca="1" si="4"/>
        <v>44.41</v>
      </c>
      <c r="F31" s="30">
        <f>'Monthly Data'!AC31</f>
        <v>3250</v>
      </c>
      <c r="G31" s="30">
        <f>'Monthly Data'!AG31</f>
        <v>0</v>
      </c>
      <c r="H31" s="30">
        <f>'Monthly Data'!AM31</f>
        <v>0</v>
      </c>
      <c r="I31" s="30">
        <f>'Monthly Data'!AN31</f>
        <v>0</v>
      </c>
      <c r="J31" s="30">
        <f>'Monthly Data'!AO31</f>
        <v>0</v>
      </c>
      <c r="L31" s="23">
        <f>'GS &lt; 50 OLS Model'!$B$5</f>
        <v>-6867500.9582801796</v>
      </c>
      <c r="M31" s="23">
        <f ca="1">'GS &lt; 50 OLS Model'!$B$6*D31</f>
        <v>133829.21299954021</v>
      </c>
      <c r="N31" s="23">
        <f ca="1">'GS &lt; 50 OLS Model'!$B$7*E31</f>
        <v>673769.98888513062</v>
      </c>
      <c r="O31" s="23">
        <f>'GS &lt; 50 OLS Model'!$B$8*F31</f>
        <v>13433665.801196421</v>
      </c>
      <c r="P31" s="23">
        <f>'GS &lt; 50 OLS Model'!$B$9*G31</f>
        <v>0</v>
      </c>
      <c r="Q31" s="23">
        <f>'GS &lt; 50 OLS Model'!$B$10*H31</f>
        <v>0</v>
      </c>
      <c r="R31" s="23">
        <f>'GS &lt; 50 OLS Model'!$B$11*I31</f>
        <v>0</v>
      </c>
      <c r="S31" s="23">
        <f>'GS &lt; 50 OLS Model'!$B$12*J31</f>
        <v>0</v>
      </c>
      <c r="T31" s="23">
        <f t="shared" ca="1" si="2"/>
        <v>7373764.044800912</v>
      </c>
    </row>
    <row r="32" spans="1:20">
      <c r="A32" s="11">
        <f>'Monthly Data'!A32</f>
        <v>40725</v>
      </c>
      <c r="B32" s="6">
        <f t="shared" si="1"/>
        <v>2011</v>
      </c>
      <c r="C32" s="30">
        <f>'Monthly Data'!I32</f>
        <v>8259843.8168102987</v>
      </c>
      <c r="D32">
        <f t="shared" ca="1" si="4"/>
        <v>5.01</v>
      </c>
      <c r="E32">
        <f t="shared" ca="1" si="4"/>
        <v>96.909999999999982</v>
      </c>
      <c r="F32" s="30">
        <f>'Monthly Data'!AC32</f>
        <v>3245</v>
      </c>
      <c r="G32" s="30">
        <f>'Monthly Data'!AG32</f>
        <v>0</v>
      </c>
      <c r="H32" s="30">
        <f>'Monthly Data'!AM32</f>
        <v>0</v>
      </c>
      <c r="I32" s="30">
        <f>'Monthly Data'!AN32</f>
        <v>0</v>
      </c>
      <c r="J32" s="30">
        <f>'Monthly Data'!AO32</f>
        <v>0</v>
      </c>
      <c r="L32" s="23">
        <f>'GS &lt; 50 OLS Model'!$B$5</f>
        <v>-6867500.9582801796</v>
      </c>
      <c r="M32" s="23">
        <f ca="1">'GS &lt; 50 OLS Model'!$B$6*D32</f>
        <v>16152.357435020387</v>
      </c>
      <c r="N32" s="23">
        <f ca="1">'GS &lt; 50 OLS Model'!$B$7*E32</f>
        <v>1470278.0820278767</v>
      </c>
      <c r="O32" s="23">
        <f>'GS &lt; 50 OLS Model'!$B$8*F32</f>
        <v>13412998.623040734</v>
      </c>
      <c r="P32" s="23">
        <f>'GS &lt; 50 OLS Model'!$B$9*G32</f>
        <v>0</v>
      </c>
      <c r="Q32" s="23">
        <f>'GS &lt; 50 OLS Model'!$B$10*H32</f>
        <v>0</v>
      </c>
      <c r="R32" s="23">
        <f>'GS &lt; 50 OLS Model'!$B$11*I32</f>
        <v>0</v>
      </c>
      <c r="S32" s="23">
        <f>'GS &lt; 50 OLS Model'!$B$12*J32</f>
        <v>0</v>
      </c>
      <c r="T32" s="23">
        <f t="shared" ca="1" si="2"/>
        <v>8031928.1042234516</v>
      </c>
    </row>
    <row r="33" spans="1:20">
      <c r="A33" s="11">
        <f>'Monthly Data'!A33</f>
        <v>40756</v>
      </c>
      <c r="B33" s="6">
        <f t="shared" si="1"/>
        <v>2011</v>
      </c>
      <c r="C33" s="30">
        <f>'Monthly Data'!I33</f>
        <v>7945328.4461527411</v>
      </c>
      <c r="D33">
        <f t="shared" ca="1" si="4"/>
        <v>12.719999999999999</v>
      </c>
      <c r="E33">
        <f t="shared" ca="1" si="4"/>
        <v>77.22999999999999</v>
      </c>
      <c r="F33" s="30">
        <f>'Monthly Data'!AC33</f>
        <v>3235</v>
      </c>
      <c r="G33" s="30">
        <f>'Monthly Data'!AG33</f>
        <v>0</v>
      </c>
      <c r="H33" s="30">
        <f>'Monthly Data'!AM33</f>
        <v>0</v>
      </c>
      <c r="I33" s="30">
        <f>'Monthly Data'!AN33</f>
        <v>0</v>
      </c>
      <c r="J33" s="30">
        <f>'Monthly Data'!AO33</f>
        <v>0</v>
      </c>
      <c r="L33" s="23">
        <f>'GS &lt; 50 OLS Model'!$B$5</f>
        <v>-6867500.9582801796</v>
      </c>
      <c r="M33" s="23">
        <f ca="1">'GS &lt; 50 OLS Model'!$B$6*D33</f>
        <v>41009.578158375116</v>
      </c>
      <c r="N33" s="23">
        <f ca="1">'GS &lt; 50 OLS Model'!$B$7*E33</f>
        <v>1171701.3339697958</v>
      </c>
      <c r="O33" s="23">
        <f>'GS &lt; 50 OLS Model'!$B$8*F33</f>
        <v>13371664.26672936</v>
      </c>
      <c r="P33" s="23">
        <f>'GS &lt; 50 OLS Model'!$B$9*G33</f>
        <v>0</v>
      </c>
      <c r="Q33" s="23">
        <f>'GS &lt; 50 OLS Model'!$B$10*H33</f>
        <v>0</v>
      </c>
      <c r="R33" s="23">
        <f>'GS &lt; 50 OLS Model'!$B$11*I33</f>
        <v>0</v>
      </c>
      <c r="S33" s="23">
        <f>'GS &lt; 50 OLS Model'!$B$12*J33</f>
        <v>0</v>
      </c>
      <c r="T33" s="23">
        <f t="shared" ca="1" si="2"/>
        <v>7716874.2205773517</v>
      </c>
    </row>
    <row r="34" spans="1:20">
      <c r="A34" s="11">
        <f>'Monthly Data'!A34</f>
        <v>40787</v>
      </c>
      <c r="B34" s="6">
        <f t="shared" si="1"/>
        <v>2011</v>
      </c>
      <c r="C34" s="30">
        <f>'Monthly Data'!I34</f>
        <v>7095765.259495182</v>
      </c>
      <c r="D34">
        <f t="shared" ca="1" si="4"/>
        <v>86.570000000000007</v>
      </c>
      <c r="E34">
        <f t="shared" ca="1" si="4"/>
        <v>19.899999999999999</v>
      </c>
      <c r="F34" s="30">
        <f>'Monthly Data'!AC34</f>
        <v>3235</v>
      </c>
      <c r="G34" s="30">
        <f>'Monthly Data'!AG34</f>
        <v>0</v>
      </c>
      <c r="H34" s="30">
        <f>'Monthly Data'!AM34</f>
        <v>1</v>
      </c>
      <c r="I34" s="30">
        <f>'Monthly Data'!AN34</f>
        <v>0</v>
      </c>
      <c r="J34" s="30">
        <f>'Monthly Data'!AO34</f>
        <v>0</v>
      </c>
      <c r="L34" s="23">
        <f>'GS &lt; 50 OLS Model'!$B$5</f>
        <v>-6867500.9582801796</v>
      </c>
      <c r="M34" s="23">
        <f ca="1">'GS &lt; 50 OLS Model'!$B$6*D34</f>
        <v>279103.70921151998</v>
      </c>
      <c r="N34" s="23">
        <f ca="1">'GS &lt; 50 OLS Model'!$B$7*E34</f>
        <v>301914.49625791714</v>
      </c>
      <c r="O34" s="23">
        <f>'GS &lt; 50 OLS Model'!$B$8*F34</f>
        <v>13371664.26672936</v>
      </c>
      <c r="P34" s="23">
        <f>'GS &lt; 50 OLS Model'!$B$9*G34</f>
        <v>0</v>
      </c>
      <c r="Q34" s="23">
        <f>'GS &lt; 50 OLS Model'!$B$10*H34</f>
        <v>-165959.07761345801</v>
      </c>
      <c r="R34" s="23">
        <f>'GS &lt; 50 OLS Model'!$B$11*I34</f>
        <v>0</v>
      </c>
      <c r="S34" s="23">
        <f>'GS &lt; 50 OLS Model'!$B$12*J34</f>
        <v>0</v>
      </c>
      <c r="T34" s="23">
        <f t="shared" ca="1" si="2"/>
        <v>7085181.5139186177</v>
      </c>
    </row>
    <row r="35" spans="1:20">
      <c r="A35" s="11">
        <f>'Monthly Data'!A35</f>
        <v>40817</v>
      </c>
      <c r="B35" s="6">
        <f t="shared" si="1"/>
        <v>2011</v>
      </c>
      <c r="C35" s="30">
        <f>'Monthly Data'!I35</f>
        <v>6962809.929037625</v>
      </c>
      <c r="D35">
        <f t="shared" ca="1" si="4"/>
        <v>270.3</v>
      </c>
      <c r="E35">
        <f t="shared" ca="1" si="4"/>
        <v>1.21</v>
      </c>
      <c r="F35" s="30">
        <f>'Monthly Data'!AC35</f>
        <v>3226</v>
      </c>
      <c r="G35" s="30">
        <f>'Monthly Data'!AG35</f>
        <v>0</v>
      </c>
      <c r="H35" s="30">
        <f>'Monthly Data'!AM35</f>
        <v>1</v>
      </c>
      <c r="I35" s="30">
        <f>'Monthly Data'!AN35</f>
        <v>0</v>
      </c>
      <c r="J35" s="30">
        <f>'Monthly Data'!AO35</f>
        <v>0</v>
      </c>
      <c r="L35" s="23">
        <f>'GS &lt; 50 OLS Model'!$B$5</f>
        <v>-6867500.9582801796</v>
      </c>
      <c r="M35" s="23">
        <f ca="1">'GS &lt; 50 OLS Model'!$B$6*D35</f>
        <v>871453.53586547123</v>
      </c>
      <c r="N35" s="23">
        <f ca="1">'GS &lt; 50 OLS Model'!$B$7*E35</f>
        <v>18357.615099099487</v>
      </c>
      <c r="O35" s="23">
        <f>'GS &lt; 50 OLS Model'!$B$8*F35</f>
        <v>13334463.346049124</v>
      </c>
      <c r="P35" s="23">
        <f>'GS &lt; 50 OLS Model'!$B$9*G35</f>
        <v>0</v>
      </c>
      <c r="Q35" s="23">
        <f>'GS &lt; 50 OLS Model'!$B$10*H35</f>
        <v>-165959.07761345801</v>
      </c>
      <c r="R35" s="23">
        <f>'GS &lt; 50 OLS Model'!$B$11*I35</f>
        <v>0</v>
      </c>
      <c r="S35" s="23">
        <f>'GS &lt; 50 OLS Model'!$B$12*J35</f>
        <v>0</v>
      </c>
      <c r="T35" s="23">
        <f t="shared" ref="T35:T66" ca="1" si="5">SUM(L35:P35)</f>
        <v>7356773.538733515</v>
      </c>
    </row>
    <row r="36" spans="1:20">
      <c r="A36" s="11">
        <f>'Monthly Data'!A36</f>
        <v>40848</v>
      </c>
      <c r="B36" s="6">
        <f t="shared" si="1"/>
        <v>2011</v>
      </c>
      <c r="C36" s="30">
        <f>'Monthly Data'!I36</f>
        <v>7251164.6070800656</v>
      </c>
      <c r="D36">
        <f t="shared" ca="1" si="4"/>
        <v>444.05</v>
      </c>
      <c r="E36">
        <f t="shared" ca="1" si="4"/>
        <v>0</v>
      </c>
      <c r="F36" s="30">
        <f>'Monthly Data'!AC36</f>
        <v>3224</v>
      </c>
      <c r="G36" s="30">
        <f>'Monthly Data'!AG36</f>
        <v>0</v>
      </c>
      <c r="H36" s="30">
        <f>'Monthly Data'!AM36</f>
        <v>1</v>
      </c>
      <c r="I36" s="30">
        <f>'Monthly Data'!AN36</f>
        <v>0</v>
      </c>
      <c r="J36" s="30">
        <f>'Monthly Data'!AO36</f>
        <v>0</v>
      </c>
      <c r="L36" s="23">
        <f>'GS &lt; 50 OLS Model'!$B$5</f>
        <v>-6867500.9582801796</v>
      </c>
      <c r="M36" s="23">
        <f ca="1">'GS &lt; 50 OLS Model'!$B$6*D36</f>
        <v>1431627.6085869868</v>
      </c>
      <c r="N36" s="23">
        <f ca="1">'GS &lt; 50 OLS Model'!$B$7*E36</f>
        <v>0</v>
      </c>
      <c r="O36" s="23">
        <f>'GS &lt; 50 OLS Model'!$B$8*F36</f>
        <v>13326196.47478685</v>
      </c>
      <c r="P36" s="23">
        <f>'GS &lt; 50 OLS Model'!$B$9*G36</f>
        <v>0</v>
      </c>
      <c r="Q36" s="23">
        <f>'GS &lt; 50 OLS Model'!$B$10*H36</f>
        <v>-165959.07761345801</v>
      </c>
      <c r="R36" s="23">
        <f>'GS &lt; 50 OLS Model'!$B$11*I36</f>
        <v>0</v>
      </c>
      <c r="S36" s="23">
        <f>'GS &lt; 50 OLS Model'!$B$12*J36</f>
        <v>0</v>
      </c>
      <c r="T36" s="23">
        <f t="shared" ca="1" si="5"/>
        <v>7890323.1250936566</v>
      </c>
    </row>
    <row r="37" spans="1:20">
      <c r="A37" s="11">
        <f>'Monthly Data'!A37</f>
        <v>40878</v>
      </c>
      <c r="B37" s="6">
        <f t="shared" si="1"/>
        <v>2011</v>
      </c>
      <c r="C37" s="30">
        <f>'Monthly Data'!I37</f>
        <v>8093769.1554225087</v>
      </c>
      <c r="D37">
        <f t="shared" ca="1" si="4"/>
        <v>684.01</v>
      </c>
      <c r="E37">
        <f t="shared" ca="1" si="4"/>
        <v>0</v>
      </c>
      <c r="F37" s="30">
        <f>'Monthly Data'!AC37</f>
        <v>3225</v>
      </c>
      <c r="G37" s="30">
        <f>'Monthly Data'!AG37</f>
        <v>0</v>
      </c>
      <c r="H37" s="30">
        <f>'Monthly Data'!AM37</f>
        <v>0</v>
      </c>
      <c r="I37" s="30">
        <f>'Monthly Data'!AN37</f>
        <v>0</v>
      </c>
      <c r="J37" s="30">
        <f>'Monthly Data'!AO37</f>
        <v>0</v>
      </c>
      <c r="L37" s="23">
        <f>'GS &lt; 50 OLS Model'!$B$5</f>
        <v>-6867500.9582801796</v>
      </c>
      <c r="M37" s="23">
        <f ca="1">'GS &lt; 50 OLS Model'!$B$6*D37</f>
        <v>2205264.2732791007</v>
      </c>
      <c r="N37" s="23">
        <f ca="1">'GS &lt; 50 OLS Model'!$B$7*E37</f>
        <v>0</v>
      </c>
      <c r="O37" s="23">
        <f>'GS &lt; 50 OLS Model'!$B$8*F37</f>
        <v>13330329.910417987</v>
      </c>
      <c r="P37" s="23">
        <f>'GS &lt; 50 OLS Model'!$B$9*G37</f>
        <v>0</v>
      </c>
      <c r="Q37" s="23">
        <f>'GS &lt; 50 OLS Model'!$B$10*H37</f>
        <v>0</v>
      </c>
      <c r="R37" s="23">
        <f>'GS &lt; 50 OLS Model'!$B$11*I37</f>
        <v>0</v>
      </c>
      <c r="S37" s="23">
        <f>'GS &lt; 50 OLS Model'!$B$12*J37</f>
        <v>0</v>
      </c>
      <c r="T37" s="23">
        <f t="shared" ca="1" si="5"/>
        <v>8668093.225416908</v>
      </c>
    </row>
    <row r="38" spans="1:20">
      <c r="A38" s="11">
        <f>'Monthly Data'!A38</f>
        <v>40909</v>
      </c>
      <c r="B38" s="6">
        <f t="shared" si="1"/>
        <v>2012</v>
      </c>
      <c r="C38" s="30">
        <f>'Monthly Data'!I38</f>
        <v>8616766.236348236</v>
      </c>
      <c r="D38">
        <f t="shared" ca="1" si="4"/>
        <v>784.29</v>
      </c>
      <c r="E38">
        <f t="shared" ca="1" si="4"/>
        <v>0</v>
      </c>
      <c r="F38" s="30">
        <f>'Monthly Data'!AC38</f>
        <v>3226</v>
      </c>
      <c r="G38" s="30">
        <f>'Monthly Data'!AG38</f>
        <v>0</v>
      </c>
      <c r="H38" s="30">
        <f>'Monthly Data'!AM38</f>
        <v>0</v>
      </c>
      <c r="I38" s="30">
        <f>'Monthly Data'!AN38</f>
        <v>0</v>
      </c>
      <c r="J38" s="30">
        <f>'Monthly Data'!AO38</f>
        <v>0</v>
      </c>
      <c r="L38" s="23">
        <f>'GS &lt; 50 OLS Model'!$B$5</f>
        <v>-6867500.9582801796</v>
      </c>
      <c r="M38" s="23">
        <f ca="1">'GS &lt; 50 OLS Model'!$B$6*D38</f>
        <v>2528569.3438547184</v>
      </c>
      <c r="N38" s="23">
        <f ca="1">'GS &lt; 50 OLS Model'!$B$7*E38</f>
        <v>0</v>
      </c>
      <c r="O38" s="23">
        <f>'GS &lt; 50 OLS Model'!$B$8*F38</f>
        <v>13334463.346049124</v>
      </c>
      <c r="P38" s="23">
        <f>'GS &lt; 50 OLS Model'!$B$9*G38</f>
        <v>0</v>
      </c>
      <c r="Q38" s="23">
        <f>'GS &lt; 50 OLS Model'!$B$10*H38</f>
        <v>0</v>
      </c>
      <c r="R38" s="23">
        <f>'GS &lt; 50 OLS Model'!$B$11*I38</f>
        <v>0</v>
      </c>
      <c r="S38" s="23">
        <f>'GS &lt; 50 OLS Model'!$B$12*J38</f>
        <v>0</v>
      </c>
      <c r="T38" s="23">
        <f t="shared" ca="1" si="5"/>
        <v>8995531.7316236626</v>
      </c>
    </row>
    <row r="39" spans="1:20">
      <c r="A39" s="11">
        <f>'Monthly Data'!A39</f>
        <v>40940</v>
      </c>
      <c r="B39" s="6">
        <f t="shared" si="1"/>
        <v>2012</v>
      </c>
      <c r="C39" s="30">
        <f>'Monthly Data'!I39</f>
        <v>7990695.766057251</v>
      </c>
      <c r="D39">
        <f t="shared" ca="1" si="4"/>
        <v>682.50999999999988</v>
      </c>
      <c r="E39">
        <f t="shared" ca="1" si="4"/>
        <v>0</v>
      </c>
      <c r="F39" s="30">
        <f>'Monthly Data'!AC39</f>
        <v>3225</v>
      </c>
      <c r="G39" s="30">
        <f>'Monthly Data'!AG39</f>
        <v>0</v>
      </c>
      <c r="H39" s="30">
        <f>'Monthly Data'!AM39</f>
        <v>0</v>
      </c>
      <c r="I39" s="30">
        <f>'Monthly Data'!AN39</f>
        <v>1</v>
      </c>
      <c r="J39" s="30">
        <f>'Monthly Data'!AO39</f>
        <v>0</v>
      </c>
      <c r="L39" s="23">
        <f>'GS &lt; 50 OLS Model'!$B$5</f>
        <v>-6867500.9582801796</v>
      </c>
      <c r="M39" s="23">
        <f ca="1">'GS &lt; 50 OLS Model'!$B$6*D39</f>
        <v>2200428.2381189149</v>
      </c>
      <c r="N39" s="23">
        <f ca="1">'GS &lt; 50 OLS Model'!$B$7*E39</f>
        <v>0</v>
      </c>
      <c r="O39" s="23">
        <f>'GS &lt; 50 OLS Model'!$B$8*F39</f>
        <v>13330329.910417987</v>
      </c>
      <c r="P39" s="23">
        <f>'GS &lt; 50 OLS Model'!$B$9*G39</f>
        <v>0</v>
      </c>
      <c r="Q39" s="23">
        <f>'GS &lt; 50 OLS Model'!$B$10*H39</f>
        <v>0</v>
      </c>
      <c r="R39" s="23">
        <f>'GS &lt; 50 OLS Model'!$B$11*I39</f>
        <v>-326910.06421591499</v>
      </c>
      <c r="S39" s="23">
        <f>'GS &lt; 50 OLS Model'!$B$12*J39</f>
        <v>0</v>
      </c>
      <c r="T39" s="23">
        <f t="shared" ca="1" si="5"/>
        <v>8663257.1902567223</v>
      </c>
    </row>
    <row r="40" spans="1:20">
      <c r="A40" s="11">
        <f>'Monthly Data'!A40</f>
        <v>40969</v>
      </c>
      <c r="B40" s="6">
        <f t="shared" si="1"/>
        <v>2012</v>
      </c>
      <c r="C40" s="30">
        <f>'Monthly Data'!I40</f>
        <v>7701208.6086662654</v>
      </c>
      <c r="D40">
        <f t="shared" ca="1" si="4"/>
        <v>556.99</v>
      </c>
      <c r="E40">
        <f t="shared" ca="1" si="4"/>
        <v>0</v>
      </c>
      <c r="F40" s="30">
        <f>'Monthly Data'!AC40</f>
        <v>3222</v>
      </c>
      <c r="G40" s="30">
        <f>'Monthly Data'!AG40</f>
        <v>0</v>
      </c>
      <c r="H40" s="30">
        <f>'Monthly Data'!AM40</f>
        <v>0</v>
      </c>
      <c r="I40" s="30">
        <f>'Monthly Data'!AN40</f>
        <v>0</v>
      </c>
      <c r="J40" s="30">
        <f>'Monthly Data'!AO40</f>
        <v>0</v>
      </c>
      <c r="L40" s="23">
        <f>'GS &lt; 50 OLS Model'!$B$5</f>
        <v>-6867500.9582801796</v>
      </c>
      <c r="M40" s="23">
        <f ca="1">'GS &lt; 50 OLS Model'!$B$6*D40</f>
        <v>1795748.815914572</v>
      </c>
      <c r="N40" s="23">
        <f ca="1">'GS &lt; 50 OLS Model'!$B$7*E40</f>
        <v>0</v>
      </c>
      <c r="O40" s="23">
        <f>'GS &lt; 50 OLS Model'!$B$8*F40</f>
        <v>13317929.603524575</v>
      </c>
      <c r="P40" s="23">
        <f>'GS &lt; 50 OLS Model'!$B$9*G40</f>
        <v>0</v>
      </c>
      <c r="Q40" s="23">
        <f>'GS &lt; 50 OLS Model'!$B$10*H40</f>
        <v>0</v>
      </c>
      <c r="R40" s="23">
        <f>'GS &lt; 50 OLS Model'!$B$11*I40</f>
        <v>0</v>
      </c>
      <c r="S40" s="23">
        <f>'GS &lt; 50 OLS Model'!$B$12*J40</f>
        <v>0</v>
      </c>
      <c r="T40" s="23">
        <f t="shared" ca="1" si="5"/>
        <v>8246177.4611589676</v>
      </c>
    </row>
    <row r="41" spans="1:20">
      <c r="A41" s="11">
        <f>'Monthly Data'!A41</f>
        <v>41000</v>
      </c>
      <c r="B41" s="6">
        <f t="shared" si="1"/>
        <v>2012</v>
      </c>
      <c r="C41" s="30">
        <f>'Monthly Data'!I41</f>
        <v>6920576.3044752814</v>
      </c>
      <c r="D41">
        <f t="shared" ca="1" si="4"/>
        <v>326.58999999999997</v>
      </c>
      <c r="E41">
        <f t="shared" ca="1" si="4"/>
        <v>0.39</v>
      </c>
      <c r="F41" s="30">
        <f>'Monthly Data'!AC41</f>
        <v>3213</v>
      </c>
      <c r="G41" s="30">
        <f>'Monthly Data'!AG41</f>
        <v>0</v>
      </c>
      <c r="H41" s="30">
        <f>'Monthly Data'!AM41</f>
        <v>0</v>
      </c>
      <c r="I41" s="30">
        <f>'Monthly Data'!AN41</f>
        <v>0</v>
      </c>
      <c r="J41" s="30">
        <f>'Monthly Data'!AO41</f>
        <v>1</v>
      </c>
      <c r="L41" s="23">
        <f>'GS &lt; 50 OLS Model'!$B$5</f>
        <v>-6867500.9582801796</v>
      </c>
      <c r="M41" s="23">
        <f ca="1">'GS &lt; 50 OLS Model'!$B$6*D41</f>
        <v>1052933.8153100414</v>
      </c>
      <c r="N41" s="23">
        <f ca="1">'GS &lt; 50 OLS Model'!$B$7*E41</f>
        <v>5916.9172633461158</v>
      </c>
      <c r="O41" s="23">
        <f>'GS &lt; 50 OLS Model'!$B$8*F41</f>
        <v>13280728.682844339</v>
      </c>
      <c r="P41" s="23">
        <f>'GS &lt; 50 OLS Model'!$B$9*G41</f>
        <v>0</v>
      </c>
      <c r="Q41" s="23">
        <f>'GS &lt; 50 OLS Model'!$B$10*H41</f>
        <v>0</v>
      </c>
      <c r="R41" s="23">
        <f>'GS &lt; 50 OLS Model'!$B$11*I41</f>
        <v>0</v>
      </c>
      <c r="S41" s="23">
        <f>'GS &lt; 50 OLS Model'!$B$12*J41</f>
        <v>-430621.67531502497</v>
      </c>
      <c r="T41" s="23">
        <f t="shared" ca="1" si="5"/>
        <v>7472078.4571375465</v>
      </c>
    </row>
    <row r="42" spans="1:20">
      <c r="A42" s="11">
        <f>'Monthly Data'!A42</f>
        <v>41030</v>
      </c>
      <c r="B42" s="6">
        <f t="shared" si="1"/>
        <v>2012</v>
      </c>
      <c r="C42" s="30">
        <f>'Monthly Data'!I42</f>
        <v>6992836.9937842954</v>
      </c>
      <c r="D42">
        <f t="shared" ca="1" si="4"/>
        <v>144.96</v>
      </c>
      <c r="E42">
        <f t="shared" ca="1" si="4"/>
        <v>8.67</v>
      </c>
      <c r="F42" s="30">
        <f>'Monthly Data'!AC42</f>
        <v>3198</v>
      </c>
      <c r="G42" s="30">
        <f>'Monthly Data'!AG42</f>
        <v>0</v>
      </c>
      <c r="H42" s="30">
        <f>'Monthly Data'!AM42</f>
        <v>0</v>
      </c>
      <c r="I42" s="30">
        <f>'Monthly Data'!AN42</f>
        <v>0</v>
      </c>
      <c r="J42" s="30">
        <f>'Monthly Data'!AO42</f>
        <v>0</v>
      </c>
      <c r="L42" s="23">
        <f>'GS &lt; 50 OLS Model'!$B$5</f>
        <v>-6867500.9582801796</v>
      </c>
      <c r="M42" s="23">
        <f ca="1">'GS &lt; 50 OLS Model'!$B$6*D42</f>
        <v>467354.43788035039</v>
      </c>
      <c r="N42" s="23">
        <f ca="1">'GS &lt; 50 OLS Model'!$B$7*E42</f>
        <v>131537.62223900211</v>
      </c>
      <c r="O42" s="23">
        <f>'GS &lt; 50 OLS Model'!$B$8*F42</f>
        <v>13218727.148377279</v>
      </c>
      <c r="P42" s="23">
        <f>'GS &lt; 50 OLS Model'!$B$9*G42</f>
        <v>0</v>
      </c>
      <c r="Q42" s="23">
        <f>'GS &lt; 50 OLS Model'!$B$10*H42</f>
        <v>0</v>
      </c>
      <c r="R42" s="23">
        <f>'GS &lt; 50 OLS Model'!$B$11*I42</f>
        <v>0</v>
      </c>
      <c r="S42" s="23">
        <f>'GS &lt; 50 OLS Model'!$B$12*J42</f>
        <v>0</v>
      </c>
      <c r="T42" s="23">
        <f t="shared" ca="1" si="5"/>
        <v>6950118.2502164515</v>
      </c>
    </row>
    <row r="43" spans="1:20">
      <c r="A43" s="11">
        <f>'Monthly Data'!A43</f>
        <v>41061</v>
      </c>
      <c r="B43" s="6">
        <f t="shared" si="1"/>
        <v>2012</v>
      </c>
      <c r="C43" s="30">
        <f>'Monthly Data'!I43</f>
        <v>7377632.6825933103</v>
      </c>
      <c r="D43">
        <f t="shared" ca="1" si="4"/>
        <v>41.510000000000005</v>
      </c>
      <c r="E43">
        <f t="shared" ca="1" si="4"/>
        <v>44.41</v>
      </c>
      <c r="F43" s="30">
        <f>'Monthly Data'!AC43</f>
        <v>3201</v>
      </c>
      <c r="G43" s="30">
        <f>'Monthly Data'!AG43</f>
        <v>0</v>
      </c>
      <c r="H43" s="30">
        <f>'Monthly Data'!AM43</f>
        <v>0</v>
      </c>
      <c r="I43" s="30">
        <f>'Monthly Data'!AN43</f>
        <v>0</v>
      </c>
      <c r="J43" s="30">
        <f>'Monthly Data'!AO43</f>
        <v>0</v>
      </c>
      <c r="L43" s="23">
        <f>'GS &lt; 50 OLS Model'!$B$5</f>
        <v>-6867500.9582801796</v>
      </c>
      <c r="M43" s="23">
        <f ca="1">'GS &lt; 50 OLS Model'!$B$6*D43</f>
        <v>133829.21299954021</v>
      </c>
      <c r="N43" s="23">
        <f ca="1">'GS &lt; 50 OLS Model'!$B$7*E43</f>
        <v>673769.98888513062</v>
      </c>
      <c r="O43" s="23">
        <f>'GS &lt; 50 OLS Model'!$B$8*F43</f>
        <v>13231127.455270691</v>
      </c>
      <c r="P43" s="23">
        <f>'GS &lt; 50 OLS Model'!$B$9*G43</f>
        <v>0</v>
      </c>
      <c r="Q43" s="23">
        <f>'GS &lt; 50 OLS Model'!$B$10*H43</f>
        <v>0</v>
      </c>
      <c r="R43" s="23">
        <f>'GS &lt; 50 OLS Model'!$B$11*I43</f>
        <v>0</v>
      </c>
      <c r="S43" s="23">
        <f>'GS &lt; 50 OLS Model'!$B$12*J43</f>
        <v>0</v>
      </c>
      <c r="T43" s="23">
        <f t="shared" ca="1" si="5"/>
        <v>7171225.6988751823</v>
      </c>
    </row>
    <row r="44" spans="1:20">
      <c r="A44" s="11">
        <f>'Monthly Data'!A44</f>
        <v>41091</v>
      </c>
      <c r="B44" s="6">
        <f t="shared" si="1"/>
        <v>2012</v>
      </c>
      <c r="C44" s="30">
        <f>'Monthly Data'!I44</f>
        <v>8108140.1990023255</v>
      </c>
      <c r="D44">
        <f t="shared" ca="1" si="4"/>
        <v>5.01</v>
      </c>
      <c r="E44">
        <f t="shared" ca="1" si="4"/>
        <v>96.909999999999982</v>
      </c>
      <c r="F44" s="30">
        <f>'Monthly Data'!AC44</f>
        <v>3197</v>
      </c>
      <c r="G44" s="30">
        <f>'Monthly Data'!AG44</f>
        <v>0</v>
      </c>
      <c r="H44" s="30">
        <f>'Monthly Data'!AM44</f>
        <v>0</v>
      </c>
      <c r="I44" s="30">
        <f>'Monthly Data'!AN44</f>
        <v>0</v>
      </c>
      <c r="J44" s="30">
        <f>'Monthly Data'!AO44</f>
        <v>0</v>
      </c>
      <c r="L44" s="23">
        <f>'GS &lt; 50 OLS Model'!$B$5</f>
        <v>-6867500.9582801796</v>
      </c>
      <c r="M44" s="23">
        <f ca="1">'GS &lt; 50 OLS Model'!$B$6*D44</f>
        <v>16152.357435020387</v>
      </c>
      <c r="N44" s="23">
        <f ca="1">'GS &lt; 50 OLS Model'!$B$7*E44</f>
        <v>1470278.0820278767</v>
      </c>
      <c r="O44" s="23">
        <f>'GS &lt; 50 OLS Model'!$B$8*F44</f>
        <v>13214593.712746141</v>
      </c>
      <c r="P44" s="23">
        <f>'GS &lt; 50 OLS Model'!$B$9*G44</f>
        <v>0</v>
      </c>
      <c r="Q44" s="23">
        <f>'GS &lt; 50 OLS Model'!$B$10*H44</f>
        <v>0</v>
      </c>
      <c r="R44" s="23">
        <f>'GS &lt; 50 OLS Model'!$B$11*I44</f>
        <v>0</v>
      </c>
      <c r="S44" s="23">
        <f>'GS &lt; 50 OLS Model'!$B$12*J44</f>
        <v>0</v>
      </c>
      <c r="T44" s="23">
        <f t="shared" ca="1" si="5"/>
        <v>7833523.1939288592</v>
      </c>
    </row>
    <row r="45" spans="1:20">
      <c r="A45" s="11">
        <f>'Monthly Data'!A45</f>
        <v>41122</v>
      </c>
      <c r="B45" s="6">
        <f t="shared" si="1"/>
        <v>2012</v>
      </c>
      <c r="C45" s="30">
        <f>'Monthly Data'!I45</f>
        <v>7894188.0266113393</v>
      </c>
      <c r="D45">
        <f t="shared" ca="1" si="4"/>
        <v>12.719999999999999</v>
      </c>
      <c r="E45">
        <f t="shared" ca="1" si="4"/>
        <v>77.22999999999999</v>
      </c>
      <c r="F45" s="30">
        <f>'Monthly Data'!AC45</f>
        <v>3194</v>
      </c>
      <c r="G45" s="30">
        <f>'Monthly Data'!AG45</f>
        <v>0</v>
      </c>
      <c r="H45" s="30">
        <f>'Monthly Data'!AM45</f>
        <v>0</v>
      </c>
      <c r="I45" s="30">
        <f>'Monthly Data'!AN45</f>
        <v>0</v>
      </c>
      <c r="J45" s="30">
        <f>'Monthly Data'!AO45</f>
        <v>0</v>
      </c>
      <c r="L45" s="23">
        <f>'GS &lt; 50 OLS Model'!$B$5</f>
        <v>-6867500.9582801796</v>
      </c>
      <c r="M45" s="23">
        <f ca="1">'GS &lt; 50 OLS Model'!$B$6*D45</f>
        <v>41009.578158375116</v>
      </c>
      <c r="N45" s="23">
        <f ca="1">'GS &lt; 50 OLS Model'!$B$7*E45</f>
        <v>1171701.3339697958</v>
      </c>
      <c r="O45" s="23">
        <f>'GS &lt; 50 OLS Model'!$B$8*F45</f>
        <v>13202193.405852729</v>
      </c>
      <c r="P45" s="23">
        <f>'GS &lt; 50 OLS Model'!$B$9*G45</f>
        <v>0</v>
      </c>
      <c r="Q45" s="23">
        <f>'GS &lt; 50 OLS Model'!$B$10*H45</f>
        <v>0</v>
      </c>
      <c r="R45" s="23">
        <f>'GS &lt; 50 OLS Model'!$B$11*I45</f>
        <v>0</v>
      </c>
      <c r="S45" s="23">
        <f>'GS &lt; 50 OLS Model'!$B$12*J45</f>
        <v>0</v>
      </c>
      <c r="T45" s="23">
        <f t="shared" ca="1" si="5"/>
        <v>7547403.3597007208</v>
      </c>
    </row>
    <row r="46" spans="1:20">
      <c r="A46" s="11">
        <f>'Monthly Data'!A46</f>
        <v>41153</v>
      </c>
      <c r="B46" s="6">
        <f t="shared" si="1"/>
        <v>2012</v>
      </c>
      <c r="C46" s="30">
        <f>'Monthly Data'!I46</f>
        <v>7032231.0455203541</v>
      </c>
      <c r="D46">
        <f t="shared" ca="1" si="4"/>
        <v>86.570000000000007</v>
      </c>
      <c r="E46">
        <f t="shared" ca="1" si="4"/>
        <v>19.899999999999999</v>
      </c>
      <c r="F46" s="30">
        <f>'Monthly Data'!AC46</f>
        <v>3166</v>
      </c>
      <c r="G46" s="30">
        <f>'Monthly Data'!AG46</f>
        <v>0</v>
      </c>
      <c r="H46" s="30">
        <f>'Monthly Data'!AM46</f>
        <v>1</v>
      </c>
      <c r="I46" s="30">
        <f>'Monthly Data'!AN46</f>
        <v>0</v>
      </c>
      <c r="J46" s="30">
        <f>'Monthly Data'!AO46</f>
        <v>0</v>
      </c>
      <c r="L46" s="23">
        <f>'GS &lt; 50 OLS Model'!$B$5</f>
        <v>-6867500.9582801796</v>
      </c>
      <c r="M46" s="23">
        <f ca="1">'GS &lt; 50 OLS Model'!$B$6*D46</f>
        <v>279103.70921151998</v>
      </c>
      <c r="N46" s="23">
        <f ca="1">'GS &lt; 50 OLS Model'!$B$7*E46</f>
        <v>301914.49625791714</v>
      </c>
      <c r="O46" s="23">
        <f>'GS &lt; 50 OLS Model'!$B$8*F46</f>
        <v>13086457.208180882</v>
      </c>
      <c r="P46" s="23">
        <f>'GS &lt; 50 OLS Model'!$B$9*G46</f>
        <v>0</v>
      </c>
      <c r="Q46" s="23">
        <f>'GS &lt; 50 OLS Model'!$B$10*H46</f>
        <v>-165959.07761345801</v>
      </c>
      <c r="R46" s="23">
        <f>'GS &lt; 50 OLS Model'!$B$11*I46</f>
        <v>0</v>
      </c>
      <c r="S46" s="23">
        <f>'GS &lt; 50 OLS Model'!$B$12*J46</f>
        <v>0</v>
      </c>
      <c r="T46" s="23">
        <f t="shared" ca="1" si="5"/>
        <v>6799974.4553701393</v>
      </c>
    </row>
    <row r="47" spans="1:20">
      <c r="A47" s="11">
        <f>'Monthly Data'!A47</f>
        <v>41183</v>
      </c>
      <c r="B47" s="6">
        <f t="shared" si="1"/>
        <v>2012</v>
      </c>
      <c r="C47" s="30">
        <f>'Monthly Data'!I47</f>
        <v>6851983.3074293695</v>
      </c>
      <c r="D47">
        <f t="shared" ref="D47:E62" ca="1" si="6">D35</f>
        <v>270.3</v>
      </c>
      <c r="E47">
        <f t="shared" ca="1" si="6"/>
        <v>1.21</v>
      </c>
      <c r="F47" s="30">
        <f>'Monthly Data'!AC47</f>
        <v>3163</v>
      </c>
      <c r="G47" s="30">
        <f>'Monthly Data'!AG47</f>
        <v>0</v>
      </c>
      <c r="H47" s="30">
        <f>'Monthly Data'!AM47</f>
        <v>1</v>
      </c>
      <c r="I47" s="30">
        <f>'Monthly Data'!AN47</f>
        <v>0</v>
      </c>
      <c r="J47" s="30">
        <f>'Monthly Data'!AO47</f>
        <v>0</v>
      </c>
      <c r="L47" s="23">
        <f>'GS &lt; 50 OLS Model'!$B$5</f>
        <v>-6867500.9582801796</v>
      </c>
      <c r="M47" s="23">
        <f ca="1">'GS &lt; 50 OLS Model'!$B$6*D47</f>
        <v>871453.53586547123</v>
      </c>
      <c r="N47" s="23">
        <f ca="1">'GS &lt; 50 OLS Model'!$B$7*E47</f>
        <v>18357.615099099487</v>
      </c>
      <c r="O47" s="23">
        <f>'GS &lt; 50 OLS Model'!$B$8*F47</f>
        <v>13074056.90128747</v>
      </c>
      <c r="P47" s="23">
        <f>'GS &lt; 50 OLS Model'!$B$9*G47</f>
        <v>0</v>
      </c>
      <c r="Q47" s="23">
        <f>'GS &lt; 50 OLS Model'!$B$10*H47</f>
        <v>-165959.07761345801</v>
      </c>
      <c r="R47" s="23">
        <f>'GS &lt; 50 OLS Model'!$B$11*I47</f>
        <v>0</v>
      </c>
      <c r="S47" s="23">
        <f>'GS &lt; 50 OLS Model'!$B$12*J47</f>
        <v>0</v>
      </c>
      <c r="T47" s="23">
        <f t="shared" ca="1" si="5"/>
        <v>7096367.0939718606</v>
      </c>
    </row>
    <row r="48" spans="1:20">
      <c r="A48" s="11">
        <f>'Monthly Data'!A48</f>
        <v>41214</v>
      </c>
      <c r="B48" s="6">
        <f t="shared" si="1"/>
        <v>2012</v>
      </c>
      <c r="C48" s="30">
        <f>'Monthly Data'!I48</f>
        <v>7479887.5906383833</v>
      </c>
      <c r="D48">
        <f t="shared" ca="1" si="6"/>
        <v>444.05</v>
      </c>
      <c r="E48">
        <f t="shared" ca="1" si="6"/>
        <v>0</v>
      </c>
      <c r="F48" s="30">
        <f>'Monthly Data'!AC48</f>
        <v>3177</v>
      </c>
      <c r="G48" s="30">
        <f>'Monthly Data'!AG48</f>
        <v>0</v>
      </c>
      <c r="H48" s="30">
        <f>'Monthly Data'!AM48</f>
        <v>1</v>
      </c>
      <c r="I48" s="30">
        <f>'Monthly Data'!AN48</f>
        <v>0</v>
      </c>
      <c r="J48" s="30">
        <f>'Monthly Data'!AO48</f>
        <v>0</v>
      </c>
      <c r="L48" s="23">
        <f>'GS &lt; 50 OLS Model'!$B$5</f>
        <v>-6867500.9582801796</v>
      </c>
      <c r="M48" s="23">
        <f ca="1">'GS &lt; 50 OLS Model'!$B$6*D48</f>
        <v>1431627.6085869868</v>
      </c>
      <c r="N48" s="23">
        <f ca="1">'GS &lt; 50 OLS Model'!$B$7*E48</f>
        <v>0</v>
      </c>
      <c r="O48" s="23">
        <f>'GS &lt; 50 OLS Model'!$B$8*F48</f>
        <v>13131925.000123395</v>
      </c>
      <c r="P48" s="23">
        <f>'GS &lt; 50 OLS Model'!$B$9*G48</f>
        <v>0</v>
      </c>
      <c r="Q48" s="23">
        <f>'GS &lt; 50 OLS Model'!$B$10*H48</f>
        <v>-165959.07761345801</v>
      </c>
      <c r="R48" s="23">
        <f>'GS &lt; 50 OLS Model'!$B$11*I48</f>
        <v>0</v>
      </c>
      <c r="S48" s="23">
        <f>'GS &lt; 50 OLS Model'!$B$12*J48</f>
        <v>0</v>
      </c>
      <c r="T48" s="23">
        <f t="shared" ca="1" si="5"/>
        <v>7696051.6504302016</v>
      </c>
    </row>
    <row r="49" spans="1:20">
      <c r="A49" s="11">
        <f>'Monthly Data'!A49</f>
        <v>41244</v>
      </c>
      <c r="B49" s="6">
        <f t="shared" si="1"/>
        <v>2012</v>
      </c>
      <c r="C49" s="30">
        <f>'Monthly Data'!I49</f>
        <v>8137948.6939473981</v>
      </c>
      <c r="D49">
        <f t="shared" ca="1" si="6"/>
        <v>684.01</v>
      </c>
      <c r="E49">
        <f t="shared" ca="1" si="6"/>
        <v>0</v>
      </c>
      <c r="F49" s="30">
        <f>'Monthly Data'!AC49</f>
        <v>3180</v>
      </c>
      <c r="G49" s="30">
        <f>'Monthly Data'!AG49</f>
        <v>0</v>
      </c>
      <c r="H49" s="30">
        <f>'Monthly Data'!AM49</f>
        <v>0</v>
      </c>
      <c r="I49" s="30">
        <f>'Monthly Data'!AN49</f>
        <v>0</v>
      </c>
      <c r="J49" s="30">
        <f>'Monthly Data'!AO49</f>
        <v>0</v>
      </c>
      <c r="L49" s="23">
        <f>'GS &lt; 50 OLS Model'!$B$5</f>
        <v>-6867500.9582801796</v>
      </c>
      <c r="M49" s="23">
        <f ca="1">'GS &lt; 50 OLS Model'!$B$6*D49</f>
        <v>2205264.2732791007</v>
      </c>
      <c r="N49" s="23">
        <f ca="1">'GS &lt; 50 OLS Model'!$B$7*E49</f>
        <v>0</v>
      </c>
      <c r="O49" s="23">
        <f>'GS &lt; 50 OLS Model'!$B$8*F49</f>
        <v>13144325.307016807</v>
      </c>
      <c r="P49" s="23">
        <f>'GS &lt; 50 OLS Model'!$B$9*G49</f>
        <v>0</v>
      </c>
      <c r="Q49" s="23">
        <f>'GS &lt; 50 OLS Model'!$B$10*H49</f>
        <v>0</v>
      </c>
      <c r="R49" s="23">
        <f>'GS &lt; 50 OLS Model'!$B$11*I49</f>
        <v>0</v>
      </c>
      <c r="S49" s="23">
        <f>'GS &lt; 50 OLS Model'!$B$12*J49</f>
        <v>0</v>
      </c>
      <c r="T49" s="23">
        <f t="shared" ca="1" si="5"/>
        <v>8482088.6220157277</v>
      </c>
    </row>
    <row r="50" spans="1:20">
      <c r="A50" s="11">
        <f>'Monthly Data'!A50</f>
        <v>41275</v>
      </c>
      <c r="B50" s="6">
        <f t="shared" si="1"/>
        <v>2013</v>
      </c>
      <c r="C50" s="30">
        <f>'Monthly Data'!I50</f>
        <v>8754489.4838419612</v>
      </c>
      <c r="D50">
        <f t="shared" ca="1" si="6"/>
        <v>784.29</v>
      </c>
      <c r="E50">
        <f t="shared" ca="1" si="6"/>
        <v>0</v>
      </c>
      <c r="F50" s="30">
        <f>'Monthly Data'!AC50</f>
        <v>3175</v>
      </c>
      <c r="G50" s="30">
        <f>'Monthly Data'!AG50</f>
        <v>0</v>
      </c>
      <c r="H50" s="30">
        <f>'Monthly Data'!AM50</f>
        <v>0</v>
      </c>
      <c r="I50" s="30">
        <f>'Monthly Data'!AN50</f>
        <v>0</v>
      </c>
      <c r="J50" s="30">
        <f>'Monthly Data'!AO50</f>
        <v>0</v>
      </c>
      <c r="L50" s="23">
        <f>'GS &lt; 50 OLS Model'!$B$5</f>
        <v>-6867500.9582801796</v>
      </c>
      <c r="M50" s="23">
        <f ca="1">'GS &lt; 50 OLS Model'!$B$6*D50</f>
        <v>2528569.3438547184</v>
      </c>
      <c r="N50" s="23">
        <f ca="1">'GS &lt; 50 OLS Model'!$B$7*E50</f>
        <v>0</v>
      </c>
      <c r="O50" s="23">
        <f>'GS &lt; 50 OLS Model'!$B$8*F50</f>
        <v>13123658.12886112</v>
      </c>
      <c r="P50" s="23">
        <f>'GS &lt; 50 OLS Model'!$B$9*G50</f>
        <v>0</v>
      </c>
      <c r="Q50" s="23">
        <f>'GS &lt; 50 OLS Model'!$B$10*H50</f>
        <v>0</v>
      </c>
      <c r="R50" s="23">
        <f>'GS &lt; 50 OLS Model'!$B$11*I50</f>
        <v>0</v>
      </c>
      <c r="S50" s="23">
        <f>'GS &lt; 50 OLS Model'!$B$12*J50</f>
        <v>0</v>
      </c>
      <c r="T50" s="23">
        <f t="shared" ca="1" si="5"/>
        <v>8784726.5144356582</v>
      </c>
    </row>
    <row r="51" spans="1:20">
      <c r="A51" s="11">
        <f>'Monthly Data'!A51</f>
        <v>41306</v>
      </c>
      <c r="B51" s="6">
        <f t="shared" si="1"/>
        <v>2013</v>
      </c>
      <c r="C51" s="30">
        <f>'Monthly Data'!I51</f>
        <v>7995622.6666620364</v>
      </c>
      <c r="D51">
        <f t="shared" ca="1" si="6"/>
        <v>682.50999999999988</v>
      </c>
      <c r="E51">
        <f t="shared" ca="1" si="6"/>
        <v>0</v>
      </c>
      <c r="F51" s="30">
        <f>'Monthly Data'!AC51</f>
        <v>3183</v>
      </c>
      <c r="G51" s="30">
        <f>'Monthly Data'!AG51</f>
        <v>0</v>
      </c>
      <c r="H51" s="30">
        <f>'Monthly Data'!AM51</f>
        <v>0</v>
      </c>
      <c r="I51" s="30">
        <f>'Monthly Data'!AN51</f>
        <v>1</v>
      </c>
      <c r="J51" s="30">
        <f>'Monthly Data'!AO51</f>
        <v>0</v>
      </c>
      <c r="L51" s="23">
        <f>'GS &lt; 50 OLS Model'!$B$5</f>
        <v>-6867500.9582801796</v>
      </c>
      <c r="M51" s="23">
        <f ca="1">'GS &lt; 50 OLS Model'!$B$6*D51</f>
        <v>2200428.2381189149</v>
      </c>
      <c r="N51" s="23">
        <f ca="1">'GS &lt; 50 OLS Model'!$B$7*E51</f>
        <v>0</v>
      </c>
      <c r="O51" s="23">
        <f>'GS &lt; 50 OLS Model'!$B$8*F51</f>
        <v>13156725.613910219</v>
      </c>
      <c r="P51" s="23">
        <f>'GS &lt; 50 OLS Model'!$B$9*G51</f>
        <v>0</v>
      </c>
      <c r="Q51" s="23">
        <f>'GS &lt; 50 OLS Model'!$B$10*H51</f>
        <v>0</v>
      </c>
      <c r="R51" s="23">
        <f>'GS &lt; 50 OLS Model'!$B$11*I51</f>
        <v>-326910.06421591499</v>
      </c>
      <c r="S51" s="23">
        <f>'GS &lt; 50 OLS Model'!$B$12*J51</f>
        <v>0</v>
      </c>
      <c r="T51" s="23">
        <f t="shared" ca="1" si="5"/>
        <v>8489652.8937489539</v>
      </c>
    </row>
    <row r="52" spans="1:20">
      <c r="A52" s="11">
        <f>'Monthly Data'!A52</f>
        <v>41334</v>
      </c>
      <c r="B52" s="6">
        <f t="shared" si="1"/>
        <v>2013</v>
      </c>
      <c r="C52" s="30">
        <f>'Monthly Data'!I52</f>
        <v>8084522.8748821123</v>
      </c>
      <c r="D52">
        <f t="shared" ca="1" si="6"/>
        <v>556.99</v>
      </c>
      <c r="E52">
        <f t="shared" ca="1" si="6"/>
        <v>0</v>
      </c>
      <c r="F52" s="30">
        <f>'Monthly Data'!AC52</f>
        <v>3179</v>
      </c>
      <c r="G52" s="30">
        <f>'Monthly Data'!AG52</f>
        <v>0</v>
      </c>
      <c r="H52" s="30">
        <f>'Monthly Data'!AM52</f>
        <v>0</v>
      </c>
      <c r="I52" s="30">
        <f>'Monthly Data'!AN52</f>
        <v>0</v>
      </c>
      <c r="J52" s="30">
        <f>'Monthly Data'!AO52</f>
        <v>0</v>
      </c>
      <c r="L52" s="23">
        <f>'GS &lt; 50 OLS Model'!$B$5</f>
        <v>-6867500.9582801796</v>
      </c>
      <c r="M52" s="23">
        <f ca="1">'GS &lt; 50 OLS Model'!$B$6*D52</f>
        <v>1795748.815914572</v>
      </c>
      <c r="N52" s="23">
        <f ca="1">'GS &lt; 50 OLS Model'!$B$7*E52</f>
        <v>0</v>
      </c>
      <c r="O52" s="23">
        <f>'GS &lt; 50 OLS Model'!$B$8*F52</f>
        <v>13140191.871385669</v>
      </c>
      <c r="P52" s="23">
        <f>'GS &lt; 50 OLS Model'!$B$9*G52</f>
        <v>0</v>
      </c>
      <c r="Q52" s="23">
        <f>'GS &lt; 50 OLS Model'!$B$10*H52</f>
        <v>0</v>
      </c>
      <c r="R52" s="23">
        <f>'GS &lt; 50 OLS Model'!$B$11*I52</f>
        <v>0</v>
      </c>
      <c r="S52" s="23">
        <f>'GS &lt; 50 OLS Model'!$B$12*J52</f>
        <v>0</v>
      </c>
      <c r="T52" s="23">
        <f t="shared" ca="1" si="5"/>
        <v>8068439.7290200619</v>
      </c>
    </row>
    <row r="53" spans="1:20">
      <c r="A53" s="11">
        <f>'Monthly Data'!A53</f>
        <v>41365</v>
      </c>
      <c r="B53" s="6">
        <f t="shared" si="1"/>
        <v>2013</v>
      </c>
      <c r="C53" s="30">
        <f>'Monthly Data'!I53</f>
        <v>7130007.7383021899</v>
      </c>
      <c r="D53">
        <f t="shared" ca="1" si="6"/>
        <v>326.58999999999997</v>
      </c>
      <c r="E53">
        <f t="shared" ca="1" si="6"/>
        <v>0.39</v>
      </c>
      <c r="F53" s="30">
        <f>'Monthly Data'!AC53</f>
        <v>3182</v>
      </c>
      <c r="G53" s="30">
        <f>'Monthly Data'!AG53</f>
        <v>0</v>
      </c>
      <c r="H53" s="30">
        <f>'Monthly Data'!AM53</f>
        <v>0</v>
      </c>
      <c r="I53" s="30">
        <f>'Monthly Data'!AN53</f>
        <v>0</v>
      </c>
      <c r="J53" s="30">
        <f>'Monthly Data'!AO53</f>
        <v>1</v>
      </c>
      <c r="L53" s="23">
        <f>'GS &lt; 50 OLS Model'!$B$5</f>
        <v>-6867500.9582801796</v>
      </c>
      <c r="M53" s="23">
        <f ca="1">'GS &lt; 50 OLS Model'!$B$6*D53</f>
        <v>1052933.8153100414</v>
      </c>
      <c r="N53" s="23">
        <f ca="1">'GS &lt; 50 OLS Model'!$B$7*E53</f>
        <v>5916.9172633461158</v>
      </c>
      <c r="O53" s="23">
        <f>'GS &lt; 50 OLS Model'!$B$8*F53</f>
        <v>13152592.178279081</v>
      </c>
      <c r="P53" s="23">
        <f>'GS &lt; 50 OLS Model'!$B$9*G53</f>
        <v>0</v>
      </c>
      <c r="Q53" s="23">
        <f>'GS &lt; 50 OLS Model'!$B$10*H53</f>
        <v>0</v>
      </c>
      <c r="R53" s="23">
        <f>'GS &lt; 50 OLS Model'!$B$11*I53</f>
        <v>0</v>
      </c>
      <c r="S53" s="23">
        <f>'GS &lt; 50 OLS Model'!$B$12*J53</f>
        <v>-430621.67531502497</v>
      </c>
      <c r="T53" s="23">
        <f t="shared" ca="1" si="5"/>
        <v>7343941.9525722889</v>
      </c>
    </row>
    <row r="54" spans="1:20">
      <c r="A54" s="11">
        <f>'Monthly Data'!A54</f>
        <v>41395</v>
      </c>
      <c r="B54" s="6">
        <f t="shared" si="1"/>
        <v>2013</v>
      </c>
      <c r="C54" s="30">
        <f>'Monthly Data'!I54</f>
        <v>6622024.3470222652</v>
      </c>
      <c r="D54">
        <f t="shared" ca="1" si="6"/>
        <v>144.96</v>
      </c>
      <c r="E54">
        <f t="shared" ca="1" si="6"/>
        <v>8.67</v>
      </c>
      <c r="F54" s="30">
        <f>'Monthly Data'!AC54</f>
        <v>3169</v>
      </c>
      <c r="G54" s="30">
        <f>'Monthly Data'!AG54</f>
        <v>0</v>
      </c>
      <c r="H54" s="30">
        <f>'Monthly Data'!AM54</f>
        <v>0</v>
      </c>
      <c r="I54" s="30">
        <f>'Monthly Data'!AN54</f>
        <v>0</v>
      </c>
      <c r="J54" s="30">
        <f>'Monthly Data'!AO54</f>
        <v>0</v>
      </c>
      <c r="L54" s="23">
        <f>'GS &lt; 50 OLS Model'!$B$5</f>
        <v>-6867500.9582801796</v>
      </c>
      <c r="M54" s="23">
        <f ca="1">'GS &lt; 50 OLS Model'!$B$6*D54</f>
        <v>467354.43788035039</v>
      </c>
      <c r="N54" s="23">
        <f ca="1">'GS &lt; 50 OLS Model'!$B$7*E54</f>
        <v>131537.62223900211</v>
      </c>
      <c r="O54" s="23">
        <f>'GS &lt; 50 OLS Model'!$B$8*F54</f>
        <v>13098857.515074294</v>
      </c>
      <c r="P54" s="23">
        <f>'GS &lt; 50 OLS Model'!$B$9*G54</f>
        <v>0</v>
      </c>
      <c r="Q54" s="23">
        <f>'GS &lt; 50 OLS Model'!$B$10*H54</f>
        <v>0</v>
      </c>
      <c r="R54" s="23">
        <f>'GS &lt; 50 OLS Model'!$B$11*I54</f>
        <v>0</v>
      </c>
      <c r="S54" s="23">
        <f>'GS &lt; 50 OLS Model'!$B$12*J54</f>
        <v>0</v>
      </c>
      <c r="T54" s="23">
        <f t="shared" ca="1" si="5"/>
        <v>6830248.6169134667</v>
      </c>
    </row>
    <row r="55" spans="1:20">
      <c r="A55" s="11">
        <f>'Monthly Data'!A55</f>
        <v>41426</v>
      </c>
      <c r="B55" s="6">
        <f t="shared" si="1"/>
        <v>2013</v>
      </c>
      <c r="C55" s="30">
        <f>'Monthly Data'!I55</f>
        <v>6767791.7244423442</v>
      </c>
      <c r="D55">
        <f t="shared" ca="1" si="6"/>
        <v>41.510000000000005</v>
      </c>
      <c r="E55">
        <f t="shared" ca="1" si="6"/>
        <v>44.41</v>
      </c>
      <c r="F55" s="30">
        <f>'Monthly Data'!AC55</f>
        <v>3174</v>
      </c>
      <c r="G55" s="30">
        <f>'Monthly Data'!AG55</f>
        <v>0</v>
      </c>
      <c r="H55" s="30">
        <f>'Monthly Data'!AM55</f>
        <v>0</v>
      </c>
      <c r="I55" s="30">
        <f>'Monthly Data'!AN55</f>
        <v>0</v>
      </c>
      <c r="J55" s="30">
        <f>'Monthly Data'!AO55</f>
        <v>0</v>
      </c>
      <c r="L55" s="23">
        <f>'GS &lt; 50 OLS Model'!$B$5</f>
        <v>-6867500.9582801796</v>
      </c>
      <c r="M55" s="23">
        <f ca="1">'GS &lt; 50 OLS Model'!$B$6*D55</f>
        <v>133829.21299954021</v>
      </c>
      <c r="N55" s="23">
        <f ca="1">'GS &lt; 50 OLS Model'!$B$7*E55</f>
        <v>673769.98888513062</v>
      </c>
      <c r="O55" s="23">
        <f>'GS &lt; 50 OLS Model'!$B$8*F55</f>
        <v>13119524.693229983</v>
      </c>
      <c r="P55" s="23">
        <f>'GS &lt; 50 OLS Model'!$B$9*G55</f>
        <v>0</v>
      </c>
      <c r="Q55" s="23">
        <f>'GS &lt; 50 OLS Model'!$B$10*H55</f>
        <v>0</v>
      </c>
      <c r="R55" s="23">
        <f>'GS &lt; 50 OLS Model'!$B$11*I55</f>
        <v>0</v>
      </c>
      <c r="S55" s="23">
        <f>'GS &lt; 50 OLS Model'!$B$12*J55</f>
        <v>0</v>
      </c>
      <c r="T55" s="23">
        <f t="shared" ca="1" si="5"/>
        <v>7059622.9368344741</v>
      </c>
    </row>
    <row r="56" spans="1:20">
      <c r="A56" s="11">
        <f>'Monthly Data'!A56</f>
        <v>41456</v>
      </c>
      <c r="B56" s="6">
        <f t="shared" si="1"/>
        <v>2013</v>
      </c>
      <c r="C56" s="30">
        <f>'Monthly Data'!I56</f>
        <v>7689403.0530624194</v>
      </c>
      <c r="D56">
        <f t="shared" ca="1" si="6"/>
        <v>5.01</v>
      </c>
      <c r="E56">
        <f t="shared" ca="1" si="6"/>
        <v>96.909999999999982</v>
      </c>
      <c r="F56" s="30">
        <f>'Monthly Data'!AC56</f>
        <v>3174</v>
      </c>
      <c r="G56" s="30">
        <f>'Monthly Data'!AG56</f>
        <v>0</v>
      </c>
      <c r="H56" s="30">
        <f>'Monthly Data'!AM56</f>
        <v>0</v>
      </c>
      <c r="I56" s="30">
        <f>'Monthly Data'!AN56</f>
        <v>0</v>
      </c>
      <c r="J56" s="30">
        <f>'Monthly Data'!AO56</f>
        <v>0</v>
      </c>
      <c r="L56" s="23">
        <f>'GS &lt; 50 OLS Model'!$B$5</f>
        <v>-6867500.9582801796</v>
      </c>
      <c r="M56" s="23">
        <f ca="1">'GS &lt; 50 OLS Model'!$B$6*D56</f>
        <v>16152.357435020387</v>
      </c>
      <c r="N56" s="23">
        <f ca="1">'GS &lt; 50 OLS Model'!$B$7*E56</f>
        <v>1470278.0820278767</v>
      </c>
      <c r="O56" s="23">
        <f>'GS &lt; 50 OLS Model'!$B$8*F56</f>
        <v>13119524.693229983</v>
      </c>
      <c r="P56" s="23">
        <f>'GS &lt; 50 OLS Model'!$B$9*G56</f>
        <v>0</v>
      </c>
      <c r="Q56" s="23">
        <f>'GS &lt; 50 OLS Model'!$B$10*H56</f>
        <v>0</v>
      </c>
      <c r="R56" s="23">
        <f>'GS &lt; 50 OLS Model'!$B$11*I56</f>
        <v>0</v>
      </c>
      <c r="S56" s="23">
        <f>'GS &lt; 50 OLS Model'!$B$12*J56</f>
        <v>0</v>
      </c>
      <c r="T56" s="23">
        <f t="shared" ca="1" si="5"/>
        <v>7738454.1744127003</v>
      </c>
    </row>
    <row r="57" spans="1:20">
      <c r="A57" s="11">
        <f>'Monthly Data'!A57</f>
        <v>41487</v>
      </c>
      <c r="B57" s="6">
        <f t="shared" si="1"/>
        <v>2013</v>
      </c>
      <c r="C57" s="30">
        <f>'Monthly Data'!I57</f>
        <v>7361716.6433824971</v>
      </c>
      <c r="D57">
        <f t="shared" ca="1" si="6"/>
        <v>12.719999999999999</v>
      </c>
      <c r="E57">
        <f t="shared" ca="1" si="6"/>
        <v>77.22999999999999</v>
      </c>
      <c r="F57" s="30">
        <f>'Monthly Data'!AC57</f>
        <v>3170</v>
      </c>
      <c r="G57" s="30">
        <f>'Monthly Data'!AG57</f>
        <v>0</v>
      </c>
      <c r="H57" s="30">
        <f>'Monthly Data'!AM57</f>
        <v>0</v>
      </c>
      <c r="I57" s="30">
        <f>'Monthly Data'!AN57</f>
        <v>0</v>
      </c>
      <c r="J57" s="30">
        <f>'Monthly Data'!AO57</f>
        <v>0</v>
      </c>
      <c r="L57" s="23">
        <f>'GS &lt; 50 OLS Model'!$B$5</f>
        <v>-6867500.9582801796</v>
      </c>
      <c r="M57" s="23">
        <f ca="1">'GS &lt; 50 OLS Model'!$B$6*D57</f>
        <v>41009.578158375116</v>
      </c>
      <c r="N57" s="23">
        <f ca="1">'GS &lt; 50 OLS Model'!$B$7*E57</f>
        <v>1171701.3339697958</v>
      </c>
      <c r="O57" s="23">
        <f>'GS &lt; 50 OLS Model'!$B$8*F57</f>
        <v>13102990.950705433</v>
      </c>
      <c r="P57" s="23">
        <f>'GS &lt; 50 OLS Model'!$B$9*G57</f>
        <v>0</v>
      </c>
      <c r="Q57" s="23">
        <f>'GS &lt; 50 OLS Model'!$B$10*H57</f>
        <v>0</v>
      </c>
      <c r="R57" s="23">
        <f>'GS &lt; 50 OLS Model'!$B$11*I57</f>
        <v>0</v>
      </c>
      <c r="S57" s="23">
        <f>'GS &lt; 50 OLS Model'!$B$12*J57</f>
        <v>0</v>
      </c>
      <c r="T57" s="23">
        <f t="shared" ca="1" si="5"/>
        <v>7448200.9045534246</v>
      </c>
    </row>
    <row r="58" spans="1:20">
      <c r="A58" s="11">
        <f>'Monthly Data'!A58</f>
        <v>41518</v>
      </c>
      <c r="B58" s="6">
        <f t="shared" si="1"/>
        <v>2013</v>
      </c>
      <c r="C58" s="30">
        <f>'Monthly Data'!I58</f>
        <v>6711883.2291025724</v>
      </c>
      <c r="D58">
        <f t="shared" ca="1" si="6"/>
        <v>86.570000000000007</v>
      </c>
      <c r="E58">
        <f t="shared" ca="1" si="6"/>
        <v>19.899999999999999</v>
      </c>
      <c r="F58" s="30">
        <f>'Monthly Data'!AC58</f>
        <v>3166</v>
      </c>
      <c r="G58" s="30">
        <f>'Monthly Data'!AG58</f>
        <v>0</v>
      </c>
      <c r="H58" s="30">
        <f>'Monthly Data'!AM58</f>
        <v>1</v>
      </c>
      <c r="I58" s="30">
        <f>'Monthly Data'!AN58</f>
        <v>0</v>
      </c>
      <c r="J58" s="30">
        <f>'Monthly Data'!AO58</f>
        <v>0</v>
      </c>
      <c r="L58" s="23">
        <f>'GS &lt; 50 OLS Model'!$B$5</f>
        <v>-6867500.9582801796</v>
      </c>
      <c r="M58" s="23">
        <f ca="1">'GS &lt; 50 OLS Model'!$B$6*D58</f>
        <v>279103.70921151998</v>
      </c>
      <c r="N58" s="23">
        <f ca="1">'GS &lt; 50 OLS Model'!$B$7*E58</f>
        <v>301914.49625791714</v>
      </c>
      <c r="O58" s="23">
        <f>'GS &lt; 50 OLS Model'!$B$8*F58</f>
        <v>13086457.208180882</v>
      </c>
      <c r="P58" s="23">
        <f>'GS &lt; 50 OLS Model'!$B$9*G58</f>
        <v>0</v>
      </c>
      <c r="Q58" s="23">
        <f>'GS &lt; 50 OLS Model'!$B$10*H58</f>
        <v>-165959.07761345801</v>
      </c>
      <c r="R58" s="23">
        <f>'GS &lt; 50 OLS Model'!$B$11*I58</f>
        <v>0</v>
      </c>
      <c r="S58" s="23">
        <f>'GS &lt; 50 OLS Model'!$B$12*J58</f>
        <v>0</v>
      </c>
      <c r="T58" s="23">
        <f t="shared" ca="1" si="5"/>
        <v>6799974.4553701393</v>
      </c>
    </row>
    <row r="59" spans="1:20">
      <c r="A59" s="11">
        <f>'Monthly Data'!A59</f>
        <v>41548</v>
      </c>
      <c r="B59" s="6">
        <f t="shared" si="1"/>
        <v>2013</v>
      </c>
      <c r="C59" s="30">
        <f>'Monthly Data'!I59</f>
        <v>6707667.7124226503</v>
      </c>
      <c r="D59">
        <f t="shared" ca="1" si="6"/>
        <v>270.3</v>
      </c>
      <c r="E59">
        <f t="shared" ca="1" si="6"/>
        <v>1.21</v>
      </c>
      <c r="F59" s="30">
        <f>'Monthly Data'!AC59</f>
        <v>3142</v>
      </c>
      <c r="G59" s="30">
        <f>'Monthly Data'!AG59</f>
        <v>0</v>
      </c>
      <c r="H59" s="30">
        <f>'Monthly Data'!AM59</f>
        <v>1</v>
      </c>
      <c r="I59" s="30">
        <f>'Monthly Data'!AN59</f>
        <v>0</v>
      </c>
      <c r="J59" s="30">
        <f>'Monthly Data'!AO59</f>
        <v>0</v>
      </c>
      <c r="L59" s="23">
        <f>'GS &lt; 50 OLS Model'!$B$5</f>
        <v>-6867500.9582801796</v>
      </c>
      <c r="M59" s="23">
        <f ca="1">'GS &lt; 50 OLS Model'!$B$6*D59</f>
        <v>871453.53586547123</v>
      </c>
      <c r="N59" s="23">
        <f ca="1">'GS &lt; 50 OLS Model'!$B$7*E59</f>
        <v>18357.615099099487</v>
      </c>
      <c r="O59" s="23">
        <f>'GS &lt; 50 OLS Model'!$B$8*F59</f>
        <v>12987254.753033586</v>
      </c>
      <c r="P59" s="23">
        <f>'GS &lt; 50 OLS Model'!$B$9*G59</f>
        <v>0</v>
      </c>
      <c r="Q59" s="23">
        <f>'GS &lt; 50 OLS Model'!$B$10*H59</f>
        <v>-165959.07761345801</v>
      </c>
      <c r="R59" s="23">
        <f>'GS &lt; 50 OLS Model'!$B$11*I59</f>
        <v>0</v>
      </c>
      <c r="S59" s="23">
        <f>'GS &lt; 50 OLS Model'!$B$12*J59</f>
        <v>0</v>
      </c>
      <c r="T59" s="23">
        <f t="shared" ca="1" si="5"/>
        <v>7009564.9457179764</v>
      </c>
    </row>
    <row r="60" spans="1:20">
      <c r="A60" s="11">
        <f>'Monthly Data'!A60</f>
        <v>41579</v>
      </c>
      <c r="B60" s="6">
        <f t="shared" si="1"/>
        <v>2013</v>
      </c>
      <c r="C60" s="30">
        <f>'Monthly Data'!I60</f>
        <v>7486656.2001427263</v>
      </c>
      <c r="D60">
        <f t="shared" ca="1" si="6"/>
        <v>444.05</v>
      </c>
      <c r="E60">
        <f t="shared" ca="1" si="6"/>
        <v>0</v>
      </c>
      <c r="F60" s="30">
        <f>'Monthly Data'!AC60</f>
        <v>3104</v>
      </c>
      <c r="G60" s="30">
        <f>'Monthly Data'!AG60</f>
        <v>0</v>
      </c>
      <c r="H60" s="30">
        <f>'Monthly Data'!AM60</f>
        <v>1</v>
      </c>
      <c r="I60" s="30">
        <f>'Monthly Data'!AN60</f>
        <v>0</v>
      </c>
      <c r="J60" s="30">
        <f>'Monthly Data'!AO60</f>
        <v>0</v>
      </c>
      <c r="L60" s="23">
        <f>'GS &lt; 50 OLS Model'!$B$5</f>
        <v>-6867500.9582801796</v>
      </c>
      <c r="M60" s="23">
        <f ca="1">'GS &lt; 50 OLS Model'!$B$6*D60</f>
        <v>1431627.6085869868</v>
      </c>
      <c r="N60" s="23">
        <f ca="1">'GS &lt; 50 OLS Model'!$B$7*E60</f>
        <v>0</v>
      </c>
      <c r="O60" s="23">
        <f>'GS &lt; 50 OLS Model'!$B$8*F60</f>
        <v>12830184.199050367</v>
      </c>
      <c r="P60" s="23">
        <f>'GS &lt; 50 OLS Model'!$B$9*G60</f>
        <v>0</v>
      </c>
      <c r="Q60" s="23">
        <f>'GS &lt; 50 OLS Model'!$B$10*H60</f>
        <v>-165959.07761345801</v>
      </c>
      <c r="R60" s="23">
        <f>'GS &lt; 50 OLS Model'!$B$11*I60</f>
        <v>0</v>
      </c>
      <c r="S60" s="23">
        <f>'GS &lt; 50 OLS Model'!$B$12*J60</f>
        <v>0</v>
      </c>
      <c r="T60" s="23">
        <f t="shared" ca="1" si="5"/>
        <v>7394310.8493571738</v>
      </c>
    </row>
    <row r="61" spans="1:20">
      <c r="A61" s="11">
        <f>'Monthly Data'!A61</f>
        <v>41609</v>
      </c>
      <c r="B61" s="6">
        <f t="shared" si="1"/>
        <v>2013</v>
      </c>
      <c r="C61" s="30">
        <f>'Monthly Data'!I61</f>
        <v>8383117.297562805</v>
      </c>
      <c r="D61">
        <f t="shared" ca="1" si="6"/>
        <v>684.01</v>
      </c>
      <c r="E61">
        <f t="shared" ca="1" si="6"/>
        <v>0</v>
      </c>
      <c r="F61" s="30">
        <f>'Monthly Data'!AC61</f>
        <v>3099</v>
      </c>
      <c r="G61" s="30">
        <f>'Monthly Data'!AG61</f>
        <v>0</v>
      </c>
      <c r="H61" s="30">
        <f>'Monthly Data'!AM61</f>
        <v>0</v>
      </c>
      <c r="I61" s="30">
        <f>'Monthly Data'!AN61</f>
        <v>0</v>
      </c>
      <c r="J61" s="30">
        <f>'Monthly Data'!AO61</f>
        <v>0</v>
      </c>
      <c r="L61" s="23">
        <f>'GS &lt; 50 OLS Model'!$B$5</f>
        <v>-6867500.9582801796</v>
      </c>
      <c r="M61" s="23">
        <f ca="1">'GS &lt; 50 OLS Model'!$B$6*D61</f>
        <v>2205264.2732791007</v>
      </c>
      <c r="N61" s="23">
        <f ca="1">'GS &lt; 50 OLS Model'!$B$7*E61</f>
        <v>0</v>
      </c>
      <c r="O61" s="23">
        <f>'GS &lt; 50 OLS Model'!$B$8*F61</f>
        <v>12809517.02089468</v>
      </c>
      <c r="P61" s="23">
        <f>'GS &lt; 50 OLS Model'!$B$9*G61</f>
        <v>0</v>
      </c>
      <c r="Q61" s="23">
        <f>'GS &lt; 50 OLS Model'!$B$10*H61</f>
        <v>0</v>
      </c>
      <c r="R61" s="23">
        <f>'GS &lt; 50 OLS Model'!$B$11*I61</f>
        <v>0</v>
      </c>
      <c r="S61" s="23">
        <f>'GS &lt; 50 OLS Model'!$B$12*J61</f>
        <v>0</v>
      </c>
      <c r="T61" s="23">
        <f t="shared" ca="1" si="5"/>
        <v>8147280.3358936012</v>
      </c>
    </row>
    <row r="62" spans="1:20">
      <c r="A62" s="11">
        <v>41640</v>
      </c>
      <c r="B62" s="6">
        <f t="shared" si="1"/>
        <v>2014</v>
      </c>
      <c r="C62" s="30">
        <f>'Monthly Data'!I62</f>
        <v>10036274.758248432</v>
      </c>
      <c r="D62">
        <f t="shared" ca="1" si="6"/>
        <v>784.29</v>
      </c>
      <c r="E62">
        <f t="shared" ca="1" si="6"/>
        <v>0</v>
      </c>
      <c r="F62" s="30">
        <f>'Monthly Data'!AC62</f>
        <v>3122</v>
      </c>
      <c r="G62" s="30">
        <f>'Monthly Data'!AG62</f>
        <v>1</v>
      </c>
      <c r="H62" s="30">
        <f>'Monthly Data'!AM62</f>
        <v>0</v>
      </c>
      <c r="I62" s="30">
        <f>'Monthly Data'!AN62</f>
        <v>0</v>
      </c>
      <c r="J62" s="30">
        <f>'Monthly Data'!AO62</f>
        <v>0</v>
      </c>
      <c r="L62" s="23">
        <f>'GS &lt; 50 OLS Model'!$B$5</f>
        <v>-6867500.9582801796</v>
      </c>
      <c r="M62" s="23">
        <f ca="1">'GS &lt; 50 OLS Model'!$B$6*D62</f>
        <v>2528569.3438547184</v>
      </c>
      <c r="N62" s="23">
        <f ca="1">'GS &lt; 50 OLS Model'!$B$7*E62</f>
        <v>0</v>
      </c>
      <c r="O62" s="23">
        <f>'GS &lt; 50 OLS Model'!$B$8*F62</f>
        <v>12904586.040410839</v>
      </c>
      <c r="P62" s="23">
        <f>'GS &lt; 50 OLS Model'!$B$9*G62</f>
        <v>912607.54486392904</v>
      </c>
      <c r="Q62" s="23">
        <f>'GS &lt; 50 OLS Model'!$B$10*H62</f>
        <v>0</v>
      </c>
      <c r="R62" s="23">
        <f>'GS &lt; 50 OLS Model'!$B$11*I62</f>
        <v>0</v>
      </c>
      <c r="S62" s="23">
        <f>'GS &lt; 50 OLS Model'!$B$12*J62</f>
        <v>0</v>
      </c>
      <c r="T62" s="23">
        <f t="shared" ca="1" si="5"/>
        <v>9478261.9708493054</v>
      </c>
    </row>
    <row r="63" spans="1:20">
      <c r="A63" s="11">
        <v>41671</v>
      </c>
      <c r="B63" s="6">
        <f t="shared" si="1"/>
        <v>2014</v>
      </c>
      <c r="C63" s="30">
        <f>'Monthly Data'!I63</f>
        <v>8988278.2757826578</v>
      </c>
      <c r="D63">
        <f t="shared" ref="D63:E78" ca="1" si="7">D51</f>
        <v>682.50999999999988</v>
      </c>
      <c r="E63">
        <f t="shared" ca="1" si="7"/>
        <v>0</v>
      </c>
      <c r="F63" s="30">
        <f>'Monthly Data'!AC63</f>
        <v>3121</v>
      </c>
      <c r="G63" s="30">
        <f>'Monthly Data'!AG63</f>
        <v>1</v>
      </c>
      <c r="H63" s="30">
        <f>'Monthly Data'!AM63</f>
        <v>0</v>
      </c>
      <c r="I63" s="30">
        <f>'Monthly Data'!AN63</f>
        <v>1</v>
      </c>
      <c r="J63" s="30">
        <f>'Monthly Data'!AO63</f>
        <v>0</v>
      </c>
      <c r="L63" s="23">
        <f>'GS &lt; 50 OLS Model'!$B$5</f>
        <v>-6867500.9582801796</v>
      </c>
      <c r="M63" s="23">
        <f ca="1">'GS &lt; 50 OLS Model'!$B$6*D63</f>
        <v>2200428.2381189149</v>
      </c>
      <c r="N63" s="23">
        <f ca="1">'GS &lt; 50 OLS Model'!$B$7*E63</f>
        <v>0</v>
      </c>
      <c r="O63" s="23">
        <f>'GS &lt; 50 OLS Model'!$B$8*F63</f>
        <v>12900452.604779702</v>
      </c>
      <c r="P63" s="23">
        <f>'GS &lt; 50 OLS Model'!$B$9*G63</f>
        <v>912607.54486392904</v>
      </c>
      <c r="Q63" s="23">
        <f>'GS &lt; 50 OLS Model'!$B$10*H63</f>
        <v>0</v>
      </c>
      <c r="R63" s="23">
        <f>'GS &lt; 50 OLS Model'!$B$11*I63</f>
        <v>-326910.06421591499</v>
      </c>
      <c r="S63" s="23">
        <f>'GS &lt; 50 OLS Model'!$B$12*J63</f>
        <v>0</v>
      </c>
      <c r="T63" s="23">
        <f t="shared" ca="1" si="5"/>
        <v>9145987.4294823669</v>
      </c>
    </row>
    <row r="64" spans="1:20">
      <c r="A64" s="11">
        <v>41699</v>
      </c>
      <c r="B64" s="6">
        <f t="shared" si="1"/>
        <v>2014</v>
      </c>
      <c r="C64" s="30">
        <f>'Monthly Data'!I64</f>
        <v>9142728.9840168841</v>
      </c>
      <c r="D64">
        <f t="shared" ca="1" si="7"/>
        <v>556.99</v>
      </c>
      <c r="E64">
        <f t="shared" ca="1" si="7"/>
        <v>0</v>
      </c>
      <c r="F64" s="30">
        <f>'Monthly Data'!AC64</f>
        <v>3085</v>
      </c>
      <c r="G64" s="30">
        <f>'Monthly Data'!AG64</f>
        <v>1</v>
      </c>
      <c r="H64" s="30">
        <f>'Monthly Data'!AM64</f>
        <v>0</v>
      </c>
      <c r="I64" s="30">
        <f>'Monthly Data'!AN64</f>
        <v>0</v>
      </c>
      <c r="J64" s="30">
        <f>'Monthly Data'!AO64</f>
        <v>0</v>
      </c>
      <c r="L64" s="23">
        <f>'GS &lt; 50 OLS Model'!$B$5</f>
        <v>-6867500.9582801796</v>
      </c>
      <c r="M64" s="23">
        <f ca="1">'GS &lt; 50 OLS Model'!$B$6*D64</f>
        <v>1795748.815914572</v>
      </c>
      <c r="N64" s="23">
        <f ca="1">'GS &lt; 50 OLS Model'!$B$7*E64</f>
        <v>0</v>
      </c>
      <c r="O64" s="23">
        <f>'GS &lt; 50 OLS Model'!$B$8*F64</f>
        <v>12751648.922058757</v>
      </c>
      <c r="P64" s="23">
        <f>'GS &lt; 50 OLS Model'!$B$9*G64</f>
        <v>912607.54486392904</v>
      </c>
      <c r="Q64" s="23">
        <f>'GS &lt; 50 OLS Model'!$B$10*H64</f>
        <v>0</v>
      </c>
      <c r="R64" s="23">
        <f>'GS &lt; 50 OLS Model'!$B$11*I64</f>
        <v>0</v>
      </c>
      <c r="S64" s="23">
        <f>'GS &lt; 50 OLS Model'!$B$12*J64</f>
        <v>0</v>
      </c>
      <c r="T64" s="23">
        <f t="shared" ca="1" si="5"/>
        <v>8592504.324557079</v>
      </c>
    </row>
    <row r="65" spans="1:20">
      <c r="A65" s="11">
        <v>41730</v>
      </c>
      <c r="B65" s="6">
        <f t="shared" si="1"/>
        <v>2014</v>
      </c>
      <c r="C65" s="30">
        <f>'Monthly Data'!I65</f>
        <v>7536422.0635511102</v>
      </c>
      <c r="D65">
        <f t="shared" ca="1" si="7"/>
        <v>326.58999999999997</v>
      </c>
      <c r="E65">
        <f t="shared" ca="1" si="7"/>
        <v>0.39</v>
      </c>
      <c r="F65" s="30">
        <f>'Monthly Data'!AC65</f>
        <v>3087</v>
      </c>
      <c r="G65" s="30">
        <f>'Monthly Data'!AG65</f>
        <v>1</v>
      </c>
      <c r="H65" s="30">
        <f>'Monthly Data'!AM65</f>
        <v>0</v>
      </c>
      <c r="I65" s="30">
        <f>'Monthly Data'!AN65</f>
        <v>0</v>
      </c>
      <c r="J65" s="30">
        <f>'Monthly Data'!AO65</f>
        <v>1</v>
      </c>
      <c r="L65" s="23">
        <f>'GS &lt; 50 OLS Model'!$B$5</f>
        <v>-6867500.9582801796</v>
      </c>
      <c r="M65" s="23">
        <f ca="1">'GS &lt; 50 OLS Model'!$B$6*D65</f>
        <v>1052933.8153100414</v>
      </c>
      <c r="N65" s="23">
        <f ca="1">'GS &lt; 50 OLS Model'!$B$7*E65</f>
        <v>5916.9172633461158</v>
      </c>
      <c r="O65" s="23">
        <f>'GS &lt; 50 OLS Model'!$B$8*F65</f>
        <v>12759915.793321032</v>
      </c>
      <c r="P65" s="23">
        <f>'GS &lt; 50 OLS Model'!$B$9*G65</f>
        <v>912607.54486392904</v>
      </c>
      <c r="Q65" s="23">
        <f>'GS &lt; 50 OLS Model'!$B$10*H65</f>
        <v>0</v>
      </c>
      <c r="R65" s="23">
        <f>'GS &lt; 50 OLS Model'!$B$11*I65</f>
        <v>0</v>
      </c>
      <c r="S65" s="23">
        <f>'GS &lt; 50 OLS Model'!$B$12*J65</f>
        <v>-430621.67531502497</v>
      </c>
      <c r="T65" s="23">
        <f t="shared" ca="1" si="5"/>
        <v>7863873.1124781687</v>
      </c>
    </row>
    <row r="66" spans="1:20">
      <c r="A66" s="11">
        <v>41760</v>
      </c>
      <c r="B66" s="6">
        <f t="shared" si="1"/>
        <v>2014</v>
      </c>
      <c r="C66" s="30">
        <f>'Monthly Data'!I66</f>
        <v>6910477.3375853375</v>
      </c>
      <c r="D66">
        <f t="shared" ca="1" si="7"/>
        <v>144.96</v>
      </c>
      <c r="E66">
        <f t="shared" ca="1" si="7"/>
        <v>8.67</v>
      </c>
      <c r="F66" s="30">
        <f>'Monthly Data'!AC66</f>
        <v>3075</v>
      </c>
      <c r="G66" s="30">
        <f>'Monthly Data'!AG66</f>
        <v>1</v>
      </c>
      <c r="H66" s="30">
        <f>'Monthly Data'!AM66</f>
        <v>0</v>
      </c>
      <c r="I66" s="30">
        <f>'Monthly Data'!AN66</f>
        <v>0</v>
      </c>
      <c r="J66" s="30">
        <f>'Monthly Data'!AO66</f>
        <v>0</v>
      </c>
      <c r="L66" s="23">
        <f>'GS &lt; 50 OLS Model'!$B$5</f>
        <v>-6867500.9582801796</v>
      </c>
      <c r="M66" s="23">
        <f ca="1">'GS &lt; 50 OLS Model'!$B$6*D66</f>
        <v>467354.43788035039</v>
      </c>
      <c r="N66" s="23">
        <f ca="1">'GS &lt; 50 OLS Model'!$B$7*E66</f>
        <v>131537.62223900211</v>
      </c>
      <c r="O66" s="23">
        <f>'GS &lt; 50 OLS Model'!$B$8*F66</f>
        <v>12710314.565747384</v>
      </c>
      <c r="P66" s="23">
        <f>'GS &lt; 50 OLS Model'!$B$9*G66</f>
        <v>912607.54486392904</v>
      </c>
      <c r="Q66" s="23">
        <f>'GS &lt; 50 OLS Model'!$B$10*H66</f>
        <v>0</v>
      </c>
      <c r="R66" s="23">
        <f>'GS &lt; 50 OLS Model'!$B$11*I66</f>
        <v>0</v>
      </c>
      <c r="S66" s="23">
        <f>'GS &lt; 50 OLS Model'!$B$12*J66</f>
        <v>0</v>
      </c>
      <c r="T66" s="23">
        <f t="shared" ca="1" si="5"/>
        <v>7354313.2124504857</v>
      </c>
    </row>
    <row r="67" spans="1:20">
      <c r="A67" s="11">
        <v>41791</v>
      </c>
      <c r="B67" s="6">
        <f t="shared" ref="B67:B97" si="8">YEAR(A67)</f>
        <v>2014</v>
      </c>
      <c r="C67" s="30">
        <f>'Monthly Data'!I67</f>
        <v>7069107.7411195636</v>
      </c>
      <c r="D67">
        <f t="shared" ca="1" si="7"/>
        <v>41.510000000000005</v>
      </c>
      <c r="E67">
        <f t="shared" ca="1" si="7"/>
        <v>44.41</v>
      </c>
      <c r="F67" s="30">
        <f>'Monthly Data'!AC67</f>
        <v>3067</v>
      </c>
      <c r="G67" s="30">
        <f>'Monthly Data'!AG67</f>
        <v>1</v>
      </c>
      <c r="H67" s="30">
        <f>'Monthly Data'!AM67</f>
        <v>0</v>
      </c>
      <c r="I67" s="30">
        <f>'Monthly Data'!AN67</f>
        <v>0</v>
      </c>
      <c r="J67" s="30">
        <f>'Monthly Data'!AO67</f>
        <v>0</v>
      </c>
      <c r="L67" s="23">
        <f>'GS &lt; 50 OLS Model'!$B$5</f>
        <v>-6867500.9582801796</v>
      </c>
      <c r="M67" s="23">
        <f ca="1">'GS &lt; 50 OLS Model'!$B$6*D67</f>
        <v>133829.21299954021</v>
      </c>
      <c r="N67" s="23">
        <f ca="1">'GS &lt; 50 OLS Model'!$B$7*E67</f>
        <v>673769.98888513062</v>
      </c>
      <c r="O67" s="23">
        <f>'GS &lt; 50 OLS Model'!$B$8*F67</f>
        <v>12677247.080698283</v>
      </c>
      <c r="P67" s="23">
        <f>'GS &lt; 50 OLS Model'!$B$9*G67</f>
        <v>912607.54486392904</v>
      </c>
      <c r="Q67" s="23">
        <f>'GS &lt; 50 OLS Model'!$B$10*H67</f>
        <v>0</v>
      </c>
      <c r="R67" s="23">
        <f>'GS &lt; 50 OLS Model'!$B$11*I67</f>
        <v>0</v>
      </c>
      <c r="S67" s="23">
        <f>'GS &lt; 50 OLS Model'!$B$12*J67</f>
        <v>0</v>
      </c>
      <c r="T67" s="23">
        <f t="shared" ref="T67:T98" ca="1" si="9">SUM(L67:P67)</f>
        <v>7529952.8691667039</v>
      </c>
    </row>
    <row r="68" spans="1:20">
      <c r="A68" s="11">
        <v>41821</v>
      </c>
      <c r="B68" s="6">
        <f t="shared" si="8"/>
        <v>2014</v>
      </c>
      <c r="C68" s="30">
        <f>'Monthly Data'!I68</f>
        <v>7537152.3196537895</v>
      </c>
      <c r="D68">
        <f t="shared" ca="1" si="7"/>
        <v>5.01</v>
      </c>
      <c r="E68">
        <f t="shared" ca="1" si="7"/>
        <v>96.909999999999982</v>
      </c>
      <c r="F68" s="30">
        <f>'Monthly Data'!AC68</f>
        <v>3066</v>
      </c>
      <c r="G68" s="30">
        <f>'Monthly Data'!AG68</f>
        <v>1</v>
      </c>
      <c r="H68" s="30">
        <f>'Monthly Data'!AM68</f>
        <v>0</v>
      </c>
      <c r="I68" s="30">
        <f>'Monthly Data'!AN68</f>
        <v>0</v>
      </c>
      <c r="J68" s="30">
        <f>'Monthly Data'!AO68</f>
        <v>0</v>
      </c>
      <c r="L68" s="23">
        <f>'GS &lt; 50 OLS Model'!$B$5</f>
        <v>-6867500.9582801796</v>
      </c>
      <c r="M68" s="23">
        <f ca="1">'GS &lt; 50 OLS Model'!$B$6*D68</f>
        <v>16152.357435020387</v>
      </c>
      <c r="N68" s="23">
        <f ca="1">'GS &lt; 50 OLS Model'!$B$7*E68</f>
        <v>1470278.0820278767</v>
      </c>
      <c r="O68" s="23">
        <f>'GS &lt; 50 OLS Model'!$B$8*F68</f>
        <v>12673113.645067146</v>
      </c>
      <c r="P68" s="23">
        <f>'GS &lt; 50 OLS Model'!$B$9*G68</f>
        <v>912607.54486392904</v>
      </c>
      <c r="Q68" s="23">
        <f>'GS &lt; 50 OLS Model'!$B$10*H68</f>
        <v>0</v>
      </c>
      <c r="R68" s="23">
        <f>'GS &lt; 50 OLS Model'!$B$11*I68</f>
        <v>0</v>
      </c>
      <c r="S68" s="23">
        <f>'GS &lt; 50 OLS Model'!$B$12*J68</f>
        <v>0</v>
      </c>
      <c r="T68" s="23">
        <f t="shared" ca="1" si="9"/>
        <v>8204650.6711137928</v>
      </c>
    </row>
    <row r="69" spans="1:20">
      <c r="A69" s="11">
        <v>41852</v>
      </c>
      <c r="B69" s="6">
        <f t="shared" si="8"/>
        <v>2014</v>
      </c>
      <c r="C69" s="30">
        <f>'Monthly Data'!I69</f>
        <v>7504837.8201880157</v>
      </c>
      <c r="D69">
        <f t="shared" ca="1" si="7"/>
        <v>12.719999999999999</v>
      </c>
      <c r="E69">
        <f t="shared" ca="1" si="7"/>
        <v>77.22999999999999</v>
      </c>
      <c r="F69" s="30">
        <f>'Monthly Data'!AC69</f>
        <v>3062</v>
      </c>
      <c r="G69" s="30">
        <f>'Monthly Data'!AG69</f>
        <v>1</v>
      </c>
      <c r="H69" s="30">
        <f>'Monthly Data'!AM69</f>
        <v>0</v>
      </c>
      <c r="I69" s="30">
        <f>'Monthly Data'!AN69</f>
        <v>0</v>
      </c>
      <c r="J69" s="30">
        <f>'Monthly Data'!AO69</f>
        <v>0</v>
      </c>
      <c r="L69" s="23">
        <f>'GS &lt; 50 OLS Model'!$B$5</f>
        <v>-6867500.9582801796</v>
      </c>
      <c r="M69" s="23">
        <f ca="1">'GS &lt; 50 OLS Model'!$B$6*D69</f>
        <v>41009.578158375116</v>
      </c>
      <c r="N69" s="23">
        <f ca="1">'GS &lt; 50 OLS Model'!$B$7*E69</f>
        <v>1171701.3339697958</v>
      </c>
      <c r="O69" s="23">
        <f>'GS &lt; 50 OLS Model'!$B$8*F69</f>
        <v>12656579.902542597</v>
      </c>
      <c r="P69" s="23">
        <f>'GS &lt; 50 OLS Model'!$B$9*G69</f>
        <v>912607.54486392904</v>
      </c>
      <c r="Q69" s="23">
        <f>'GS &lt; 50 OLS Model'!$B$10*H69</f>
        <v>0</v>
      </c>
      <c r="R69" s="23">
        <f>'GS &lt; 50 OLS Model'!$B$11*I69</f>
        <v>0</v>
      </c>
      <c r="S69" s="23">
        <f>'GS &lt; 50 OLS Model'!$B$12*J69</f>
        <v>0</v>
      </c>
      <c r="T69" s="23">
        <f t="shared" ca="1" si="9"/>
        <v>7914397.401254517</v>
      </c>
    </row>
    <row r="70" spans="1:20">
      <c r="A70" s="11">
        <v>41883</v>
      </c>
      <c r="B70" s="6">
        <f t="shared" si="8"/>
        <v>2014</v>
      </c>
      <c r="C70" s="30">
        <f>'Monthly Data'!I70</f>
        <v>7021986.2948222412</v>
      </c>
      <c r="D70">
        <f t="shared" ca="1" si="7"/>
        <v>86.570000000000007</v>
      </c>
      <c r="E70">
        <f t="shared" ca="1" si="7"/>
        <v>19.899999999999999</v>
      </c>
      <c r="F70" s="30">
        <f>'Monthly Data'!AC70</f>
        <v>2981</v>
      </c>
      <c r="G70" s="30">
        <f>'Monthly Data'!AG70</f>
        <v>1</v>
      </c>
      <c r="H70" s="30">
        <f>'Monthly Data'!AM70</f>
        <v>1</v>
      </c>
      <c r="I70" s="30">
        <f>'Monthly Data'!AN70</f>
        <v>0</v>
      </c>
      <c r="J70" s="30">
        <f>'Monthly Data'!AO70</f>
        <v>0</v>
      </c>
      <c r="L70" s="23">
        <f>'GS &lt; 50 OLS Model'!$B$5</f>
        <v>-6867500.9582801796</v>
      </c>
      <c r="M70" s="23">
        <f ca="1">'GS &lt; 50 OLS Model'!$B$6*D70</f>
        <v>279103.70921151998</v>
      </c>
      <c r="N70" s="23">
        <f ca="1">'GS &lt; 50 OLS Model'!$B$7*E70</f>
        <v>301914.49625791714</v>
      </c>
      <c r="O70" s="23">
        <f>'GS &lt; 50 OLS Model'!$B$8*F70</f>
        <v>12321771.616420472</v>
      </c>
      <c r="P70" s="23">
        <f>'GS &lt; 50 OLS Model'!$B$9*G70</f>
        <v>912607.54486392904</v>
      </c>
      <c r="Q70" s="23">
        <f>'GS &lt; 50 OLS Model'!$B$10*H70</f>
        <v>-165959.07761345801</v>
      </c>
      <c r="R70" s="23">
        <f>'GS &lt; 50 OLS Model'!$B$11*I70</f>
        <v>0</v>
      </c>
      <c r="S70" s="23">
        <f>'GS &lt; 50 OLS Model'!$B$12*J70</f>
        <v>0</v>
      </c>
      <c r="T70" s="23">
        <f t="shared" ca="1" si="9"/>
        <v>6947896.4084736584</v>
      </c>
    </row>
    <row r="71" spans="1:20">
      <c r="A71" s="11">
        <v>41913</v>
      </c>
      <c r="B71" s="6">
        <f t="shared" si="8"/>
        <v>2014</v>
      </c>
      <c r="C71" s="30">
        <f>'Monthly Data'!I71</f>
        <v>7063037.8751564696</v>
      </c>
      <c r="D71">
        <f t="shared" ca="1" si="7"/>
        <v>270.3</v>
      </c>
      <c r="E71">
        <f t="shared" ca="1" si="7"/>
        <v>1.21</v>
      </c>
      <c r="F71" s="30">
        <f>'Monthly Data'!AC71</f>
        <v>2984</v>
      </c>
      <c r="G71" s="30">
        <f>'Monthly Data'!AG71</f>
        <v>1</v>
      </c>
      <c r="H71" s="30">
        <f>'Monthly Data'!AM71</f>
        <v>1</v>
      </c>
      <c r="I71" s="30">
        <f>'Monthly Data'!AN71</f>
        <v>0</v>
      </c>
      <c r="J71" s="30">
        <f>'Monthly Data'!AO71</f>
        <v>0</v>
      </c>
      <c r="L71" s="23">
        <f>'GS &lt; 50 OLS Model'!$B$5</f>
        <v>-6867500.9582801796</v>
      </c>
      <c r="M71" s="23">
        <f ca="1">'GS &lt; 50 OLS Model'!$B$6*D71</f>
        <v>871453.53586547123</v>
      </c>
      <c r="N71" s="23">
        <f ca="1">'GS &lt; 50 OLS Model'!$B$7*E71</f>
        <v>18357.615099099487</v>
      </c>
      <c r="O71" s="23">
        <f>'GS &lt; 50 OLS Model'!$B$8*F71</f>
        <v>12334171.923313884</v>
      </c>
      <c r="P71" s="23">
        <f>'GS &lt; 50 OLS Model'!$B$9*G71</f>
        <v>912607.54486392904</v>
      </c>
      <c r="Q71" s="23">
        <f>'GS &lt; 50 OLS Model'!$B$10*H71</f>
        <v>-165959.07761345801</v>
      </c>
      <c r="R71" s="23">
        <f>'GS &lt; 50 OLS Model'!$B$11*I71</f>
        <v>0</v>
      </c>
      <c r="S71" s="23">
        <f>'GS &lt; 50 OLS Model'!$B$12*J71</f>
        <v>0</v>
      </c>
      <c r="T71" s="23">
        <f t="shared" ca="1" si="9"/>
        <v>7269089.6608622037</v>
      </c>
    </row>
    <row r="72" spans="1:20">
      <c r="A72" s="11">
        <v>41944</v>
      </c>
      <c r="B72" s="6">
        <f t="shared" si="8"/>
        <v>2014</v>
      </c>
      <c r="C72" s="30">
        <f>'Monthly Data'!I72</f>
        <v>7874987.3505906966</v>
      </c>
      <c r="D72">
        <f t="shared" ca="1" si="7"/>
        <v>444.05</v>
      </c>
      <c r="E72">
        <f t="shared" ca="1" si="7"/>
        <v>0</v>
      </c>
      <c r="F72" s="30">
        <f>'Monthly Data'!AC72</f>
        <v>2985</v>
      </c>
      <c r="G72" s="30">
        <f>'Monthly Data'!AG72</f>
        <v>1</v>
      </c>
      <c r="H72" s="30">
        <f>'Monthly Data'!AM72</f>
        <v>1</v>
      </c>
      <c r="I72" s="30">
        <f>'Monthly Data'!AN72</f>
        <v>0</v>
      </c>
      <c r="J72" s="30">
        <f>'Monthly Data'!AO72</f>
        <v>0</v>
      </c>
      <c r="L72" s="23">
        <f>'GS &lt; 50 OLS Model'!$B$5</f>
        <v>-6867500.9582801796</v>
      </c>
      <c r="M72" s="23">
        <f ca="1">'GS &lt; 50 OLS Model'!$B$6*D72</f>
        <v>1431627.6085869868</v>
      </c>
      <c r="N72" s="23">
        <f ca="1">'GS &lt; 50 OLS Model'!$B$7*E72</f>
        <v>0</v>
      </c>
      <c r="O72" s="23">
        <f>'GS &lt; 50 OLS Model'!$B$8*F72</f>
        <v>12338305.358945021</v>
      </c>
      <c r="P72" s="23">
        <f>'GS &lt; 50 OLS Model'!$B$9*G72</f>
        <v>912607.54486392904</v>
      </c>
      <c r="Q72" s="23">
        <f>'GS &lt; 50 OLS Model'!$B$10*H72</f>
        <v>-165959.07761345801</v>
      </c>
      <c r="R72" s="23">
        <f>'GS &lt; 50 OLS Model'!$B$11*I72</f>
        <v>0</v>
      </c>
      <c r="S72" s="23">
        <f>'GS &lt; 50 OLS Model'!$B$12*J72</f>
        <v>0</v>
      </c>
      <c r="T72" s="23">
        <f t="shared" ca="1" si="9"/>
        <v>7815039.5541157573</v>
      </c>
    </row>
    <row r="73" spans="1:20">
      <c r="A73" s="11">
        <v>41974</v>
      </c>
      <c r="B73" s="6">
        <f t="shared" si="8"/>
        <v>2014</v>
      </c>
      <c r="C73" s="30">
        <f>'Monthly Data'!I73</f>
        <v>8668499.038524922</v>
      </c>
      <c r="D73">
        <f t="shared" ca="1" si="7"/>
        <v>684.01</v>
      </c>
      <c r="E73">
        <f t="shared" ca="1" si="7"/>
        <v>0</v>
      </c>
      <c r="F73" s="30">
        <f>'Monthly Data'!AC73</f>
        <v>2981</v>
      </c>
      <c r="G73" s="30">
        <f>'Monthly Data'!AG73</f>
        <v>1</v>
      </c>
      <c r="H73" s="30">
        <f>'Monthly Data'!AM73</f>
        <v>0</v>
      </c>
      <c r="I73" s="30">
        <f>'Monthly Data'!AN73</f>
        <v>0</v>
      </c>
      <c r="J73" s="30">
        <f>'Monthly Data'!AO73</f>
        <v>0</v>
      </c>
      <c r="L73" s="23">
        <f>'GS &lt; 50 OLS Model'!$B$5</f>
        <v>-6867500.9582801796</v>
      </c>
      <c r="M73" s="23">
        <f ca="1">'GS &lt; 50 OLS Model'!$B$6*D73</f>
        <v>2205264.2732791007</v>
      </c>
      <c r="N73" s="23">
        <f ca="1">'GS &lt; 50 OLS Model'!$B$7*E73</f>
        <v>0</v>
      </c>
      <c r="O73" s="23">
        <f>'GS &lt; 50 OLS Model'!$B$8*F73</f>
        <v>12321771.616420472</v>
      </c>
      <c r="P73" s="23">
        <f>'GS &lt; 50 OLS Model'!$B$9*G73</f>
        <v>912607.54486392904</v>
      </c>
      <c r="Q73" s="23">
        <f>'GS &lt; 50 OLS Model'!$B$10*H73</f>
        <v>0</v>
      </c>
      <c r="R73" s="23">
        <f>'GS &lt; 50 OLS Model'!$B$11*I73</f>
        <v>0</v>
      </c>
      <c r="S73" s="23">
        <f>'GS &lt; 50 OLS Model'!$B$12*J73</f>
        <v>0</v>
      </c>
      <c r="T73" s="23">
        <f t="shared" ca="1" si="9"/>
        <v>8572142.476283323</v>
      </c>
    </row>
    <row r="74" spans="1:20">
      <c r="A74" s="11">
        <v>42005</v>
      </c>
      <c r="B74" s="6">
        <f t="shared" si="8"/>
        <v>2015</v>
      </c>
      <c r="D74">
        <f t="shared" ca="1" si="7"/>
        <v>784.29</v>
      </c>
      <c r="E74">
        <f t="shared" ca="1" si="7"/>
        <v>0</v>
      </c>
      <c r="F74" s="60">
        <f>SUMIF('Connection count '!B:B,B74,'Connection count '!H:H)</f>
        <v>3000.3728711861681</v>
      </c>
      <c r="G74" s="30">
        <f t="shared" ref="G74:J93" si="10">G62</f>
        <v>1</v>
      </c>
      <c r="H74" s="30">
        <f t="shared" si="10"/>
        <v>0</v>
      </c>
      <c r="I74" s="30">
        <f t="shared" si="10"/>
        <v>0</v>
      </c>
      <c r="J74" s="30">
        <f t="shared" si="10"/>
        <v>0</v>
      </c>
      <c r="L74" s="23">
        <f>'GS &lt; 50 OLS Model'!$B$5</f>
        <v>-6867500.9582801796</v>
      </c>
      <c r="M74" s="23">
        <f ca="1">'GS &lt; 50 OLS Model'!$B$6*D74</f>
        <v>2528569.3438547184</v>
      </c>
      <c r="N74" s="23">
        <f ca="1">'GS &lt; 50 OLS Model'!$B$7*E74</f>
        <v>0</v>
      </c>
      <c r="O74" s="23">
        <f>'GS &lt; 50 OLS Model'!$B$8*F74</f>
        <v>12401848.132458813</v>
      </c>
      <c r="P74" s="23">
        <f>'GS &lt; 50 OLS Model'!$B$9*G74</f>
        <v>912607.54486392904</v>
      </c>
      <c r="Q74" s="23">
        <f>'GS &lt; 50 OLS Model'!$B$10*H74</f>
        <v>0</v>
      </c>
      <c r="R74" s="23">
        <f>'GS &lt; 50 OLS Model'!$B$11*I74</f>
        <v>0</v>
      </c>
      <c r="S74" s="23">
        <f>'GS &lt; 50 OLS Model'!$B$12*J74</f>
        <v>0</v>
      </c>
      <c r="T74" s="23">
        <f t="shared" ca="1" si="9"/>
        <v>8975524.0628972799</v>
      </c>
    </row>
    <row r="75" spans="1:20">
      <c r="A75" s="11">
        <v>42036</v>
      </c>
      <c r="B75" s="6">
        <f t="shared" si="8"/>
        <v>2015</v>
      </c>
      <c r="D75">
        <f t="shared" ca="1" si="7"/>
        <v>682.50999999999988</v>
      </c>
      <c r="E75">
        <f t="shared" ca="1" si="7"/>
        <v>0</v>
      </c>
      <c r="F75" s="60">
        <f>SUMIF('Connection count '!B:B,B75,'Connection count '!H:H)</f>
        <v>3000.3728711861681</v>
      </c>
      <c r="G75" s="30">
        <f t="shared" si="10"/>
        <v>1</v>
      </c>
      <c r="H75" s="30">
        <f t="shared" si="10"/>
        <v>0</v>
      </c>
      <c r="I75" s="30">
        <f t="shared" si="10"/>
        <v>1</v>
      </c>
      <c r="J75" s="30">
        <f t="shared" si="10"/>
        <v>0</v>
      </c>
      <c r="L75" s="23">
        <f>'GS &lt; 50 OLS Model'!$B$5</f>
        <v>-6867500.9582801796</v>
      </c>
      <c r="M75" s="23">
        <f ca="1">'GS &lt; 50 OLS Model'!$B$6*D75</f>
        <v>2200428.2381189149</v>
      </c>
      <c r="N75" s="23">
        <f ca="1">'GS &lt; 50 OLS Model'!$B$7*E75</f>
        <v>0</v>
      </c>
      <c r="O75" s="23">
        <f>'GS &lt; 50 OLS Model'!$B$8*F75</f>
        <v>12401848.132458813</v>
      </c>
      <c r="P75" s="23">
        <f>'GS &lt; 50 OLS Model'!$B$9*G75</f>
        <v>912607.54486392904</v>
      </c>
      <c r="Q75" s="23">
        <f>'GS &lt; 50 OLS Model'!$B$10*H75</f>
        <v>0</v>
      </c>
      <c r="R75" s="23">
        <f>'GS &lt; 50 OLS Model'!$B$11*I75</f>
        <v>-326910.06421591499</v>
      </c>
      <c r="S75" s="23">
        <f>'GS &lt; 50 OLS Model'!$B$12*J75</f>
        <v>0</v>
      </c>
      <c r="T75" s="23">
        <f t="shared" ca="1" si="9"/>
        <v>8647382.9571614787</v>
      </c>
    </row>
    <row r="76" spans="1:20">
      <c r="A76" s="11">
        <v>42064</v>
      </c>
      <c r="B76" s="6">
        <f t="shared" si="8"/>
        <v>2015</v>
      </c>
      <c r="D76">
        <f t="shared" ca="1" si="7"/>
        <v>556.99</v>
      </c>
      <c r="E76">
        <f t="shared" ca="1" si="7"/>
        <v>0</v>
      </c>
      <c r="F76" s="60">
        <f>SUMIF('Connection count '!B:B,B76,'Connection count '!H:H)</f>
        <v>3000.3728711861681</v>
      </c>
      <c r="G76" s="30">
        <f t="shared" si="10"/>
        <v>1</v>
      </c>
      <c r="H76" s="30">
        <f t="shared" si="10"/>
        <v>0</v>
      </c>
      <c r="I76" s="30">
        <f t="shared" si="10"/>
        <v>0</v>
      </c>
      <c r="J76" s="30">
        <f t="shared" si="10"/>
        <v>0</v>
      </c>
      <c r="L76" s="23">
        <f>'GS &lt; 50 OLS Model'!$B$5</f>
        <v>-6867500.9582801796</v>
      </c>
      <c r="M76" s="23">
        <f ca="1">'GS &lt; 50 OLS Model'!$B$6*D76</f>
        <v>1795748.815914572</v>
      </c>
      <c r="N76" s="23">
        <f ca="1">'GS &lt; 50 OLS Model'!$B$7*E76</f>
        <v>0</v>
      </c>
      <c r="O76" s="23">
        <f>'GS &lt; 50 OLS Model'!$B$8*F76</f>
        <v>12401848.132458813</v>
      </c>
      <c r="P76" s="23">
        <f>'GS &lt; 50 OLS Model'!$B$9*G76</f>
        <v>912607.54486392904</v>
      </c>
      <c r="Q76" s="23">
        <f>'GS &lt; 50 OLS Model'!$B$10*H76</f>
        <v>0</v>
      </c>
      <c r="R76" s="23">
        <f>'GS &lt; 50 OLS Model'!$B$11*I76</f>
        <v>0</v>
      </c>
      <c r="S76" s="23">
        <f>'GS &lt; 50 OLS Model'!$B$12*J76</f>
        <v>0</v>
      </c>
      <c r="T76" s="23">
        <f t="shared" ca="1" si="9"/>
        <v>8242703.5349571351</v>
      </c>
    </row>
    <row r="77" spans="1:20">
      <c r="A77" s="11">
        <v>42095</v>
      </c>
      <c r="B77" s="6">
        <f t="shared" si="8"/>
        <v>2015</v>
      </c>
      <c r="D77">
        <f t="shared" ca="1" si="7"/>
        <v>326.58999999999997</v>
      </c>
      <c r="E77">
        <f t="shared" ca="1" si="7"/>
        <v>0.39</v>
      </c>
      <c r="F77" s="60">
        <f>SUMIF('Connection count '!B:B,B77,'Connection count '!H:H)</f>
        <v>3000.3728711861681</v>
      </c>
      <c r="G77" s="30">
        <f t="shared" si="10"/>
        <v>1</v>
      </c>
      <c r="H77" s="30">
        <f t="shared" si="10"/>
        <v>0</v>
      </c>
      <c r="I77" s="30">
        <f t="shared" si="10"/>
        <v>0</v>
      </c>
      <c r="J77" s="30">
        <f t="shared" si="10"/>
        <v>1</v>
      </c>
      <c r="L77" s="23">
        <f>'GS &lt; 50 OLS Model'!$B$5</f>
        <v>-6867500.9582801796</v>
      </c>
      <c r="M77" s="23">
        <f ca="1">'GS &lt; 50 OLS Model'!$B$6*D77</f>
        <v>1052933.8153100414</v>
      </c>
      <c r="N77" s="23">
        <f ca="1">'GS &lt; 50 OLS Model'!$B$7*E77</f>
        <v>5916.9172633461158</v>
      </c>
      <c r="O77" s="23">
        <f>'GS &lt; 50 OLS Model'!$B$8*F77</f>
        <v>12401848.132458813</v>
      </c>
      <c r="P77" s="23">
        <f>'GS &lt; 50 OLS Model'!$B$9*G77</f>
        <v>912607.54486392904</v>
      </c>
      <c r="Q77" s="23">
        <f>'GS &lt; 50 OLS Model'!$B$10*H77</f>
        <v>0</v>
      </c>
      <c r="R77" s="23">
        <f>'GS &lt; 50 OLS Model'!$B$11*I77</f>
        <v>0</v>
      </c>
      <c r="S77" s="23">
        <f>'GS &lt; 50 OLS Model'!$B$12*J77</f>
        <v>-430621.67531502497</v>
      </c>
      <c r="T77" s="23">
        <f t="shared" ca="1" si="9"/>
        <v>7505805.4516159501</v>
      </c>
    </row>
    <row r="78" spans="1:20">
      <c r="A78" s="11">
        <v>42125</v>
      </c>
      <c r="B78" s="6">
        <f t="shared" si="8"/>
        <v>2015</v>
      </c>
      <c r="D78">
        <f t="shared" ca="1" si="7"/>
        <v>144.96</v>
      </c>
      <c r="E78">
        <f t="shared" ca="1" si="7"/>
        <v>8.67</v>
      </c>
      <c r="F78" s="60">
        <f>SUMIF('Connection count '!B:B,B78,'Connection count '!H:H)</f>
        <v>3000.3728711861681</v>
      </c>
      <c r="G78" s="30">
        <f t="shared" si="10"/>
        <v>1</v>
      </c>
      <c r="H78" s="30">
        <f t="shared" si="10"/>
        <v>0</v>
      </c>
      <c r="I78" s="30">
        <f t="shared" si="10"/>
        <v>0</v>
      </c>
      <c r="J78" s="30">
        <f t="shared" si="10"/>
        <v>0</v>
      </c>
      <c r="L78" s="23">
        <f>'GS &lt; 50 OLS Model'!$B$5</f>
        <v>-6867500.9582801796</v>
      </c>
      <c r="M78" s="23">
        <f ca="1">'GS &lt; 50 OLS Model'!$B$6*D78</f>
        <v>467354.43788035039</v>
      </c>
      <c r="N78" s="23">
        <f ca="1">'GS &lt; 50 OLS Model'!$B$7*E78</f>
        <v>131537.62223900211</v>
      </c>
      <c r="O78" s="23">
        <f>'GS &lt; 50 OLS Model'!$B$8*F78</f>
        <v>12401848.132458813</v>
      </c>
      <c r="P78" s="23">
        <f>'GS &lt; 50 OLS Model'!$B$9*G78</f>
        <v>912607.54486392904</v>
      </c>
      <c r="Q78" s="23">
        <f>'GS &lt; 50 OLS Model'!$B$10*H78</f>
        <v>0</v>
      </c>
      <c r="R78" s="23">
        <f>'GS &lt; 50 OLS Model'!$B$11*I78</f>
        <v>0</v>
      </c>
      <c r="S78" s="23">
        <f>'GS &lt; 50 OLS Model'!$B$12*J78</f>
        <v>0</v>
      </c>
      <c r="T78" s="23">
        <f t="shared" ca="1" si="9"/>
        <v>7045846.7791619152</v>
      </c>
    </row>
    <row r="79" spans="1:20">
      <c r="A79" s="11">
        <v>42156</v>
      </c>
      <c r="B79" s="6">
        <f t="shared" si="8"/>
        <v>2015</v>
      </c>
      <c r="D79">
        <f t="shared" ref="D79:E94" ca="1" si="11">D67</f>
        <v>41.510000000000005</v>
      </c>
      <c r="E79">
        <f t="shared" ca="1" si="11"/>
        <v>44.41</v>
      </c>
      <c r="F79" s="60">
        <f>SUMIF('Connection count '!B:B,B79,'Connection count '!H:H)</f>
        <v>3000.3728711861681</v>
      </c>
      <c r="G79" s="30">
        <f t="shared" si="10"/>
        <v>1</v>
      </c>
      <c r="H79" s="30">
        <f t="shared" si="10"/>
        <v>0</v>
      </c>
      <c r="I79" s="30">
        <f t="shared" si="10"/>
        <v>0</v>
      </c>
      <c r="J79" s="30">
        <f t="shared" si="10"/>
        <v>0</v>
      </c>
      <c r="L79" s="23">
        <f>'GS &lt; 50 OLS Model'!$B$5</f>
        <v>-6867500.9582801796</v>
      </c>
      <c r="M79" s="23">
        <f ca="1">'GS &lt; 50 OLS Model'!$B$6*D79</f>
        <v>133829.21299954021</v>
      </c>
      <c r="N79" s="23">
        <f ca="1">'GS &lt; 50 OLS Model'!$B$7*E79</f>
        <v>673769.98888513062</v>
      </c>
      <c r="O79" s="23">
        <f>'GS &lt; 50 OLS Model'!$B$8*F79</f>
        <v>12401848.132458813</v>
      </c>
      <c r="P79" s="23">
        <f>'GS &lt; 50 OLS Model'!$B$9*G79</f>
        <v>912607.54486392904</v>
      </c>
      <c r="Q79" s="23">
        <f>'GS &lt; 50 OLS Model'!$B$10*H79</f>
        <v>0</v>
      </c>
      <c r="R79" s="23">
        <f>'GS &lt; 50 OLS Model'!$B$11*I79</f>
        <v>0</v>
      </c>
      <c r="S79" s="23">
        <f>'GS &lt; 50 OLS Model'!$B$12*J79</f>
        <v>0</v>
      </c>
      <c r="T79" s="23">
        <f t="shared" ca="1" si="9"/>
        <v>7254553.920927234</v>
      </c>
    </row>
    <row r="80" spans="1:20">
      <c r="A80" s="11">
        <v>42186</v>
      </c>
      <c r="B80" s="6">
        <f t="shared" si="8"/>
        <v>2015</v>
      </c>
      <c r="D80">
        <f t="shared" ca="1" si="11"/>
        <v>5.01</v>
      </c>
      <c r="E80">
        <f t="shared" ca="1" si="11"/>
        <v>96.909999999999982</v>
      </c>
      <c r="F80" s="60">
        <f>SUMIF('Connection count '!B:B,B80,'Connection count '!H:H)</f>
        <v>3000.3728711861681</v>
      </c>
      <c r="G80" s="30">
        <f t="shared" si="10"/>
        <v>1</v>
      </c>
      <c r="H80" s="30">
        <f t="shared" si="10"/>
        <v>0</v>
      </c>
      <c r="I80" s="30">
        <f t="shared" si="10"/>
        <v>0</v>
      </c>
      <c r="J80" s="30">
        <f t="shared" si="10"/>
        <v>0</v>
      </c>
      <c r="L80" s="23">
        <f>'GS &lt; 50 OLS Model'!$B$5</f>
        <v>-6867500.9582801796</v>
      </c>
      <c r="M80" s="23">
        <f ca="1">'GS &lt; 50 OLS Model'!$B$6*D80</f>
        <v>16152.357435020387</v>
      </c>
      <c r="N80" s="23">
        <f ca="1">'GS &lt; 50 OLS Model'!$B$7*E80</f>
        <v>1470278.0820278767</v>
      </c>
      <c r="O80" s="23">
        <f>'GS &lt; 50 OLS Model'!$B$8*F80</f>
        <v>12401848.132458813</v>
      </c>
      <c r="P80" s="23">
        <f>'GS &lt; 50 OLS Model'!$B$9*G80</f>
        <v>912607.54486392904</v>
      </c>
      <c r="Q80" s="23">
        <f>'GS &lt; 50 OLS Model'!$B$10*H80</f>
        <v>0</v>
      </c>
      <c r="R80" s="23">
        <f>'GS &lt; 50 OLS Model'!$B$11*I80</f>
        <v>0</v>
      </c>
      <c r="S80" s="23">
        <f>'GS &lt; 50 OLS Model'!$B$12*J80</f>
        <v>0</v>
      </c>
      <c r="T80" s="23">
        <f t="shared" ca="1" si="9"/>
        <v>7933385.1585054602</v>
      </c>
    </row>
    <row r="81" spans="1:20">
      <c r="A81" s="11">
        <v>42217</v>
      </c>
      <c r="B81" s="6">
        <f t="shared" si="8"/>
        <v>2015</v>
      </c>
      <c r="D81">
        <f t="shared" ca="1" si="11"/>
        <v>12.719999999999999</v>
      </c>
      <c r="E81">
        <f t="shared" ca="1" si="11"/>
        <v>77.22999999999999</v>
      </c>
      <c r="F81" s="60">
        <f>SUMIF('Connection count '!B:B,B81,'Connection count '!H:H)</f>
        <v>3000.3728711861681</v>
      </c>
      <c r="G81" s="30">
        <f t="shared" si="10"/>
        <v>1</v>
      </c>
      <c r="H81" s="30">
        <f t="shared" si="10"/>
        <v>0</v>
      </c>
      <c r="I81" s="30">
        <f t="shared" si="10"/>
        <v>0</v>
      </c>
      <c r="J81" s="30">
        <f t="shared" si="10"/>
        <v>0</v>
      </c>
      <c r="L81" s="23">
        <f>'GS &lt; 50 OLS Model'!$B$5</f>
        <v>-6867500.9582801796</v>
      </c>
      <c r="M81" s="23">
        <f ca="1">'GS &lt; 50 OLS Model'!$B$6*D81</f>
        <v>41009.578158375116</v>
      </c>
      <c r="N81" s="23">
        <f ca="1">'GS &lt; 50 OLS Model'!$B$7*E81</f>
        <v>1171701.3339697958</v>
      </c>
      <c r="O81" s="23">
        <f>'GS &lt; 50 OLS Model'!$B$8*F81</f>
        <v>12401848.132458813</v>
      </c>
      <c r="P81" s="23">
        <f>'GS &lt; 50 OLS Model'!$B$9*G81</f>
        <v>912607.54486392904</v>
      </c>
      <c r="Q81" s="23">
        <f>'GS &lt; 50 OLS Model'!$B$10*H81</f>
        <v>0</v>
      </c>
      <c r="R81" s="23">
        <f>'GS &lt; 50 OLS Model'!$B$11*I81</f>
        <v>0</v>
      </c>
      <c r="S81" s="23">
        <f>'GS &lt; 50 OLS Model'!$B$12*J81</f>
        <v>0</v>
      </c>
      <c r="T81" s="23">
        <f t="shared" ca="1" si="9"/>
        <v>7659665.6311707338</v>
      </c>
    </row>
    <row r="82" spans="1:20">
      <c r="A82" s="11">
        <v>42248</v>
      </c>
      <c r="B82" s="6">
        <f t="shared" si="8"/>
        <v>2015</v>
      </c>
      <c r="D82">
        <f t="shared" ca="1" si="11"/>
        <v>86.570000000000007</v>
      </c>
      <c r="E82">
        <f t="shared" ca="1" si="11"/>
        <v>19.899999999999999</v>
      </c>
      <c r="F82" s="60">
        <f>SUMIF('Connection count '!B:B,B82,'Connection count '!H:H)</f>
        <v>3000.3728711861681</v>
      </c>
      <c r="G82" s="30">
        <f t="shared" si="10"/>
        <v>1</v>
      </c>
      <c r="H82" s="30">
        <f t="shared" si="10"/>
        <v>1</v>
      </c>
      <c r="I82" s="30">
        <f t="shared" si="10"/>
        <v>0</v>
      </c>
      <c r="J82" s="30">
        <f t="shared" si="10"/>
        <v>0</v>
      </c>
      <c r="L82" s="23">
        <f>'GS &lt; 50 OLS Model'!$B$5</f>
        <v>-6867500.9582801796</v>
      </c>
      <c r="M82" s="23">
        <f ca="1">'GS &lt; 50 OLS Model'!$B$6*D82</f>
        <v>279103.70921151998</v>
      </c>
      <c r="N82" s="23">
        <f ca="1">'GS &lt; 50 OLS Model'!$B$7*E82</f>
        <v>301914.49625791714</v>
      </c>
      <c r="O82" s="23">
        <f>'GS &lt; 50 OLS Model'!$B$8*F82</f>
        <v>12401848.132458813</v>
      </c>
      <c r="P82" s="23">
        <f>'GS &lt; 50 OLS Model'!$B$9*G82</f>
        <v>912607.54486392904</v>
      </c>
      <c r="Q82" s="23">
        <f>'GS &lt; 50 OLS Model'!$B$10*H82</f>
        <v>-165959.07761345801</v>
      </c>
      <c r="R82" s="23">
        <f>'GS &lt; 50 OLS Model'!$B$11*I82</f>
        <v>0</v>
      </c>
      <c r="S82" s="23">
        <f>'GS &lt; 50 OLS Model'!$B$12*J82</f>
        <v>0</v>
      </c>
      <c r="T82" s="23">
        <f t="shared" ca="1" si="9"/>
        <v>7027972.9245119998</v>
      </c>
    </row>
    <row r="83" spans="1:20">
      <c r="A83" s="11">
        <v>42278</v>
      </c>
      <c r="B83" s="6">
        <f t="shared" si="8"/>
        <v>2015</v>
      </c>
      <c r="D83">
        <f t="shared" ca="1" si="11"/>
        <v>270.3</v>
      </c>
      <c r="E83">
        <f t="shared" ca="1" si="11"/>
        <v>1.21</v>
      </c>
      <c r="F83" s="60">
        <f>SUMIF('Connection count '!B:B,B83,'Connection count '!H:H)</f>
        <v>3000.3728711861681</v>
      </c>
      <c r="G83" s="30">
        <f t="shared" si="10"/>
        <v>1</v>
      </c>
      <c r="H83" s="30">
        <f t="shared" si="10"/>
        <v>1</v>
      </c>
      <c r="I83" s="30">
        <f t="shared" si="10"/>
        <v>0</v>
      </c>
      <c r="J83" s="30">
        <f t="shared" si="10"/>
        <v>0</v>
      </c>
      <c r="L83" s="23">
        <f>'GS &lt; 50 OLS Model'!$B$5</f>
        <v>-6867500.9582801796</v>
      </c>
      <c r="M83" s="23">
        <f ca="1">'GS &lt; 50 OLS Model'!$B$6*D83</f>
        <v>871453.53586547123</v>
      </c>
      <c r="N83" s="23">
        <f ca="1">'GS &lt; 50 OLS Model'!$B$7*E83</f>
        <v>18357.615099099487</v>
      </c>
      <c r="O83" s="23">
        <f>'GS &lt; 50 OLS Model'!$B$8*F83</f>
        <v>12401848.132458813</v>
      </c>
      <c r="P83" s="23">
        <f>'GS &lt; 50 OLS Model'!$B$9*G83</f>
        <v>912607.54486392904</v>
      </c>
      <c r="Q83" s="23">
        <f>'GS &lt; 50 OLS Model'!$B$10*H83</f>
        <v>-165959.07761345801</v>
      </c>
      <c r="R83" s="23">
        <f>'GS &lt; 50 OLS Model'!$B$11*I83</f>
        <v>0</v>
      </c>
      <c r="S83" s="23">
        <f>'GS &lt; 50 OLS Model'!$B$12*J83</f>
        <v>0</v>
      </c>
      <c r="T83" s="23">
        <f t="shared" ca="1" si="9"/>
        <v>7336765.8700071331</v>
      </c>
    </row>
    <row r="84" spans="1:20">
      <c r="A84" s="11">
        <v>42309</v>
      </c>
      <c r="B84" s="6">
        <f t="shared" si="8"/>
        <v>2015</v>
      </c>
      <c r="D84">
        <f t="shared" ca="1" si="11"/>
        <v>444.05</v>
      </c>
      <c r="E84">
        <f t="shared" ca="1" si="11"/>
        <v>0</v>
      </c>
      <c r="F84" s="60">
        <f>SUMIF('Connection count '!B:B,B84,'Connection count '!H:H)</f>
        <v>3000.3728711861681</v>
      </c>
      <c r="G84" s="30">
        <f t="shared" si="10"/>
        <v>1</v>
      </c>
      <c r="H84" s="30">
        <f t="shared" si="10"/>
        <v>1</v>
      </c>
      <c r="I84" s="30">
        <f t="shared" si="10"/>
        <v>0</v>
      </c>
      <c r="J84" s="30">
        <f t="shared" si="10"/>
        <v>0</v>
      </c>
      <c r="L84" s="23">
        <f>'GS &lt; 50 OLS Model'!$B$5</f>
        <v>-6867500.9582801796</v>
      </c>
      <c r="M84" s="23">
        <f ca="1">'GS &lt; 50 OLS Model'!$B$6*D84</f>
        <v>1431627.6085869868</v>
      </c>
      <c r="N84" s="23">
        <f ca="1">'GS &lt; 50 OLS Model'!$B$7*E84</f>
        <v>0</v>
      </c>
      <c r="O84" s="23">
        <f>'GS &lt; 50 OLS Model'!$B$8*F84</f>
        <v>12401848.132458813</v>
      </c>
      <c r="P84" s="23">
        <f>'GS &lt; 50 OLS Model'!$B$9*G84</f>
        <v>912607.54486392904</v>
      </c>
      <c r="Q84" s="23">
        <f>'GS &lt; 50 OLS Model'!$B$10*H84</f>
        <v>-165959.07761345801</v>
      </c>
      <c r="R84" s="23">
        <f>'GS &lt; 50 OLS Model'!$B$11*I84</f>
        <v>0</v>
      </c>
      <c r="S84" s="23">
        <f>'GS &lt; 50 OLS Model'!$B$12*J84</f>
        <v>0</v>
      </c>
      <c r="T84" s="23">
        <f t="shared" ca="1" si="9"/>
        <v>7878582.3276295494</v>
      </c>
    </row>
    <row r="85" spans="1:20">
      <c r="A85" s="11">
        <v>42339</v>
      </c>
      <c r="B85" s="6">
        <f t="shared" si="8"/>
        <v>2015</v>
      </c>
      <c r="D85">
        <f t="shared" ca="1" si="11"/>
        <v>684.01</v>
      </c>
      <c r="E85">
        <f t="shared" ca="1" si="11"/>
        <v>0</v>
      </c>
      <c r="F85" s="60">
        <f>SUMIF('Connection count '!B:B,B85,'Connection count '!H:H)</f>
        <v>3000.3728711861681</v>
      </c>
      <c r="G85" s="30">
        <f t="shared" si="10"/>
        <v>1</v>
      </c>
      <c r="H85" s="30">
        <f t="shared" si="10"/>
        <v>0</v>
      </c>
      <c r="I85" s="30">
        <f t="shared" si="10"/>
        <v>0</v>
      </c>
      <c r="J85" s="30">
        <f t="shared" si="10"/>
        <v>0</v>
      </c>
      <c r="L85" s="23">
        <f>'GS &lt; 50 OLS Model'!$B$5</f>
        <v>-6867500.9582801796</v>
      </c>
      <c r="M85" s="23">
        <f ca="1">'GS &lt; 50 OLS Model'!$B$6*D85</f>
        <v>2205264.2732791007</v>
      </c>
      <c r="N85" s="23">
        <f ca="1">'GS &lt; 50 OLS Model'!$B$7*E85</f>
        <v>0</v>
      </c>
      <c r="O85" s="23">
        <f>'GS &lt; 50 OLS Model'!$B$8*F85</f>
        <v>12401848.132458813</v>
      </c>
      <c r="P85" s="23">
        <f>'GS &lt; 50 OLS Model'!$B$9*G85</f>
        <v>912607.54486392904</v>
      </c>
      <c r="Q85" s="23">
        <f>'GS &lt; 50 OLS Model'!$B$10*H85</f>
        <v>0</v>
      </c>
      <c r="R85" s="23">
        <f>'GS &lt; 50 OLS Model'!$B$11*I85</f>
        <v>0</v>
      </c>
      <c r="S85" s="23">
        <f>'GS &lt; 50 OLS Model'!$B$12*J85</f>
        <v>0</v>
      </c>
      <c r="T85" s="23">
        <f t="shared" ca="1" si="9"/>
        <v>8652218.9923216626</v>
      </c>
    </row>
    <row r="86" spans="1:20">
      <c r="A86" s="11">
        <v>42370</v>
      </c>
      <c r="B86" s="6">
        <f t="shared" si="8"/>
        <v>2016</v>
      </c>
      <c r="D86">
        <f t="shared" ca="1" si="11"/>
        <v>784.29</v>
      </c>
      <c r="E86">
        <f t="shared" ca="1" si="11"/>
        <v>0</v>
      </c>
      <c r="F86" s="60">
        <f>SUMIF('Connection count '!B:B,B86,'Connection count '!H:H)</f>
        <v>2950.2635021247315</v>
      </c>
      <c r="G86" s="30">
        <f t="shared" si="10"/>
        <v>1</v>
      </c>
      <c r="H86" s="30">
        <f t="shared" si="10"/>
        <v>0</v>
      </c>
      <c r="I86" s="30">
        <f t="shared" si="10"/>
        <v>0</v>
      </c>
      <c r="J86" s="30">
        <f t="shared" si="10"/>
        <v>0</v>
      </c>
      <c r="L86" s="23">
        <f>'GS &lt; 50 OLS Model'!$B$5</f>
        <v>-6867500.9582801796</v>
      </c>
      <c r="M86" s="23">
        <f ca="1">'GS &lt; 50 OLS Model'!$B$6*D86</f>
        <v>2528569.3438547184</v>
      </c>
      <c r="N86" s="23">
        <f ca="1">'GS &lt; 50 OLS Model'!$B$7*E86</f>
        <v>0</v>
      </c>
      <c r="O86" s="23">
        <f>'GS &lt; 50 OLS Model'!$B$8*F86</f>
        <v>12194724.280926459</v>
      </c>
      <c r="P86" s="23">
        <f>'GS &lt; 50 OLS Model'!$B$9*G86</f>
        <v>912607.54486392904</v>
      </c>
      <c r="Q86" s="23">
        <f>'GS &lt; 50 OLS Model'!$B$10*H86</f>
        <v>0</v>
      </c>
      <c r="R86" s="23">
        <f>'GS &lt; 50 OLS Model'!$B$11*I86</f>
        <v>0</v>
      </c>
      <c r="S86" s="23">
        <f>'GS &lt; 50 OLS Model'!$B$12*J86</f>
        <v>0</v>
      </c>
      <c r="T86" s="23">
        <f t="shared" ca="1" si="9"/>
        <v>8768400.2113649249</v>
      </c>
    </row>
    <row r="87" spans="1:20">
      <c r="A87" s="11">
        <v>42401</v>
      </c>
      <c r="B87" s="6">
        <f t="shared" si="8"/>
        <v>2016</v>
      </c>
      <c r="D87">
        <f t="shared" ca="1" si="11"/>
        <v>682.50999999999988</v>
      </c>
      <c r="E87">
        <f t="shared" ca="1" si="11"/>
        <v>0</v>
      </c>
      <c r="F87" s="60">
        <f>SUMIF('Connection count '!B:B,B87,'Connection count '!H:H)</f>
        <v>2950.2635021247315</v>
      </c>
      <c r="G87" s="30">
        <f t="shared" si="10"/>
        <v>1</v>
      </c>
      <c r="H87" s="30">
        <f t="shared" si="10"/>
        <v>0</v>
      </c>
      <c r="I87" s="30">
        <f t="shared" si="10"/>
        <v>1</v>
      </c>
      <c r="J87" s="30">
        <f t="shared" si="10"/>
        <v>0</v>
      </c>
      <c r="L87" s="23">
        <f>'GS &lt; 50 OLS Model'!$B$5</f>
        <v>-6867500.9582801796</v>
      </c>
      <c r="M87" s="23">
        <f ca="1">'GS &lt; 50 OLS Model'!$B$6*D87</f>
        <v>2200428.2381189149</v>
      </c>
      <c r="N87" s="23">
        <f ca="1">'GS &lt; 50 OLS Model'!$B$7*E87</f>
        <v>0</v>
      </c>
      <c r="O87" s="23">
        <f>'GS &lt; 50 OLS Model'!$B$8*F87</f>
        <v>12194724.280926459</v>
      </c>
      <c r="P87" s="23">
        <f>'GS &lt; 50 OLS Model'!$B$9*G87</f>
        <v>912607.54486392904</v>
      </c>
      <c r="Q87" s="23">
        <f>'GS &lt; 50 OLS Model'!$B$10*H87</f>
        <v>0</v>
      </c>
      <c r="R87" s="23">
        <f>'GS &lt; 50 OLS Model'!$B$11*I87</f>
        <v>-326910.06421591499</v>
      </c>
      <c r="S87" s="23">
        <f>'GS &lt; 50 OLS Model'!$B$12*J87</f>
        <v>0</v>
      </c>
      <c r="T87" s="23">
        <f t="shared" ca="1" si="9"/>
        <v>8440259.1056291237</v>
      </c>
    </row>
    <row r="88" spans="1:20">
      <c r="A88" s="11">
        <v>42430</v>
      </c>
      <c r="B88" s="6">
        <f t="shared" si="8"/>
        <v>2016</v>
      </c>
      <c r="D88">
        <f t="shared" ca="1" si="11"/>
        <v>556.99</v>
      </c>
      <c r="E88">
        <f t="shared" ca="1" si="11"/>
        <v>0</v>
      </c>
      <c r="F88" s="60">
        <f>SUMIF('Connection count '!B:B,B88,'Connection count '!H:H)</f>
        <v>2950.2635021247315</v>
      </c>
      <c r="G88" s="30">
        <f t="shared" si="10"/>
        <v>1</v>
      </c>
      <c r="H88" s="30">
        <f t="shared" si="10"/>
        <v>0</v>
      </c>
      <c r="I88" s="30">
        <f t="shared" si="10"/>
        <v>0</v>
      </c>
      <c r="J88" s="30">
        <f t="shared" si="10"/>
        <v>0</v>
      </c>
      <c r="L88" s="23">
        <f>'GS &lt; 50 OLS Model'!$B$5</f>
        <v>-6867500.9582801796</v>
      </c>
      <c r="M88" s="23">
        <f ca="1">'GS &lt; 50 OLS Model'!$B$6*D88</f>
        <v>1795748.815914572</v>
      </c>
      <c r="N88" s="23">
        <f ca="1">'GS &lt; 50 OLS Model'!$B$7*E88</f>
        <v>0</v>
      </c>
      <c r="O88" s="23">
        <f>'GS &lt; 50 OLS Model'!$B$8*F88</f>
        <v>12194724.280926459</v>
      </c>
      <c r="P88" s="23">
        <f>'GS &lt; 50 OLS Model'!$B$9*G88</f>
        <v>912607.54486392904</v>
      </c>
      <c r="Q88" s="23">
        <f>'GS &lt; 50 OLS Model'!$B$10*H88</f>
        <v>0</v>
      </c>
      <c r="R88" s="23">
        <f>'GS &lt; 50 OLS Model'!$B$11*I88</f>
        <v>0</v>
      </c>
      <c r="S88" s="23">
        <f>'GS &lt; 50 OLS Model'!$B$12*J88</f>
        <v>0</v>
      </c>
      <c r="T88" s="23">
        <f t="shared" ca="1" si="9"/>
        <v>8035579.6834247801</v>
      </c>
    </row>
    <row r="89" spans="1:20">
      <c r="A89" s="11">
        <v>42461</v>
      </c>
      <c r="B89" s="6">
        <f t="shared" si="8"/>
        <v>2016</v>
      </c>
      <c r="D89">
        <f t="shared" ca="1" si="11"/>
        <v>326.58999999999997</v>
      </c>
      <c r="E89">
        <f t="shared" ca="1" si="11"/>
        <v>0.39</v>
      </c>
      <c r="F89" s="60">
        <f>SUMIF('Connection count '!B:B,B89,'Connection count '!H:H)</f>
        <v>2950.2635021247315</v>
      </c>
      <c r="G89" s="30">
        <f t="shared" si="10"/>
        <v>1</v>
      </c>
      <c r="H89" s="30">
        <f t="shared" si="10"/>
        <v>0</v>
      </c>
      <c r="I89" s="30">
        <f t="shared" si="10"/>
        <v>0</v>
      </c>
      <c r="J89" s="30">
        <f t="shared" si="10"/>
        <v>1</v>
      </c>
      <c r="L89" s="23">
        <f>'GS &lt; 50 OLS Model'!$B$5</f>
        <v>-6867500.9582801796</v>
      </c>
      <c r="M89" s="23">
        <f ca="1">'GS &lt; 50 OLS Model'!$B$6*D89</f>
        <v>1052933.8153100414</v>
      </c>
      <c r="N89" s="23">
        <f ca="1">'GS &lt; 50 OLS Model'!$B$7*E89</f>
        <v>5916.9172633461158</v>
      </c>
      <c r="O89" s="23">
        <f>'GS &lt; 50 OLS Model'!$B$8*F89</f>
        <v>12194724.280926459</v>
      </c>
      <c r="P89" s="23">
        <f>'GS &lt; 50 OLS Model'!$B$9*G89</f>
        <v>912607.54486392904</v>
      </c>
      <c r="Q89" s="23">
        <f>'GS &lt; 50 OLS Model'!$B$10*H89</f>
        <v>0</v>
      </c>
      <c r="R89" s="23">
        <f>'GS &lt; 50 OLS Model'!$B$11*I89</f>
        <v>0</v>
      </c>
      <c r="S89" s="23">
        <f>'GS &lt; 50 OLS Model'!$B$12*J89</f>
        <v>-430621.67531502497</v>
      </c>
      <c r="T89" s="23">
        <f t="shared" ca="1" si="9"/>
        <v>7298681.6000835951</v>
      </c>
    </row>
    <row r="90" spans="1:20">
      <c r="A90" s="11">
        <v>42491</v>
      </c>
      <c r="B90" s="6">
        <f t="shared" si="8"/>
        <v>2016</v>
      </c>
      <c r="D90">
        <f t="shared" ca="1" si="11"/>
        <v>144.96</v>
      </c>
      <c r="E90">
        <f t="shared" ca="1" si="11"/>
        <v>8.67</v>
      </c>
      <c r="F90" s="60">
        <f>SUMIF('Connection count '!B:B,B90,'Connection count '!H:H)</f>
        <v>2950.2635021247315</v>
      </c>
      <c r="G90" s="30">
        <f t="shared" si="10"/>
        <v>1</v>
      </c>
      <c r="H90" s="30">
        <f t="shared" si="10"/>
        <v>0</v>
      </c>
      <c r="I90" s="30">
        <f t="shared" si="10"/>
        <v>0</v>
      </c>
      <c r="J90" s="30">
        <f t="shared" si="10"/>
        <v>0</v>
      </c>
      <c r="L90" s="23">
        <f>'GS &lt; 50 OLS Model'!$B$5</f>
        <v>-6867500.9582801796</v>
      </c>
      <c r="M90" s="23">
        <f ca="1">'GS &lt; 50 OLS Model'!$B$6*D90</f>
        <v>467354.43788035039</v>
      </c>
      <c r="N90" s="23">
        <f ca="1">'GS &lt; 50 OLS Model'!$B$7*E90</f>
        <v>131537.62223900211</v>
      </c>
      <c r="O90" s="23">
        <f>'GS &lt; 50 OLS Model'!$B$8*F90</f>
        <v>12194724.280926459</v>
      </c>
      <c r="P90" s="23">
        <f>'GS &lt; 50 OLS Model'!$B$9*G90</f>
        <v>912607.54486392904</v>
      </c>
      <c r="Q90" s="23">
        <f>'GS &lt; 50 OLS Model'!$B$10*H90</f>
        <v>0</v>
      </c>
      <c r="R90" s="23">
        <f>'GS &lt; 50 OLS Model'!$B$11*I90</f>
        <v>0</v>
      </c>
      <c r="S90" s="23">
        <f>'GS &lt; 50 OLS Model'!$B$12*J90</f>
        <v>0</v>
      </c>
      <c r="T90" s="23">
        <f t="shared" ca="1" si="9"/>
        <v>6838722.9276295602</v>
      </c>
    </row>
    <row r="91" spans="1:20">
      <c r="A91" s="11">
        <v>42522</v>
      </c>
      <c r="B91" s="6">
        <f t="shared" si="8"/>
        <v>2016</v>
      </c>
      <c r="D91">
        <f t="shared" ca="1" si="11"/>
        <v>41.510000000000005</v>
      </c>
      <c r="E91">
        <f t="shared" ca="1" si="11"/>
        <v>44.41</v>
      </c>
      <c r="F91" s="60">
        <f>SUMIF('Connection count '!B:B,B91,'Connection count '!H:H)</f>
        <v>2950.2635021247315</v>
      </c>
      <c r="G91" s="30">
        <f t="shared" si="10"/>
        <v>1</v>
      </c>
      <c r="H91" s="30">
        <f t="shared" si="10"/>
        <v>0</v>
      </c>
      <c r="I91" s="30">
        <f t="shared" si="10"/>
        <v>0</v>
      </c>
      <c r="J91" s="30">
        <f t="shared" si="10"/>
        <v>0</v>
      </c>
      <c r="L91" s="23">
        <f>'GS &lt; 50 OLS Model'!$B$5</f>
        <v>-6867500.9582801796</v>
      </c>
      <c r="M91" s="23">
        <f ca="1">'GS &lt; 50 OLS Model'!$B$6*D91</f>
        <v>133829.21299954021</v>
      </c>
      <c r="N91" s="23">
        <f ca="1">'GS &lt; 50 OLS Model'!$B$7*E91</f>
        <v>673769.98888513062</v>
      </c>
      <c r="O91" s="23">
        <f>'GS &lt; 50 OLS Model'!$B$8*F91</f>
        <v>12194724.280926459</v>
      </c>
      <c r="P91" s="23">
        <f>'GS &lt; 50 OLS Model'!$B$9*G91</f>
        <v>912607.54486392904</v>
      </c>
      <c r="Q91" s="23">
        <f>'GS &lt; 50 OLS Model'!$B$10*H91</f>
        <v>0</v>
      </c>
      <c r="R91" s="23">
        <f>'GS &lt; 50 OLS Model'!$B$11*I91</f>
        <v>0</v>
      </c>
      <c r="S91" s="23">
        <f>'GS &lt; 50 OLS Model'!$B$12*J91</f>
        <v>0</v>
      </c>
      <c r="T91" s="23">
        <f t="shared" ca="1" si="9"/>
        <v>7047430.069394879</v>
      </c>
    </row>
    <row r="92" spans="1:20">
      <c r="A92" s="11">
        <v>42552</v>
      </c>
      <c r="B92" s="6">
        <f t="shared" si="8"/>
        <v>2016</v>
      </c>
      <c r="D92">
        <f t="shared" ca="1" si="11"/>
        <v>5.01</v>
      </c>
      <c r="E92">
        <f t="shared" ca="1" si="11"/>
        <v>96.909999999999982</v>
      </c>
      <c r="F92" s="60">
        <f>SUMIF('Connection count '!B:B,B92,'Connection count '!H:H)</f>
        <v>2950.2635021247315</v>
      </c>
      <c r="G92" s="30">
        <f t="shared" si="10"/>
        <v>1</v>
      </c>
      <c r="H92" s="30">
        <f t="shared" si="10"/>
        <v>0</v>
      </c>
      <c r="I92" s="30">
        <f t="shared" si="10"/>
        <v>0</v>
      </c>
      <c r="J92" s="30">
        <f t="shared" si="10"/>
        <v>0</v>
      </c>
      <c r="L92" s="23">
        <f>'GS &lt; 50 OLS Model'!$B$5</f>
        <v>-6867500.9582801796</v>
      </c>
      <c r="M92" s="23">
        <f ca="1">'GS &lt; 50 OLS Model'!$B$6*D92</f>
        <v>16152.357435020387</v>
      </c>
      <c r="N92" s="23">
        <f ca="1">'GS &lt; 50 OLS Model'!$B$7*E92</f>
        <v>1470278.0820278767</v>
      </c>
      <c r="O92" s="23">
        <f>'GS &lt; 50 OLS Model'!$B$8*F92</f>
        <v>12194724.280926459</v>
      </c>
      <c r="P92" s="23">
        <f>'GS &lt; 50 OLS Model'!$B$9*G92</f>
        <v>912607.54486392904</v>
      </c>
      <c r="Q92" s="23">
        <f>'GS &lt; 50 OLS Model'!$B$10*H92</f>
        <v>0</v>
      </c>
      <c r="R92" s="23">
        <f>'GS &lt; 50 OLS Model'!$B$11*I92</f>
        <v>0</v>
      </c>
      <c r="S92" s="23">
        <f>'GS &lt; 50 OLS Model'!$B$12*J92</f>
        <v>0</v>
      </c>
      <c r="T92" s="23">
        <f t="shared" ca="1" si="9"/>
        <v>7726261.3069731053</v>
      </c>
    </row>
    <row r="93" spans="1:20">
      <c r="A93" s="11">
        <v>42583</v>
      </c>
      <c r="B93" s="6">
        <f t="shared" si="8"/>
        <v>2016</v>
      </c>
      <c r="D93">
        <f t="shared" ca="1" si="11"/>
        <v>12.719999999999999</v>
      </c>
      <c r="E93">
        <f t="shared" ca="1" si="11"/>
        <v>77.22999999999999</v>
      </c>
      <c r="F93" s="60">
        <f>SUMIF('Connection count '!B:B,B93,'Connection count '!H:H)</f>
        <v>2950.2635021247315</v>
      </c>
      <c r="G93" s="30">
        <f t="shared" si="10"/>
        <v>1</v>
      </c>
      <c r="H93" s="30">
        <f t="shared" si="10"/>
        <v>0</v>
      </c>
      <c r="I93" s="30">
        <f t="shared" si="10"/>
        <v>0</v>
      </c>
      <c r="J93" s="30">
        <f t="shared" si="10"/>
        <v>0</v>
      </c>
      <c r="L93" s="23">
        <f>'GS &lt; 50 OLS Model'!$B$5</f>
        <v>-6867500.9582801796</v>
      </c>
      <c r="M93" s="23">
        <f ca="1">'GS &lt; 50 OLS Model'!$B$6*D93</f>
        <v>41009.578158375116</v>
      </c>
      <c r="N93" s="23">
        <f ca="1">'GS &lt; 50 OLS Model'!$B$7*E93</f>
        <v>1171701.3339697958</v>
      </c>
      <c r="O93" s="23">
        <f>'GS &lt; 50 OLS Model'!$B$8*F93</f>
        <v>12194724.280926459</v>
      </c>
      <c r="P93" s="23">
        <f>'GS &lt; 50 OLS Model'!$B$9*G93</f>
        <v>912607.54486392904</v>
      </c>
      <c r="Q93" s="23">
        <f>'GS &lt; 50 OLS Model'!$B$10*H93</f>
        <v>0</v>
      </c>
      <c r="R93" s="23">
        <f>'GS &lt; 50 OLS Model'!$B$11*I93</f>
        <v>0</v>
      </c>
      <c r="S93" s="23">
        <f>'GS &lt; 50 OLS Model'!$B$12*J93</f>
        <v>0</v>
      </c>
      <c r="T93" s="23">
        <f t="shared" ca="1" si="9"/>
        <v>7452541.7796383789</v>
      </c>
    </row>
    <row r="94" spans="1:20">
      <c r="A94" s="11">
        <v>42614</v>
      </c>
      <c r="B94" s="6">
        <f t="shared" si="8"/>
        <v>2016</v>
      </c>
      <c r="D94">
        <f t="shared" ca="1" si="11"/>
        <v>86.570000000000007</v>
      </c>
      <c r="E94">
        <f t="shared" ca="1" si="11"/>
        <v>19.899999999999999</v>
      </c>
      <c r="F94" s="60">
        <f>SUMIF('Connection count '!B:B,B94,'Connection count '!H:H)</f>
        <v>2950.2635021247315</v>
      </c>
      <c r="G94" s="30">
        <f t="shared" ref="G94:J113" si="12">G82</f>
        <v>1</v>
      </c>
      <c r="H94" s="30">
        <f t="shared" si="12"/>
        <v>1</v>
      </c>
      <c r="I94" s="30">
        <f t="shared" si="12"/>
        <v>0</v>
      </c>
      <c r="J94" s="30">
        <f t="shared" si="12"/>
        <v>0</v>
      </c>
      <c r="L94" s="23">
        <f>'GS &lt; 50 OLS Model'!$B$5</f>
        <v>-6867500.9582801796</v>
      </c>
      <c r="M94" s="23">
        <f ca="1">'GS &lt; 50 OLS Model'!$B$6*D94</f>
        <v>279103.70921151998</v>
      </c>
      <c r="N94" s="23">
        <f ca="1">'GS &lt; 50 OLS Model'!$B$7*E94</f>
        <v>301914.49625791714</v>
      </c>
      <c r="O94" s="23">
        <f>'GS &lt; 50 OLS Model'!$B$8*F94</f>
        <v>12194724.280926459</v>
      </c>
      <c r="P94" s="23">
        <f>'GS &lt; 50 OLS Model'!$B$9*G94</f>
        <v>912607.54486392904</v>
      </c>
      <c r="Q94" s="23">
        <f>'GS &lt; 50 OLS Model'!$B$10*H94</f>
        <v>-165959.07761345801</v>
      </c>
      <c r="R94" s="23">
        <f>'GS &lt; 50 OLS Model'!$B$11*I94</f>
        <v>0</v>
      </c>
      <c r="S94" s="23">
        <f>'GS &lt; 50 OLS Model'!$B$12*J94</f>
        <v>0</v>
      </c>
      <c r="T94" s="23">
        <f t="shared" ca="1" si="9"/>
        <v>6820849.0729796449</v>
      </c>
    </row>
    <row r="95" spans="1:20">
      <c r="A95" s="11">
        <v>42644</v>
      </c>
      <c r="B95" s="6">
        <f t="shared" si="8"/>
        <v>2016</v>
      </c>
      <c r="D95">
        <f t="shared" ref="D95:E97" ca="1" si="13">D83</f>
        <v>270.3</v>
      </c>
      <c r="E95">
        <f t="shared" ca="1" si="13"/>
        <v>1.21</v>
      </c>
      <c r="F95" s="60">
        <f>SUMIF('Connection count '!B:B,B95,'Connection count '!H:H)</f>
        <v>2950.2635021247315</v>
      </c>
      <c r="G95" s="30">
        <f t="shared" si="12"/>
        <v>1</v>
      </c>
      <c r="H95" s="30">
        <f t="shared" si="12"/>
        <v>1</v>
      </c>
      <c r="I95" s="30">
        <f t="shared" si="12"/>
        <v>0</v>
      </c>
      <c r="J95" s="30">
        <f t="shared" si="12"/>
        <v>0</v>
      </c>
      <c r="L95" s="23">
        <f>'GS &lt; 50 OLS Model'!$B$5</f>
        <v>-6867500.9582801796</v>
      </c>
      <c r="M95" s="23">
        <f ca="1">'GS &lt; 50 OLS Model'!$B$6*D95</f>
        <v>871453.53586547123</v>
      </c>
      <c r="N95" s="23">
        <f ca="1">'GS &lt; 50 OLS Model'!$B$7*E95</f>
        <v>18357.615099099487</v>
      </c>
      <c r="O95" s="23">
        <f>'GS &lt; 50 OLS Model'!$B$8*F95</f>
        <v>12194724.280926459</v>
      </c>
      <c r="P95" s="23">
        <f>'GS &lt; 50 OLS Model'!$B$9*G95</f>
        <v>912607.54486392904</v>
      </c>
      <c r="Q95" s="23">
        <f>'GS &lt; 50 OLS Model'!$B$10*H95</f>
        <v>-165959.07761345801</v>
      </c>
      <c r="R95" s="23">
        <f>'GS &lt; 50 OLS Model'!$B$11*I95</f>
        <v>0</v>
      </c>
      <c r="S95" s="23">
        <f>'GS &lt; 50 OLS Model'!$B$12*J95</f>
        <v>0</v>
      </c>
      <c r="T95" s="23">
        <f t="shared" ca="1" si="9"/>
        <v>7129642.0184747782</v>
      </c>
    </row>
    <row r="96" spans="1:20">
      <c r="A96" s="11">
        <v>42675</v>
      </c>
      <c r="B96" s="6">
        <f t="shared" si="8"/>
        <v>2016</v>
      </c>
      <c r="D96">
        <f t="shared" ca="1" si="13"/>
        <v>444.05</v>
      </c>
      <c r="E96">
        <f t="shared" ca="1" si="13"/>
        <v>0</v>
      </c>
      <c r="F96" s="60">
        <f>SUMIF('Connection count '!B:B,B96,'Connection count '!H:H)</f>
        <v>2950.2635021247315</v>
      </c>
      <c r="G96" s="30">
        <f t="shared" si="12"/>
        <v>1</v>
      </c>
      <c r="H96" s="30">
        <f t="shared" si="12"/>
        <v>1</v>
      </c>
      <c r="I96" s="30">
        <f t="shared" si="12"/>
        <v>0</v>
      </c>
      <c r="J96" s="30">
        <f t="shared" si="12"/>
        <v>0</v>
      </c>
      <c r="L96" s="23">
        <f>'GS &lt; 50 OLS Model'!$B$5</f>
        <v>-6867500.9582801796</v>
      </c>
      <c r="M96" s="23">
        <f ca="1">'GS &lt; 50 OLS Model'!$B$6*D96</f>
        <v>1431627.6085869868</v>
      </c>
      <c r="N96" s="23">
        <f ca="1">'GS &lt; 50 OLS Model'!$B$7*E96</f>
        <v>0</v>
      </c>
      <c r="O96" s="23">
        <f>'GS &lt; 50 OLS Model'!$B$8*F96</f>
        <v>12194724.280926459</v>
      </c>
      <c r="P96" s="23">
        <f>'GS &lt; 50 OLS Model'!$B$9*G96</f>
        <v>912607.54486392904</v>
      </c>
      <c r="Q96" s="23">
        <f>'GS &lt; 50 OLS Model'!$B$10*H96</f>
        <v>-165959.07761345801</v>
      </c>
      <c r="R96" s="23">
        <f>'GS &lt; 50 OLS Model'!$B$11*I96</f>
        <v>0</v>
      </c>
      <c r="S96" s="23">
        <f>'GS &lt; 50 OLS Model'!$B$12*J96</f>
        <v>0</v>
      </c>
      <c r="T96" s="23">
        <f t="shared" ca="1" si="9"/>
        <v>7671458.4760971945</v>
      </c>
    </row>
    <row r="97" spans="1:20">
      <c r="A97" s="11">
        <v>42705</v>
      </c>
      <c r="B97" s="6">
        <f t="shared" si="8"/>
        <v>2016</v>
      </c>
      <c r="D97">
        <f t="shared" ca="1" si="13"/>
        <v>684.01</v>
      </c>
      <c r="E97">
        <f t="shared" ca="1" si="13"/>
        <v>0</v>
      </c>
      <c r="F97" s="60">
        <f>SUMIF('Connection count '!B:B,B97,'Connection count '!H:H)</f>
        <v>2950.2635021247315</v>
      </c>
      <c r="G97" s="30">
        <f t="shared" si="12"/>
        <v>1</v>
      </c>
      <c r="H97" s="30">
        <f t="shared" si="12"/>
        <v>0</v>
      </c>
      <c r="I97" s="30">
        <f t="shared" si="12"/>
        <v>0</v>
      </c>
      <c r="J97" s="30">
        <f t="shared" si="12"/>
        <v>0</v>
      </c>
      <c r="L97" s="23">
        <f>'GS &lt; 50 OLS Model'!$B$5</f>
        <v>-6867500.9582801796</v>
      </c>
      <c r="M97" s="23">
        <f ca="1">'GS &lt; 50 OLS Model'!$B$6*D97</f>
        <v>2205264.2732791007</v>
      </c>
      <c r="N97" s="23">
        <f ca="1">'GS &lt; 50 OLS Model'!$B$7*E97</f>
        <v>0</v>
      </c>
      <c r="O97" s="23">
        <f>'GS &lt; 50 OLS Model'!$B$8*F97</f>
        <v>12194724.280926459</v>
      </c>
      <c r="P97" s="23">
        <f>'GS &lt; 50 OLS Model'!$B$9*G97</f>
        <v>912607.54486392904</v>
      </c>
      <c r="Q97" s="23">
        <f>'GS &lt; 50 OLS Model'!$B$10*H97</f>
        <v>0</v>
      </c>
      <c r="R97" s="23">
        <f>'GS &lt; 50 OLS Model'!$B$11*I97</f>
        <v>0</v>
      </c>
      <c r="S97" s="23">
        <f>'GS &lt; 50 OLS Model'!$B$12*J97</f>
        <v>0</v>
      </c>
      <c r="T97" s="23">
        <f t="shared" ca="1" si="9"/>
        <v>8445095.1407893077</v>
      </c>
    </row>
    <row r="98" spans="1:20">
      <c r="A98" s="11">
        <v>42736</v>
      </c>
      <c r="B98" s="6">
        <f t="shared" ref="B98:B145" si="14">YEAR(A98)</f>
        <v>2017</v>
      </c>
      <c r="D98">
        <f t="shared" ref="D98:E117" ca="1" si="15">D86</f>
        <v>784.29</v>
      </c>
      <c r="E98">
        <f t="shared" ca="1" si="15"/>
        <v>0</v>
      </c>
      <c r="F98" s="60">
        <f>SUMIF('Connection count '!B:B,B98,'Connection count '!H:H)</f>
        <v>2900.9910120031923</v>
      </c>
      <c r="G98" s="30">
        <f t="shared" si="12"/>
        <v>1</v>
      </c>
      <c r="H98" s="30">
        <f t="shared" si="12"/>
        <v>0</v>
      </c>
      <c r="I98" s="30">
        <f t="shared" si="12"/>
        <v>0</v>
      </c>
      <c r="J98" s="30">
        <f t="shared" si="12"/>
        <v>0</v>
      </c>
      <c r="L98" s="23">
        <f>'GS &lt; 50 OLS Model'!$B$5</f>
        <v>-6867500.9582801796</v>
      </c>
      <c r="M98" s="23">
        <f ca="1">'GS &lt; 50 OLS Model'!$B$6*D98</f>
        <v>2528569.3438547184</v>
      </c>
      <c r="N98" s="23">
        <f ca="1">'GS &lt; 50 OLS Model'!$B$7*E98</f>
        <v>0</v>
      </c>
      <c r="O98" s="23">
        <f>'GS &lt; 50 OLS Model'!$B$8*F98</f>
        <v>11991059.614623224</v>
      </c>
      <c r="P98" s="23">
        <f>'GS &lt; 50 OLS Model'!$B$9*G98</f>
        <v>912607.54486392904</v>
      </c>
      <c r="Q98" s="23">
        <f>'GS &lt; 50 OLS Model'!$B$10*H98</f>
        <v>0</v>
      </c>
      <c r="R98" s="23">
        <f>'GS &lt; 50 OLS Model'!$B$11*I98</f>
        <v>0</v>
      </c>
      <c r="S98" s="23">
        <f>'GS &lt; 50 OLS Model'!$B$12*J98</f>
        <v>0</v>
      </c>
      <c r="T98" s="23">
        <f t="shared" ca="1" si="9"/>
        <v>8564735.5450616926</v>
      </c>
    </row>
    <row r="99" spans="1:20">
      <c r="A99" s="11">
        <v>42767</v>
      </c>
      <c r="B99" s="6">
        <f t="shared" si="14"/>
        <v>2017</v>
      </c>
      <c r="D99">
        <f t="shared" ca="1" si="15"/>
        <v>682.50999999999988</v>
      </c>
      <c r="E99">
        <f t="shared" ca="1" si="15"/>
        <v>0</v>
      </c>
      <c r="F99" s="60">
        <f>SUMIF('Connection count '!B:B,B99,'Connection count '!H:H)</f>
        <v>2900.9910120031923</v>
      </c>
      <c r="G99" s="30">
        <f t="shared" si="12"/>
        <v>1</v>
      </c>
      <c r="H99" s="30">
        <f t="shared" si="12"/>
        <v>0</v>
      </c>
      <c r="I99" s="30">
        <f t="shared" si="12"/>
        <v>1</v>
      </c>
      <c r="J99" s="30">
        <f t="shared" si="12"/>
        <v>0</v>
      </c>
      <c r="L99" s="23">
        <f>'GS &lt; 50 OLS Model'!$B$5</f>
        <v>-6867500.9582801796</v>
      </c>
      <c r="M99" s="23">
        <f ca="1">'GS &lt; 50 OLS Model'!$B$6*D99</f>
        <v>2200428.2381189149</v>
      </c>
      <c r="N99" s="23">
        <f ca="1">'GS &lt; 50 OLS Model'!$B$7*E99</f>
        <v>0</v>
      </c>
      <c r="O99" s="23">
        <f>'GS &lt; 50 OLS Model'!$B$8*F99</f>
        <v>11991059.614623224</v>
      </c>
      <c r="P99" s="23">
        <f>'GS &lt; 50 OLS Model'!$B$9*G99</f>
        <v>912607.54486392904</v>
      </c>
      <c r="Q99" s="23">
        <f>'GS &lt; 50 OLS Model'!$B$10*H99</f>
        <v>0</v>
      </c>
      <c r="R99" s="23">
        <f>'GS &lt; 50 OLS Model'!$B$11*I99</f>
        <v>-326910.06421591499</v>
      </c>
      <c r="S99" s="23">
        <f>'GS &lt; 50 OLS Model'!$B$12*J99</f>
        <v>0</v>
      </c>
      <c r="T99" s="23">
        <f t="shared" ref="T99:T130" ca="1" si="16">SUM(L99:P99)</f>
        <v>8236594.4393258886</v>
      </c>
    </row>
    <row r="100" spans="1:20">
      <c r="A100" s="11">
        <v>42795</v>
      </c>
      <c r="B100" s="6">
        <f t="shared" si="14"/>
        <v>2017</v>
      </c>
      <c r="D100">
        <f t="shared" ca="1" si="15"/>
        <v>556.99</v>
      </c>
      <c r="E100">
        <f t="shared" ca="1" si="15"/>
        <v>0</v>
      </c>
      <c r="F100" s="60">
        <f>SUMIF('Connection count '!B:B,B100,'Connection count '!H:H)</f>
        <v>2900.9910120031923</v>
      </c>
      <c r="G100" s="30">
        <f t="shared" si="12"/>
        <v>1</v>
      </c>
      <c r="H100" s="30">
        <f t="shared" si="12"/>
        <v>0</v>
      </c>
      <c r="I100" s="30">
        <f t="shared" si="12"/>
        <v>0</v>
      </c>
      <c r="J100" s="30">
        <f t="shared" si="12"/>
        <v>0</v>
      </c>
      <c r="L100" s="23">
        <f>'GS &lt; 50 OLS Model'!$B$5</f>
        <v>-6867500.9582801796</v>
      </c>
      <c r="M100" s="23">
        <f ca="1">'GS &lt; 50 OLS Model'!$B$6*D100</f>
        <v>1795748.815914572</v>
      </c>
      <c r="N100" s="23">
        <f ca="1">'GS &lt; 50 OLS Model'!$B$7*E100</f>
        <v>0</v>
      </c>
      <c r="O100" s="23">
        <f>'GS &lt; 50 OLS Model'!$B$8*F100</f>
        <v>11991059.614623224</v>
      </c>
      <c r="P100" s="23">
        <f>'GS &lt; 50 OLS Model'!$B$9*G100</f>
        <v>912607.54486392904</v>
      </c>
      <c r="Q100" s="23">
        <f>'GS &lt; 50 OLS Model'!$B$10*H100</f>
        <v>0</v>
      </c>
      <c r="R100" s="23">
        <f>'GS &lt; 50 OLS Model'!$B$11*I100</f>
        <v>0</v>
      </c>
      <c r="S100" s="23">
        <f>'GS &lt; 50 OLS Model'!$B$12*J100</f>
        <v>0</v>
      </c>
      <c r="T100" s="23">
        <f t="shared" ca="1" si="16"/>
        <v>7831915.017121546</v>
      </c>
    </row>
    <row r="101" spans="1:20">
      <c r="A101" s="11">
        <v>42826</v>
      </c>
      <c r="B101" s="6">
        <f t="shared" si="14"/>
        <v>2017</v>
      </c>
      <c r="D101">
        <f t="shared" ca="1" si="15"/>
        <v>326.58999999999997</v>
      </c>
      <c r="E101">
        <f t="shared" ca="1" si="15"/>
        <v>0.39</v>
      </c>
      <c r="F101" s="60">
        <f>SUMIF('Connection count '!B:B,B101,'Connection count '!H:H)</f>
        <v>2900.9910120031923</v>
      </c>
      <c r="G101" s="30">
        <f t="shared" si="12"/>
        <v>1</v>
      </c>
      <c r="H101" s="30">
        <f t="shared" si="12"/>
        <v>0</v>
      </c>
      <c r="I101" s="30">
        <f t="shared" si="12"/>
        <v>0</v>
      </c>
      <c r="J101" s="30">
        <f t="shared" si="12"/>
        <v>1</v>
      </c>
      <c r="L101" s="23">
        <f>'GS &lt; 50 OLS Model'!$B$5</f>
        <v>-6867500.9582801796</v>
      </c>
      <c r="M101" s="23">
        <f ca="1">'GS &lt; 50 OLS Model'!$B$6*D101</f>
        <v>1052933.8153100414</v>
      </c>
      <c r="N101" s="23">
        <f ca="1">'GS &lt; 50 OLS Model'!$B$7*E101</f>
        <v>5916.9172633461158</v>
      </c>
      <c r="O101" s="23">
        <f>'GS &lt; 50 OLS Model'!$B$8*F101</f>
        <v>11991059.614623224</v>
      </c>
      <c r="P101" s="23">
        <f>'GS &lt; 50 OLS Model'!$B$9*G101</f>
        <v>912607.54486392904</v>
      </c>
      <c r="Q101" s="23">
        <f>'GS &lt; 50 OLS Model'!$B$10*H101</f>
        <v>0</v>
      </c>
      <c r="R101" s="23">
        <f>'GS &lt; 50 OLS Model'!$B$11*I101</f>
        <v>0</v>
      </c>
      <c r="S101" s="23">
        <f>'GS &lt; 50 OLS Model'!$B$12*J101</f>
        <v>-430621.67531502497</v>
      </c>
      <c r="T101" s="23">
        <f t="shared" ca="1" si="16"/>
        <v>7095016.933780361</v>
      </c>
    </row>
    <row r="102" spans="1:20">
      <c r="A102" s="11">
        <v>42856</v>
      </c>
      <c r="B102" s="6">
        <f t="shared" si="14"/>
        <v>2017</v>
      </c>
      <c r="D102">
        <f t="shared" ca="1" si="15"/>
        <v>144.96</v>
      </c>
      <c r="E102">
        <f t="shared" ca="1" si="15"/>
        <v>8.67</v>
      </c>
      <c r="F102" s="60">
        <f>SUMIF('Connection count '!B:B,B102,'Connection count '!H:H)</f>
        <v>2900.9910120031923</v>
      </c>
      <c r="G102" s="30">
        <f t="shared" si="12"/>
        <v>1</v>
      </c>
      <c r="H102" s="30">
        <f t="shared" si="12"/>
        <v>0</v>
      </c>
      <c r="I102" s="30">
        <f t="shared" si="12"/>
        <v>0</v>
      </c>
      <c r="J102" s="30">
        <f t="shared" si="12"/>
        <v>0</v>
      </c>
      <c r="L102" s="23">
        <f>'GS &lt; 50 OLS Model'!$B$5</f>
        <v>-6867500.9582801796</v>
      </c>
      <c r="M102" s="23">
        <f ca="1">'GS &lt; 50 OLS Model'!$B$6*D102</f>
        <v>467354.43788035039</v>
      </c>
      <c r="N102" s="23">
        <f ca="1">'GS &lt; 50 OLS Model'!$B$7*E102</f>
        <v>131537.62223900211</v>
      </c>
      <c r="O102" s="23">
        <f>'GS &lt; 50 OLS Model'!$B$8*F102</f>
        <v>11991059.614623224</v>
      </c>
      <c r="P102" s="23">
        <f>'GS &lt; 50 OLS Model'!$B$9*G102</f>
        <v>912607.54486392904</v>
      </c>
      <c r="Q102" s="23">
        <f>'GS &lt; 50 OLS Model'!$B$10*H102</f>
        <v>0</v>
      </c>
      <c r="R102" s="23">
        <f>'GS &lt; 50 OLS Model'!$B$11*I102</f>
        <v>0</v>
      </c>
      <c r="S102" s="23">
        <f>'GS &lt; 50 OLS Model'!$B$12*J102</f>
        <v>0</v>
      </c>
      <c r="T102" s="23">
        <f t="shared" ca="1" si="16"/>
        <v>6635058.2613263261</v>
      </c>
    </row>
    <row r="103" spans="1:20">
      <c r="A103" s="11">
        <v>42887</v>
      </c>
      <c r="B103" s="6">
        <f t="shared" si="14"/>
        <v>2017</v>
      </c>
      <c r="D103">
        <f t="shared" ca="1" si="15"/>
        <v>41.510000000000005</v>
      </c>
      <c r="E103">
        <f t="shared" ca="1" si="15"/>
        <v>44.41</v>
      </c>
      <c r="F103" s="60">
        <f>SUMIF('Connection count '!B:B,B103,'Connection count '!H:H)</f>
        <v>2900.9910120031923</v>
      </c>
      <c r="G103" s="30">
        <f t="shared" si="12"/>
        <v>1</v>
      </c>
      <c r="H103" s="30">
        <f t="shared" si="12"/>
        <v>0</v>
      </c>
      <c r="I103" s="30">
        <f t="shared" si="12"/>
        <v>0</v>
      </c>
      <c r="J103" s="30">
        <f t="shared" si="12"/>
        <v>0</v>
      </c>
      <c r="L103" s="23">
        <f>'GS &lt; 50 OLS Model'!$B$5</f>
        <v>-6867500.9582801796</v>
      </c>
      <c r="M103" s="23">
        <f ca="1">'GS &lt; 50 OLS Model'!$B$6*D103</f>
        <v>133829.21299954021</v>
      </c>
      <c r="N103" s="23">
        <f ca="1">'GS &lt; 50 OLS Model'!$B$7*E103</f>
        <v>673769.98888513062</v>
      </c>
      <c r="O103" s="23">
        <f>'GS &lt; 50 OLS Model'!$B$8*F103</f>
        <v>11991059.614623224</v>
      </c>
      <c r="P103" s="23">
        <f>'GS &lt; 50 OLS Model'!$B$9*G103</f>
        <v>912607.54486392904</v>
      </c>
      <c r="Q103" s="23">
        <f>'GS &lt; 50 OLS Model'!$B$10*H103</f>
        <v>0</v>
      </c>
      <c r="R103" s="23">
        <f>'GS &lt; 50 OLS Model'!$B$11*I103</f>
        <v>0</v>
      </c>
      <c r="S103" s="23">
        <f>'GS &lt; 50 OLS Model'!$B$12*J103</f>
        <v>0</v>
      </c>
      <c r="T103" s="23">
        <f t="shared" ca="1" si="16"/>
        <v>6843765.4030916449</v>
      </c>
    </row>
    <row r="104" spans="1:20">
      <c r="A104" s="11">
        <v>42917</v>
      </c>
      <c r="B104" s="6">
        <f t="shared" si="14"/>
        <v>2017</v>
      </c>
      <c r="D104">
        <f t="shared" ca="1" si="15"/>
        <v>5.01</v>
      </c>
      <c r="E104">
        <f t="shared" ca="1" si="15"/>
        <v>96.909999999999982</v>
      </c>
      <c r="F104" s="60">
        <f>SUMIF('Connection count '!B:B,B104,'Connection count '!H:H)</f>
        <v>2900.9910120031923</v>
      </c>
      <c r="G104" s="30">
        <f t="shared" si="12"/>
        <v>1</v>
      </c>
      <c r="H104" s="30">
        <f t="shared" si="12"/>
        <v>0</v>
      </c>
      <c r="I104" s="30">
        <f t="shared" si="12"/>
        <v>0</v>
      </c>
      <c r="J104" s="30">
        <f t="shared" si="12"/>
        <v>0</v>
      </c>
      <c r="L104" s="23">
        <f>'GS &lt; 50 OLS Model'!$B$5</f>
        <v>-6867500.9582801796</v>
      </c>
      <c r="M104" s="23">
        <f ca="1">'GS &lt; 50 OLS Model'!$B$6*D104</f>
        <v>16152.357435020387</v>
      </c>
      <c r="N104" s="23">
        <f ca="1">'GS &lt; 50 OLS Model'!$B$7*E104</f>
        <v>1470278.0820278767</v>
      </c>
      <c r="O104" s="23">
        <f>'GS &lt; 50 OLS Model'!$B$8*F104</f>
        <v>11991059.614623224</v>
      </c>
      <c r="P104" s="23">
        <f>'GS &lt; 50 OLS Model'!$B$9*G104</f>
        <v>912607.54486392904</v>
      </c>
      <c r="Q104" s="23">
        <f>'GS &lt; 50 OLS Model'!$B$10*H104</f>
        <v>0</v>
      </c>
      <c r="R104" s="23">
        <f>'GS &lt; 50 OLS Model'!$B$11*I104</f>
        <v>0</v>
      </c>
      <c r="S104" s="23">
        <f>'GS &lt; 50 OLS Model'!$B$12*J104</f>
        <v>0</v>
      </c>
      <c r="T104" s="23">
        <f t="shared" ca="1" si="16"/>
        <v>7522596.6406698711</v>
      </c>
    </row>
    <row r="105" spans="1:20">
      <c r="A105" s="11">
        <v>42948</v>
      </c>
      <c r="B105" s="6">
        <f t="shared" si="14"/>
        <v>2017</v>
      </c>
      <c r="D105">
        <f t="shared" ca="1" si="15"/>
        <v>12.719999999999999</v>
      </c>
      <c r="E105">
        <f t="shared" ca="1" si="15"/>
        <v>77.22999999999999</v>
      </c>
      <c r="F105" s="60">
        <f>SUMIF('Connection count '!B:B,B105,'Connection count '!H:H)</f>
        <v>2900.9910120031923</v>
      </c>
      <c r="G105" s="30">
        <f t="shared" si="12"/>
        <v>1</v>
      </c>
      <c r="H105" s="30">
        <f t="shared" si="12"/>
        <v>0</v>
      </c>
      <c r="I105" s="30">
        <f t="shared" si="12"/>
        <v>0</v>
      </c>
      <c r="J105" s="30">
        <f t="shared" si="12"/>
        <v>0</v>
      </c>
      <c r="L105" s="23">
        <f>'GS &lt; 50 OLS Model'!$B$5</f>
        <v>-6867500.9582801796</v>
      </c>
      <c r="M105" s="23">
        <f ca="1">'GS &lt; 50 OLS Model'!$B$6*D105</f>
        <v>41009.578158375116</v>
      </c>
      <c r="N105" s="23">
        <f ca="1">'GS &lt; 50 OLS Model'!$B$7*E105</f>
        <v>1171701.3339697958</v>
      </c>
      <c r="O105" s="23">
        <f>'GS &lt; 50 OLS Model'!$B$8*F105</f>
        <v>11991059.614623224</v>
      </c>
      <c r="P105" s="23">
        <f>'GS &lt; 50 OLS Model'!$B$9*G105</f>
        <v>912607.54486392904</v>
      </c>
      <c r="Q105" s="23">
        <f>'GS &lt; 50 OLS Model'!$B$10*H105</f>
        <v>0</v>
      </c>
      <c r="R105" s="23">
        <f>'GS &lt; 50 OLS Model'!$B$11*I105</f>
        <v>0</v>
      </c>
      <c r="S105" s="23">
        <f>'GS &lt; 50 OLS Model'!$B$12*J105</f>
        <v>0</v>
      </c>
      <c r="T105" s="23">
        <f t="shared" ca="1" si="16"/>
        <v>7248877.1133351447</v>
      </c>
    </row>
    <row r="106" spans="1:20">
      <c r="A106" s="11">
        <v>42979</v>
      </c>
      <c r="B106" s="6">
        <f t="shared" si="14"/>
        <v>2017</v>
      </c>
      <c r="D106">
        <f t="shared" ca="1" si="15"/>
        <v>86.570000000000007</v>
      </c>
      <c r="E106">
        <f t="shared" ca="1" si="15"/>
        <v>19.899999999999999</v>
      </c>
      <c r="F106" s="60">
        <f>SUMIF('Connection count '!B:B,B106,'Connection count '!H:H)</f>
        <v>2900.9910120031923</v>
      </c>
      <c r="G106" s="30">
        <f t="shared" si="12"/>
        <v>1</v>
      </c>
      <c r="H106" s="30">
        <f t="shared" si="12"/>
        <v>1</v>
      </c>
      <c r="I106" s="30">
        <f t="shared" si="12"/>
        <v>0</v>
      </c>
      <c r="J106" s="30">
        <f t="shared" si="12"/>
        <v>0</v>
      </c>
      <c r="L106" s="23">
        <f>'GS &lt; 50 OLS Model'!$B$5</f>
        <v>-6867500.9582801796</v>
      </c>
      <c r="M106" s="23">
        <f ca="1">'GS &lt; 50 OLS Model'!$B$6*D106</f>
        <v>279103.70921151998</v>
      </c>
      <c r="N106" s="23">
        <f ca="1">'GS &lt; 50 OLS Model'!$B$7*E106</f>
        <v>301914.49625791714</v>
      </c>
      <c r="O106" s="23">
        <f>'GS &lt; 50 OLS Model'!$B$8*F106</f>
        <v>11991059.614623224</v>
      </c>
      <c r="P106" s="23">
        <f>'GS &lt; 50 OLS Model'!$B$9*G106</f>
        <v>912607.54486392904</v>
      </c>
      <c r="Q106" s="23">
        <f>'GS &lt; 50 OLS Model'!$B$10*H106</f>
        <v>-165959.07761345801</v>
      </c>
      <c r="R106" s="23">
        <f>'GS &lt; 50 OLS Model'!$B$11*I106</f>
        <v>0</v>
      </c>
      <c r="S106" s="23">
        <f>'GS &lt; 50 OLS Model'!$B$12*J106</f>
        <v>0</v>
      </c>
      <c r="T106" s="23">
        <f t="shared" ca="1" si="16"/>
        <v>6617184.4066764107</v>
      </c>
    </row>
    <row r="107" spans="1:20">
      <c r="A107" s="11">
        <v>43009</v>
      </c>
      <c r="B107" s="6">
        <f t="shared" si="14"/>
        <v>2017</v>
      </c>
      <c r="D107">
        <f t="shared" ca="1" si="15"/>
        <v>270.3</v>
      </c>
      <c r="E107">
        <f t="shared" ca="1" si="15"/>
        <v>1.21</v>
      </c>
      <c r="F107" s="60">
        <f>SUMIF('Connection count '!B:B,B107,'Connection count '!H:H)</f>
        <v>2900.9910120031923</v>
      </c>
      <c r="G107" s="30">
        <f t="shared" si="12"/>
        <v>1</v>
      </c>
      <c r="H107" s="30">
        <f t="shared" si="12"/>
        <v>1</v>
      </c>
      <c r="I107" s="30">
        <f t="shared" si="12"/>
        <v>0</v>
      </c>
      <c r="J107" s="30">
        <f t="shared" si="12"/>
        <v>0</v>
      </c>
      <c r="L107" s="23">
        <f>'GS &lt; 50 OLS Model'!$B$5</f>
        <v>-6867500.9582801796</v>
      </c>
      <c r="M107" s="23">
        <f ca="1">'GS &lt; 50 OLS Model'!$B$6*D107</f>
        <v>871453.53586547123</v>
      </c>
      <c r="N107" s="23">
        <f ca="1">'GS &lt; 50 OLS Model'!$B$7*E107</f>
        <v>18357.615099099487</v>
      </c>
      <c r="O107" s="23">
        <f>'GS &lt; 50 OLS Model'!$B$8*F107</f>
        <v>11991059.614623224</v>
      </c>
      <c r="P107" s="23">
        <f>'GS &lt; 50 OLS Model'!$B$9*G107</f>
        <v>912607.54486392904</v>
      </c>
      <c r="Q107" s="23">
        <f>'GS &lt; 50 OLS Model'!$B$10*H107</f>
        <v>-165959.07761345801</v>
      </c>
      <c r="R107" s="23">
        <f>'GS &lt; 50 OLS Model'!$B$11*I107</f>
        <v>0</v>
      </c>
      <c r="S107" s="23">
        <f>'GS &lt; 50 OLS Model'!$B$12*J107</f>
        <v>0</v>
      </c>
      <c r="T107" s="23">
        <f t="shared" ca="1" si="16"/>
        <v>6925977.352171544</v>
      </c>
    </row>
    <row r="108" spans="1:20">
      <c r="A108" s="11">
        <v>43040</v>
      </c>
      <c r="B108" s="6">
        <f t="shared" si="14"/>
        <v>2017</v>
      </c>
      <c r="D108">
        <f t="shared" ca="1" si="15"/>
        <v>444.05</v>
      </c>
      <c r="E108">
        <f t="shared" ca="1" si="15"/>
        <v>0</v>
      </c>
      <c r="F108" s="60">
        <f>SUMIF('Connection count '!B:B,B108,'Connection count '!H:H)</f>
        <v>2900.9910120031923</v>
      </c>
      <c r="G108" s="30">
        <f t="shared" si="12"/>
        <v>1</v>
      </c>
      <c r="H108" s="30">
        <f t="shared" si="12"/>
        <v>1</v>
      </c>
      <c r="I108" s="30">
        <f t="shared" si="12"/>
        <v>0</v>
      </c>
      <c r="J108" s="30">
        <f t="shared" si="12"/>
        <v>0</v>
      </c>
      <c r="L108" s="23">
        <f>'GS &lt; 50 OLS Model'!$B$5</f>
        <v>-6867500.9582801796</v>
      </c>
      <c r="M108" s="23">
        <f ca="1">'GS &lt; 50 OLS Model'!$B$6*D108</f>
        <v>1431627.6085869868</v>
      </c>
      <c r="N108" s="23">
        <f ca="1">'GS &lt; 50 OLS Model'!$B$7*E108</f>
        <v>0</v>
      </c>
      <c r="O108" s="23">
        <f>'GS &lt; 50 OLS Model'!$B$8*F108</f>
        <v>11991059.614623224</v>
      </c>
      <c r="P108" s="23">
        <f>'GS &lt; 50 OLS Model'!$B$9*G108</f>
        <v>912607.54486392904</v>
      </c>
      <c r="Q108" s="23">
        <f>'GS &lt; 50 OLS Model'!$B$10*H108</f>
        <v>-165959.07761345801</v>
      </c>
      <c r="R108" s="23">
        <f>'GS &lt; 50 OLS Model'!$B$11*I108</f>
        <v>0</v>
      </c>
      <c r="S108" s="23">
        <f>'GS &lt; 50 OLS Model'!$B$12*J108</f>
        <v>0</v>
      </c>
      <c r="T108" s="23">
        <f t="shared" ca="1" si="16"/>
        <v>7467793.8097939603</v>
      </c>
    </row>
    <row r="109" spans="1:20">
      <c r="A109" s="11">
        <v>43070</v>
      </c>
      <c r="B109" s="6">
        <f t="shared" si="14"/>
        <v>2017</v>
      </c>
      <c r="D109">
        <f t="shared" ca="1" si="15"/>
        <v>684.01</v>
      </c>
      <c r="E109">
        <f t="shared" ca="1" si="15"/>
        <v>0</v>
      </c>
      <c r="F109" s="60">
        <f>SUMIF('Connection count '!B:B,B109,'Connection count '!H:H)</f>
        <v>2900.9910120031923</v>
      </c>
      <c r="G109" s="30">
        <f t="shared" si="12"/>
        <v>1</v>
      </c>
      <c r="H109" s="30">
        <f t="shared" si="12"/>
        <v>0</v>
      </c>
      <c r="I109" s="30">
        <f t="shared" si="12"/>
        <v>0</v>
      </c>
      <c r="J109" s="30">
        <f t="shared" si="12"/>
        <v>0</v>
      </c>
      <c r="L109" s="23">
        <f>'GS &lt; 50 OLS Model'!$B$5</f>
        <v>-6867500.9582801796</v>
      </c>
      <c r="M109" s="23">
        <f ca="1">'GS &lt; 50 OLS Model'!$B$6*D109</f>
        <v>2205264.2732791007</v>
      </c>
      <c r="N109" s="23">
        <f ca="1">'GS &lt; 50 OLS Model'!$B$7*E109</f>
        <v>0</v>
      </c>
      <c r="O109" s="23">
        <f>'GS &lt; 50 OLS Model'!$B$8*F109</f>
        <v>11991059.614623224</v>
      </c>
      <c r="P109" s="23">
        <f>'GS &lt; 50 OLS Model'!$B$9*G109</f>
        <v>912607.54486392904</v>
      </c>
      <c r="Q109" s="23">
        <f>'GS &lt; 50 OLS Model'!$B$10*H109</f>
        <v>0</v>
      </c>
      <c r="R109" s="23">
        <f>'GS &lt; 50 OLS Model'!$B$11*I109</f>
        <v>0</v>
      </c>
      <c r="S109" s="23">
        <f>'GS &lt; 50 OLS Model'!$B$12*J109</f>
        <v>0</v>
      </c>
      <c r="T109" s="23">
        <f t="shared" ca="1" si="16"/>
        <v>8241430.4744860744</v>
      </c>
    </row>
    <row r="110" spans="1:20">
      <c r="A110" s="11">
        <v>43101</v>
      </c>
      <c r="B110" s="6">
        <f t="shared" si="14"/>
        <v>2018</v>
      </c>
      <c r="D110">
        <f t="shared" ca="1" si="15"/>
        <v>784.29</v>
      </c>
      <c r="E110">
        <f t="shared" ca="1" si="15"/>
        <v>0</v>
      </c>
      <c r="F110" s="60">
        <f>SUMIF('Connection count '!B:B,B110,'Connection count '!H:H)</f>
        <v>2852.5414240668401</v>
      </c>
      <c r="G110" s="30">
        <f t="shared" si="12"/>
        <v>1</v>
      </c>
      <c r="H110" s="30">
        <f t="shared" si="12"/>
        <v>0</v>
      </c>
      <c r="I110" s="30">
        <f t="shared" si="12"/>
        <v>0</v>
      </c>
      <c r="J110" s="30">
        <f t="shared" si="12"/>
        <v>0</v>
      </c>
      <c r="L110" s="23">
        <f>'GS &lt; 50 OLS Model'!$B$5</f>
        <v>-6867500.9582801796</v>
      </c>
      <c r="M110" s="23">
        <f ca="1">'GS &lt; 50 OLS Model'!$B$6*D110</f>
        <v>2528569.3438547184</v>
      </c>
      <c r="N110" s="23">
        <f ca="1">'GS &lt; 50 OLS Model'!$B$7*E110</f>
        <v>0</v>
      </c>
      <c r="O110" s="23">
        <f>'GS &lt; 50 OLS Model'!$B$8*F110</f>
        <v>11790796.361533184</v>
      </c>
      <c r="P110" s="23">
        <f>'GS &lt; 50 OLS Model'!$B$9*G110</f>
        <v>912607.54486392904</v>
      </c>
      <c r="Q110" s="23">
        <f>'GS &lt; 50 OLS Model'!$B$10*H110</f>
        <v>0</v>
      </c>
      <c r="R110" s="23">
        <f>'GS &lt; 50 OLS Model'!$B$11*I110</f>
        <v>0</v>
      </c>
      <c r="S110" s="23">
        <f>'GS &lt; 50 OLS Model'!$B$12*J110</f>
        <v>0</v>
      </c>
      <c r="T110" s="23">
        <f t="shared" ca="1" si="16"/>
        <v>8364472.2919716509</v>
      </c>
    </row>
    <row r="111" spans="1:20">
      <c r="A111" s="11">
        <v>43132</v>
      </c>
      <c r="B111" s="6">
        <f t="shared" si="14"/>
        <v>2018</v>
      </c>
      <c r="D111">
        <f t="shared" ca="1" si="15"/>
        <v>682.50999999999988</v>
      </c>
      <c r="E111">
        <f t="shared" ca="1" si="15"/>
        <v>0</v>
      </c>
      <c r="F111" s="60">
        <f>SUMIF('Connection count '!B:B,B111,'Connection count '!H:H)</f>
        <v>2852.5414240668401</v>
      </c>
      <c r="G111" s="30">
        <f t="shared" si="12"/>
        <v>1</v>
      </c>
      <c r="H111" s="30">
        <f t="shared" si="12"/>
        <v>0</v>
      </c>
      <c r="I111" s="30">
        <f t="shared" si="12"/>
        <v>1</v>
      </c>
      <c r="J111" s="30">
        <f t="shared" si="12"/>
        <v>0</v>
      </c>
      <c r="L111" s="23">
        <f>'GS &lt; 50 OLS Model'!$B$5</f>
        <v>-6867500.9582801796</v>
      </c>
      <c r="M111" s="23">
        <f ca="1">'GS &lt; 50 OLS Model'!$B$6*D111</f>
        <v>2200428.2381189149</v>
      </c>
      <c r="N111" s="23">
        <f ca="1">'GS &lt; 50 OLS Model'!$B$7*E111</f>
        <v>0</v>
      </c>
      <c r="O111" s="23">
        <f>'GS &lt; 50 OLS Model'!$B$8*F111</f>
        <v>11790796.361533184</v>
      </c>
      <c r="P111" s="23">
        <f>'GS &lt; 50 OLS Model'!$B$9*G111</f>
        <v>912607.54486392904</v>
      </c>
      <c r="Q111" s="23">
        <f>'GS &lt; 50 OLS Model'!$B$10*H111</f>
        <v>0</v>
      </c>
      <c r="R111" s="23">
        <f>'GS &lt; 50 OLS Model'!$B$11*I111</f>
        <v>-326910.06421591499</v>
      </c>
      <c r="S111" s="23">
        <f>'GS &lt; 50 OLS Model'!$B$12*J111</f>
        <v>0</v>
      </c>
      <c r="T111" s="23">
        <f t="shared" ca="1" si="16"/>
        <v>8036331.1862358479</v>
      </c>
    </row>
    <row r="112" spans="1:20">
      <c r="A112" s="11">
        <v>43160</v>
      </c>
      <c r="B112" s="6">
        <f t="shared" si="14"/>
        <v>2018</v>
      </c>
      <c r="D112">
        <f t="shared" ca="1" si="15"/>
        <v>556.99</v>
      </c>
      <c r="E112">
        <f t="shared" ca="1" si="15"/>
        <v>0</v>
      </c>
      <c r="F112" s="60">
        <f>SUMIF('Connection count '!B:B,B112,'Connection count '!H:H)</f>
        <v>2852.5414240668401</v>
      </c>
      <c r="G112" s="30">
        <f t="shared" si="12"/>
        <v>1</v>
      </c>
      <c r="H112" s="30">
        <f t="shared" si="12"/>
        <v>0</v>
      </c>
      <c r="I112" s="30">
        <f t="shared" si="12"/>
        <v>0</v>
      </c>
      <c r="J112" s="30">
        <f t="shared" si="12"/>
        <v>0</v>
      </c>
      <c r="L112" s="23">
        <f>'GS &lt; 50 OLS Model'!$B$5</f>
        <v>-6867500.9582801796</v>
      </c>
      <c r="M112" s="23">
        <f ca="1">'GS &lt; 50 OLS Model'!$B$6*D112</f>
        <v>1795748.815914572</v>
      </c>
      <c r="N112" s="23">
        <f ca="1">'GS &lt; 50 OLS Model'!$B$7*E112</f>
        <v>0</v>
      </c>
      <c r="O112" s="23">
        <f>'GS &lt; 50 OLS Model'!$B$8*F112</f>
        <v>11790796.361533184</v>
      </c>
      <c r="P112" s="23">
        <f>'GS &lt; 50 OLS Model'!$B$9*G112</f>
        <v>912607.54486392904</v>
      </c>
      <c r="Q112" s="23">
        <f>'GS &lt; 50 OLS Model'!$B$10*H112</f>
        <v>0</v>
      </c>
      <c r="R112" s="23">
        <f>'GS &lt; 50 OLS Model'!$B$11*I112</f>
        <v>0</v>
      </c>
      <c r="S112" s="23">
        <f>'GS &lt; 50 OLS Model'!$B$12*J112</f>
        <v>0</v>
      </c>
      <c r="T112" s="23">
        <f t="shared" ca="1" si="16"/>
        <v>7631651.7640315052</v>
      </c>
    </row>
    <row r="113" spans="1:20">
      <c r="A113" s="11">
        <v>43191</v>
      </c>
      <c r="B113" s="6">
        <f t="shared" si="14"/>
        <v>2018</v>
      </c>
      <c r="D113">
        <f t="shared" ca="1" si="15"/>
        <v>326.58999999999997</v>
      </c>
      <c r="E113">
        <f t="shared" ca="1" si="15"/>
        <v>0.39</v>
      </c>
      <c r="F113" s="60">
        <f>SUMIF('Connection count '!B:B,B113,'Connection count '!H:H)</f>
        <v>2852.5414240668401</v>
      </c>
      <c r="G113" s="30">
        <f t="shared" si="12"/>
        <v>1</v>
      </c>
      <c r="H113" s="30">
        <f t="shared" si="12"/>
        <v>0</v>
      </c>
      <c r="I113" s="30">
        <f t="shared" si="12"/>
        <v>0</v>
      </c>
      <c r="J113" s="30">
        <f t="shared" si="12"/>
        <v>1</v>
      </c>
      <c r="L113" s="23">
        <f>'GS &lt; 50 OLS Model'!$B$5</f>
        <v>-6867500.9582801796</v>
      </c>
      <c r="M113" s="23">
        <f ca="1">'GS &lt; 50 OLS Model'!$B$6*D113</f>
        <v>1052933.8153100414</v>
      </c>
      <c r="N113" s="23">
        <f ca="1">'GS &lt; 50 OLS Model'!$B$7*E113</f>
        <v>5916.9172633461158</v>
      </c>
      <c r="O113" s="23">
        <f>'GS &lt; 50 OLS Model'!$B$8*F113</f>
        <v>11790796.361533184</v>
      </c>
      <c r="P113" s="23">
        <f>'GS &lt; 50 OLS Model'!$B$9*G113</f>
        <v>912607.54486392904</v>
      </c>
      <c r="Q113" s="23">
        <f>'GS &lt; 50 OLS Model'!$B$10*H113</f>
        <v>0</v>
      </c>
      <c r="R113" s="23">
        <f>'GS &lt; 50 OLS Model'!$B$11*I113</f>
        <v>0</v>
      </c>
      <c r="S113" s="23">
        <f>'GS &lt; 50 OLS Model'!$B$12*J113</f>
        <v>-430621.67531502497</v>
      </c>
      <c r="T113" s="23">
        <f t="shared" ca="1" si="16"/>
        <v>6894753.6806903202</v>
      </c>
    </row>
    <row r="114" spans="1:20">
      <c r="A114" s="11">
        <v>43221</v>
      </c>
      <c r="B114" s="6">
        <f t="shared" si="14"/>
        <v>2018</v>
      </c>
      <c r="D114">
        <f t="shared" ca="1" si="15"/>
        <v>144.96</v>
      </c>
      <c r="E114">
        <f t="shared" ca="1" si="15"/>
        <v>8.67</v>
      </c>
      <c r="F114" s="60">
        <f>SUMIF('Connection count '!B:B,B114,'Connection count '!H:H)</f>
        <v>2852.5414240668401</v>
      </c>
      <c r="G114" s="30">
        <f t="shared" ref="G114:J133" si="17">G102</f>
        <v>1</v>
      </c>
      <c r="H114" s="30">
        <f t="shared" si="17"/>
        <v>0</v>
      </c>
      <c r="I114" s="30">
        <f t="shared" si="17"/>
        <v>0</v>
      </c>
      <c r="J114" s="30">
        <f t="shared" si="17"/>
        <v>0</v>
      </c>
      <c r="L114" s="23">
        <f>'GS &lt; 50 OLS Model'!$B$5</f>
        <v>-6867500.9582801796</v>
      </c>
      <c r="M114" s="23">
        <f ca="1">'GS &lt; 50 OLS Model'!$B$6*D114</f>
        <v>467354.43788035039</v>
      </c>
      <c r="N114" s="23">
        <f ca="1">'GS &lt; 50 OLS Model'!$B$7*E114</f>
        <v>131537.62223900211</v>
      </c>
      <c r="O114" s="23">
        <f>'GS &lt; 50 OLS Model'!$B$8*F114</f>
        <v>11790796.361533184</v>
      </c>
      <c r="P114" s="23">
        <f>'GS &lt; 50 OLS Model'!$B$9*G114</f>
        <v>912607.54486392904</v>
      </c>
      <c r="Q114" s="23">
        <f>'GS &lt; 50 OLS Model'!$B$10*H114</f>
        <v>0</v>
      </c>
      <c r="R114" s="23">
        <f>'GS &lt; 50 OLS Model'!$B$11*I114</f>
        <v>0</v>
      </c>
      <c r="S114" s="23">
        <f>'GS &lt; 50 OLS Model'!$B$12*J114</f>
        <v>0</v>
      </c>
      <c r="T114" s="23">
        <f t="shared" ca="1" si="16"/>
        <v>6434795.0082362853</v>
      </c>
    </row>
    <row r="115" spans="1:20">
      <c r="A115" s="11">
        <v>43252</v>
      </c>
      <c r="B115" s="6">
        <f t="shared" si="14"/>
        <v>2018</v>
      </c>
      <c r="D115">
        <f t="shared" ca="1" si="15"/>
        <v>41.510000000000005</v>
      </c>
      <c r="E115">
        <f t="shared" ca="1" si="15"/>
        <v>44.41</v>
      </c>
      <c r="F115" s="60">
        <f>SUMIF('Connection count '!B:B,B115,'Connection count '!H:H)</f>
        <v>2852.5414240668401</v>
      </c>
      <c r="G115" s="30">
        <f t="shared" si="17"/>
        <v>1</v>
      </c>
      <c r="H115" s="30">
        <f t="shared" si="17"/>
        <v>0</v>
      </c>
      <c r="I115" s="30">
        <f t="shared" si="17"/>
        <v>0</v>
      </c>
      <c r="J115" s="30">
        <f t="shared" si="17"/>
        <v>0</v>
      </c>
      <c r="L115" s="23">
        <f>'GS &lt; 50 OLS Model'!$B$5</f>
        <v>-6867500.9582801796</v>
      </c>
      <c r="M115" s="23">
        <f ca="1">'GS &lt; 50 OLS Model'!$B$6*D115</f>
        <v>133829.21299954021</v>
      </c>
      <c r="N115" s="23">
        <f ca="1">'GS &lt; 50 OLS Model'!$B$7*E115</f>
        <v>673769.98888513062</v>
      </c>
      <c r="O115" s="23">
        <f>'GS &lt; 50 OLS Model'!$B$8*F115</f>
        <v>11790796.361533184</v>
      </c>
      <c r="P115" s="23">
        <f>'GS &lt; 50 OLS Model'!$B$9*G115</f>
        <v>912607.54486392904</v>
      </c>
      <c r="Q115" s="23">
        <f>'GS &lt; 50 OLS Model'!$B$10*H115</f>
        <v>0</v>
      </c>
      <c r="R115" s="23">
        <f>'GS &lt; 50 OLS Model'!$B$11*I115</f>
        <v>0</v>
      </c>
      <c r="S115" s="23">
        <f>'GS &lt; 50 OLS Model'!$B$12*J115</f>
        <v>0</v>
      </c>
      <c r="T115" s="23">
        <f t="shared" ca="1" si="16"/>
        <v>6643502.1500016041</v>
      </c>
    </row>
    <row r="116" spans="1:20">
      <c r="A116" s="11">
        <v>43282</v>
      </c>
      <c r="B116" s="6">
        <f t="shared" si="14"/>
        <v>2018</v>
      </c>
      <c r="D116">
        <f t="shared" ca="1" si="15"/>
        <v>5.01</v>
      </c>
      <c r="E116">
        <f t="shared" ca="1" si="15"/>
        <v>96.909999999999982</v>
      </c>
      <c r="F116" s="60">
        <f>SUMIF('Connection count '!B:B,B116,'Connection count '!H:H)</f>
        <v>2852.5414240668401</v>
      </c>
      <c r="G116" s="30">
        <f t="shared" si="17"/>
        <v>1</v>
      </c>
      <c r="H116" s="30">
        <f t="shared" si="17"/>
        <v>0</v>
      </c>
      <c r="I116" s="30">
        <f t="shared" si="17"/>
        <v>0</v>
      </c>
      <c r="J116" s="30">
        <f t="shared" si="17"/>
        <v>0</v>
      </c>
      <c r="L116" s="23">
        <f>'GS &lt; 50 OLS Model'!$B$5</f>
        <v>-6867500.9582801796</v>
      </c>
      <c r="M116" s="23">
        <f ca="1">'GS &lt; 50 OLS Model'!$B$6*D116</f>
        <v>16152.357435020387</v>
      </c>
      <c r="N116" s="23">
        <f ca="1">'GS &lt; 50 OLS Model'!$B$7*E116</f>
        <v>1470278.0820278767</v>
      </c>
      <c r="O116" s="23">
        <f>'GS &lt; 50 OLS Model'!$B$8*F116</f>
        <v>11790796.361533184</v>
      </c>
      <c r="P116" s="23">
        <f>'GS &lt; 50 OLS Model'!$B$9*G116</f>
        <v>912607.54486392904</v>
      </c>
      <c r="Q116" s="23">
        <f>'GS &lt; 50 OLS Model'!$B$10*H116</f>
        <v>0</v>
      </c>
      <c r="R116" s="23">
        <f>'GS &lt; 50 OLS Model'!$B$11*I116</f>
        <v>0</v>
      </c>
      <c r="S116" s="23">
        <f>'GS &lt; 50 OLS Model'!$B$12*J116</f>
        <v>0</v>
      </c>
      <c r="T116" s="23">
        <f t="shared" ca="1" si="16"/>
        <v>7322333.3875798304</v>
      </c>
    </row>
    <row r="117" spans="1:20">
      <c r="A117" s="11">
        <v>43313</v>
      </c>
      <c r="B117" s="6">
        <f t="shared" si="14"/>
        <v>2018</v>
      </c>
      <c r="D117">
        <f t="shared" ca="1" si="15"/>
        <v>12.719999999999999</v>
      </c>
      <c r="E117">
        <f t="shared" ca="1" si="15"/>
        <v>77.22999999999999</v>
      </c>
      <c r="F117" s="60">
        <f>SUMIF('Connection count '!B:B,B117,'Connection count '!H:H)</f>
        <v>2852.5414240668401</v>
      </c>
      <c r="G117" s="30">
        <f t="shared" si="17"/>
        <v>1</v>
      </c>
      <c r="H117" s="30">
        <f t="shared" si="17"/>
        <v>0</v>
      </c>
      <c r="I117" s="30">
        <f t="shared" si="17"/>
        <v>0</v>
      </c>
      <c r="J117" s="30">
        <f t="shared" si="17"/>
        <v>0</v>
      </c>
      <c r="L117" s="23">
        <f>'GS &lt; 50 OLS Model'!$B$5</f>
        <v>-6867500.9582801796</v>
      </c>
      <c r="M117" s="23">
        <f ca="1">'GS &lt; 50 OLS Model'!$B$6*D117</f>
        <v>41009.578158375116</v>
      </c>
      <c r="N117" s="23">
        <f ca="1">'GS &lt; 50 OLS Model'!$B$7*E117</f>
        <v>1171701.3339697958</v>
      </c>
      <c r="O117" s="23">
        <f>'GS &lt; 50 OLS Model'!$B$8*F117</f>
        <v>11790796.361533184</v>
      </c>
      <c r="P117" s="23">
        <f>'GS &lt; 50 OLS Model'!$B$9*G117</f>
        <v>912607.54486392904</v>
      </c>
      <c r="Q117" s="23">
        <f>'GS &lt; 50 OLS Model'!$B$10*H117</f>
        <v>0</v>
      </c>
      <c r="R117" s="23">
        <f>'GS &lt; 50 OLS Model'!$B$11*I117</f>
        <v>0</v>
      </c>
      <c r="S117" s="23">
        <f>'GS &lt; 50 OLS Model'!$B$12*J117</f>
        <v>0</v>
      </c>
      <c r="T117" s="23">
        <f t="shared" ca="1" si="16"/>
        <v>7048613.8602451039</v>
      </c>
    </row>
    <row r="118" spans="1:20">
      <c r="A118" s="11">
        <v>43344</v>
      </c>
      <c r="B118" s="6">
        <f t="shared" si="14"/>
        <v>2018</v>
      </c>
      <c r="D118">
        <f t="shared" ref="D118:E137" ca="1" si="18">D106</f>
        <v>86.570000000000007</v>
      </c>
      <c r="E118">
        <f t="shared" ca="1" si="18"/>
        <v>19.899999999999999</v>
      </c>
      <c r="F118" s="60">
        <f>SUMIF('Connection count '!B:B,B118,'Connection count '!H:H)</f>
        <v>2852.5414240668401</v>
      </c>
      <c r="G118" s="30">
        <f t="shared" si="17"/>
        <v>1</v>
      </c>
      <c r="H118" s="30">
        <f t="shared" si="17"/>
        <v>1</v>
      </c>
      <c r="I118" s="30">
        <f t="shared" si="17"/>
        <v>0</v>
      </c>
      <c r="J118" s="30">
        <f t="shared" si="17"/>
        <v>0</v>
      </c>
      <c r="L118" s="23">
        <f>'GS &lt; 50 OLS Model'!$B$5</f>
        <v>-6867500.9582801796</v>
      </c>
      <c r="M118" s="23">
        <f ca="1">'GS &lt; 50 OLS Model'!$B$6*D118</f>
        <v>279103.70921151998</v>
      </c>
      <c r="N118" s="23">
        <f ca="1">'GS &lt; 50 OLS Model'!$B$7*E118</f>
        <v>301914.49625791714</v>
      </c>
      <c r="O118" s="23">
        <f>'GS &lt; 50 OLS Model'!$B$8*F118</f>
        <v>11790796.361533184</v>
      </c>
      <c r="P118" s="23">
        <f>'GS &lt; 50 OLS Model'!$B$9*G118</f>
        <v>912607.54486392904</v>
      </c>
      <c r="Q118" s="23">
        <f>'GS &lt; 50 OLS Model'!$B$10*H118</f>
        <v>-165959.07761345801</v>
      </c>
      <c r="R118" s="23">
        <f>'GS &lt; 50 OLS Model'!$B$11*I118</f>
        <v>0</v>
      </c>
      <c r="S118" s="23">
        <f>'GS &lt; 50 OLS Model'!$B$12*J118</f>
        <v>0</v>
      </c>
      <c r="T118" s="23">
        <f t="shared" ca="1" si="16"/>
        <v>6416921.1535863699</v>
      </c>
    </row>
    <row r="119" spans="1:20">
      <c r="A119" s="11">
        <v>43374</v>
      </c>
      <c r="B119" s="6">
        <f t="shared" si="14"/>
        <v>2018</v>
      </c>
      <c r="D119">
        <f t="shared" ca="1" si="18"/>
        <v>270.3</v>
      </c>
      <c r="E119">
        <f t="shared" ca="1" si="18"/>
        <v>1.21</v>
      </c>
      <c r="F119" s="60">
        <f>SUMIF('Connection count '!B:B,B119,'Connection count '!H:H)</f>
        <v>2852.5414240668401</v>
      </c>
      <c r="G119" s="30">
        <f t="shared" si="17"/>
        <v>1</v>
      </c>
      <c r="H119" s="30">
        <f t="shared" si="17"/>
        <v>1</v>
      </c>
      <c r="I119" s="30">
        <f t="shared" si="17"/>
        <v>0</v>
      </c>
      <c r="J119" s="30">
        <f t="shared" si="17"/>
        <v>0</v>
      </c>
      <c r="L119" s="23">
        <f>'GS &lt; 50 OLS Model'!$B$5</f>
        <v>-6867500.9582801796</v>
      </c>
      <c r="M119" s="23">
        <f ca="1">'GS &lt; 50 OLS Model'!$B$6*D119</f>
        <v>871453.53586547123</v>
      </c>
      <c r="N119" s="23">
        <f ca="1">'GS &lt; 50 OLS Model'!$B$7*E119</f>
        <v>18357.615099099487</v>
      </c>
      <c r="O119" s="23">
        <f>'GS &lt; 50 OLS Model'!$B$8*F119</f>
        <v>11790796.361533184</v>
      </c>
      <c r="P119" s="23">
        <f>'GS &lt; 50 OLS Model'!$B$9*G119</f>
        <v>912607.54486392904</v>
      </c>
      <c r="Q119" s="23">
        <f>'GS &lt; 50 OLS Model'!$B$10*H119</f>
        <v>-165959.07761345801</v>
      </c>
      <c r="R119" s="23">
        <f>'GS &lt; 50 OLS Model'!$B$11*I119</f>
        <v>0</v>
      </c>
      <c r="S119" s="23">
        <f>'GS &lt; 50 OLS Model'!$B$12*J119</f>
        <v>0</v>
      </c>
      <c r="T119" s="23">
        <f t="shared" ca="1" si="16"/>
        <v>6725714.0990815032</v>
      </c>
    </row>
    <row r="120" spans="1:20">
      <c r="A120" s="11">
        <v>43405</v>
      </c>
      <c r="B120" s="6">
        <f t="shared" si="14"/>
        <v>2018</v>
      </c>
      <c r="D120">
        <f t="shared" ca="1" si="18"/>
        <v>444.05</v>
      </c>
      <c r="E120">
        <f t="shared" ca="1" si="18"/>
        <v>0</v>
      </c>
      <c r="F120" s="60">
        <f>SUMIF('Connection count '!B:B,B120,'Connection count '!H:H)</f>
        <v>2852.5414240668401</v>
      </c>
      <c r="G120" s="30">
        <f t="shared" si="17"/>
        <v>1</v>
      </c>
      <c r="H120" s="30">
        <f t="shared" si="17"/>
        <v>1</v>
      </c>
      <c r="I120" s="30">
        <f t="shared" si="17"/>
        <v>0</v>
      </c>
      <c r="J120" s="30">
        <f t="shared" si="17"/>
        <v>0</v>
      </c>
      <c r="L120" s="23">
        <f>'GS &lt; 50 OLS Model'!$B$5</f>
        <v>-6867500.9582801796</v>
      </c>
      <c r="M120" s="23">
        <f ca="1">'GS &lt; 50 OLS Model'!$B$6*D120</f>
        <v>1431627.6085869868</v>
      </c>
      <c r="N120" s="23">
        <f ca="1">'GS &lt; 50 OLS Model'!$B$7*E120</f>
        <v>0</v>
      </c>
      <c r="O120" s="23">
        <f>'GS &lt; 50 OLS Model'!$B$8*F120</f>
        <v>11790796.361533184</v>
      </c>
      <c r="P120" s="23">
        <f>'GS &lt; 50 OLS Model'!$B$9*G120</f>
        <v>912607.54486392904</v>
      </c>
      <c r="Q120" s="23">
        <f>'GS &lt; 50 OLS Model'!$B$10*H120</f>
        <v>-165959.07761345801</v>
      </c>
      <c r="R120" s="23">
        <f>'GS &lt; 50 OLS Model'!$B$11*I120</f>
        <v>0</v>
      </c>
      <c r="S120" s="23">
        <f>'GS &lt; 50 OLS Model'!$B$12*J120</f>
        <v>0</v>
      </c>
      <c r="T120" s="23">
        <f t="shared" ca="1" si="16"/>
        <v>7267530.5567039195</v>
      </c>
    </row>
    <row r="121" spans="1:20">
      <c r="A121" s="11">
        <v>43435</v>
      </c>
      <c r="B121" s="6">
        <f t="shared" si="14"/>
        <v>2018</v>
      </c>
      <c r="D121">
        <f t="shared" ca="1" si="18"/>
        <v>684.01</v>
      </c>
      <c r="E121">
        <f t="shared" ca="1" si="18"/>
        <v>0</v>
      </c>
      <c r="F121" s="60">
        <f>SUMIF('Connection count '!B:B,B121,'Connection count '!H:H)</f>
        <v>2852.5414240668401</v>
      </c>
      <c r="G121" s="30">
        <f t="shared" si="17"/>
        <v>1</v>
      </c>
      <c r="H121" s="30">
        <f t="shared" si="17"/>
        <v>0</v>
      </c>
      <c r="I121" s="30">
        <f t="shared" si="17"/>
        <v>0</v>
      </c>
      <c r="J121" s="30">
        <f t="shared" si="17"/>
        <v>0</v>
      </c>
      <c r="L121" s="23">
        <f>'GS &lt; 50 OLS Model'!$B$5</f>
        <v>-6867500.9582801796</v>
      </c>
      <c r="M121" s="23">
        <f ca="1">'GS &lt; 50 OLS Model'!$B$6*D121</f>
        <v>2205264.2732791007</v>
      </c>
      <c r="N121" s="23">
        <f ca="1">'GS &lt; 50 OLS Model'!$B$7*E121</f>
        <v>0</v>
      </c>
      <c r="O121" s="23">
        <f>'GS &lt; 50 OLS Model'!$B$8*F121</f>
        <v>11790796.361533184</v>
      </c>
      <c r="P121" s="23">
        <f>'GS &lt; 50 OLS Model'!$B$9*G121</f>
        <v>912607.54486392904</v>
      </c>
      <c r="Q121" s="23">
        <f>'GS &lt; 50 OLS Model'!$B$10*H121</f>
        <v>0</v>
      </c>
      <c r="R121" s="23">
        <f>'GS &lt; 50 OLS Model'!$B$11*I121</f>
        <v>0</v>
      </c>
      <c r="S121" s="23">
        <f>'GS &lt; 50 OLS Model'!$B$12*J121</f>
        <v>0</v>
      </c>
      <c r="T121" s="23">
        <f t="shared" ca="1" si="16"/>
        <v>8041167.2213960337</v>
      </c>
    </row>
    <row r="122" spans="1:20">
      <c r="A122" s="11">
        <v>43466</v>
      </c>
      <c r="B122" s="6">
        <f t="shared" si="14"/>
        <v>2019</v>
      </c>
      <c r="D122">
        <f t="shared" ca="1" si="18"/>
        <v>784.29</v>
      </c>
      <c r="E122">
        <f t="shared" ca="1" si="18"/>
        <v>0</v>
      </c>
      <c r="F122" s="60">
        <f>SUMIF('Connection count '!B:B,B122,'Connection count '!H:H)</f>
        <v>2804.9009949874062</v>
      </c>
      <c r="G122" s="30">
        <f t="shared" si="17"/>
        <v>1</v>
      </c>
      <c r="H122" s="30">
        <f t="shared" si="17"/>
        <v>0</v>
      </c>
      <c r="I122" s="30">
        <f t="shared" si="17"/>
        <v>0</v>
      </c>
      <c r="J122" s="30">
        <f t="shared" si="17"/>
        <v>0</v>
      </c>
      <c r="L122" s="23">
        <f>'GS &lt; 50 OLS Model'!$B$5</f>
        <v>-6867500.9582801796</v>
      </c>
      <c r="M122" s="23">
        <f ca="1">'GS &lt; 50 OLS Model'!$B$6*D122</f>
        <v>2528569.3438547184</v>
      </c>
      <c r="N122" s="23">
        <f ca="1">'GS &lt; 50 OLS Model'!$B$7*E122</f>
        <v>0</v>
      </c>
      <c r="O122" s="23">
        <f>'GS &lt; 50 OLS Model'!$B$8*F122</f>
        <v>11593877.71449358</v>
      </c>
      <c r="P122" s="23">
        <f>'GS &lt; 50 OLS Model'!$B$9*G122</f>
        <v>912607.54486392904</v>
      </c>
      <c r="Q122" s="23">
        <f>'GS &lt; 50 OLS Model'!$B$10*H122</f>
        <v>0</v>
      </c>
      <c r="R122" s="23">
        <f>'GS &lt; 50 OLS Model'!$B$11*I122</f>
        <v>0</v>
      </c>
      <c r="S122" s="23">
        <f>'GS &lt; 50 OLS Model'!$B$12*J122</f>
        <v>0</v>
      </c>
      <c r="T122" s="23">
        <f t="shared" ca="1" si="16"/>
        <v>8167553.6449320475</v>
      </c>
    </row>
    <row r="123" spans="1:20">
      <c r="A123" s="11">
        <v>43497</v>
      </c>
      <c r="B123" s="6">
        <f t="shared" si="14"/>
        <v>2019</v>
      </c>
      <c r="D123">
        <f t="shared" ca="1" si="18"/>
        <v>682.50999999999988</v>
      </c>
      <c r="E123">
        <f t="shared" ca="1" si="18"/>
        <v>0</v>
      </c>
      <c r="F123" s="60">
        <f>SUMIF('Connection count '!B:B,B123,'Connection count '!H:H)</f>
        <v>2804.9009949874062</v>
      </c>
      <c r="G123" s="30">
        <f t="shared" si="17"/>
        <v>1</v>
      </c>
      <c r="H123" s="30">
        <f t="shared" si="17"/>
        <v>0</v>
      </c>
      <c r="I123" s="30">
        <f t="shared" si="17"/>
        <v>1</v>
      </c>
      <c r="J123" s="30">
        <f t="shared" si="17"/>
        <v>0</v>
      </c>
      <c r="L123" s="23">
        <f>'GS &lt; 50 OLS Model'!$B$5</f>
        <v>-6867500.9582801796</v>
      </c>
      <c r="M123" s="23">
        <f ca="1">'GS &lt; 50 OLS Model'!$B$6*D123</f>
        <v>2200428.2381189149</v>
      </c>
      <c r="N123" s="23">
        <f ca="1">'GS &lt; 50 OLS Model'!$B$7*E123</f>
        <v>0</v>
      </c>
      <c r="O123" s="23">
        <f>'GS &lt; 50 OLS Model'!$B$8*F123</f>
        <v>11593877.71449358</v>
      </c>
      <c r="P123" s="23">
        <f>'GS &lt; 50 OLS Model'!$B$9*G123</f>
        <v>912607.54486392904</v>
      </c>
      <c r="Q123" s="23">
        <f>'GS &lt; 50 OLS Model'!$B$10*H123</f>
        <v>0</v>
      </c>
      <c r="R123" s="23">
        <f>'GS &lt; 50 OLS Model'!$B$11*I123</f>
        <v>-326910.06421591499</v>
      </c>
      <c r="S123" s="23">
        <f>'GS &lt; 50 OLS Model'!$B$12*J123</f>
        <v>0</v>
      </c>
      <c r="T123" s="23">
        <f t="shared" ca="1" si="16"/>
        <v>7839412.5391962444</v>
      </c>
    </row>
    <row r="124" spans="1:20">
      <c r="A124" s="11">
        <v>43525</v>
      </c>
      <c r="B124" s="6">
        <f t="shared" si="14"/>
        <v>2019</v>
      </c>
      <c r="D124">
        <f t="shared" ca="1" si="18"/>
        <v>556.99</v>
      </c>
      <c r="E124">
        <f t="shared" ca="1" si="18"/>
        <v>0</v>
      </c>
      <c r="F124" s="60">
        <f>SUMIF('Connection count '!B:B,B124,'Connection count '!H:H)</f>
        <v>2804.9009949874062</v>
      </c>
      <c r="G124" s="30">
        <f t="shared" si="17"/>
        <v>1</v>
      </c>
      <c r="H124" s="30">
        <f t="shared" si="17"/>
        <v>0</v>
      </c>
      <c r="I124" s="30">
        <f t="shared" si="17"/>
        <v>0</v>
      </c>
      <c r="J124" s="30">
        <f t="shared" si="17"/>
        <v>0</v>
      </c>
      <c r="L124" s="23">
        <f>'GS &lt; 50 OLS Model'!$B$5</f>
        <v>-6867500.9582801796</v>
      </c>
      <c r="M124" s="23">
        <f ca="1">'GS &lt; 50 OLS Model'!$B$6*D124</f>
        <v>1795748.815914572</v>
      </c>
      <c r="N124" s="23">
        <f ca="1">'GS &lt; 50 OLS Model'!$B$7*E124</f>
        <v>0</v>
      </c>
      <c r="O124" s="23">
        <f>'GS &lt; 50 OLS Model'!$B$8*F124</f>
        <v>11593877.71449358</v>
      </c>
      <c r="P124" s="23">
        <f>'GS &lt; 50 OLS Model'!$B$9*G124</f>
        <v>912607.54486392904</v>
      </c>
      <c r="Q124" s="23">
        <f>'GS &lt; 50 OLS Model'!$B$10*H124</f>
        <v>0</v>
      </c>
      <c r="R124" s="23">
        <f>'GS &lt; 50 OLS Model'!$B$11*I124</f>
        <v>0</v>
      </c>
      <c r="S124" s="23">
        <f>'GS &lt; 50 OLS Model'!$B$12*J124</f>
        <v>0</v>
      </c>
      <c r="T124" s="23">
        <f t="shared" ca="1" si="16"/>
        <v>7434733.1169919018</v>
      </c>
    </row>
    <row r="125" spans="1:20">
      <c r="A125" s="11">
        <v>43556</v>
      </c>
      <c r="B125" s="6">
        <f t="shared" si="14"/>
        <v>2019</v>
      </c>
      <c r="D125">
        <f t="shared" ca="1" si="18"/>
        <v>326.58999999999997</v>
      </c>
      <c r="E125">
        <f t="shared" ca="1" si="18"/>
        <v>0.39</v>
      </c>
      <c r="F125" s="60">
        <f>SUMIF('Connection count '!B:B,B125,'Connection count '!H:H)</f>
        <v>2804.9009949874062</v>
      </c>
      <c r="G125" s="30">
        <f t="shared" si="17"/>
        <v>1</v>
      </c>
      <c r="H125" s="30">
        <f t="shared" si="17"/>
        <v>0</v>
      </c>
      <c r="I125" s="30">
        <f t="shared" si="17"/>
        <v>0</v>
      </c>
      <c r="J125" s="30">
        <f t="shared" si="17"/>
        <v>1</v>
      </c>
      <c r="L125" s="23">
        <f>'GS &lt; 50 OLS Model'!$B$5</f>
        <v>-6867500.9582801796</v>
      </c>
      <c r="M125" s="23">
        <f ca="1">'GS &lt; 50 OLS Model'!$B$6*D125</f>
        <v>1052933.8153100414</v>
      </c>
      <c r="N125" s="23">
        <f ca="1">'GS &lt; 50 OLS Model'!$B$7*E125</f>
        <v>5916.9172633461158</v>
      </c>
      <c r="O125" s="23">
        <f>'GS &lt; 50 OLS Model'!$B$8*F125</f>
        <v>11593877.71449358</v>
      </c>
      <c r="P125" s="23">
        <f>'GS &lt; 50 OLS Model'!$B$9*G125</f>
        <v>912607.54486392904</v>
      </c>
      <c r="Q125" s="23">
        <f>'GS &lt; 50 OLS Model'!$B$10*H125</f>
        <v>0</v>
      </c>
      <c r="R125" s="23">
        <f>'GS &lt; 50 OLS Model'!$B$11*I125</f>
        <v>0</v>
      </c>
      <c r="S125" s="23">
        <f>'GS &lt; 50 OLS Model'!$B$12*J125</f>
        <v>-430621.67531502497</v>
      </c>
      <c r="T125" s="23">
        <f t="shared" ca="1" si="16"/>
        <v>6697835.0336507168</v>
      </c>
    </row>
    <row r="126" spans="1:20">
      <c r="A126" s="11">
        <v>43586</v>
      </c>
      <c r="B126" s="6">
        <f t="shared" si="14"/>
        <v>2019</v>
      </c>
      <c r="D126">
        <f t="shared" ca="1" si="18"/>
        <v>144.96</v>
      </c>
      <c r="E126">
        <f t="shared" ca="1" si="18"/>
        <v>8.67</v>
      </c>
      <c r="F126" s="60">
        <f>SUMIF('Connection count '!B:B,B126,'Connection count '!H:H)</f>
        <v>2804.9009949874062</v>
      </c>
      <c r="G126" s="30">
        <f t="shared" si="17"/>
        <v>1</v>
      </c>
      <c r="H126" s="30">
        <f t="shared" si="17"/>
        <v>0</v>
      </c>
      <c r="I126" s="30">
        <f t="shared" si="17"/>
        <v>0</v>
      </c>
      <c r="J126" s="30">
        <f t="shared" si="17"/>
        <v>0</v>
      </c>
      <c r="L126" s="23">
        <f>'GS &lt; 50 OLS Model'!$B$5</f>
        <v>-6867500.9582801796</v>
      </c>
      <c r="M126" s="23">
        <f ca="1">'GS &lt; 50 OLS Model'!$B$6*D126</f>
        <v>467354.43788035039</v>
      </c>
      <c r="N126" s="23">
        <f ca="1">'GS &lt; 50 OLS Model'!$B$7*E126</f>
        <v>131537.62223900211</v>
      </c>
      <c r="O126" s="23">
        <f>'GS &lt; 50 OLS Model'!$B$8*F126</f>
        <v>11593877.71449358</v>
      </c>
      <c r="P126" s="23">
        <f>'GS &lt; 50 OLS Model'!$B$9*G126</f>
        <v>912607.54486392904</v>
      </c>
      <c r="Q126" s="23">
        <f>'GS &lt; 50 OLS Model'!$B$10*H126</f>
        <v>0</v>
      </c>
      <c r="R126" s="23">
        <f>'GS &lt; 50 OLS Model'!$B$11*I126</f>
        <v>0</v>
      </c>
      <c r="S126" s="23">
        <f>'GS &lt; 50 OLS Model'!$B$12*J126</f>
        <v>0</v>
      </c>
      <c r="T126" s="23">
        <f t="shared" ca="1" si="16"/>
        <v>6237876.3611966819</v>
      </c>
    </row>
    <row r="127" spans="1:20">
      <c r="A127" s="11">
        <v>43617</v>
      </c>
      <c r="B127" s="6">
        <f t="shared" si="14"/>
        <v>2019</v>
      </c>
      <c r="D127">
        <f t="shared" ca="1" si="18"/>
        <v>41.510000000000005</v>
      </c>
      <c r="E127">
        <f t="shared" ca="1" si="18"/>
        <v>44.41</v>
      </c>
      <c r="F127" s="60">
        <f>SUMIF('Connection count '!B:B,B127,'Connection count '!H:H)</f>
        <v>2804.9009949874062</v>
      </c>
      <c r="G127" s="30">
        <f t="shared" si="17"/>
        <v>1</v>
      </c>
      <c r="H127" s="30">
        <f t="shared" si="17"/>
        <v>0</v>
      </c>
      <c r="I127" s="30">
        <f t="shared" si="17"/>
        <v>0</v>
      </c>
      <c r="J127" s="30">
        <f t="shared" si="17"/>
        <v>0</v>
      </c>
      <c r="L127" s="23">
        <f>'GS &lt; 50 OLS Model'!$B$5</f>
        <v>-6867500.9582801796</v>
      </c>
      <c r="M127" s="23">
        <f ca="1">'GS &lt; 50 OLS Model'!$B$6*D127</f>
        <v>133829.21299954021</v>
      </c>
      <c r="N127" s="23">
        <f ca="1">'GS &lt; 50 OLS Model'!$B$7*E127</f>
        <v>673769.98888513062</v>
      </c>
      <c r="O127" s="23">
        <f>'GS &lt; 50 OLS Model'!$B$8*F127</f>
        <v>11593877.71449358</v>
      </c>
      <c r="P127" s="23">
        <f>'GS &lt; 50 OLS Model'!$B$9*G127</f>
        <v>912607.54486392904</v>
      </c>
      <c r="Q127" s="23">
        <f>'GS &lt; 50 OLS Model'!$B$10*H127</f>
        <v>0</v>
      </c>
      <c r="R127" s="23">
        <f>'GS &lt; 50 OLS Model'!$B$11*I127</f>
        <v>0</v>
      </c>
      <c r="S127" s="23">
        <f>'GS &lt; 50 OLS Model'!$B$12*J127</f>
        <v>0</v>
      </c>
      <c r="T127" s="23">
        <f t="shared" ca="1" si="16"/>
        <v>6446583.5029620007</v>
      </c>
    </row>
    <row r="128" spans="1:20">
      <c r="A128" s="11">
        <v>43647</v>
      </c>
      <c r="B128" s="6">
        <f t="shared" si="14"/>
        <v>2019</v>
      </c>
      <c r="D128">
        <f t="shared" ca="1" si="18"/>
        <v>5.01</v>
      </c>
      <c r="E128">
        <f t="shared" ca="1" si="18"/>
        <v>96.909999999999982</v>
      </c>
      <c r="F128" s="60">
        <f>SUMIF('Connection count '!B:B,B128,'Connection count '!H:H)</f>
        <v>2804.9009949874062</v>
      </c>
      <c r="G128" s="30">
        <f t="shared" si="17"/>
        <v>1</v>
      </c>
      <c r="H128" s="30">
        <f t="shared" si="17"/>
        <v>0</v>
      </c>
      <c r="I128" s="30">
        <f t="shared" si="17"/>
        <v>0</v>
      </c>
      <c r="J128" s="30">
        <f t="shared" si="17"/>
        <v>0</v>
      </c>
      <c r="L128" s="23">
        <f>'GS &lt; 50 OLS Model'!$B$5</f>
        <v>-6867500.9582801796</v>
      </c>
      <c r="M128" s="23">
        <f ca="1">'GS &lt; 50 OLS Model'!$B$6*D128</f>
        <v>16152.357435020387</v>
      </c>
      <c r="N128" s="23">
        <f ca="1">'GS &lt; 50 OLS Model'!$B$7*E128</f>
        <v>1470278.0820278767</v>
      </c>
      <c r="O128" s="23">
        <f>'GS &lt; 50 OLS Model'!$B$8*F128</f>
        <v>11593877.71449358</v>
      </c>
      <c r="P128" s="23">
        <f>'GS &lt; 50 OLS Model'!$B$9*G128</f>
        <v>912607.54486392904</v>
      </c>
      <c r="Q128" s="23">
        <f>'GS &lt; 50 OLS Model'!$B$10*H128</f>
        <v>0</v>
      </c>
      <c r="R128" s="23">
        <f>'GS &lt; 50 OLS Model'!$B$11*I128</f>
        <v>0</v>
      </c>
      <c r="S128" s="23">
        <f>'GS &lt; 50 OLS Model'!$B$12*J128</f>
        <v>0</v>
      </c>
      <c r="T128" s="23">
        <f t="shared" ca="1" si="16"/>
        <v>7125414.7405402269</v>
      </c>
    </row>
    <row r="129" spans="1:20">
      <c r="A129" s="11">
        <v>43678</v>
      </c>
      <c r="B129" s="6">
        <f t="shared" si="14"/>
        <v>2019</v>
      </c>
      <c r="D129">
        <f t="shared" ca="1" si="18"/>
        <v>12.719999999999999</v>
      </c>
      <c r="E129">
        <f t="shared" ca="1" si="18"/>
        <v>77.22999999999999</v>
      </c>
      <c r="F129" s="60">
        <f>SUMIF('Connection count '!B:B,B129,'Connection count '!H:H)</f>
        <v>2804.9009949874062</v>
      </c>
      <c r="G129" s="30">
        <f t="shared" si="17"/>
        <v>1</v>
      </c>
      <c r="H129" s="30">
        <f t="shared" si="17"/>
        <v>0</v>
      </c>
      <c r="I129" s="30">
        <f t="shared" si="17"/>
        <v>0</v>
      </c>
      <c r="J129" s="30">
        <f t="shared" si="17"/>
        <v>0</v>
      </c>
      <c r="L129" s="23">
        <f>'GS &lt; 50 OLS Model'!$B$5</f>
        <v>-6867500.9582801796</v>
      </c>
      <c r="M129" s="23">
        <f ca="1">'GS &lt; 50 OLS Model'!$B$6*D129</f>
        <v>41009.578158375116</v>
      </c>
      <c r="N129" s="23">
        <f ca="1">'GS &lt; 50 OLS Model'!$B$7*E129</f>
        <v>1171701.3339697958</v>
      </c>
      <c r="O129" s="23">
        <f>'GS &lt; 50 OLS Model'!$B$8*F129</f>
        <v>11593877.71449358</v>
      </c>
      <c r="P129" s="23">
        <f>'GS &lt; 50 OLS Model'!$B$9*G129</f>
        <v>912607.54486392904</v>
      </c>
      <c r="Q129" s="23">
        <f>'GS &lt; 50 OLS Model'!$B$10*H129</f>
        <v>0</v>
      </c>
      <c r="R129" s="23">
        <f>'GS &lt; 50 OLS Model'!$B$11*I129</f>
        <v>0</v>
      </c>
      <c r="S129" s="23">
        <f>'GS &lt; 50 OLS Model'!$B$12*J129</f>
        <v>0</v>
      </c>
      <c r="T129" s="23">
        <f t="shared" ca="1" si="16"/>
        <v>6851695.2132055005</v>
      </c>
    </row>
    <row r="130" spans="1:20">
      <c r="A130" s="11">
        <v>43709</v>
      </c>
      <c r="B130" s="6">
        <f t="shared" si="14"/>
        <v>2019</v>
      </c>
      <c r="D130">
        <f t="shared" ca="1" si="18"/>
        <v>86.570000000000007</v>
      </c>
      <c r="E130">
        <f t="shared" ca="1" si="18"/>
        <v>19.899999999999999</v>
      </c>
      <c r="F130" s="60">
        <f>SUMIF('Connection count '!B:B,B130,'Connection count '!H:H)</f>
        <v>2804.9009949874062</v>
      </c>
      <c r="G130" s="30">
        <f t="shared" si="17"/>
        <v>1</v>
      </c>
      <c r="H130" s="30">
        <f t="shared" si="17"/>
        <v>1</v>
      </c>
      <c r="I130" s="30">
        <f t="shared" si="17"/>
        <v>0</v>
      </c>
      <c r="J130" s="30">
        <f t="shared" si="17"/>
        <v>0</v>
      </c>
      <c r="L130" s="23">
        <f>'GS &lt; 50 OLS Model'!$B$5</f>
        <v>-6867500.9582801796</v>
      </c>
      <c r="M130" s="23">
        <f ca="1">'GS &lt; 50 OLS Model'!$B$6*D130</f>
        <v>279103.70921151998</v>
      </c>
      <c r="N130" s="23">
        <f ca="1">'GS &lt; 50 OLS Model'!$B$7*E130</f>
        <v>301914.49625791714</v>
      </c>
      <c r="O130" s="23">
        <f>'GS &lt; 50 OLS Model'!$B$8*F130</f>
        <v>11593877.71449358</v>
      </c>
      <c r="P130" s="23">
        <f>'GS &lt; 50 OLS Model'!$B$9*G130</f>
        <v>912607.54486392904</v>
      </c>
      <c r="Q130" s="23">
        <f>'GS &lt; 50 OLS Model'!$B$10*H130</f>
        <v>-165959.07761345801</v>
      </c>
      <c r="R130" s="23">
        <f>'GS &lt; 50 OLS Model'!$B$11*I130</f>
        <v>0</v>
      </c>
      <c r="S130" s="23">
        <f>'GS &lt; 50 OLS Model'!$B$12*J130</f>
        <v>0</v>
      </c>
      <c r="T130" s="23">
        <f t="shared" ca="1" si="16"/>
        <v>6220002.5065467665</v>
      </c>
    </row>
    <row r="131" spans="1:20">
      <c r="A131" s="11">
        <v>43739</v>
      </c>
      <c r="B131" s="6">
        <f t="shared" si="14"/>
        <v>2019</v>
      </c>
      <c r="D131">
        <f t="shared" ca="1" si="18"/>
        <v>270.3</v>
      </c>
      <c r="E131">
        <f t="shared" ca="1" si="18"/>
        <v>1.21</v>
      </c>
      <c r="F131" s="60">
        <f>SUMIF('Connection count '!B:B,B131,'Connection count '!H:H)</f>
        <v>2804.9009949874062</v>
      </c>
      <c r="G131" s="30">
        <f t="shared" si="17"/>
        <v>1</v>
      </c>
      <c r="H131" s="30">
        <f t="shared" si="17"/>
        <v>1</v>
      </c>
      <c r="I131" s="30">
        <f t="shared" si="17"/>
        <v>0</v>
      </c>
      <c r="J131" s="30">
        <f t="shared" si="17"/>
        <v>0</v>
      </c>
      <c r="L131" s="23">
        <f>'GS &lt; 50 OLS Model'!$B$5</f>
        <v>-6867500.9582801796</v>
      </c>
      <c r="M131" s="23">
        <f ca="1">'GS &lt; 50 OLS Model'!$B$6*D131</f>
        <v>871453.53586547123</v>
      </c>
      <c r="N131" s="23">
        <f ca="1">'GS &lt; 50 OLS Model'!$B$7*E131</f>
        <v>18357.615099099487</v>
      </c>
      <c r="O131" s="23">
        <f>'GS &lt; 50 OLS Model'!$B$8*F131</f>
        <v>11593877.71449358</v>
      </c>
      <c r="P131" s="23">
        <f>'GS &lt; 50 OLS Model'!$B$9*G131</f>
        <v>912607.54486392904</v>
      </c>
      <c r="Q131" s="23">
        <f>'GS &lt; 50 OLS Model'!$B$10*H131</f>
        <v>-165959.07761345801</v>
      </c>
      <c r="R131" s="23">
        <f>'GS &lt; 50 OLS Model'!$B$11*I131</f>
        <v>0</v>
      </c>
      <c r="S131" s="23">
        <f>'GS &lt; 50 OLS Model'!$B$12*J131</f>
        <v>0</v>
      </c>
      <c r="T131" s="23">
        <f t="shared" ref="T131:T145" ca="1" si="19">SUM(L131:P131)</f>
        <v>6528795.4520418998</v>
      </c>
    </row>
    <row r="132" spans="1:20">
      <c r="A132" s="11">
        <v>43770</v>
      </c>
      <c r="B132" s="6">
        <f t="shared" si="14"/>
        <v>2019</v>
      </c>
      <c r="D132">
        <f t="shared" ca="1" si="18"/>
        <v>444.05</v>
      </c>
      <c r="E132">
        <f t="shared" ca="1" si="18"/>
        <v>0</v>
      </c>
      <c r="F132" s="60">
        <f>SUMIF('Connection count '!B:B,B132,'Connection count '!H:H)</f>
        <v>2804.9009949874062</v>
      </c>
      <c r="G132" s="30">
        <f t="shared" si="17"/>
        <v>1</v>
      </c>
      <c r="H132" s="30">
        <f t="shared" si="17"/>
        <v>1</v>
      </c>
      <c r="I132" s="30">
        <f t="shared" si="17"/>
        <v>0</v>
      </c>
      <c r="J132" s="30">
        <f t="shared" si="17"/>
        <v>0</v>
      </c>
      <c r="L132" s="23">
        <f>'GS &lt; 50 OLS Model'!$B$5</f>
        <v>-6867500.9582801796</v>
      </c>
      <c r="M132" s="23">
        <f ca="1">'GS &lt; 50 OLS Model'!$B$6*D132</f>
        <v>1431627.6085869868</v>
      </c>
      <c r="N132" s="23">
        <f ca="1">'GS &lt; 50 OLS Model'!$B$7*E132</f>
        <v>0</v>
      </c>
      <c r="O132" s="23">
        <f>'GS &lt; 50 OLS Model'!$B$8*F132</f>
        <v>11593877.71449358</v>
      </c>
      <c r="P132" s="23">
        <f>'GS &lt; 50 OLS Model'!$B$9*G132</f>
        <v>912607.54486392904</v>
      </c>
      <c r="Q132" s="23">
        <f>'GS &lt; 50 OLS Model'!$B$10*H132</f>
        <v>-165959.07761345801</v>
      </c>
      <c r="R132" s="23">
        <f>'GS &lt; 50 OLS Model'!$B$11*I132</f>
        <v>0</v>
      </c>
      <c r="S132" s="23">
        <f>'GS &lt; 50 OLS Model'!$B$12*J132</f>
        <v>0</v>
      </c>
      <c r="T132" s="23">
        <f t="shared" ca="1" si="19"/>
        <v>7070611.9096643161</v>
      </c>
    </row>
    <row r="133" spans="1:20">
      <c r="A133" s="11">
        <v>43800</v>
      </c>
      <c r="B133" s="6">
        <f t="shared" si="14"/>
        <v>2019</v>
      </c>
      <c r="D133">
        <f t="shared" ca="1" si="18"/>
        <v>684.01</v>
      </c>
      <c r="E133">
        <f t="shared" ca="1" si="18"/>
        <v>0</v>
      </c>
      <c r="F133" s="60">
        <f>SUMIF('Connection count '!B:B,B133,'Connection count '!H:H)</f>
        <v>2804.9009949874062</v>
      </c>
      <c r="G133" s="30">
        <f t="shared" si="17"/>
        <v>1</v>
      </c>
      <c r="H133" s="30">
        <f t="shared" si="17"/>
        <v>0</v>
      </c>
      <c r="I133" s="30">
        <f t="shared" si="17"/>
        <v>0</v>
      </c>
      <c r="J133" s="30">
        <f t="shared" si="17"/>
        <v>0</v>
      </c>
      <c r="L133" s="23">
        <f>'GS &lt; 50 OLS Model'!$B$5</f>
        <v>-6867500.9582801796</v>
      </c>
      <c r="M133" s="23">
        <f ca="1">'GS &lt; 50 OLS Model'!$B$6*D133</f>
        <v>2205264.2732791007</v>
      </c>
      <c r="N133" s="23">
        <f ca="1">'GS &lt; 50 OLS Model'!$B$7*E133</f>
        <v>0</v>
      </c>
      <c r="O133" s="23">
        <f>'GS &lt; 50 OLS Model'!$B$8*F133</f>
        <v>11593877.71449358</v>
      </c>
      <c r="P133" s="23">
        <f>'GS &lt; 50 OLS Model'!$B$9*G133</f>
        <v>912607.54486392904</v>
      </c>
      <c r="Q133" s="23">
        <f>'GS &lt; 50 OLS Model'!$B$10*H133</f>
        <v>0</v>
      </c>
      <c r="R133" s="23">
        <f>'GS &lt; 50 OLS Model'!$B$11*I133</f>
        <v>0</v>
      </c>
      <c r="S133" s="23">
        <f>'GS &lt; 50 OLS Model'!$B$12*J133</f>
        <v>0</v>
      </c>
      <c r="T133" s="23">
        <f t="shared" ca="1" si="19"/>
        <v>7844248.5743564302</v>
      </c>
    </row>
    <row r="134" spans="1:20">
      <c r="A134" s="11">
        <v>43831</v>
      </c>
      <c r="B134" s="6">
        <f t="shared" si="14"/>
        <v>2020</v>
      </c>
      <c r="D134">
        <f t="shared" ca="1" si="18"/>
        <v>784.29</v>
      </c>
      <c r="E134">
        <f t="shared" ca="1" si="18"/>
        <v>0</v>
      </c>
      <c r="F134" s="60">
        <f>SUMIF('Connection count '!B:B,B134,'Connection count '!H:H)</f>
        <v>2758.0562109645957</v>
      </c>
      <c r="G134" s="30">
        <f t="shared" ref="G134:J145" si="20">G122</f>
        <v>1</v>
      </c>
      <c r="H134" s="30">
        <f t="shared" si="20"/>
        <v>0</v>
      </c>
      <c r="I134" s="30">
        <f t="shared" si="20"/>
        <v>0</v>
      </c>
      <c r="J134" s="30">
        <f t="shared" si="20"/>
        <v>0</v>
      </c>
      <c r="L134" s="23">
        <f>'GS &lt; 50 OLS Model'!$B$5</f>
        <v>-6867500.9582801796</v>
      </c>
      <c r="M134" s="23">
        <f ca="1">'GS &lt; 50 OLS Model'!$B$6*D134</f>
        <v>2528569.3438547184</v>
      </c>
      <c r="N134" s="23">
        <f ca="1">'GS &lt; 50 OLS Model'!$B$7*E134</f>
        <v>0</v>
      </c>
      <c r="O134" s="23">
        <f>'GS &lt; 50 OLS Model'!$B$8*F134</f>
        <v>11400247.81508076</v>
      </c>
      <c r="P134" s="23">
        <f>'GS &lt; 50 OLS Model'!$B$9*G134</f>
        <v>912607.54486392904</v>
      </c>
      <c r="Q134" s="23">
        <f>'GS &lt; 50 OLS Model'!$B$10*H134</f>
        <v>0</v>
      </c>
      <c r="R134" s="23">
        <f>'GS &lt; 50 OLS Model'!$B$11*I134</f>
        <v>0</v>
      </c>
      <c r="S134" s="23">
        <f>'GS &lt; 50 OLS Model'!$B$12*J134</f>
        <v>0</v>
      </c>
      <c r="T134" s="23">
        <f t="shared" ca="1" si="19"/>
        <v>7973923.7455192273</v>
      </c>
    </row>
    <row r="135" spans="1:20">
      <c r="A135" s="11">
        <v>43862</v>
      </c>
      <c r="B135" s="6">
        <f t="shared" si="14"/>
        <v>2020</v>
      </c>
      <c r="D135">
        <f t="shared" ca="1" si="18"/>
        <v>682.50999999999988</v>
      </c>
      <c r="E135">
        <f t="shared" ca="1" si="18"/>
        <v>0</v>
      </c>
      <c r="F135" s="60">
        <f>SUMIF('Connection count '!B:B,B135,'Connection count '!H:H)</f>
        <v>2758.0562109645957</v>
      </c>
      <c r="G135" s="30">
        <f t="shared" si="20"/>
        <v>1</v>
      </c>
      <c r="H135" s="30">
        <f t="shared" si="20"/>
        <v>0</v>
      </c>
      <c r="I135" s="30">
        <f t="shared" si="20"/>
        <v>1</v>
      </c>
      <c r="J135" s="30">
        <f t="shared" si="20"/>
        <v>0</v>
      </c>
      <c r="L135" s="23">
        <f>'GS &lt; 50 OLS Model'!$B$5</f>
        <v>-6867500.9582801796</v>
      </c>
      <c r="M135" s="23">
        <f ca="1">'GS &lt; 50 OLS Model'!$B$6*D135</f>
        <v>2200428.2381189149</v>
      </c>
      <c r="N135" s="23">
        <f ca="1">'GS &lt; 50 OLS Model'!$B$7*E135</f>
        <v>0</v>
      </c>
      <c r="O135" s="23">
        <f>'GS &lt; 50 OLS Model'!$B$8*F135</f>
        <v>11400247.81508076</v>
      </c>
      <c r="P135" s="23">
        <f>'GS &lt; 50 OLS Model'!$B$9*G135</f>
        <v>912607.54486392904</v>
      </c>
      <c r="Q135" s="23">
        <f>'GS &lt; 50 OLS Model'!$B$10*H135</f>
        <v>0</v>
      </c>
      <c r="R135" s="23">
        <f>'GS &lt; 50 OLS Model'!$B$11*I135</f>
        <v>-326910.06421591499</v>
      </c>
      <c r="S135" s="23">
        <f>'GS &lt; 50 OLS Model'!$B$12*J135</f>
        <v>0</v>
      </c>
      <c r="T135" s="23">
        <f t="shared" ca="1" si="19"/>
        <v>7645782.6397834243</v>
      </c>
    </row>
    <row r="136" spans="1:20">
      <c r="A136" s="11">
        <v>43891</v>
      </c>
      <c r="B136" s="6">
        <f t="shared" si="14"/>
        <v>2020</v>
      </c>
      <c r="D136">
        <f t="shared" ca="1" si="18"/>
        <v>556.99</v>
      </c>
      <c r="E136">
        <f t="shared" ca="1" si="18"/>
        <v>0</v>
      </c>
      <c r="F136" s="60">
        <f>SUMIF('Connection count '!B:B,B136,'Connection count '!H:H)</f>
        <v>2758.0562109645957</v>
      </c>
      <c r="G136" s="30">
        <f t="shared" si="20"/>
        <v>1</v>
      </c>
      <c r="H136" s="30">
        <f t="shared" si="20"/>
        <v>0</v>
      </c>
      <c r="I136" s="30">
        <f t="shared" si="20"/>
        <v>0</v>
      </c>
      <c r="J136" s="30">
        <f t="shared" si="20"/>
        <v>0</v>
      </c>
      <c r="L136" s="23">
        <f>'GS &lt; 50 OLS Model'!$B$5</f>
        <v>-6867500.9582801796</v>
      </c>
      <c r="M136" s="23">
        <f ca="1">'GS &lt; 50 OLS Model'!$B$6*D136</f>
        <v>1795748.815914572</v>
      </c>
      <c r="N136" s="23">
        <f ca="1">'GS &lt; 50 OLS Model'!$B$7*E136</f>
        <v>0</v>
      </c>
      <c r="O136" s="23">
        <f>'GS &lt; 50 OLS Model'!$B$8*F136</f>
        <v>11400247.81508076</v>
      </c>
      <c r="P136" s="23">
        <f>'GS &lt; 50 OLS Model'!$B$9*G136</f>
        <v>912607.54486392904</v>
      </c>
      <c r="Q136" s="23">
        <f>'GS &lt; 50 OLS Model'!$B$10*H136</f>
        <v>0</v>
      </c>
      <c r="R136" s="23">
        <f>'GS &lt; 50 OLS Model'!$B$11*I136</f>
        <v>0</v>
      </c>
      <c r="S136" s="23">
        <f>'GS &lt; 50 OLS Model'!$B$12*J136</f>
        <v>0</v>
      </c>
      <c r="T136" s="23">
        <f t="shared" ca="1" si="19"/>
        <v>7241103.2175790817</v>
      </c>
    </row>
    <row r="137" spans="1:20">
      <c r="A137" s="11">
        <v>43922</v>
      </c>
      <c r="B137" s="6">
        <f t="shared" si="14"/>
        <v>2020</v>
      </c>
      <c r="D137">
        <f t="shared" ca="1" si="18"/>
        <v>326.58999999999997</v>
      </c>
      <c r="E137">
        <f t="shared" ca="1" si="18"/>
        <v>0.39</v>
      </c>
      <c r="F137" s="60">
        <f>SUMIF('Connection count '!B:B,B137,'Connection count '!H:H)</f>
        <v>2758.0562109645957</v>
      </c>
      <c r="G137" s="30">
        <f t="shared" si="20"/>
        <v>1</v>
      </c>
      <c r="H137" s="30">
        <f t="shared" si="20"/>
        <v>0</v>
      </c>
      <c r="I137" s="30">
        <f t="shared" si="20"/>
        <v>0</v>
      </c>
      <c r="J137" s="30">
        <f t="shared" si="20"/>
        <v>1</v>
      </c>
      <c r="L137" s="23">
        <f>'GS &lt; 50 OLS Model'!$B$5</f>
        <v>-6867500.9582801796</v>
      </c>
      <c r="M137" s="23">
        <f ca="1">'GS &lt; 50 OLS Model'!$B$6*D137</f>
        <v>1052933.8153100414</v>
      </c>
      <c r="N137" s="23">
        <f ca="1">'GS &lt; 50 OLS Model'!$B$7*E137</f>
        <v>5916.9172633461158</v>
      </c>
      <c r="O137" s="23">
        <f>'GS &lt; 50 OLS Model'!$B$8*F137</f>
        <v>11400247.81508076</v>
      </c>
      <c r="P137" s="23">
        <f>'GS &lt; 50 OLS Model'!$B$9*G137</f>
        <v>912607.54486392904</v>
      </c>
      <c r="Q137" s="23">
        <f>'GS &lt; 50 OLS Model'!$B$10*H137</f>
        <v>0</v>
      </c>
      <c r="R137" s="23">
        <f>'GS &lt; 50 OLS Model'!$B$11*I137</f>
        <v>0</v>
      </c>
      <c r="S137" s="23">
        <f>'GS &lt; 50 OLS Model'!$B$12*J137</f>
        <v>-430621.67531502497</v>
      </c>
      <c r="T137" s="23">
        <f t="shared" ca="1" si="19"/>
        <v>6504205.1342378967</v>
      </c>
    </row>
    <row r="138" spans="1:20">
      <c r="A138" s="11">
        <v>43952</v>
      </c>
      <c r="B138" s="6">
        <f t="shared" si="14"/>
        <v>2020</v>
      </c>
      <c r="D138">
        <f t="shared" ref="D138:E145" ca="1" si="21">D126</f>
        <v>144.96</v>
      </c>
      <c r="E138">
        <f t="shared" ca="1" si="21"/>
        <v>8.67</v>
      </c>
      <c r="F138" s="60">
        <f>SUMIF('Connection count '!B:B,B138,'Connection count '!H:H)</f>
        <v>2758.0562109645957</v>
      </c>
      <c r="G138" s="30">
        <f t="shared" si="20"/>
        <v>1</v>
      </c>
      <c r="H138" s="30">
        <f t="shared" si="20"/>
        <v>0</v>
      </c>
      <c r="I138" s="30">
        <f t="shared" si="20"/>
        <v>0</v>
      </c>
      <c r="J138" s="30">
        <f t="shared" si="20"/>
        <v>0</v>
      </c>
      <c r="L138" s="23">
        <f>'GS &lt; 50 OLS Model'!$B$5</f>
        <v>-6867500.9582801796</v>
      </c>
      <c r="M138" s="23">
        <f ca="1">'GS &lt; 50 OLS Model'!$B$6*D138</f>
        <v>467354.43788035039</v>
      </c>
      <c r="N138" s="23">
        <f ca="1">'GS &lt; 50 OLS Model'!$B$7*E138</f>
        <v>131537.62223900211</v>
      </c>
      <c r="O138" s="23">
        <f>'GS &lt; 50 OLS Model'!$B$8*F138</f>
        <v>11400247.81508076</v>
      </c>
      <c r="P138" s="23">
        <f>'GS &lt; 50 OLS Model'!$B$9*G138</f>
        <v>912607.54486392904</v>
      </c>
      <c r="Q138" s="23">
        <f>'GS &lt; 50 OLS Model'!$B$10*H138</f>
        <v>0</v>
      </c>
      <c r="R138" s="23">
        <f>'GS &lt; 50 OLS Model'!$B$11*I138</f>
        <v>0</v>
      </c>
      <c r="S138" s="23">
        <f>'GS &lt; 50 OLS Model'!$B$12*J138</f>
        <v>0</v>
      </c>
      <c r="T138" s="23">
        <f t="shared" ca="1" si="19"/>
        <v>6044246.4617838617</v>
      </c>
    </row>
    <row r="139" spans="1:20">
      <c r="A139" s="11">
        <v>43983</v>
      </c>
      <c r="B139" s="6">
        <f t="shared" si="14"/>
        <v>2020</v>
      </c>
      <c r="D139">
        <f t="shared" ca="1" si="21"/>
        <v>41.510000000000005</v>
      </c>
      <c r="E139">
        <f t="shared" ca="1" si="21"/>
        <v>44.41</v>
      </c>
      <c r="F139" s="60">
        <f>SUMIF('Connection count '!B:B,B139,'Connection count '!H:H)</f>
        <v>2758.0562109645957</v>
      </c>
      <c r="G139" s="30">
        <f t="shared" si="20"/>
        <v>1</v>
      </c>
      <c r="H139" s="30">
        <f t="shared" si="20"/>
        <v>0</v>
      </c>
      <c r="I139" s="30">
        <f t="shared" si="20"/>
        <v>0</v>
      </c>
      <c r="J139" s="30">
        <f t="shared" si="20"/>
        <v>0</v>
      </c>
      <c r="L139" s="23">
        <f>'GS &lt; 50 OLS Model'!$B$5</f>
        <v>-6867500.9582801796</v>
      </c>
      <c r="M139" s="23">
        <f ca="1">'GS &lt; 50 OLS Model'!$B$6*D139</f>
        <v>133829.21299954021</v>
      </c>
      <c r="N139" s="23">
        <f ca="1">'GS &lt; 50 OLS Model'!$B$7*E139</f>
        <v>673769.98888513062</v>
      </c>
      <c r="O139" s="23">
        <f>'GS &lt; 50 OLS Model'!$B$8*F139</f>
        <v>11400247.81508076</v>
      </c>
      <c r="P139" s="23">
        <f>'GS &lt; 50 OLS Model'!$B$9*G139</f>
        <v>912607.54486392904</v>
      </c>
      <c r="Q139" s="23">
        <f>'GS &lt; 50 OLS Model'!$B$10*H139</f>
        <v>0</v>
      </c>
      <c r="R139" s="23">
        <f>'GS &lt; 50 OLS Model'!$B$11*I139</f>
        <v>0</v>
      </c>
      <c r="S139" s="23">
        <f>'GS &lt; 50 OLS Model'!$B$12*J139</f>
        <v>0</v>
      </c>
      <c r="T139" s="23">
        <f t="shared" ca="1" si="19"/>
        <v>6252953.6035491806</v>
      </c>
    </row>
    <row r="140" spans="1:20">
      <c r="A140" s="11">
        <v>44013</v>
      </c>
      <c r="B140" s="6">
        <f t="shared" si="14"/>
        <v>2020</v>
      </c>
      <c r="D140">
        <f t="shared" ca="1" si="21"/>
        <v>5.01</v>
      </c>
      <c r="E140">
        <f t="shared" ca="1" si="21"/>
        <v>96.909999999999982</v>
      </c>
      <c r="F140" s="60">
        <f>SUMIF('Connection count '!B:B,B140,'Connection count '!H:H)</f>
        <v>2758.0562109645957</v>
      </c>
      <c r="G140" s="30">
        <f t="shared" si="20"/>
        <v>1</v>
      </c>
      <c r="H140" s="30">
        <f t="shared" si="20"/>
        <v>0</v>
      </c>
      <c r="I140" s="30">
        <f t="shared" si="20"/>
        <v>0</v>
      </c>
      <c r="J140" s="30">
        <f t="shared" si="20"/>
        <v>0</v>
      </c>
      <c r="L140" s="23">
        <f>'GS &lt; 50 OLS Model'!$B$5</f>
        <v>-6867500.9582801796</v>
      </c>
      <c r="M140" s="23">
        <f ca="1">'GS &lt; 50 OLS Model'!$B$6*D140</f>
        <v>16152.357435020387</v>
      </c>
      <c r="N140" s="23">
        <f ca="1">'GS &lt; 50 OLS Model'!$B$7*E140</f>
        <v>1470278.0820278767</v>
      </c>
      <c r="O140" s="23">
        <f>'GS &lt; 50 OLS Model'!$B$8*F140</f>
        <v>11400247.81508076</v>
      </c>
      <c r="P140" s="23">
        <f>'GS &lt; 50 OLS Model'!$B$9*G140</f>
        <v>912607.54486392904</v>
      </c>
      <c r="Q140" s="23">
        <f>'GS &lt; 50 OLS Model'!$B$10*H140</f>
        <v>0</v>
      </c>
      <c r="R140" s="23">
        <f>'GS &lt; 50 OLS Model'!$B$11*I140</f>
        <v>0</v>
      </c>
      <c r="S140" s="23">
        <f>'GS &lt; 50 OLS Model'!$B$12*J140</f>
        <v>0</v>
      </c>
      <c r="T140" s="23">
        <f t="shared" ca="1" si="19"/>
        <v>6931784.8411274068</v>
      </c>
    </row>
    <row r="141" spans="1:20">
      <c r="A141" s="11">
        <v>44044</v>
      </c>
      <c r="B141" s="6">
        <f t="shared" si="14"/>
        <v>2020</v>
      </c>
      <c r="D141">
        <f t="shared" ca="1" si="21"/>
        <v>12.719999999999999</v>
      </c>
      <c r="E141">
        <f t="shared" ca="1" si="21"/>
        <v>77.22999999999999</v>
      </c>
      <c r="F141" s="60">
        <f>SUMIF('Connection count '!B:B,B141,'Connection count '!H:H)</f>
        <v>2758.0562109645957</v>
      </c>
      <c r="G141" s="30">
        <f t="shared" si="20"/>
        <v>1</v>
      </c>
      <c r="H141" s="30">
        <f t="shared" si="20"/>
        <v>0</v>
      </c>
      <c r="I141" s="30">
        <f t="shared" si="20"/>
        <v>0</v>
      </c>
      <c r="J141" s="30">
        <f t="shared" si="20"/>
        <v>0</v>
      </c>
      <c r="L141" s="23">
        <f>'GS &lt; 50 OLS Model'!$B$5</f>
        <v>-6867500.9582801796</v>
      </c>
      <c r="M141" s="23">
        <f ca="1">'GS &lt; 50 OLS Model'!$B$6*D141</f>
        <v>41009.578158375116</v>
      </c>
      <c r="N141" s="23">
        <f ca="1">'GS &lt; 50 OLS Model'!$B$7*E141</f>
        <v>1171701.3339697958</v>
      </c>
      <c r="O141" s="23">
        <f>'GS &lt; 50 OLS Model'!$B$8*F141</f>
        <v>11400247.81508076</v>
      </c>
      <c r="P141" s="23">
        <f>'GS &lt; 50 OLS Model'!$B$9*G141</f>
        <v>912607.54486392904</v>
      </c>
      <c r="Q141" s="23">
        <f>'GS &lt; 50 OLS Model'!$B$10*H141</f>
        <v>0</v>
      </c>
      <c r="R141" s="23">
        <f>'GS &lt; 50 OLS Model'!$B$11*I141</f>
        <v>0</v>
      </c>
      <c r="S141" s="23">
        <f>'GS &lt; 50 OLS Model'!$B$12*J141</f>
        <v>0</v>
      </c>
      <c r="T141" s="23">
        <f t="shared" ca="1" si="19"/>
        <v>6658065.3137926804</v>
      </c>
    </row>
    <row r="142" spans="1:20">
      <c r="A142" s="11">
        <v>44075</v>
      </c>
      <c r="B142" s="6">
        <f t="shared" si="14"/>
        <v>2020</v>
      </c>
      <c r="D142">
        <f t="shared" ca="1" si="21"/>
        <v>86.570000000000007</v>
      </c>
      <c r="E142">
        <f t="shared" ca="1" si="21"/>
        <v>19.899999999999999</v>
      </c>
      <c r="F142" s="60">
        <f>SUMIF('Connection count '!B:B,B142,'Connection count '!H:H)</f>
        <v>2758.0562109645957</v>
      </c>
      <c r="G142" s="30">
        <f t="shared" si="20"/>
        <v>1</v>
      </c>
      <c r="H142" s="30">
        <f t="shared" si="20"/>
        <v>1</v>
      </c>
      <c r="I142" s="30">
        <f t="shared" si="20"/>
        <v>0</v>
      </c>
      <c r="J142" s="30">
        <f t="shared" si="20"/>
        <v>0</v>
      </c>
      <c r="L142" s="23">
        <f>'GS &lt; 50 OLS Model'!$B$5</f>
        <v>-6867500.9582801796</v>
      </c>
      <c r="M142" s="23">
        <f ca="1">'GS &lt; 50 OLS Model'!$B$6*D142</f>
        <v>279103.70921151998</v>
      </c>
      <c r="N142" s="23">
        <f ca="1">'GS &lt; 50 OLS Model'!$B$7*E142</f>
        <v>301914.49625791714</v>
      </c>
      <c r="O142" s="23">
        <f>'GS &lt; 50 OLS Model'!$B$8*F142</f>
        <v>11400247.81508076</v>
      </c>
      <c r="P142" s="23">
        <f>'GS &lt; 50 OLS Model'!$B$9*G142</f>
        <v>912607.54486392904</v>
      </c>
      <c r="Q142" s="23">
        <f>'GS &lt; 50 OLS Model'!$B$10*H142</f>
        <v>-165959.07761345801</v>
      </c>
      <c r="R142" s="23">
        <f>'GS &lt; 50 OLS Model'!$B$11*I142</f>
        <v>0</v>
      </c>
      <c r="S142" s="23">
        <f>'GS &lt; 50 OLS Model'!$B$12*J142</f>
        <v>0</v>
      </c>
      <c r="T142" s="23">
        <f t="shared" ca="1" si="19"/>
        <v>6026372.6071339464</v>
      </c>
    </row>
    <row r="143" spans="1:20">
      <c r="A143" s="11">
        <v>44105</v>
      </c>
      <c r="B143" s="6">
        <f t="shared" si="14"/>
        <v>2020</v>
      </c>
      <c r="D143">
        <f t="shared" ca="1" si="21"/>
        <v>270.3</v>
      </c>
      <c r="E143">
        <f t="shared" ca="1" si="21"/>
        <v>1.21</v>
      </c>
      <c r="F143" s="60">
        <f>SUMIF('Connection count '!B:B,B143,'Connection count '!H:H)</f>
        <v>2758.0562109645957</v>
      </c>
      <c r="G143" s="30">
        <f t="shared" si="20"/>
        <v>1</v>
      </c>
      <c r="H143" s="30">
        <f t="shared" si="20"/>
        <v>1</v>
      </c>
      <c r="I143" s="30">
        <f t="shared" si="20"/>
        <v>0</v>
      </c>
      <c r="J143" s="30">
        <f t="shared" si="20"/>
        <v>0</v>
      </c>
      <c r="L143" s="23">
        <f>'GS &lt; 50 OLS Model'!$B$5</f>
        <v>-6867500.9582801796</v>
      </c>
      <c r="M143" s="23">
        <f ca="1">'GS &lt; 50 OLS Model'!$B$6*D143</f>
        <v>871453.53586547123</v>
      </c>
      <c r="N143" s="23">
        <f ca="1">'GS &lt; 50 OLS Model'!$B$7*E143</f>
        <v>18357.615099099487</v>
      </c>
      <c r="O143" s="23">
        <f>'GS &lt; 50 OLS Model'!$B$8*F143</f>
        <v>11400247.81508076</v>
      </c>
      <c r="P143" s="23">
        <f>'GS &lt; 50 OLS Model'!$B$9*G143</f>
        <v>912607.54486392904</v>
      </c>
      <c r="Q143" s="23">
        <f>'GS &lt; 50 OLS Model'!$B$10*H143</f>
        <v>-165959.07761345801</v>
      </c>
      <c r="R143" s="23">
        <f>'GS &lt; 50 OLS Model'!$B$11*I143</f>
        <v>0</v>
      </c>
      <c r="S143" s="23">
        <f>'GS &lt; 50 OLS Model'!$B$12*J143</f>
        <v>0</v>
      </c>
      <c r="T143" s="23">
        <f t="shared" ca="1" si="19"/>
        <v>6335165.5526290797</v>
      </c>
    </row>
    <row r="144" spans="1:20">
      <c r="A144" s="11">
        <v>44136</v>
      </c>
      <c r="B144" s="6">
        <f t="shared" si="14"/>
        <v>2020</v>
      </c>
      <c r="D144">
        <f t="shared" ca="1" si="21"/>
        <v>444.05</v>
      </c>
      <c r="E144">
        <f t="shared" ca="1" si="21"/>
        <v>0</v>
      </c>
      <c r="F144" s="60">
        <f>SUMIF('Connection count '!B:B,B144,'Connection count '!H:H)</f>
        <v>2758.0562109645957</v>
      </c>
      <c r="G144" s="30">
        <f t="shared" si="20"/>
        <v>1</v>
      </c>
      <c r="H144" s="30">
        <f t="shared" si="20"/>
        <v>1</v>
      </c>
      <c r="I144" s="30">
        <f t="shared" si="20"/>
        <v>0</v>
      </c>
      <c r="J144" s="30">
        <f t="shared" si="20"/>
        <v>0</v>
      </c>
      <c r="L144" s="23">
        <f>'GS &lt; 50 OLS Model'!$B$5</f>
        <v>-6867500.9582801796</v>
      </c>
      <c r="M144" s="23">
        <f ca="1">'GS &lt; 50 OLS Model'!$B$6*D144</f>
        <v>1431627.6085869868</v>
      </c>
      <c r="N144" s="23">
        <f ca="1">'GS &lt; 50 OLS Model'!$B$7*E144</f>
        <v>0</v>
      </c>
      <c r="O144" s="23">
        <f>'GS &lt; 50 OLS Model'!$B$8*F144</f>
        <v>11400247.81508076</v>
      </c>
      <c r="P144" s="23">
        <f>'GS &lt; 50 OLS Model'!$B$9*G144</f>
        <v>912607.54486392904</v>
      </c>
      <c r="Q144" s="23">
        <f>'GS &lt; 50 OLS Model'!$B$10*H144</f>
        <v>-165959.07761345801</v>
      </c>
      <c r="R144" s="23">
        <f>'GS &lt; 50 OLS Model'!$B$11*I144</f>
        <v>0</v>
      </c>
      <c r="S144" s="23">
        <f>'GS &lt; 50 OLS Model'!$B$12*J144</f>
        <v>0</v>
      </c>
      <c r="T144" s="23">
        <f t="shared" ca="1" si="19"/>
        <v>6876982.010251496</v>
      </c>
    </row>
    <row r="145" spans="1:20">
      <c r="A145" s="11">
        <v>44166</v>
      </c>
      <c r="B145" s="6">
        <f t="shared" si="14"/>
        <v>2020</v>
      </c>
      <c r="D145">
        <f t="shared" ca="1" si="21"/>
        <v>684.01</v>
      </c>
      <c r="E145">
        <f t="shared" ca="1" si="21"/>
        <v>0</v>
      </c>
      <c r="F145" s="60">
        <f>SUMIF('Connection count '!B:B,B145,'Connection count '!H:H)</f>
        <v>2758.0562109645957</v>
      </c>
      <c r="G145" s="30">
        <f t="shared" si="20"/>
        <v>1</v>
      </c>
      <c r="H145" s="30">
        <f t="shared" si="20"/>
        <v>0</v>
      </c>
      <c r="I145" s="30">
        <f t="shared" si="20"/>
        <v>0</v>
      </c>
      <c r="J145" s="30">
        <f t="shared" si="20"/>
        <v>0</v>
      </c>
      <c r="L145" s="23">
        <f>'GS &lt; 50 OLS Model'!$B$5</f>
        <v>-6867500.9582801796</v>
      </c>
      <c r="M145" s="23">
        <f ca="1">'GS &lt; 50 OLS Model'!$B$6*D145</f>
        <v>2205264.2732791007</v>
      </c>
      <c r="N145" s="23">
        <f ca="1">'GS &lt; 50 OLS Model'!$B$7*E145</f>
        <v>0</v>
      </c>
      <c r="O145" s="23">
        <f>'GS &lt; 50 OLS Model'!$B$8*F145</f>
        <v>11400247.81508076</v>
      </c>
      <c r="P145" s="23">
        <f>'GS &lt; 50 OLS Model'!$B$9*G145</f>
        <v>912607.54486392904</v>
      </c>
      <c r="Q145" s="23">
        <f>'GS &lt; 50 OLS Model'!$B$10*H145</f>
        <v>0</v>
      </c>
      <c r="R145" s="23">
        <f>'GS &lt; 50 OLS Model'!$B$11*I145</f>
        <v>0</v>
      </c>
      <c r="S145" s="23">
        <f>'GS &lt; 50 OLS Model'!$B$12*J145</f>
        <v>0</v>
      </c>
      <c r="T145" s="23">
        <f t="shared" ca="1" si="19"/>
        <v>7650618.6749436101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workbookViewId="0"/>
  </sheetViews>
  <sheetFormatPr defaultRowHeight="12.75"/>
  <cols>
    <col min="1" max="1" width="7.14062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7.42578125" bestFit="1" customWidth="1"/>
    <col min="7" max="7" width="5.5703125" bestFit="1" customWidth="1"/>
    <col min="8" max="8" width="14.140625" bestFit="1" customWidth="1"/>
    <col min="9" max="9" width="4" bestFit="1" customWidth="1"/>
    <col min="10" max="10" width="6" bestFit="1" customWidth="1"/>
    <col min="11" max="12" width="6.140625" style="30" customWidth="1"/>
    <col min="13" max="13" width="14.5703125" style="30" bestFit="1" customWidth="1"/>
    <col min="15" max="15" width="11.28515625" style="23" bestFit="1" customWidth="1"/>
    <col min="16" max="17" width="10.28515625" style="23" bestFit="1" customWidth="1"/>
    <col min="18" max="18" width="11.28515625" style="23" bestFit="1" customWidth="1"/>
    <col min="19" max="19" width="10.28515625" style="23" bestFit="1" customWidth="1"/>
    <col min="20" max="20" width="15.28515625" style="23" bestFit="1" customWidth="1"/>
    <col min="21" max="24" width="10.28515625" style="23" bestFit="1" customWidth="1"/>
    <col min="25" max="25" width="15.7109375" style="23" bestFit="1" customWidth="1"/>
    <col min="26" max="26" width="15.42578125" style="23" bestFit="1" customWidth="1"/>
  </cols>
  <sheetData>
    <row r="1" spans="1:26">
      <c r="A1" s="11" t="str">
        <f>'Monthly Data'!A1</f>
        <v>Date</v>
      </c>
      <c r="B1" s="15" t="s">
        <v>33</v>
      </c>
      <c r="C1" t="str">
        <f>'Monthly Data'!L1</f>
        <v>GSgt50kWh</v>
      </c>
      <c r="D1" s="30" t="str">
        <f>'Monthly Data'!U1</f>
        <v>HDD</v>
      </c>
      <c r="E1" s="30" t="str">
        <f>'Monthly Data'!V1</f>
        <v>CDD</v>
      </c>
      <c r="F1" s="30" t="str">
        <f>'Monthly Data'!Y1</f>
        <v>OntFTE</v>
      </c>
      <c r="G1" s="30" t="str">
        <f>'Monthly Data'!AA1</f>
        <v>Trend</v>
      </c>
      <c r="H1" s="30" t="str">
        <f>'Monthly Data'!AF1</f>
        <v>GSgt50Cust</v>
      </c>
      <c r="I1" s="30" t="str">
        <f>'Monthly Data'!AM1</f>
        <v>Fall</v>
      </c>
      <c r="J1" s="30" t="str">
        <f>'Monthly Data'!AN1</f>
        <v>DFEB</v>
      </c>
      <c r="K1" s="30" t="str">
        <f>'Monthly Data'!AO1</f>
        <v>DAPR</v>
      </c>
      <c r="L1" s="30" t="str">
        <f>'Monthly Data'!AP1</f>
        <v>DDEC</v>
      </c>
      <c r="M1" s="30" t="str">
        <f>'Monthly Data'!AQ1</f>
        <v>PostSecondarySummer</v>
      </c>
      <c r="O1" s="23" t="str">
        <f>'GS &gt; 50 OLS Model'!$A$5</f>
        <v>const</v>
      </c>
      <c r="P1" s="23" t="str">
        <f>D1</f>
        <v>HDD</v>
      </c>
      <c r="Q1" s="23" t="str">
        <f t="shared" ref="Q1:V1" si="0">E1</f>
        <v>CDD</v>
      </c>
      <c r="R1" s="23" t="str">
        <f t="shared" si="0"/>
        <v>OntFTE</v>
      </c>
      <c r="S1" s="23" t="str">
        <f t="shared" si="0"/>
        <v>Trend</v>
      </c>
      <c r="T1" s="23" t="str">
        <f t="shared" si="0"/>
        <v>GSgt50Cust</v>
      </c>
      <c r="U1" s="23" t="str">
        <f t="shared" si="0"/>
        <v>Fall</v>
      </c>
      <c r="V1" s="23" t="str">
        <f t="shared" si="0"/>
        <v>DFEB</v>
      </c>
      <c r="W1" s="23" t="str">
        <f>K1</f>
        <v>DAPR</v>
      </c>
      <c r="X1" s="23" t="str">
        <f>L1</f>
        <v>DDEC</v>
      </c>
      <c r="Y1" s="23" t="str">
        <f>M1</f>
        <v>PostSecondarySummer</v>
      </c>
      <c r="Z1" s="58" t="s">
        <v>58</v>
      </c>
    </row>
    <row r="2" spans="1:26">
      <c r="A2" s="11">
        <f>'Monthly Data'!A2</f>
        <v>39814</v>
      </c>
      <c r="B2" s="6">
        <f>YEAR(A2)</f>
        <v>2009</v>
      </c>
      <c r="C2">
        <f>'Monthly Data'!N2</f>
        <v>27538204.187447365</v>
      </c>
      <c r="D2">
        <f ca="1">'Weather Data'!G66</f>
        <v>784.29</v>
      </c>
      <c r="E2" s="30">
        <f ca="1">'Weather Data'!H66</f>
        <v>0</v>
      </c>
      <c r="F2" s="30">
        <f>'Monthly Data'!Y2</f>
        <v>6506.5</v>
      </c>
      <c r="G2" s="30">
        <f>'Monthly Data'!AA2</f>
        <v>1</v>
      </c>
      <c r="H2" s="30">
        <f>'Monthly Data'!AF2</f>
        <v>365</v>
      </c>
      <c r="I2" s="30">
        <f>'Monthly Data'!AM2</f>
        <v>0</v>
      </c>
      <c r="J2" s="30">
        <f>'Monthly Data'!AN2</f>
        <v>0</v>
      </c>
      <c r="K2" s="30">
        <f>'Monthly Data'!AO2</f>
        <v>0</v>
      </c>
      <c r="L2" s="30">
        <f>'Monthly Data'!AP2</f>
        <v>0</v>
      </c>
      <c r="M2" s="30">
        <f>'Monthly Data'!AQ2</f>
        <v>0</v>
      </c>
      <c r="O2" s="23">
        <f>'GS &gt; 50 OLS Model'!$B$5</f>
        <v>-17059648.826166701</v>
      </c>
      <c r="P2" s="23">
        <f ca="1">'GS &gt; 50 OLS Model'!$B$6*D2</f>
        <v>6041192.3148217853</v>
      </c>
      <c r="Q2" s="23">
        <f ca="1">'GS &gt; 50 OLS Model'!$B$7*E2</f>
        <v>0</v>
      </c>
      <c r="R2" s="23">
        <f>'GS &gt; 50 OLS Model'!$B$8*F2</f>
        <v>35047159.224440992</v>
      </c>
      <c r="S2" s="23">
        <f>'GS &gt; 50 OLS Model'!$B$9*G2</f>
        <v>-24616.2467691686</v>
      </c>
      <c r="T2" s="23">
        <f>'GS &gt; 50 OLS Model'!$B$10*H2</f>
        <v>3212161.2844790509</v>
      </c>
      <c r="U2" s="23">
        <f>'GS &gt; 50 OLS Model'!$B$11*I2</f>
        <v>0</v>
      </c>
      <c r="V2" s="23">
        <f>'GS &gt; 50 OLS Model'!$B$12*J2</f>
        <v>0</v>
      </c>
      <c r="W2" s="23">
        <f>'GS &gt; 50 OLS Model'!$B$13*K2</f>
        <v>0</v>
      </c>
      <c r="X2" s="23">
        <f>'GS &gt; 50 OLS Model'!$B$14*L2</f>
        <v>0</v>
      </c>
      <c r="Y2" s="23">
        <f>'GS &gt; 50 OLS Model'!$B$15*M2</f>
        <v>0</v>
      </c>
      <c r="Z2" s="23">
        <f ca="1">SUM(O2:Y2)</f>
        <v>27216247.750805959</v>
      </c>
    </row>
    <row r="3" spans="1:26">
      <c r="A3" s="11">
        <f>'Monthly Data'!A3</f>
        <v>39845</v>
      </c>
      <c r="B3" s="6">
        <f t="shared" ref="B3:B66" si="1">YEAR(A3)</f>
        <v>2009</v>
      </c>
      <c r="C3" s="30">
        <f>'Monthly Data'!N3</f>
        <v>24304974.191142105</v>
      </c>
      <c r="D3" s="30">
        <f ca="1">'Weather Data'!G67</f>
        <v>682.50999999999988</v>
      </c>
      <c r="E3" s="30">
        <f ca="1">'Weather Data'!H67</f>
        <v>0</v>
      </c>
      <c r="F3" s="30">
        <f>'Monthly Data'!Y3</f>
        <v>6436.2</v>
      </c>
      <c r="G3" s="30">
        <f>'Monthly Data'!AA3</f>
        <v>2</v>
      </c>
      <c r="H3" s="30">
        <f>'Monthly Data'!AF3</f>
        <v>361</v>
      </c>
      <c r="I3" s="30">
        <f>'Monthly Data'!AM3</f>
        <v>0</v>
      </c>
      <c r="J3" s="30">
        <f>'Monthly Data'!AN3</f>
        <v>1</v>
      </c>
      <c r="K3" s="30">
        <f>'Monthly Data'!AO3</f>
        <v>0</v>
      </c>
      <c r="L3" s="30">
        <f>'Monthly Data'!AP3</f>
        <v>0</v>
      </c>
      <c r="M3" s="30">
        <f>'Monthly Data'!AQ3</f>
        <v>0</v>
      </c>
      <c r="O3" s="23">
        <f>'GS &gt; 50 OLS Model'!$B$5</f>
        <v>-17059648.826166701</v>
      </c>
      <c r="P3" s="23">
        <f ca="1">'GS &gt; 50 OLS Model'!$B$6*D3</f>
        <v>5257206.0931403134</v>
      </c>
      <c r="Q3" s="23">
        <f ca="1">'GS &gt; 50 OLS Model'!$B$7*E3</f>
        <v>0</v>
      </c>
      <c r="R3" s="23">
        <f>'GS &gt; 50 OLS Model'!$B$8*F3</f>
        <v>34668489.387588888</v>
      </c>
      <c r="S3" s="23">
        <f>'GS &gt; 50 OLS Model'!$B$9*G3</f>
        <v>-49232.493538337199</v>
      </c>
      <c r="T3" s="23">
        <f>'GS &gt; 50 OLS Model'!$B$10*H3</f>
        <v>3176959.5169779104</v>
      </c>
      <c r="U3" s="23">
        <f>'GS &gt; 50 OLS Model'!$B$11*I3</f>
        <v>0</v>
      </c>
      <c r="V3" s="23">
        <f>'GS &gt; 50 OLS Model'!$B$12*J3</f>
        <v>-1514604.0647521601</v>
      </c>
      <c r="W3" s="23">
        <f>'GS &gt; 50 OLS Model'!$B$13*K3</f>
        <v>0</v>
      </c>
      <c r="X3" s="23">
        <f>'GS &gt; 50 OLS Model'!$B$14*L3</f>
        <v>0</v>
      </c>
      <c r="Y3" s="23">
        <f>'GS &gt; 50 OLS Model'!$B$15*M3</f>
        <v>0</v>
      </c>
      <c r="Z3" s="23">
        <f t="shared" ref="Z3:Z66" ca="1" si="2">SUM(O3:Y3)</f>
        <v>24479169.613249913</v>
      </c>
    </row>
    <row r="4" spans="1:26">
      <c r="A4" s="11">
        <f>'Monthly Data'!A4</f>
        <v>39873</v>
      </c>
      <c r="B4" s="6">
        <f t="shared" si="1"/>
        <v>2009</v>
      </c>
      <c r="C4" s="30">
        <f>'Monthly Data'!N4</f>
        <v>24608843.61283683</v>
      </c>
      <c r="D4" s="30">
        <f ca="1">'Weather Data'!G68</f>
        <v>556.99</v>
      </c>
      <c r="E4" s="30">
        <f ca="1">'Weather Data'!H68</f>
        <v>0</v>
      </c>
      <c r="F4" s="30">
        <f>'Monthly Data'!Y4</f>
        <v>6363.8</v>
      </c>
      <c r="G4" s="30">
        <f>'Monthly Data'!AA4</f>
        <v>3</v>
      </c>
      <c r="H4" s="30">
        <f>'Monthly Data'!AF4</f>
        <v>339</v>
      </c>
      <c r="I4" s="30">
        <f>'Monthly Data'!AM4</f>
        <v>0</v>
      </c>
      <c r="J4" s="30">
        <f>'Monthly Data'!AN4</f>
        <v>0</v>
      </c>
      <c r="K4" s="30">
        <f>'Monthly Data'!AO4</f>
        <v>0</v>
      </c>
      <c r="L4" s="30">
        <f>'Monthly Data'!AP4</f>
        <v>0</v>
      </c>
      <c r="M4" s="30">
        <f>'Monthly Data'!AQ4</f>
        <v>0</v>
      </c>
      <c r="O4" s="23">
        <f>'GS &gt; 50 OLS Model'!$B$5</f>
        <v>-17059648.826166701</v>
      </c>
      <c r="P4" s="23">
        <f ca="1">'GS &gt; 50 OLS Model'!$B$6*D4</f>
        <v>4290356.5102609834</v>
      </c>
      <c r="Q4" s="23">
        <f ca="1">'GS &gt; 50 OLS Model'!$B$7*E4</f>
        <v>0</v>
      </c>
      <c r="R4" s="23">
        <f>'GS &gt; 50 OLS Model'!$B$8*F4</f>
        <v>34278507.933988713</v>
      </c>
      <c r="S4" s="23">
        <f>'GS &gt; 50 OLS Model'!$B$9*G4</f>
        <v>-73848.740307505795</v>
      </c>
      <c r="T4" s="23">
        <f>'GS &gt; 50 OLS Model'!$B$10*H4</f>
        <v>2983349.7957216389</v>
      </c>
      <c r="U4" s="23">
        <f>'GS &gt; 50 OLS Model'!$B$11*I4</f>
        <v>0</v>
      </c>
      <c r="V4" s="23">
        <f>'GS &gt; 50 OLS Model'!$B$12*J4</f>
        <v>0</v>
      </c>
      <c r="W4" s="23">
        <f>'GS &gt; 50 OLS Model'!$B$13*K4</f>
        <v>0</v>
      </c>
      <c r="X4" s="23">
        <f>'GS &gt; 50 OLS Model'!$B$14*L4</f>
        <v>0</v>
      </c>
      <c r="Y4" s="23">
        <f>'GS &gt; 50 OLS Model'!$B$15*M4</f>
        <v>0</v>
      </c>
      <c r="Z4" s="23">
        <f t="shared" ca="1" si="2"/>
        <v>24418716.673497129</v>
      </c>
    </row>
    <row r="5" spans="1:26">
      <c r="A5" s="11">
        <f>'Monthly Data'!A5</f>
        <v>39904</v>
      </c>
      <c r="B5" s="6">
        <f t="shared" si="1"/>
        <v>2009</v>
      </c>
      <c r="C5" s="30">
        <f>'Monthly Data'!N5</f>
        <v>21120456.317131568</v>
      </c>
      <c r="D5" s="30">
        <f ca="1">'Weather Data'!G69</f>
        <v>326.58999999999997</v>
      </c>
      <c r="E5" s="30">
        <f ca="1">'Weather Data'!H69</f>
        <v>0.39</v>
      </c>
      <c r="F5" s="30">
        <f>'Monthly Data'!Y5</f>
        <v>6359.6</v>
      </c>
      <c r="G5" s="30">
        <f>'Monthly Data'!AA5</f>
        <v>4</v>
      </c>
      <c r="H5" s="30">
        <f>'Monthly Data'!AF5</f>
        <v>341</v>
      </c>
      <c r="I5" s="30">
        <f>'Monthly Data'!AM5</f>
        <v>0</v>
      </c>
      <c r="J5" s="30">
        <f>'Monthly Data'!AN5</f>
        <v>0</v>
      </c>
      <c r="K5" s="30">
        <f>'Monthly Data'!AO5</f>
        <v>1</v>
      </c>
      <c r="L5" s="30">
        <f>'Monthly Data'!AP5</f>
        <v>0</v>
      </c>
      <c r="M5" s="30">
        <f>'Monthly Data'!AQ5</f>
        <v>0</v>
      </c>
      <c r="O5" s="23">
        <f>'GS &gt; 50 OLS Model'!$B$5</f>
        <v>-17059648.826166701</v>
      </c>
      <c r="P5" s="23">
        <f ca="1">'GS &gt; 50 OLS Model'!$B$6*D5</f>
        <v>2515642.1707501649</v>
      </c>
      <c r="Q5" s="23">
        <f ca="1">'GS &gt; 50 OLS Model'!$B$7*E5</f>
        <v>12732.330384510789</v>
      </c>
      <c r="R5" s="23">
        <f>'GS &gt; 50 OLS Model'!$B$8*F5</f>
        <v>34255884.700492576</v>
      </c>
      <c r="S5" s="23">
        <f>'GS &gt; 50 OLS Model'!$B$9*G5</f>
        <v>-98464.987076674399</v>
      </c>
      <c r="T5" s="23">
        <f>'GS &gt; 50 OLS Model'!$B$10*H5</f>
        <v>3000950.679472209</v>
      </c>
      <c r="U5" s="23">
        <f>'GS &gt; 50 OLS Model'!$B$11*I5</f>
        <v>0</v>
      </c>
      <c r="V5" s="23">
        <f>'GS &gt; 50 OLS Model'!$B$12*J5</f>
        <v>0</v>
      </c>
      <c r="W5" s="23">
        <f>'GS &gt; 50 OLS Model'!$B$13*K5</f>
        <v>-1589866.56724812</v>
      </c>
      <c r="X5" s="23">
        <f>'GS &gt; 50 OLS Model'!$B$14*L5</f>
        <v>0</v>
      </c>
      <c r="Y5" s="23">
        <f>'GS &gt; 50 OLS Model'!$B$15*M5</f>
        <v>0</v>
      </c>
      <c r="Z5" s="23">
        <f t="shared" ca="1" si="2"/>
        <v>21037229.500607964</v>
      </c>
    </row>
    <row r="6" spans="1:26">
      <c r="A6" s="11">
        <f>'Monthly Data'!A6</f>
        <v>39934</v>
      </c>
      <c r="B6" s="6">
        <f t="shared" si="1"/>
        <v>2009</v>
      </c>
      <c r="C6" s="30">
        <f>'Monthly Data'!N6</f>
        <v>20015258.117326297</v>
      </c>
      <c r="D6" s="30">
        <f ca="1">'Weather Data'!G70</f>
        <v>144.96</v>
      </c>
      <c r="E6" s="30">
        <f ca="1">'Weather Data'!H70</f>
        <v>8.67</v>
      </c>
      <c r="F6" s="30">
        <f>'Monthly Data'!Y6</f>
        <v>6382.1</v>
      </c>
      <c r="G6" s="30">
        <f>'Monthly Data'!AA6</f>
        <v>5</v>
      </c>
      <c r="H6" s="30">
        <f>'Monthly Data'!AF6</f>
        <v>343</v>
      </c>
      <c r="I6" s="30">
        <f>'Monthly Data'!AM6</f>
        <v>0</v>
      </c>
      <c r="J6" s="30">
        <f>'Monthly Data'!AN6</f>
        <v>0</v>
      </c>
      <c r="K6" s="30">
        <f>'Monthly Data'!AO6</f>
        <v>0</v>
      </c>
      <c r="L6" s="30">
        <f>'Monthly Data'!AP6</f>
        <v>0</v>
      </c>
      <c r="M6" s="30">
        <f>'Monthly Data'!AQ6</f>
        <v>1</v>
      </c>
      <c r="O6" s="23">
        <f>'GS &gt; 50 OLS Model'!$B$5</f>
        <v>-17059648.826166701</v>
      </c>
      <c r="P6" s="23">
        <f ca="1">'GS &gt; 50 OLS Model'!$B$6*D6</f>
        <v>1116591.1052755564</v>
      </c>
      <c r="Q6" s="23">
        <f ca="1">'GS &gt; 50 OLS Model'!$B$7*E6</f>
        <v>283049.49854797061</v>
      </c>
      <c r="R6" s="23">
        <f>'GS &gt; 50 OLS Model'!$B$8*F6</f>
        <v>34377080.594221912</v>
      </c>
      <c r="S6" s="23">
        <f>'GS &gt; 50 OLS Model'!$B$9*G6</f>
        <v>-123081.233845843</v>
      </c>
      <c r="T6" s="23">
        <f>'GS &gt; 50 OLS Model'!$B$10*H6</f>
        <v>3018551.5632227794</v>
      </c>
      <c r="U6" s="23">
        <f>'GS &gt; 50 OLS Model'!$B$11*I6</f>
        <v>0</v>
      </c>
      <c r="V6" s="23">
        <f>'GS &gt; 50 OLS Model'!$B$12*J6</f>
        <v>0</v>
      </c>
      <c r="W6" s="23">
        <f>'GS &gt; 50 OLS Model'!$B$13*K6</f>
        <v>0</v>
      </c>
      <c r="X6" s="23">
        <f>'GS &gt; 50 OLS Model'!$B$14*L6</f>
        <v>0</v>
      </c>
      <c r="Y6" s="23">
        <f>'GS &gt; 50 OLS Model'!$B$15*M6</f>
        <v>-1207404.17093835</v>
      </c>
      <c r="Z6" s="23">
        <f t="shared" ca="1" si="2"/>
        <v>20405138.530317329</v>
      </c>
    </row>
    <row r="7" spans="1:26">
      <c r="A7" s="11">
        <f>'Monthly Data'!A7</f>
        <v>39965</v>
      </c>
      <c r="B7" s="6">
        <f t="shared" si="1"/>
        <v>2009</v>
      </c>
      <c r="C7" s="30">
        <f>'Monthly Data'!N7</f>
        <v>20097056.883721031</v>
      </c>
      <c r="D7" s="30">
        <f ca="1">'Weather Data'!G71</f>
        <v>41.510000000000005</v>
      </c>
      <c r="E7" s="30">
        <f ca="1">'Weather Data'!H71</f>
        <v>44.41</v>
      </c>
      <c r="F7" s="30">
        <f>'Monthly Data'!Y7</f>
        <v>6429.4</v>
      </c>
      <c r="G7" s="30">
        <f>'Monthly Data'!AA7</f>
        <v>6</v>
      </c>
      <c r="H7" s="30">
        <f>'Monthly Data'!AF7</f>
        <v>345</v>
      </c>
      <c r="I7" s="30">
        <f>'Monthly Data'!AM7</f>
        <v>0</v>
      </c>
      <c r="J7" s="30">
        <f>'Monthly Data'!AN7</f>
        <v>0</v>
      </c>
      <c r="K7" s="30">
        <f>'Monthly Data'!AO7</f>
        <v>0</v>
      </c>
      <c r="L7" s="30">
        <f>'Monthly Data'!AP7</f>
        <v>0</v>
      </c>
      <c r="M7" s="30">
        <f>'Monthly Data'!AQ7</f>
        <v>1</v>
      </c>
      <c r="O7" s="23">
        <f>'GS &gt; 50 OLS Model'!$B$5</f>
        <v>-17059648.826166701</v>
      </c>
      <c r="P7" s="23">
        <f ca="1">'GS &gt; 50 OLS Model'!$B$6*D7</f>
        <v>319741.28573391523</v>
      </c>
      <c r="Q7" s="23">
        <f ca="1">'GS &gt; 50 OLS Model'!$B$7*E7</f>
        <v>1449853.3137849336</v>
      </c>
      <c r="R7" s="23">
        <f>'GS &gt; 50 OLS Model'!$B$8*F7</f>
        <v>34631861.2952618</v>
      </c>
      <c r="S7" s="23">
        <f>'GS &gt; 50 OLS Model'!$B$9*G7</f>
        <v>-147697.48061501159</v>
      </c>
      <c r="T7" s="23">
        <f>'GS &gt; 50 OLS Model'!$B$10*H7</f>
        <v>3036152.4469733494</v>
      </c>
      <c r="U7" s="23">
        <f>'GS &gt; 50 OLS Model'!$B$11*I7</f>
        <v>0</v>
      </c>
      <c r="V7" s="23">
        <f>'GS &gt; 50 OLS Model'!$B$12*J7</f>
        <v>0</v>
      </c>
      <c r="W7" s="23">
        <f>'GS &gt; 50 OLS Model'!$B$13*K7</f>
        <v>0</v>
      </c>
      <c r="X7" s="23">
        <f>'GS &gt; 50 OLS Model'!$B$14*L7</f>
        <v>0</v>
      </c>
      <c r="Y7" s="23">
        <f>'GS &gt; 50 OLS Model'!$B$15*M7</f>
        <v>-1207404.17093835</v>
      </c>
      <c r="Z7" s="23">
        <f t="shared" ca="1" si="2"/>
        <v>21022857.864033937</v>
      </c>
    </row>
    <row r="8" spans="1:26">
      <c r="A8" s="11">
        <f>'Monthly Data'!A8</f>
        <v>39995</v>
      </c>
      <c r="B8" s="6">
        <f t="shared" si="1"/>
        <v>2009</v>
      </c>
      <c r="C8" s="30">
        <f>'Monthly Data'!N8</f>
        <v>21557347.533615761</v>
      </c>
      <c r="D8" s="30">
        <f ca="1">'Weather Data'!G72</f>
        <v>5.01</v>
      </c>
      <c r="E8" s="30">
        <f ca="1">'Weather Data'!H72</f>
        <v>96.909999999999982</v>
      </c>
      <c r="F8" s="30">
        <f>'Monthly Data'!Y8</f>
        <v>6467</v>
      </c>
      <c r="G8" s="30">
        <f>'Monthly Data'!AA8</f>
        <v>7</v>
      </c>
      <c r="H8" s="30">
        <f>'Monthly Data'!AF8</f>
        <v>344</v>
      </c>
      <c r="I8" s="30">
        <f>'Monthly Data'!AM8</f>
        <v>0</v>
      </c>
      <c r="J8" s="30">
        <f>'Monthly Data'!AN8</f>
        <v>0</v>
      </c>
      <c r="K8" s="30">
        <f>'Monthly Data'!AO8</f>
        <v>0</v>
      </c>
      <c r="L8" s="30">
        <f>'Monthly Data'!AP8</f>
        <v>0</v>
      </c>
      <c r="M8" s="30">
        <f>'Monthly Data'!AQ8</f>
        <v>1</v>
      </c>
      <c r="O8" s="23">
        <f>'GS &gt; 50 OLS Model'!$B$5</f>
        <v>-17059648.826166701</v>
      </c>
      <c r="P8" s="23">
        <f ca="1">'GS &gt; 50 OLS Model'!$B$6*D8</f>
        <v>38590.793580508667</v>
      </c>
      <c r="Q8" s="23">
        <f ca="1">'GS &gt; 50 OLS Model'!$B$7*E8</f>
        <v>3163820.8655460011</v>
      </c>
      <c r="R8" s="23">
        <f>'GS &gt; 50 OLS Model'!$B$8*F8</f>
        <v>34834393.099893935</v>
      </c>
      <c r="S8" s="23">
        <f>'GS &gt; 50 OLS Model'!$B$9*G8</f>
        <v>-172313.72738418021</v>
      </c>
      <c r="T8" s="23">
        <f>'GS &gt; 50 OLS Model'!$B$10*H8</f>
        <v>3027352.0050980644</v>
      </c>
      <c r="U8" s="23">
        <f>'GS &gt; 50 OLS Model'!$B$11*I8</f>
        <v>0</v>
      </c>
      <c r="V8" s="23">
        <f>'GS &gt; 50 OLS Model'!$B$12*J8</f>
        <v>0</v>
      </c>
      <c r="W8" s="23">
        <f>'GS &gt; 50 OLS Model'!$B$13*K8</f>
        <v>0</v>
      </c>
      <c r="X8" s="23">
        <f>'GS &gt; 50 OLS Model'!$B$14*L8</f>
        <v>0</v>
      </c>
      <c r="Y8" s="23">
        <f>'GS &gt; 50 OLS Model'!$B$15*M8</f>
        <v>-1207404.17093835</v>
      </c>
      <c r="Z8" s="23">
        <f t="shared" ca="1" si="2"/>
        <v>22624790.039629277</v>
      </c>
    </row>
    <row r="9" spans="1:26">
      <c r="A9" s="11">
        <f>'Monthly Data'!A9</f>
        <v>40026</v>
      </c>
      <c r="B9" s="6">
        <f t="shared" si="1"/>
        <v>2009</v>
      </c>
      <c r="C9" s="30">
        <f>'Monthly Data'!N9</f>
        <v>22341965.693210494</v>
      </c>
      <c r="D9" s="30">
        <f ca="1">'Weather Data'!G73</f>
        <v>12.719999999999999</v>
      </c>
      <c r="E9" s="30">
        <f ca="1">'Weather Data'!H73</f>
        <v>77.22999999999999</v>
      </c>
      <c r="F9" s="30">
        <f>'Monthly Data'!Y9</f>
        <v>6487.6</v>
      </c>
      <c r="G9" s="30">
        <f>'Monthly Data'!AA9</f>
        <v>8</v>
      </c>
      <c r="H9" s="30">
        <f>'Monthly Data'!AF9</f>
        <v>343</v>
      </c>
      <c r="I9" s="30">
        <f>'Monthly Data'!AM9</f>
        <v>0</v>
      </c>
      <c r="J9" s="30">
        <f>'Monthly Data'!AN9</f>
        <v>0</v>
      </c>
      <c r="K9" s="30">
        <f>'Monthly Data'!AO9</f>
        <v>0</v>
      </c>
      <c r="L9" s="30">
        <f>'Monthly Data'!AP9</f>
        <v>0</v>
      </c>
      <c r="M9" s="30">
        <f>'Monthly Data'!AQ9</f>
        <v>1</v>
      </c>
      <c r="O9" s="23">
        <f>'GS &gt; 50 OLS Model'!$B$5</f>
        <v>-17059648.826166701</v>
      </c>
      <c r="P9" s="23">
        <f ca="1">'GS &gt; 50 OLS Model'!$B$6*D9</f>
        <v>97979.020827159737</v>
      </c>
      <c r="Q9" s="23">
        <f ca="1">'GS &gt; 50 OLS Model'!$B$7*E9</f>
        <v>2521327.8861429952</v>
      </c>
      <c r="R9" s="23">
        <f>'GS &gt; 50 OLS Model'!$B$8*F9</f>
        <v>34945354.673708349</v>
      </c>
      <c r="S9" s="23">
        <f>'GS &gt; 50 OLS Model'!$B$9*G9</f>
        <v>-196929.9741533488</v>
      </c>
      <c r="T9" s="23">
        <f>'GS &gt; 50 OLS Model'!$B$10*H9</f>
        <v>3018551.5632227794</v>
      </c>
      <c r="U9" s="23">
        <f>'GS &gt; 50 OLS Model'!$B$11*I9</f>
        <v>0</v>
      </c>
      <c r="V9" s="23">
        <f>'GS &gt; 50 OLS Model'!$B$12*J9</f>
        <v>0</v>
      </c>
      <c r="W9" s="23">
        <f>'GS &gt; 50 OLS Model'!$B$13*K9</f>
        <v>0</v>
      </c>
      <c r="X9" s="23">
        <f>'GS &gt; 50 OLS Model'!$B$14*L9</f>
        <v>0</v>
      </c>
      <c r="Y9" s="23">
        <f>'GS &gt; 50 OLS Model'!$B$15*M9</f>
        <v>-1207404.17093835</v>
      </c>
      <c r="Z9" s="23">
        <f t="shared" ca="1" si="2"/>
        <v>22119230.172642887</v>
      </c>
    </row>
    <row r="10" spans="1:26">
      <c r="A10" s="11">
        <f>'Monthly Data'!A10</f>
        <v>40057</v>
      </c>
      <c r="B10" s="6">
        <f t="shared" si="1"/>
        <v>2009</v>
      </c>
      <c r="C10" s="30">
        <f>'Monthly Data'!N10</f>
        <v>20675414.914105225</v>
      </c>
      <c r="D10" s="30">
        <f ca="1">'Weather Data'!G74</f>
        <v>86.570000000000007</v>
      </c>
      <c r="E10" s="30">
        <f ca="1">'Weather Data'!H74</f>
        <v>19.899999999999999</v>
      </c>
      <c r="F10" s="30">
        <f>'Monthly Data'!Y10</f>
        <v>6470.2</v>
      </c>
      <c r="G10" s="30">
        <f>'Monthly Data'!AA10</f>
        <v>9</v>
      </c>
      <c r="H10" s="30">
        <f>'Monthly Data'!AF10</f>
        <v>345</v>
      </c>
      <c r="I10" s="30">
        <f>'Monthly Data'!AM10</f>
        <v>1</v>
      </c>
      <c r="J10" s="30">
        <f>'Monthly Data'!AN10</f>
        <v>0</v>
      </c>
      <c r="K10" s="30">
        <f>'Monthly Data'!AO10</f>
        <v>0</v>
      </c>
      <c r="L10" s="30">
        <f>'Monthly Data'!AP10</f>
        <v>0</v>
      </c>
      <c r="M10" s="30">
        <f>'Monthly Data'!AQ10</f>
        <v>0</v>
      </c>
      <c r="O10" s="23">
        <f>'GS &gt; 50 OLS Model'!$B$5</f>
        <v>-17059648.826166701</v>
      </c>
      <c r="P10" s="23">
        <f ca="1">'GS &gt; 50 OLS Model'!$B$6*D10</f>
        <v>666827.34536220285</v>
      </c>
      <c r="Q10" s="23">
        <f ca="1">'GS &gt; 50 OLS Model'!$B$7*E10</f>
        <v>649675.31961990939</v>
      </c>
      <c r="R10" s="23">
        <f>'GS &gt; 50 OLS Model'!$B$8*F10</f>
        <v>34851629.849224329</v>
      </c>
      <c r="S10" s="23">
        <f>'GS &gt; 50 OLS Model'!$B$9*G10</f>
        <v>-221546.22092251739</v>
      </c>
      <c r="T10" s="23">
        <f>'GS &gt; 50 OLS Model'!$B$10*H10</f>
        <v>3036152.4469733494</v>
      </c>
      <c r="U10" s="23">
        <f>'GS &gt; 50 OLS Model'!$B$11*I10</f>
        <v>-1573400.2840208299</v>
      </c>
      <c r="V10" s="23">
        <f>'GS &gt; 50 OLS Model'!$B$12*J10</f>
        <v>0</v>
      </c>
      <c r="W10" s="23">
        <f>'GS &gt; 50 OLS Model'!$B$13*K10</f>
        <v>0</v>
      </c>
      <c r="X10" s="23">
        <f>'GS &gt; 50 OLS Model'!$B$14*L10</f>
        <v>0</v>
      </c>
      <c r="Y10" s="23">
        <f>'GS &gt; 50 OLS Model'!$B$15*M10</f>
        <v>0</v>
      </c>
      <c r="Z10" s="23">
        <f t="shared" ca="1" si="2"/>
        <v>20349689.630069744</v>
      </c>
    </row>
    <row r="11" spans="1:26">
      <c r="A11" s="11">
        <f>'Monthly Data'!A11</f>
        <v>40087</v>
      </c>
      <c r="B11" s="6">
        <f t="shared" si="1"/>
        <v>2009</v>
      </c>
      <c r="C11" s="30">
        <f>'Monthly Data'!N11</f>
        <v>21958766.746799961</v>
      </c>
      <c r="D11" s="30">
        <f ca="1">'Weather Data'!G75</f>
        <v>270.3</v>
      </c>
      <c r="E11" s="30">
        <f ca="1">'Weather Data'!H75</f>
        <v>1.21</v>
      </c>
      <c r="F11" s="30">
        <f>'Monthly Data'!Y11</f>
        <v>6472.1</v>
      </c>
      <c r="G11" s="30">
        <f>'Monthly Data'!AA11</f>
        <v>10</v>
      </c>
      <c r="H11" s="30">
        <f>'Monthly Data'!AF11</f>
        <v>350</v>
      </c>
      <c r="I11" s="30">
        <f>'Monthly Data'!AM11</f>
        <v>1</v>
      </c>
      <c r="J11" s="30">
        <f>'Monthly Data'!AN11</f>
        <v>0</v>
      </c>
      <c r="K11" s="30">
        <f>'Monthly Data'!AO11</f>
        <v>0</v>
      </c>
      <c r="L11" s="30">
        <f>'Monthly Data'!AP11</f>
        <v>0</v>
      </c>
      <c r="M11" s="30">
        <f>'Monthly Data'!AQ11</f>
        <v>0</v>
      </c>
      <c r="O11" s="23">
        <f>'GS &gt; 50 OLS Model'!$B$5</f>
        <v>-17059648.826166701</v>
      </c>
      <c r="P11" s="23">
        <f ca="1">'GS &gt; 50 OLS Model'!$B$6*D11</f>
        <v>2082054.1925771446</v>
      </c>
      <c r="Q11" s="23">
        <f ca="1">'GS &gt; 50 OLS Model'!$B$7*E11</f>
        <v>39502.871192969367</v>
      </c>
      <c r="R11" s="23">
        <f>'GS &gt; 50 OLS Model'!$B$8*F11</f>
        <v>34861864.169139251</v>
      </c>
      <c r="S11" s="23">
        <f>'GS &gt; 50 OLS Model'!$B$9*G11</f>
        <v>-246162.467691686</v>
      </c>
      <c r="T11" s="23">
        <f>'GS &gt; 50 OLS Model'!$B$10*H11</f>
        <v>3080154.6563497749</v>
      </c>
      <c r="U11" s="23">
        <f>'GS &gt; 50 OLS Model'!$B$11*I11</f>
        <v>-1573400.2840208299</v>
      </c>
      <c r="V11" s="23">
        <f>'GS &gt; 50 OLS Model'!$B$12*J11</f>
        <v>0</v>
      </c>
      <c r="W11" s="23">
        <f>'GS &gt; 50 OLS Model'!$B$13*K11</f>
        <v>0</v>
      </c>
      <c r="X11" s="23">
        <f>'GS &gt; 50 OLS Model'!$B$14*L11</f>
        <v>0</v>
      </c>
      <c r="Y11" s="23">
        <f>'GS &gt; 50 OLS Model'!$B$15*M11</f>
        <v>0</v>
      </c>
      <c r="Z11" s="23">
        <f t="shared" ca="1" si="2"/>
        <v>21184364.311379921</v>
      </c>
    </row>
    <row r="12" spans="1:26">
      <c r="A12" s="11">
        <f>'Monthly Data'!A12</f>
        <v>40118</v>
      </c>
      <c r="B12" s="6">
        <f t="shared" si="1"/>
        <v>2009</v>
      </c>
      <c r="C12" s="30">
        <f>'Monthly Data'!N12</f>
        <v>22285160.608694695</v>
      </c>
      <c r="D12" s="30">
        <f ca="1">'Weather Data'!G76</f>
        <v>444.05</v>
      </c>
      <c r="E12" s="30">
        <f ca="1">'Weather Data'!H76</f>
        <v>0</v>
      </c>
      <c r="F12" s="30">
        <f>'Monthly Data'!Y12</f>
        <v>6465.6</v>
      </c>
      <c r="G12" s="30">
        <f>'Monthly Data'!AA12</f>
        <v>11</v>
      </c>
      <c r="H12" s="30">
        <f>'Monthly Data'!AF12</f>
        <v>351</v>
      </c>
      <c r="I12" s="30">
        <f>'Monthly Data'!AM12</f>
        <v>1</v>
      </c>
      <c r="J12" s="30">
        <f>'Monthly Data'!AN12</f>
        <v>0</v>
      </c>
      <c r="K12" s="30">
        <f>'Monthly Data'!AO12</f>
        <v>0</v>
      </c>
      <c r="L12" s="30">
        <f>'Monthly Data'!AP12</f>
        <v>0</v>
      </c>
      <c r="M12" s="30">
        <f>'Monthly Data'!AQ12</f>
        <v>0</v>
      </c>
      <c r="O12" s="23">
        <f>'GS &gt; 50 OLS Model'!$B$5</f>
        <v>-17059648.826166701</v>
      </c>
      <c r="P12" s="23">
        <f ca="1">'GS &gt; 50 OLS Model'!$B$6*D12</f>
        <v>3420407.5627594562</v>
      </c>
      <c r="Q12" s="23">
        <f ca="1">'GS &gt; 50 OLS Model'!$B$7*E12</f>
        <v>0</v>
      </c>
      <c r="R12" s="23">
        <f>'GS &gt; 50 OLS Model'!$B$8*F12</f>
        <v>34826852.022061892</v>
      </c>
      <c r="S12" s="23">
        <f>'GS &gt; 50 OLS Model'!$B$9*G12</f>
        <v>-270778.71446085459</v>
      </c>
      <c r="T12" s="23">
        <f>'GS &gt; 50 OLS Model'!$B$10*H12</f>
        <v>3088955.0982250599</v>
      </c>
      <c r="U12" s="23">
        <f>'GS &gt; 50 OLS Model'!$B$11*I12</f>
        <v>-1573400.2840208299</v>
      </c>
      <c r="V12" s="23">
        <f>'GS &gt; 50 OLS Model'!$B$12*J12</f>
        <v>0</v>
      </c>
      <c r="W12" s="23">
        <f>'GS &gt; 50 OLS Model'!$B$13*K12</f>
        <v>0</v>
      </c>
      <c r="X12" s="23">
        <f>'GS &gt; 50 OLS Model'!$B$14*L12</f>
        <v>0</v>
      </c>
      <c r="Y12" s="23">
        <f>'GS &gt; 50 OLS Model'!$B$15*M12</f>
        <v>0</v>
      </c>
      <c r="Z12" s="23">
        <f t="shared" ca="1" si="2"/>
        <v>22432386.858398024</v>
      </c>
    </row>
    <row r="13" spans="1:26">
      <c r="A13" s="11">
        <f>'Monthly Data'!A13</f>
        <v>40148</v>
      </c>
      <c r="B13" s="6">
        <f t="shared" si="1"/>
        <v>2009</v>
      </c>
      <c r="C13" s="30">
        <f>'Monthly Data'!N13</f>
        <v>24254289.862589426</v>
      </c>
      <c r="D13" s="30">
        <f ca="1">'Weather Data'!G77</f>
        <v>684.01</v>
      </c>
      <c r="E13" s="30">
        <f ca="1">'Weather Data'!H77</f>
        <v>0</v>
      </c>
      <c r="F13" s="30">
        <f>'Monthly Data'!Y13</f>
        <v>6467.5</v>
      </c>
      <c r="G13" s="30">
        <f>'Monthly Data'!AA13</f>
        <v>12</v>
      </c>
      <c r="H13" s="30">
        <f>'Monthly Data'!AF13</f>
        <v>351</v>
      </c>
      <c r="I13" s="30">
        <f>'Monthly Data'!AM13</f>
        <v>0</v>
      </c>
      <c r="J13" s="30">
        <f>'Monthly Data'!AN13</f>
        <v>0</v>
      </c>
      <c r="K13" s="30">
        <f>'Monthly Data'!AO13</f>
        <v>0</v>
      </c>
      <c r="L13" s="30">
        <f>'Monthly Data'!AP13</f>
        <v>1</v>
      </c>
      <c r="M13" s="30">
        <f>'Monthly Data'!AQ13</f>
        <v>0</v>
      </c>
      <c r="O13" s="23">
        <f>'GS &gt; 50 OLS Model'!$B$5</f>
        <v>-17059648.826166701</v>
      </c>
      <c r="P13" s="23">
        <f ca="1">'GS &gt; 50 OLS Model'!$B$6*D13</f>
        <v>5268760.2229548376</v>
      </c>
      <c r="Q13" s="23">
        <f ca="1">'GS &gt; 50 OLS Model'!$B$7*E13</f>
        <v>0</v>
      </c>
      <c r="R13" s="23">
        <f>'GS &gt; 50 OLS Model'!$B$8*F13</f>
        <v>34837086.341976807</v>
      </c>
      <c r="S13" s="23">
        <f>'GS &gt; 50 OLS Model'!$B$9*G13</f>
        <v>-295394.96123002318</v>
      </c>
      <c r="T13" s="23">
        <f>'GS &gt; 50 OLS Model'!$B$10*H13</f>
        <v>3088955.0982250599</v>
      </c>
      <c r="U13" s="23">
        <f>'GS &gt; 50 OLS Model'!$B$11*I13</f>
        <v>0</v>
      </c>
      <c r="V13" s="23">
        <f>'GS &gt; 50 OLS Model'!$B$12*J13</f>
        <v>0</v>
      </c>
      <c r="W13" s="23">
        <f>'GS &gt; 50 OLS Model'!$B$13*K13</f>
        <v>0</v>
      </c>
      <c r="X13" s="23">
        <f>'GS &gt; 50 OLS Model'!$B$14*L13</f>
        <v>-1083532.53757107</v>
      </c>
      <c r="Y13" s="23">
        <f>'GS &gt; 50 OLS Model'!$B$15*M13</f>
        <v>0</v>
      </c>
      <c r="Z13" s="23">
        <f t="shared" ca="1" si="2"/>
        <v>24756225.338188909</v>
      </c>
    </row>
    <row r="14" spans="1:26">
      <c r="A14" s="11">
        <f>'Monthly Data'!A14</f>
        <v>40179</v>
      </c>
      <c r="B14" s="6">
        <f t="shared" si="1"/>
        <v>2010</v>
      </c>
      <c r="C14" s="30">
        <f>'Monthly Data'!N14</f>
        <v>27142755.173439831</v>
      </c>
      <c r="D14">
        <f ca="1">D2</f>
        <v>784.29</v>
      </c>
      <c r="E14">
        <f ca="1">E2</f>
        <v>0</v>
      </c>
      <c r="F14" s="30">
        <f>'Monthly Data'!Y14</f>
        <v>6434.5</v>
      </c>
      <c r="G14" s="30">
        <f>'Monthly Data'!AA14</f>
        <v>13</v>
      </c>
      <c r="H14" s="30">
        <f>'Monthly Data'!AF14</f>
        <v>355</v>
      </c>
      <c r="I14" s="30">
        <f>'Monthly Data'!AM14</f>
        <v>0</v>
      </c>
      <c r="J14" s="30">
        <f>'Monthly Data'!AN14</f>
        <v>0</v>
      </c>
      <c r="K14" s="30">
        <f>'Monthly Data'!AO14</f>
        <v>0</v>
      </c>
      <c r="L14" s="30">
        <f>'Monthly Data'!AP14</f>
        <v>0</v>
      </c>
      <c r="M14" s="30">
        <f>'Monthly Data'!AQ14</f>
        <v>0</v>
      </c>
      <c r="O14" s="23">
        <f>'GS &gt; 50 OLS Model'!$B$5</f>
        <v>-17059648.826166701</v>
      </c>
      <c r="P14" s="23">
        <f ca="1">'GS &gt; 50 OLS Model'!$B$6*D14</f>
        <v>6041192.3148217853</v>
      </c>
      <c r="Q14" s="23">
        <f ca="1">'GS &gt; 50 OLS Model'!$B$7*E14</f>
        <v>0</v>
      </c>
      <c r="R14" s="23">
        <f>'GS &gt; 50 OLS Model'!$B$8*F14</f>
        <v>34659332.364507116</v>
      </c>
      <c r="S14" s="23">
        <f>'GS &gt; 50 OLS Model'!$B$9*G14</f>
        <v>-320011.20799919177</v>
      </c>
      <c r="T14" s="23">
        <f>'GS &gt; 50 OLS Model'!$B$10*H14</f>
        <v>3124156.8657261999</v>
      </c>
      <c r="U14" s="23">
        <f>'GS &gt; 50 OLS Model'!$B$11*I14</f>
        <v>0</v>
      </c>
      <c r="V14" s="23">
        <f>'GS &gt; 50 OLS Model'!$B$12*J14</f>
        <v>0</v>
      </c>
      <c r="W14" s="23">
        <f>'GS &gt; 50 OLS Model'!$B$13*K14</f>
        <v>0</v>
      </c>
      <c r="X14" s="23">
        <f>'GS &gt; 50 OLS Model'!$B$14*L14</f>
        <v>0</v>
      </c>
      <c r="Y14" s="23">
        <f>'GS &gt; 50 OLS Model'!$B$15*M14</f>
        <v>0</v>
      </c>
      <c r="Z14" s="23">
        <f t="shared" ca="1" si="2"/>
        <v>26445021.510889206</v>
      </c>
    </row>
    <row r="15" spans="1:26">
      <c r="A15" s="11">
        <f>'Monthly Data'!A15</f>
        <v>40210</v>
      </c>
      <c r="B15" s="6">
        <f t="shared" si="1"/>
        <v>2010</v>
      </c>
      <c r="C15" s="30">
        <f>'Monthly Data'!N15</f>
        <v>23537491.120734841</v>
      </c>
      <c r="D15">
        <f t="shared" ref="D15:E30" ca="1" si="3">D3</f>
        <v>682.50999999999988</v>
      </c>
      <c r="E15">
        <f t="shared" ca="1" si="3"/>
        <v>0</v>
      </c>
      <c r="F15" s="30">
        <f>'Monthly Data'!Y15</f>
        <v>6404.1</v>
      </c>
      <c r="G15" s="30">
        <f>'Monthly Data'!AA15</f>
        <v>14</v>
      </c>
      <c r="H15" s="30">
        <f>'Monthly Data'!AF15</f>
        <v>354</v>
      </c>
      <c r="I15" s="30">
        <f>'Monthly Data'!AM15</f>
        <v>0</v>
      </c>
      <c r="J15" s="30">
        <f>'Monthly Data'!AN15</f>
        <v>1</v>
      </c>
      <c r="K15" s="30">
        <f>'Monthly Data'!AO15</f>
        <v>0</v>
      </c>
      <c r="L15" s="30">
        <f>'Monthly Data'!AP15</f>
        <v>0</v>
      </c>
      <c r="M15" s="30">
        <f>'Monthly Data'!AQ15</f>
        <v>0</v>
      </c>
      <c r="O15" s="23">
        <f>'GS &gt; 50 OLS Model'!$B$5</f>
        <v>-17059648.826166701</v>
      </c>
      <c r="P15" s="23">
        <f ca="1">'GS &gt; 50 OLS Model'!$B$6*D15</f>
        <v>5257206.0931403134</v>
      </c>
      <c r="Q15" s="23">
        <f ca="1">'GS &gt; 50 OLS Model'!$B$7*E15</f>
        <v>0</v>
      </c>
      <c r="R15" s="23">
        <f>'GS &gt; 50 OLS Model'!$B$8*F15</f>
        <v>34495583.24586837</v>
      </c>
      <c r="S15" s="23">
        <f>'GS &gt; 50 OLS Model'!$B$9*G15</f>
        <v>-344627.45476836042</v>
      </c>
      <c r="T15" s="23">
        <f>'GS &gt; 50 OLS Model'!$B$10*H15</f>
        <v>3115356.4238509149</v>
      </c>
      <c r="U15" s="23">
        <f>'GS &gt; 50 OLS Model'!$B$11*I15</f>
        <v>0</v>
      </c>
      <c r="V15" s="23">
        <f>'GS &gt; 50 OLS Model'!$B$12*J15</f>
        <v>-1514604.0647521601</v>
      </c>
      <c r="W15" s="23">
        <f>'GS &gt; 50 OLS Model'!$B$13*K15</f>
        <v>0</v>
      </c>
      <c r="X15" s="23">
        <f>'GS &gt; 50 OLS Model'!$B$14*L15</f>
        <v>0</v>
      </c>
      <c r="Y15" s="23">
        <f>'GS &gt; 50 OLS Model'!$B$15*M15</f>
        <v>0</v>
      </c>
      <c r="Z15" s="23">
        <f t="shared" ca="1" si="2"/>
        <v>23949265.41717238</v>
      </c>
    </row>
    <row r="16" spans="1:26">
      <c r="A16" s="11">
        <f>'Monthly Data'!A16</f>
        <v>40238</v>
      </c>
      <c r="B16" s="6">
        <f t="shared" si="1"/>
        <v>2010</v>
      </c>
      <c r="C16" s="30">
        <f>'Monthly Data'!N16</f>
        <v>23396470.955129851</v>
      </c>
      <c r="D16">
        <f t="shared" ca="1" si="3"/>
        <v>556.99</v>
      </c>
      <c r="E16">
        <f t="shared" ca="1" si="3"/>
        <v>0</v>
      </c>
      <c r="F16" s="30">
        <f>'Monthly Data'!Y16</f>
        <v>6377.2</v>
      </c>
      <c r="G16" s="30">
        <f>'Monthly Data'!AA16</f>
        <v>15</v>
      </c>
      <c r="H16" s="30">
        <f>'Monthly Data'!AF16</f>
        <v>352</v>
      </c>
      <c r="I16" s="30">
        <f>'Monthly Data'!AM16</f>
        <v>0</v>
      </c>
      <c r="J16" s="30">
        <f>'Monthly Data'!AN16</f>
        <v>0</v>
      </c>
      <c r="K16" s="30">
        <f>'Monthly Data'!AO16</f>
        <v>0</v>
      </c>
      <c r="L16" s="30">
        <f>'Monthly Data'!AP16</f>
        <v>0</v>
      </c>
      <c r="M16" s="30">
        <f>'Monthly Data'!AQ16</f>
        <v>0</v>
      </c>
      <c r="O16" s="23">
        <f>'GS &gt; 50 OLS Model'!$B$5</f>
        <v>-17059648.826166701</v>
      </c>
      <c r="P16" s="23">
        <f ca="1">'GS &gt; 50 OLS Model'!$B$6*D16</f>
        <v>4290356.5102609834</v>
      </c>
      <c r="Q16" s="23">
        <f ca="1">'GS &gt; 50 OLS Model'!$B$7*E16</f>
        <v>0</v>
      </c>
      <c r="R16" s="23">
        <f>'GS &gt; 50 OLS Model'!$B$8*F16</f>
        <v>34350686.821809739</v>
      </c>
      <c r="S16" s="23">
        <f>'GS &gt; 50 OLS Model'!$B$9*G16</f>
        <v>-369243.70153752901</v>
      </c>
      <c r="T16" s="23">
        <f>'GS &gt; 50 OLS Model'!$B$10*H16</f>
        <v>3097755.5401003449</v>
      </c>
      <c r="U16" s="23">
        <f>'GS &gt; 50 OLS Model'!$B$11*I16</f>
        <v>0</v>
      </c>
      <c r="V16" s="23">
        <f>'GS &gt; 50 OLS Model'!$B$12*J16</f>
        <v>0</v>
      </c>
      <c r="W16" s="23">
        <f>'GS &gt; 50 OLS Model'!$B$13*K16</f>
        <v>0</v>
      </c>
      <c r="X16" s="23">
        <f>'GS &gt; 50 OLS Model'!$B$14*L16</f>
        <v>0</v>
      </c>
      <c r="Y16" s="23">
        <f>'GS &gt; 50 OLS Model'!$B$15*M16</f>
        <v>0</v>
      </c>
      <c r="Z16" s="23">
        <f t="shared" ca="1" si="2"/>
        <v>24309906.344466835</v>
      </c>
    </row>
    <row r="17" spans="1:26">
      <c r="A17" s="11">
        <f>'Monthly Data'!A17</f>
        <v>40269</v>
      </c>
      <c r="B17" s="6">
        <f t="shared" si="1"/>
        <v>2010</v>
      </c>
      <c r="C17" s="30">
        <f>'Monthly Data'!N17</f>
        <v>20779762.156024866</v>
      </c>
      <c r="D17">
        <f t="shared" ca="1" si="3"/>
        <v>326.58999999999997</v>
      </c>
      <c r="E17">
        <f t="shared" ca="1" si="3"/>
        <v>0.39</v>
      </c>
      <c r="F17" s="30">
        <f>'Monthly Data'!Y17</f>
        <v>6401.7</v>
      </c>
      <c r="G17" s="30">
        <f>'Monthly Data'!AA17</f>
        <v>16</v>
      </c>
      <c r="H17" s="30">
        <f>'Monthly Data'!AF17</f>
        <v>353</v>
      </c>
      <c r="I17" s="30">
        <f>'Monthly Data'!AM17</f>
        <v>0</v>
      </c>
      <c r="J17" s="30">
        <f>'Monthly Data'!AN17</f>
        <v>0</v>
      </c>
      <c r="K17" s="30">
        <f>'Monthly Data'!AO17</f>
        <v>1</v>
      </c>
      <c r="L17" s="30">
        <f>'Monthly Data'!AP17</f>
        <v>0</v>
      </c>
      <c r="M17" s="30">
        <f>'Monthly Data'!AQ17</f>
        <v>0</v>
      </c>
      <c r="O17" s="23">
        <f>'GS &gt; 50 OLS Model'!$B$5</f>
        <v>-17059648.826166701</v>
      </c>
      <c r="P17" s="23">
        <f ca="1">'GS &gt; 50 OLS Model'!$B$6*D17</f>
        <v>2515642.1707501649</v>
      </c>
      <c r="Q17" s="23">
        <f ca="1">'GS &gt; 50 OLS Model'!$B$7*E17</f>
        <v>12732.330384510789</v>
      </c>
      <c r="R17" s="23">
        <f>'GS &gt; 50 OLS Model'!$B$8*F17</f>
        <v>34482655.683870569</v>
      </c>
      <c r="S17" s="23">
        <f>'GS &gt; 50 OLS Model'!$B$9*G17</f>
        <v>-393859.9483066976</v>
      </c>
      <c r="T17" s="23">
        <f>'GS &gt; 50 OLS Model'!$B$10*H17</f>
        <v>3106555.9819756299</v>
      </c>
      <c r="U17" s="23">
        <f>'GS &gt; 50 OLS Model'!$B$11*I17</f>
        <v>0</v>
      </c>
      <c r="V17" s="23">
        <f>'GS &gt; 50 OLS Model'!$B$12*J17</f>
        <v>0</v>
      </c>
      <c r="W17" s="23">
        <f>'GS &gt; 50 OLS Model'!$B$13*K17</f>
        <v>-1589866.56724812</v>
      </c>
      <c r="X17" s="23">
        <f>'GS &gt; 50 OLS Model'!$B$14*L17</f>
        <v>0</v>
      </c>
      <c r="Y17" s="23">
        <f>'GS &gt; 50 OLS Model'!$B$15*M17</f>
        <v>0</v>
      </c>
      <c r="Z17" s="23">
        <f t="shared" ca="1" si="2"/>
        <v>21074210.825259354</v>
      </c>
    </row>
    <row r="18" spans="1:26">
      <c r="A18" s="11">
        <f>'Monthly Data'!A18</f>
        <v>40299</v>
      </c>
      <c r="B18" s="6">
        <f t="shared" si="1"/>
        <v>2010</v>
      </c>
      <c r="C18" s="30">
        <f>'Monthly Data'!N18</f>
        <v>21178562.235319879</v>
      </c>
      <c r="D18">
        <f t="shared" ca="1" si="3"/>
        <v>144.96</v>
      </c>
      <c r="E18">
        <f t="shared" ca="1" si="3"/>
        <v>8.67</v>
      </c>
      <c r="F18" s="30">
        <f>'Monthly Data'!Y18</f>
        <v>6468.9</v>
      </c>
      <c r="G18" s="30">
        <f>'Monthly Data'!AA18</f>
        <v>17</v>
      </c>
      <c r="H18" s="30">
        <f>'Monthly Data'!AF18</f>
        <v>350</v>
      </c>
      <c r="I18" s="30">
        <f>'Monthly Data'!AM18</f>
        <v>0</v>
      </c>
      <c r="J18" s="30">
        <f>'Monthly Data'!AN18</f>
        <v>0</v>
      </c>
      <c r="K18" s="30">
        <f>'Monthly Data'!AO18</f>
        <v>0</v>
      </c>
      <c r="L18" s="30">
        <f>'Monthly Data'!AP18</f>
        <v>0</v>
      </c>
      <c r="M18" s="30">
        <f>'Monthly Data'!AQ18</f>
        <v>1</v>
      </c>
      <c r="O18" s="23">
        <f>'GS &gt; 50 OLS Model'!$B$5</f>
        <v>-17059648.826166701</v>
      </c>
      <c r="P18" s="23">
        <f ca="1">'GS &gt; 50 OLS Model'!$B$6*D18</f>
        <v>1116591.1052755564</v>
      </c>
      <c r="Q18" s="23">
        <f ca="1">'GS &gt; 50 OLS Model'!$B$7*E18</f>
        <v>283049.49854797061</v>
      </c>
      <c r="R18" s="23">
        <f>'GS &gt; 50 OLS Model'!$B$8*F18</f>
        <v>34844627.419808857</v>
      </c>
      <c r="S18" s="23">
        <f>'GS &gt; 50 OLS Model'!$B$9*G18</f>
        <v>-418476.19507586618</v>
      </c>
      <c r="T18" s="23">
        <f>'GS &gt; 50 OLS Model'!$B$10*H18</f>
        <v>3080154.6563497749</v>
      </c>
      <c r="U18" s="23">
        <f>'GS &gt; 50 OLS Model'!$B$11*I18</f>
        <v>0</v>
      </c>
      <c r="V18" s="23">
        <f>'GS &gt; 50 OLS Model'!$B$12*J18</f>
        <v>0</v>
      </c>
      <c r="W18" s="23">
        <f>'GS &gt; 50 OLS Model'!$B$13*K18</f>
        <v>0</v>
      </c>
      <c r="X18" s="23">
        <f>'GS &gt; 50 OLS Model'!$B$14*L18</f>
        <v>0</v>
      </c>
      <c r="Y18" s="23">
        <f>'GS &gt; 50 OLS Model'!$B$15*M18</f>
        <v>-1207404.17093835</v>
      </c>
      <c r="Z18" s="23">
        <f t="shared" ca="1" si="2"/>
        <v>20638893.487801243</v>
      </c>
    </row>
    <row r="19" spans="1:26">
      <c r="A19" s="11">
        <f>'Monthly Data'!A19</f>
        <v>40330</v>
      </c>
      <c r="B19" s="6">
        <f t="shared" si="1"/>
        <v>2010</v>
      </c>
      <c r="C19" s="30">
        <f>'Monthly Data'!N19</f>
        <v>21323669.044414893</v>
      </c>
      <c r="D19">
        <f t="shared" ca="1" si="3"/>
        <v>41.510000000000005</v>
      </c>
      <c r="E19">
        <f t="shared" ca="1" si="3"/>
        <v>44.41</v>
      </c>
      <c r="F19" s="30">
        <f>'Monthly Data'!Y19</f>
        <v>6578.9</v>
      </c>
      <c r="G19" s="30">
        <f>'Monthly Data'!AA19</f>
        <v>18</v>
      </c>
      <c r="H19" s="30">
        <f>'Monthly Data'!AF19</f>
        <v>350</v>
      </c>
      <c r="I19" s="30">
        <f>'Monthly Data'!AM19</f>
        <v>0</v>
      </c>
      <c r="J19" s="30">
        <f>'Monthly Data'!AN19</f>
        <v>0</v>
      </c>
      <c r="K19" s="30">
        <f>'Monthly Data'!AO19</f>
        <v>0</v>
      </c>
      <c r="L19" s="30">
        <f>'Monthly Data'!AP19</f>
        <v>0</v>
      </c>
      <c r="M19" s="30">
        <f>'Monthly Data'!AQ19</f>
        <v>1</v>
      </c>
      <c r="O19" s="23">
        <f>'GS &gt; 50 OLS Model'!$B$5</f>
        <v>-17059648.826166701</v>
      </c>
      <c r="P19" s="23">
        <f ca="1">'GS &gt; 50 OLS Model'!$B$6*D19</f>
        <v>319741.28573391523</v>
      </c>
      <c r="Q19" s="23">
        <f ca="1">'GS &gt; 50 OLS Model'!$B$7*E19</f>
        <v>1449853.3137849336</v>
      </c>
      <c r="R19" s="23">
        <f>'GS &gt; 50 OLS Model'!$B$8*F19</f>
        <v>35437140.67804116</v>
      </c>
      <c r="S19" s="23">
        <f>'GS &gt; 50 OLS Model'!$B$9*G19</f>
        <v>-443092.44184503477</v>
      </c>
      <c r="T19" s="23">
        <f>'GS &gt; 50 OLS Model'!$B$10*H19</f>
        <v>3080154.6563497749</v>
      </c>
      <c r="U19" s="23">
        <f>'GS &gt; 50 OLS Model'!$B$11*I19</f>
        <v>0</v>
      </c>
      <c r="V19" s="23">
        <f>'GS &gt; 50 OLS Model'!$B$12*J19</f>
        <v>0</v>
      </c>
      <c r="W19" s="23">
        <f>'GS &gt; 50 OLS Model'!$B$13*K19</f>
        <v>0</v>
      </c>
      <c r="X19" s="23">
        <f>'GS &gt; 50 OLS Model'!$B$14*L19</f>
        <v>0</v>
      </c>
      <c r="Y19" s="23">
        <f>'GS &gt; 50 OLS Model'!$B$15*M19</f>
        <v>-1207404.17093835</v>
      </c>
      <c r="Z19" s="23">
        <f t="shared" ca="1" si="2"/>
        <v>21576744.494959701</v>
      </c>
    </row>
    <row r="20" spans="1:26">
      <c r="A20" s="11">
        <f>'Monthly Data'!A20</f>
        <v>40360</v>
      </c>
      <c r="B20" s="6">
        <f t="shared" si="1"/>
        <v>2010</v>
      </c>
      <c r="C20" s="30">
        <f>'Monthly Data'!N20</f>
        <v>24293426.46420991</v>
      </c>
      <c r="D20">
        <f t="shared" ca="1" si="3"/>
        <v>5.01</v>
      </c>
      <c r="E20">
        <f t="shared" ca="1" si="3"/>
        <v>96.909999999999982</v>
      </c>
      <c r="F20" s="30">
        <f>'Monthly Data'!Y20</f>
        <v>6640.9</v>
      </c>
      <c r="G20" s="30">
        <f>'Monthly Data'!AA20</f>
        <v>19</v>
      </c>
      <c r="H20" s="30">
        <f>'Monthly Data'!AF20</f>
        <v>351</v>
      </c>
      <c r="I20" s="30">
        <f>'Monthly Data'!AM20</f>
        <v>0</v>
      </c>
      <c r="J20" s="30">
        <f>'Monthly Data'!AN20</f>
        <v>0</v>
      </c>
      <c r="K20" s="30">
        <f>'Monthly Data'!AO20</f>
        <v>0</v>
      </c>
      <c r="L20" s="30">
        <f>'Monthly Data'!AP20</f>
        <v>0</v>
      </c>
      <c r="M20" s="30">
        <f>'Monthly Data'!AQ20</f>
        <v>1</v>
      </c>
      <c r="O20" s="23">
        <f>'GS &gt; 50 OLS Model'!$B$5</f>
        <v>-17059648.826166701</v>
      </c>
      <c r="P20" s="23">
        <f ca="1">'GS &gt; 50 OLS Model'!$B$6*D20</f>
        <v>38590.793580508667</v>
      </c>
      <c r="Q20" s="23">
        <f ca="1">'GS &gt; 50 OLS Model'!$B$7*E20</f>
        <v>3163820.8655460011</v>
      </c>
      <c r="R20" s="23">
        <f>'GS &gt; 50 OLS Model'!$B$8*F20</f>
        <v>35771102.696317554</v>
      </c>
      <c r="S20" s="23">
        <f>'GS &gt; 50 OLS Model'!$B$9*G20</f>
        <v>-467708.68861420342</v>
      </c>
      <c r="T20" s="23">
        <f>'GS &gt; 50 OLS Model'!$B$10*H20</f>
        <v>3088955.0982250599</v>
      </c>
      <c r="U20" s="23">
        <f>'GS &gt; 50 OLS Model'!$B$11*I20</f>
        <v>0</v>
      </c>
      <c r="V20" s="23">
        <f>'GS &gt; 50 OLS Model'!$B$12*J20</f>
        <v>0</v>
      </c>
      <c r="W20" s="23">
        <f>'GS &gt; 50 OLS Model'!$B$13*K20</f>
        <v>0</v>
      </c>
      <c r="X20" s="23">
        <f>'GS &gt; 50 OLS Model'!$B$14*L20</f>
        <v>0</v>
      </c>
      <c r="Y20" s="23">
        <f>'GS &gt; 50 OLS Model'!$B$15*M20</f>
        <v>-1207404.17093835</v>
      </c>
      <c r="Z20" s="23">
        <f t="shared" ca="1" si="2"/>
        <v>23327707.767949868</v>
      </c>
    </row>
    <row r="21" spans="1:26">
      <c r="A21" s="11">
        <f>'Monthly Data'!A21</f>
        <v>40391</v>
      </c>
      <c r="B21" s="6">
        <f t="shared" si="1"/>
        <v>2010</v>
      </c>
      <c r="C21" s="30">
        <f>'Monthly Data'!N21</f>
        <v>23473713.540204924</v>
      </c>
      <c r="D21">
        <f t="shared" ca="1" si="3"/>
        <v>12.719999999999999</v>
      </c>
      <c r="E21">
        <f t="shared" ca="1" si="3"/>
        <v>77.22999999999999</v>
      </c>
      <c r="F21" s="30">
        <f>'Monthly Data'!Y21</f>
        <v>6662.6</v>
      </c>
      <c r="G21" s="30">
        <f>'Monthly Data'!AA21</f>
        <v>20</v>
      </c>
      <c r="H21" s="30">
        <f>'Monthly Data'!AF21</f>
        <v>336</v>
      </c>
      <c r="I21" s="30">
        <f>'Monthly Data'!AM21</f>
        <v>0</v>
      </c>
      <c r="J21" s="30">
        <f>'Monthly Data'!AN21</f>
        <v>0</v>
      </c>
      <c r="K21" s="30">
        <f>'Monthly Data'!AO21</f>
        <v>0</v>
      </c>
      <c r="L21" s="30">
        <f>'Monthly Data'!AP21</f>
        <v>0</v>
      </c>
      <c r="M21" s="30">
        <f>'Monthly Data'!AQ21</f>
        <v>1</v>
      </c>
      <c r="O21" s="23">
        <f>'GS &gt; 50 OLS Model'!$B$5</f>
        <v>-17059648.826166701</v>
      </c>
      <c r="P21" s="23">
        <f ca="1">'GS &gt; 50 OLS Model'!$B$6*D21</f>
        <v>97979.020827159737</v>
      </c>
      <c r="Q21" s="23">
        <f ca="1">'GS &gt; 50 OLS Model'!$B$7*E21</f>
        <v>2521327.8861429952</v>
      </c>
      <c r="R21" s="23">
        <f>'GS &gt; 50 OLS Model'!$B$8*F21</f>
        <v>35887989.402714297</v>
      </c>
      <c r="S21" s="23">
        <f>'GS &gt; 50 OLS Model'!$B$9*G21</f>
        <v>-492324.93538337201</v>
      </c>
      <c r="T21" s="23">
        <f>'GS &gt; 50 OLS Model'!$B$10*H21</f>
        <v>2956948.4700957839</v>
      </c>
      <c r="U21" s="23">
        <f>'GS &gt; 50 OLS Model'!$B$11*I21</f>
        <v>0</v>
      </c>
      <c r="V21" s="23">
        <f>'GS &gt; 50 OLS Model'!$B$12*J21</f>
        <v>0</v>
      </c>
      <c r="W21" s="23">
        <f>'GS &gt; 50 OLS Model'!$B$13*K21</f>
        <v>0</v>
      </c>
      <c r="X21" s="23">
        <f>'GS &gt; 50 OLS Model'!$B$14*L21</f>
        <v>0</v>
      </c>
      <c r="Y21" s="23">
        <f>'GS &gt; 50 OLS Model'!$B$15*M21</f>
        <v>-1207404.17093835</v>
      </c>
      <c r="Z21" s="23">
        <f t="shared" ca="1" si="2"/>
        <v>22704866.847291812</v>
      </c>
    </row>
    <row r="22" spans="1:26">
      <c r="A22" s="11">
        <f>'Monthly Data'!A22</f>
        <v>40422</v>
      </c>
      <c r="B22" s="6">
        <f t="shared" si="1"/>
        <v>2010</v>
      </c>
      <c r="C22" s="30">
        <f>'Monthly Data'!N22</f>
        <v>20762206.116099935</v>
      </c>
      <c r="D22">
        <f t="shared" ca="1" si="3"/>
        <v>86.570000000000007</v>
      </c>
      <c r="E22">
        <f t="shared" ca="1" si="3"/>
        <v>19.899999999999999</v>
      </c>
      <c r="F22" s="30">
        <f>'Monthly Data'!Y22</f>
        <v>6611.2</v>
      </c>
      <c r="G22" s="30">
        <f>'Monthly Data'!AA22</f>
        <v>21</v>
      </c>
      <c r="H22" s="30">
        <f>'Monthly Data'!AF22</f>
        <v>339</v>
      </c>
      <c r="I22" s="30">
        <f>'Monthly Data'!AM22</f>
        <v>1</v>
      </c>
      <c r="J22" s="30">
        <f>'Monthly Data'!AN22</f>
        <v>0</v>
      </c>
      <c r="K22" s="30">
        <f>'Monthly Data'!AO22</f>
        <v>0</v>
      </c>
      <c r="L22" s="30">
        <f>'Monthly Data'!AP22</f>
        <v>0</v>
      </c>
      <c r="M22" s="30">
        <f>'Monthly Data'!AQ22</f>
        <v>0</v>
      </c>
      <c r="O22" s="23">
        <f>'GS &gt; 50 OLS Model'!$B$5</f>
        <v>-17059648.826166701</v>
      </c>
      <c r="P22" s="23">
        <f ca="1">'GS &gt; 50 OLS Model'!$B$6*D22</f>
        <v>666827.34536220285</v>
      </c>
      <c r="Q22" s="23">
        <f ca="1">'GS &gt; 50 OLS Model'!$B$7*E22</f>
        <v>649675.31961990939</v>
      </c>
      <c r="R22" s="23">
        <f>'GS &gt; 50 OLS Model'!$B$8*F22</f>
        <v>35611124.116594829</v>
      </c>
      <c r="S22" s="23">
        <f>'GS &gt; 50 OLS Model'!$B$9*G22</f>
        <v>-516941.1821525406</v>
      </c>
      <c r="T22" s="23">
        <f>'GS &gt; 50 OLS Model'!$B$10*H22</f>
        <v>2983349.7957216389</v>
      </c>
      <c r="U22" s="23">
        <f>'GS &gt; 50 OLS Model'!$B$11*I22</f>
        <v>-1573400.2840208299</v>
      </c>
      <c r="V22" s="23">
        <f>'GS &gt; 50 OLS Model'!$B$12*J22</f>
        <v>0</v>
      </c>
      <c r="W22" s="23">
        <f>'GS &gt; 50 OLS Model'!$B$13*K22</f>
        <v>0</v>
      </c>
      <c r="X22" s="23">
        <f>'GS &gt; 50 OLS Model'!$B$14*L22</f>
        <v>0</v>
      </c>
      <c r="Y22" s="23">
        <f>'GS &gt; 50 OLS Model'!$B$15*M22</f>
        <v>0</v>
      </c>
      <c r="Z22" s="23">
        <f t="shared" ca="1" si="2"/>
        <v>20760986.284958512</v>
      </c>
    </row>
    <row r="23" spans="1:26">
      <c r="A23" s="11">
        <f>'Monthly Data'!A23</f>
        <v>40452</v>
      </c>
      <c r="B23" s="6">
        <f t="shared" si="1"/>
        <v>2010</v>
      </c>
      <c r="C23" s="30">
        <f>'Monthly Data'!N23</f>
        <v>21314314.684494946</v>
      </c>
      <c r="D23">
        <f t="shared" ca="1" si="3"/>
        <v>270.3</v>
      </c>
      <c r="E23">
        <f t="shared" ca="1" si="3"/>
        <v>1.21</v>
      </c>
      <c r="F23" s="30">
        <f>'Monthly Data'!Y23</f>
        <v>6587.1</v>
      </c>
      <c r="G23" s="30">
        <f>'Monthly Data'!AA23</f>
        <v>22</v>
      </c>
      <c r="H23" s="30">
        <f>'Monthly Data'!AF23</f>
        <v>340</v>
      </c>
      <c r="I23" s="30">
        <f>'Monthly Data'!AM23</f>
        <v>1</v>
      </c>
      <c r="J23" s="30">
        <f>'Monthly Data'!AN23</f>
        <v>0</v>
      </c>
      <c r="K23" s="30">
        <f>'Monthly Data'!AO23</f>
        <v>0</v>
      </c>
      <c r="L23" s="30">
        <f>'Monthly Data'!AP23</f>
        <v>0</v>
      </c>
      <c r="M23" s="30">
        <f>'Monthly Data'!AQ23</f>
        <v>0</v>
      </c>
      <c r="O23" s="23">
        <f>'GS &gt; 50 OLS Model'!$B$5</f>
        <v>-17059648.826166701</v>
      </c>
      <c r="P23" s="23">
        <f ca="1">'GS &gt; 50 OLS Model'!$B$6*D23</f>
        <v>2082054.1925771446</v>
      </c>
      <c r="Q23" s="23">
        <f ca="1">'GS &gt; 50 OLS Model'!$B$7*E23</f>
        <v>39502.871192969367</v>
      </c>
      <c r="R23" s="23">
        <f>'GS &gt; 50 OLS Model'!$B$8*F23</f>
        <v>35481309.848200299</v>
      </c>
      <c r="S23" s="23">
        <f>'GS &gt; 50 OLS Model'!$B$9*G23</f>
        <v>-541557.42892170919</v>
      </c>
      <c r="T23" s="23">
        <f>'GS &gt; 50 OLS Model'!$B$10*H23</f>
        <v>2992150.237596924</v>
      </c>
      <c r="U23" s="23">
        <f>'GS &gt; 50 OLS Model'!$B$11*I23</f>
        <v>-1573400.2840208299</v>
      </c>
      <c r="V23" s="23">
        <f>'GS &gt; 50 OLS Model'!$B$12*J23</f>
        <v>0</v>
      </c>
      <c r="W23" s="23">
        <f>'GS &gt; 50 OLS Model'!$B$13*K23</f>
        <v>0</v>
      </c>
      <c r="X23" s="23">
        <f>'GS &gt; 50 OLS Model'!$B$14*L23</f>
        <v>0</v>
      </c>
      <c r="Y23" s="23">
        <f>'GS &gt; 50 OLS Model'!$B$15*M23</f>
        <v>0</v>
      </c>
      <c r="Z23" s="23">
        <f t="shared" ca="1" si="2"/>
        <v>21420410.610458095</v>
      </c>
    </row>
    <row r="24" spans="1:26">
      <c r="A24" s="11">
        <f>'Monthly Data'!A24</f>
        <v>40483</v>
      </c>
      <c r="B24" s="6">
        <f t="shared" si="1"/>
        <v>2010</v>
      </c>
      <c r="C24" s="30">
        <f>'Monthly Data'!N24</f>
        <v>22646691.283989962</v>
      </c>
      <c r="D24">
        <f t="shared" ca="1" si="3"/>
        <v>444.05</v>
      </c>
      <c r="E24">
        <f t="shared" ca="1" si="3"/>
        <v>0</v>
      </c>
      <c r="F24" s="30">
        <f>'Monthly Data'!Y24</f>
        <v>6566.6</v>
      </c>
      <c r="G24" s="30">
        <f>'Monthly Data'!AA24</f>
        <v>23</v>
      </c>
      <c r="H24" s="30">
        <f>'Monthly Data'!AF24</f>
        <v>341</v>
      </c>
      <c r="I24" s="30">
        <f>'Monthly Data'!AM24</f>
        <v>1</v>
      </c>
      <c r="J24" s="30">
        <f>'Monthly Data'!AN24</f>
        <v>0</v>
      </c>
      <c r="K24" s="30">
        <f>'Monthly Data'!AO24</f>
        <v>0</v>
      </c>
      <c r="L24" s="30">
        <f>'Monthly Data'!AP24</f>
        <v>0</v>
      </c>
      <c r="M24" s="30">
        <f>'Monthly Data'!AQ24</f>
        <v>0</v>
      </c>
      <c r="O24" s="23">
        <f>'GS &gt; 50 OLS Model'!$B$5</f>
        <v>-17059648.826166701</v>
      </c>
      <c r="P24" s="23">
        <f ca="1">'GS &gt; 50 OLS Model'!$B$6*D24</f>
        <v>3420407.5627594562</v>
      </c>
      <c r="Q24" s="23">
        <f ca="1">'GS &gt; 50 OLS Model'!$B$7*E24</f>
        <v>0</v>
      </c>
      <c r="R24" s="23">
        <f>'GS &gt; 50 OLS Model'!$B$8*F24</f>
        <v>35370886.922802463</v>
      </c>
      <c r="S24" s="23">
        <f>'GS &gt; 50 OLS Model'!$B$9*G24</f>
        <v>-566173.67569087783</v>
      </c>
      <c r="T24" s="23">
        <f>'GS &gt; 50 OLS Model'!$B$10*H24</f>
        <v>3000950.679472209</v>
      </c>
      <c r="U24" s="23">
        <f>'GS &gt; 50 OLS Model'!$B$11*I24</f>
        <v>-1573400.2840208299</v>
      </c>
      <c r="V24" s="23">
        <f>'GS &gt; 50 OLS Model'!$B$12*J24</f>
        <v>0</v>
      </c>
      <c r="W24" s="23">
        <f>'GS &gt; 50 OLS Model'!$B$13*K24</f>
        <v>0</v>
      </c>
      <c r="X24" s="23">
        <f>'GS &gt; 50 OLS Model'!$B$14*L24</f>
        <v>0</v>
      </c>
      <c r="Y24" s="23">
        <f>'GS &gt; 50 OLS Model'!$B$15*M24</f>
        <v>0</v>
      </c>
      <c r="Z24" s="23">
        <f t="shared" ca="1" si="2"/>
        <v>22593022.379155718</v>
      </c>
    </row>
    <row r="25" spans="1:26">
      <c r="A25" s="11">
        <f>'Monthly Data'!A25</f>
        <v>40513</v>
      </c>
      <c r="B25" s="6">
        <f t="shared" si="1"/>
        <v>2010</v>
      </c>
      <c r="C25" s="30">
        <f>'Monthly Data'!N25</f>
        <v>25374125.159584977</v>
      </c>
      <c r="D25">
        <f t="shared" ca="1" si="3"/>
        <v>684.01</v>
      </c>
      <c r="E25">
        <f t="shared" ca="1" si="3"/>
        <v>0</v>
      </c>
      <c r="F25" s="30">
        <f>'Monthly Data'!Y25</f>
        <v>6584.1</v>
      </c>
      <c r="G25" s="30">
        <f>'Monthly Data'!AA25</f>
        <v>24</v>
      </c>
      <c r="H25" s="30">
        <f>'Monthly Data'!AF25</f>
        <v>341</v>
      </c>
      <c r="I25" s="30">
        <f>'Monthly Data'!AM25</f>
        <v>0</v>
      </c>
      <c r="J25" s="30">
        <f>'Monthly Data'!AN25</f>
        <v>0</v>
      </c>
      <c r="K25" s="30">
        <f>'Monthly Data'!AO25</f>
        <v>0</v>
      </c>
      <c r="L25" s="30">
        <f>'Monthly Data'!AP25</f>
        <v>1</v>
      </c>
      <c r="M25" s="30">
        <f>'Monthly Data'!AQ25</f>
        <v>0</v>
      </c>
      <c r="O25" s="23">
        <f>'GS &gt; 50 OLS Model'!$B$5</f>
        <v>-17059648.826166701</v>
      </c>
      <c r="P25" s="23">
        <f ca="1">'GS &gt; 50 OLS Model'!$B$6*D25</f>
        <v>5268760.2229548376</v>
      </c>
      <c r="Q25" s="23">
        <f ca="1">'GS &gt; 50 OLS Model'!$B$7*E25</f>
        <v>0</v>
      </c>
      <c r="R25" s="23">
        <f>'GS &gt; 50 OLS Model'!$B$8*F25</f>
        <v>35465150.395703055</v>
      </c>
      <c r="S25" s="23">
        <f>'GS &gt; 50 OLS Model'!$B$9*G25</f>
        <v>-590789.92246004636</v>
      </c>
      <c r="T25" s="23">
        <f>'GS &gt; 50 OLS Model'!$B$10*H25</f>
        <v>3000950.679472209</v>
      </c>
      <c r="U25" s="23">
        <f>'GS &gt; 50 OLS Model'!$B$11*I25</f>
        <v>0</v>
      </c>
      <c r="V25" s="23">
        <f>'GS &gt; 50 OLS Model'!$B$12*J25</f>
        <v>0</v>
      </c>
      <c r="W25" s="23">
        <f>'GS &gt; 50 OLS Model'!$B$13*K25</f>
        <v>0</v>
      </c>
      <c r="X25" s="23">
        <f>'GS &gt; 50 OLS Model'!$B$14*L25</f>
        <v>-1083532.53757107</v>
      </c>
      <c r="Y25" s="23">
        <f>'GS &gt; 50 OLS Model'!$B$15*M25</f>
        <v>0</v>
      </c>
      <c r="Z25" s="23">
        <f t="shared" ca="1" si="2"/>
        <v>25000890.011932284</v>
      </c>
    </row>
    <row r="26" spans="1:26">
      <c r="A26" s="11">
        <f>'Monthly Data'!A26</f>
        <v>40544</v>
      </c>
      <c r="B26" s="6">
        <f t="shared" si="1"/>
        <v>2011</v>
      </c>
      <c r="C26" s="30">
        <f>'Monthly Data'!N26</f>
        <v>26819955.496768035</v>
      </c>
      <c r="D26">
        <f t="shared" ca="1" si="3"/>
        <v>784.29</v>
      </c>
      <c r="E26">
        <f t="shared" ca="1" si="3"/>
        <v>0</v>
      </c>
      <c r="F26" s="30">
        <f>'Monthly Data'!Y26</f>
        <v>6571.2</v>
      </c>
      <c r="G26" s="30">
        <f>'Monthly Data'!AA26</f>
        <v>25</v>
      </c>
      <c r="H26" s="30">
        <f>'Monthly Data'!AF26</f>
        <v>341</v>
      </c>
      <c r="I26" s="30">
        <f>'Monthly Data'!AM26</f>
        <v>0</v>
      </c>
      <c r="J26" s="30">
        <f>'Monthly Data'!AN26</f>
        <v>0</v>
      </c>
      <c r="K26" s="30">
        <f>'Monthly Data'!AO26</f>
        <v>0</v>
      </c>
      <c r="L26" s="30">
        <f>'Monthly Data'!AP26</f>
        <v>0</v>
      </c>
      <c r="M26" s="30">
        <f>'Monthly Data'!AQ26</f>
        <v>0</v>
      </c>
      <c r="O26" s="23">
        <f>'GS &gt; 50 OLS Model'!$B$5</f>
        <v>-17059648.826166701</v>
      </c>
      <c r="P26" s="23">
        <f ca="1">'GS &gt; 50 OLS Model'!$B$6*D26</f>
        <v>6041192.3148217853</v>
      </c>
      <c r="Q26" s="23">
        <f ca="1">'GS &gt; 50 OLS Model'!$B$7*E26</f>
        <v>0</v>
      </c>
      <c r="R26" s="23">
        <f>'GS &gt; 50 OLS Model'!$B$8*F26</f>
        <v>35395664.7499649</v>
      </c>
      <c r="S26" s="23">
        <f>'GS &gt; 50 OLS Model'!$B$9*G26</f>
        <v>-615406.16922921501</v>
      </c>
      <c r="T26" s="23">
        <f>'GS &gt; 50 OLS Model'!$B$10*H26</f>
        <v>3000950.679472209</v>
      </c>
      <c r="U26" s="23">
        <f>'GS &gt; 50 OLS Model'!$B$11*I26</f>
        <v>0</v>
      </c>
      <c r="V26" s="23">
        <f>'GS &gt; 50 OLS Model'!$B$12*J26</f>
        <v>0</v>
      </c>
      <c r="W26" s="23">
        <f>'GS &gt; 50 OLS Model'!$B$13*K26</f>
        <v>0</v>
      </c>
      <c r="X26" s="23">
        <f>'GS &gt; 50 OLS Model'!$B$14*L26</f>
        <v>0</v>
      </c>
      <c r="Y26" s="23">
        <f>'GS &gt; 50 OLS Model'!$B$15*M26</f>
        <v>0</v>
      </c>
      <c r="Z26" s="23">
        <f t="shared" ca="1" si="2"/>
        <v>26762752.748862974</v>
      </c>
    </row>
    <row r="27" spans="1:26">
      <c r="A27" s="11">
        <f>'Monthly Data'!A27</f>
        <v>40575</v>
      </c>
      <c r="B27" s="6">
        <f t="shared" si="1"/>
        <v>2011</v>
      </c>
      <c r="C27" s="30">
        <f>'Monthly Data'!N27</f>
        <v>24243560.417216163</v>
      </c>
      <c r="D27">
        <f t="shared" ca="1" si="3"/>
        <v>682.50999999999988</v>
      </c>
      <c r="E27">
        <f t="shared" ca="1" si="3"/>
        <v>0</v>
      </c>
      <c r="F27" s="30">
        <f>'Monthly Data'!Y27</f>
        <v>6548.1</v>
      </c>
      <c r="G27" s="30">
        <f>'Monthly Data'!AA27</f>
        <v>26</v>
      </c>
      <c r="H27" s="30">
        <f>'Monthly Data'!AF27</f>
        <v>341</v>
      </c>
      <c r="I27" s="30">
        <f>'Monthly Data'!AM27</f>
        <v>0</v>
      </c>
      <c r="J27" s="30">
        <f>'Monthly Data'!AN27</f>
        <v>1</v>
      </c>
      <c r="K27" s="30">
        <f>'Monthly Data'!AO27</f>
        <v>0</v>
      </c>
      <c r="L27" s="30">
        <f>'Monthly Data'!AP27</f>
        <v>0</v>
      </c>
      <c r="M27" s="30">
        <f>'Monthly Data'!AQ27</f>
        <v>0</v>
      </c>
      <c r="O27" s="23">
        <f>'GS &gt; 50 OLS Model'!$B$5</f>
        <v>-17059648.826166701</v>
      </c>
      <c r="P27" s="23">
        <f ca="1">'GS &gt; 50 OLS Model'!$B$6*D27</f>
        <v>5257206.0931403134</v>
      </c>
      <c r="Q27" s="23">
        <f ca="1">'GS &gt; 50 OLS Model'!$B$7*E27</f>
        <v>0</v>
      </c>
      <c r="R27" s="23">
        <f>'GS &gt; 50 OLS Model'!$B$8*F27</f>
        <v>35271236.965736121</v>
      </c>
      <c r="S27" s="23">
        <f>'GS &gt; 50 OLS Model'!$B$9*G27</f>
        <v>-640022.41599838354</v>
      </c>
      <c r="T27" s="23">
        <f>'GS &gt; 50 OLS Model'!$B$10*H27</f>
        <v>3000950.679472209</v>
      </c>
      <c r="U27" s="23">
        <f>'GS &gt; 50 OLS Model'!$B$11*I27</f>
        <v>0</v>
      </c>
      <c r="V27" s="23">
        <f>'GS &gt; 50 OLS Model'!$B$12*J27</f>
        <v>-1514604.0647521601</v>
      </c>
      <c r="W27" s="23">
        <f>'GS &gt; 50 OLS Model'!$B$13*K27</f>
        <v>0</v>
      </c>
      <c r="X27" s="23">
        <f>'GS &gt; 50 OLS Model'!$B$14*L27</f>
        <v>0</v>
      </c>
      <c r="Y27" s="23">
        <f>'GS &gt; 50 OLS Model'!$B$15*M27</f>
        <v>0</v>
      </c>
      <c r="Z27" s="23">
        <f t="shared" ca="1" si="2"/>
        <v>24315118.431431398</v>
      </c>
    </row>
    <row r="28" spans="1:26">
      <c r="A28" s="11">
        <f>'Monthly Data'!A28</f>
        <v>40603</v>
      </c>
      <c r="B28" s="6">
        <f t="shared" si="1"/>
        <v>2011</v>
      </c>
      <c r="C28" s="30">
        <f>'Monthly Data'!N28</f>
        <v>24885464.581564292</v>
      </c>
      <c r="D28">
        <f t="shared" ca="1" si="3"/>
        <v>556.99</v>
      </c>
      <c r="E28">
        <f t="shared" ca="1" si="3"/>
        <v>0</v>
      </c>
      <c r="F28" s="30">
        <f>'Monthly Data'!Y28</f>
        <v>6523.7</v>
      </c>
      <c r="G28" s="30">
        <f>'Monthly Data'!AA28</f>
        <v>27</v>
      </c>
      <c r="H28" s="30">
        <f>'Monthly Data'!AF28</f>
        <v>342</v>
      </c>
      <c r="I28" s="30">
        <f>'Monthly Data'!AM28</f>
        <v>0</v>
      </c>
      <c r="J28" s="30">
        <f>'Monthly Data'!AN28</f>
        <v>0</v>
      </c>
      <c r="K28" s="30">
        <f>'Monthly Data'!AO28</f>
        <v>0</v>
      </c>
      <c r="L28" s="30">
        <f>'Monthly Data'!AP28</f>
        <v>0</v>
      </c>
      <c r="M28" s="30">
        <f>'Monthly Data'!AQ28</f>
        <v>0</v>
      </c>
      <c r="O28" s="23">
        <f>'GS &gt; 50 OLS Model'!$B$5</f>
        <v>-17059648.826166701</v>
      </c>
      <c r="P28" s="23">
        <f ca="1">'GS &gt; 50 OLS Model'!$B$6*D28</f>
        <v>4290356.5102609834</v>
      </c>
      <c r="Q28" s="23">
        <f ca="1">'GS &gt; 50 OLS Model'!$B$7*E28</f>
        <v>0</v>
      </c>
      <c r="R28" s="23">
        <f>'GS &gt; 50 OLS Model'!$B$8*F28</f>
        <v>35139806.752091862</v>
      </c>
      <c r="S28" s="23">
        <f>'GS &gt; 50 OLS Model'!$B$9*G28</f>
        <v>-664638.66276755219</v>
      </c>
      <c r="T28" s="23">
        <f>'GS &gt; 50 OLS Model'!$B$10*H28</f>
        <v>3009751.121347494</v>
      </c>
      <c r="U28" s="23">
        <f>'GS &gt; 50 OLS Model'!$B$11*I28</f>
        <v>0</v>
      </c>
      <c r="V28" s="23">
        <f>'GS &gt; 50 OLS Model'!$B$12*J28</f>
        <v>0</v>
      </c>
      <c r="W28" s="23">
        <f>'GS &gt; 50 OLS Model'!$B$13*K28</f>
        <v>0</v>
      </c>
      <c r="X28" s="23">
        <f>'GS &gt; 50 OLS Model'!$B$14*L28</f>
        <v>0</v>
      </c>
      <c r="Y28" s="23">
        <f>'GS &gt; 50 OLS Model'!$B$15*M28</f>
        <v>0</v>
      </c>
      <c r="Z28" s="23">
        <f t="shared" ca="1" si="2"/>
        <v>24715626.894766089</v>
      </c>
    </row>
    <row r="29" spans="1:26">
      <c r="A29" s="11">
        <f>'Monthly Data'!A29</f>
        <v>40634</v>
      </c>
      <c r="B29" s="6">
        <f t="shared" si="1"/>
        <v>2011</v>
      </c>
      <c r="C29" s="30">
        <f>'Monthly Data'!N29</f>
        <v>21554917.346312415</v>
      </c>
      <c r="D29">
        <f t="shared" ca="1" si="3"/>
        <v>326.58999999999997</v>
      </c>
      <c r="E29">
        <f t="shared" ca="1" si="3"/>
        <v>0.39</v>
      </c>
      <c r="F29" s="30">
        <f>'Monthly Data'!Y29</f>
        <v>6550</v>
      </c>
      <c r="G29" s="30">
        <f>'Monthly Data'!AA29</f>
        <v>28</v>
      </c>
      <c r="H29" s="30">
        <f>'Monthly Data'!AF29</f>
        <v>343</v>
      </c>
      <c r="I29" s="30">
        <f>'Monthly Data'!AM29</f>
        <v>0</v>
      </c>
      <c r="J29" s="30">
        <f>'Monthly Data'!AN29</f>
        <v>0</v>
      </c>
      <c r="K29" s="30">
        <f>'Monthly Data'!AO29</f>
        <v>1</v>
      </c>
      <c r="L29" s="30">
        <f>'Monthly Data'!AP29</f>
        <v>0</v>
      </c>
      <c r="M29" s="30">
        <f>'Monthly Data'!AQ29</f>
        <v>0</v>
      </c>
      <c r="O29" s="23">
        <f>'GS &gt; 50 OLS Model'!$B$5</f>
        <v>-17059648.826166701</v>
      </c>
      <c r="P29" s="23">
        <f ca="1">'GS &gt; 50 OLS Model'!$B$6*D29</f>
        <v>2515642.1707501649</v>
      </c>
      <c r="Q29" s="23">
        <f ca="1">'GS &gt; 50 OLS Model'!$B$7*E29</f>
        <v>12732.330384510789</v>
      </c>
      <c r="R29" s="23">
        <f>'GS &gt; 50 OLS Model'!$B$8*F29</f>
        <v>35281471.285651036</v>
      </c>
      <c r="S29" s="23">
        <f>'GS &gt; 50 OLS Model'!$B$9*G29</f>
        <v>-689254.90953672084</v>
      </c>
      <c r="T29" s="23">
        <f>'GS &gt; 50 OLS Model'!$B$10*H29</f>
        <v>3018551.5632227794</v>
      </c>
      <c r="U29" s="23">
        <f>'GS &gt; 50 OLS Model'!$B$11*I29</f>
        <v>0</v>
      </c>
      <c r="V29" s="23">
        <f>'GS &gt; 50 OLS Model'!$B$12*J29</f>
        <v>0</v>
      </c>
      <c r="W29" s="23">
        <f>'GS &gt; 50 OLS Model'!$B$13*K29</f>
        <v>-1589866.56724812</v>
      </c>
      <c r="X29" s="23">
        <f>'GS &gt; 50 OLS Model'!$B$14*L29</f>
        <v>0</v>
      </c>
      <c r="Y29" s="23">
        <f>'GS &gt; 50 OLS Model'!$B$15*M29</f>
        <v>0</v>
      </c>
      <c r="Z29" s="23">
        <f t="shared" ca="1" si="2"/>
        <v>21489627.047056951</v>
      </c>
    </row>
    <row r="30" spans="1:26">
      <c r="A30" s="11">
        <f>'Monthly Data'!A30</f>
        <v>40664</v>
      </c>
      <c r="B30" s="6">
        <f t="shared" si="1"/>
        <v>2011</v>
      </c>
      <c r="C30" s="30">
        <f>'Monthly Data'!N30</f>
        <v>21110104.172260538</v>
      </c>
      <c r="D30">
        <f t="shared" ca="1" si="3"/>
        <v>144.96</v>
      </c>
      <c r="E30">
        <f t="shared" ca="1" si="3"/>
        <v>8.67</v>
      </c>
      <c r="F30" s="30">
        <f>'Monthly Data'!Y30</f>
        <v>6612</v>
      </c>
      <c r="G30" s="30">
        <f>'Monthly Data'!AA30</f>
        <v>29</v>
      </c>
      <c r="H30" s="30">
        <f>'Monthly Data'!AF30</f>
        <v>339</v>
      </c>
      <c r="I30" s="30">
        <f>'Monthly Data'!AM30</f>
        <v>0</v>
      </c>
      <c r="J30" s="30">
        <f>'Monthly Data'!AN30</f>
        <v>0</v>
      </c>
      <c r="K30" s="30">
        <f>'Monthly Data'!AO30</f>
        <v>0</v>
      </c>
      <c r="L30" s="30">
        <f>'Monthly Data'!AP30</f>
        <v>0</v>
      </c>
      <c r="M30" s="30">
        <f>'Monthly Data'!AQ30</f>
        <v>1</v>
      </c>
      <c r="O30" s="23">
        <f>'GS &gt; 50 OLS Model'!$B$5</f>
        <v>-17059648.826166701</v>
      </c>
      <c r="P30" s="23">
        <f ca="1">'GS &gt; 50 OLS Model'!$B$6*D30</f>
        <v>1116591.1052755564</v>
      </c>
      <c r="Q30" s="23">
        <f ca="1">'GS &gt; 50 OLS Model'!$B$7*E30</f>
        <v>283049.49854797061</v>
      </c>
      <c r="R30" s="23">
        <f>'GS &gt; 50 OLS Model'!$B$8*F30</f>
        <v>35615433.303927429</v>
      </c>
      <c r="S30" s="23">
        <f>'GS &gt; 50 OLS Model'!$B$9*G30</f>
        <v>-713871.15630588937</v>
      </c>
      <c r="T30" s="23">
        <f>'GS &gt; 50 OLS Model'!$B$10*H30</f>
        <v>2983349.7957216389</v>
      </c>
      <c r="U30" s="23">
        <f>'GS &gt; 50 OLS Model'!$B$11*I30</f>
        <v>0</v>
      </c>
      <c r="V30" s="23">
        <f>'GS &gt; 50 OLS Model'!$B$12*J30</f>
        <v>0</v>
      </c>
      <c r="W30" s="23">
        <f>'GS &gt; 50 OLS Model'!$B$13*K30</f>
        <v>0</v>
      </c>
      <c r="X30" s="23">
        <f>'GS &gt; 50 OLS Model'!$B$14*L30</f>
        <v>0</v>
      </c>
      <c r="Y30" s="23">
        <f>'GS &gt; 50 OLS Model'!$B$15*M30</f>
        <v>-1207404.17093835</v>
      </c>
      <c r="Z30" s="23">
        <f t="shared" ca="1" si="2"/>
        <v>21017499.550061654</v>
      </c>
    </row>
    <row r="31" spans="1:26">
      <c r="A31" s="11">
        <f>'Monthly Data'!A31</f>
        <v>40695</v>
      </c>
      <c r="B31" s="6">
        <f t="shared" si="1"/>
        <v>2011</v>
      </c>
      <c r="C31" s="30">
        <f>'Monthly Data'!N31</f>
        <v>21224541.706708666</v>
      </c>
      <c r="D31">
        <f t="shared" ref="D31:E46" ca="1" si="4">D19</f>
        <v>41.510000000000005</v>
      </c>
      <c r="E31">
        <f t="shared" ca="1" si="4"/>
        <v>44.41</v>
      </c>
      <c r="F31" s="30">
        <f>'Monthly Data'!Y31</f>
        <v>6706.8</v>
      </c>
      <c r="G31" s="30">
        <f>'Monthly Data'!AA31</f>
        <v>30</v>
      </c>
      <c r="H31" s="30">
        <f>'Monthly Data'!AF31</f>
        <v>338</v>
      </c>
      <c r="I31" s="30">
        <f>'Monthly Data'!AM31</f>
        <v>0</v>
      </c>
      <c r="J31" s="30">
        <f>'Monthly Data'!AN31</f>
        <v>0</v>
      </c>
      <c r="K31" s="30">
        <f>'Monthly Data'!AO31</f>
        <v>0</v>
      </c>
      <c r="L31" s="30">
        <f>'Monthly Data'!AP31</f>
        <v>0</v>
      </c>
      <c r="M31" s="30">
        <f>'Monthly Data'!AQ31</f>
        <v>1</v>
      </c>
      <c r="O31" s="23">
        <f>'GS &gt; 50 OLS Model'!$B$5</f>
        <v>-17059648.826166701</v>
      </c>
      <c r="P31" s="23">
        <f ca="1">'GS &gt; 50 OLS Model'!$B$6*D31</f>
        <v>319741.28573391523</v>
      </c>
      <c r="Q31" s="23">
        <f ca="1">'GS &gt; 50 OLS Model'!$B$7*E31</f>
        <v>1449853.3137849336</v>
      </c>
      <c r="R31" s="23">
        <f>'GS &gt; 50 OLS Model'!$B$8*F31</f>
        <v>36126072.002840362</v>
      </c>
      <c r="S31" s="23">
        <f>'GS &gt; 50 OLS Model'!$B$9*G31</f>
        <v>-738487.40307505801</v>
      </c>
      <c r="T31" s="23">
        <f>'GS &gt; 50 OLS Model'!$B$10*H31</f>
        <v>2974549.3538463539</v>
      </c>
      <c r="U31" s="23">
        <f>'GS &gt; 50 OLS Model'!$B$11*I31</f>
        <v>0</v>
      </c>
      <c r="V31" s="23">
        <f>'GS &gt; 50 OLS Model'!$B$12*J31</f>
        <v>0</v>
      </c>
      <c r="W31" s="23">
        <f>'GS &gt; 50 OLS Model'!$B$13*K31</f>
        <v>0</v>
      </c>
      <c r="X31" s="23">
        <f>'GS &gt; 50 OLS Model'!$B$14*L31</f>
        <v>0</v>
      </c>
      <c r="Y31" s="23">
        <f>'GS &gt; 50 OLS Model'!$B$15*M31</f>
        <v>-1207404.17093835</v>
      </c>
      <c r="Z31" s="23">
        <f t="shared" ca="1" si="2"/>
        <v>21864675.556025457</v>
      </c>
    </row>
    <row r="32" spans="1:26">
      <c r="A32" s="11">
        <f>'Monthly Data'!A32</f>
        <v>40725</v>
      </c>
      <c r="B32" s="6">
        <f t="shared" si="1"/>
        <v>2011</v>
      </c>
      <c r="C32" s="30">
        <f>'Monthly Data'!N32</f>
        <v>23605421.411356788</v>
      </c>
      <c r="D32">
        <f t="shared" ca="1" si="4"/>
        <v>5.01</v>
      </c>
      <c r="E32">
        <f t="shared" ca="1" si="4"/>
        <v>96.909999999999982</v>
      </c>
      <c r="F32" s="30">
        <f>'Monthly Data'!Y32</f>
        <v>6755.3</v>
      </c>
      <c r="G32" s="30">
        <f>'Monthly Data'!AA32</f>
        <v>31</v>
      </c>
      <c r="H32" s="30">
        <f>'Monthly Data'!AF32</f>
        <v>339</v>
      </c>
      <c r="I32" s="30">
        <f>'Monthly Data'!AM32</f>
        <v>0</v>
      </c>
      <c r="J32" s="30">
        <f>'Monthly Data'!AN32</f>
        <v>0</v>
      </c>
      <c r="K32" s="30">
        <f>'Monthly Data'!AO32</f>
        <v>0</v>
      </c>
      <c r="L32" s="30">
        <f>'Monthly Data'!AP32</f>
        <v>0</v>
      </c>
      <c r="M32" s="30">
        <f>'Monthly Data'!AQ32</f>
        <v>1</v>
      </c>
      <c r="O32" s="23">
        <f>'GS &gt; 50 OLS Model'!$B$5</f>
        <v>-17059648.826166701</v>
      </c>
      <c r="P32" s="23">
        <f ca="1">'GS &gt; 50 OLS Model'!$B$6*D32</f>
        <v>38590.793580508667</v>
      </c>
      <c r="Q32" s="23">
        <f ca="1">'GS &gt; 50 OLS Model'!$B$7*E32</f>
        <v>3163820.8655460011</v>
      </c>
      <c r="R32" s="23">
        <f>'GS &gt; 50 OLS Model'!$B$8*F32</f>
        <v>36387316.484879158</v>
      </c>
      <c r="S32" s="23">
        <f>'GS &gt; 50 OLS Model'!$B$9*G32</f>
        <v>-763103.64984422654</v>
      </c>
      <c r="T32" s="23">
        <f>'GS &gt; 50 OLS Model'!$B$10*H32</f>
        <v>2983349.7957216389</v>
      </c>
      <c r="U32" s="23">
        <f>'GS &gt; 50 OLS Model'!$B$11*I32</f>
        <v>0</v>
      </c>
      <c r="V32" s="23">
        <f>'GS &gt; 50 OLS Model'!$B$12*J32</f>
        <v>0</v>
      </c>
      <c r="W32" s="23">
        <f>'GS &gt; 50 OLS Model'!$B$13*K32</f>
        <v>0</v>
      </c>
      <c r="X32" s="23">
        <f>'GS &gt; 50 OLS Model'!$B$14*L32</f>
        <v>0</v>
      </c>
      <c r="Y32" s="23">
        <f>'GS &gt; 50 OLS Model'!$B$15*M32</f>
        <v>-1207404.17093835</v>
      </c>
      <c r="Z32" s="23">
        <f t="shared" ca="1" si="2"/>
        <v>23542921.29277803</v>
      </c>
    </row>
    <row r="33" spans="1:26">
      <c r="A33" s="11">
        <f>'Monthly Data'!A33</f>
        <v>40756</v>
      </c>
      <c r="B33" s="6">
        <f t="shared" si="1"/>
        <v>2011</v>
      </c>
      <c r="C33" s="30">
        <f>'Monthly Data'!N33</f>
        <v>22936909.924904913</v>
      </c>
      <c r="D33">
        <f t="shared" ca="1" si="4"/>
        <v>12.719999999999999</v>
      </c>
      <c r="E33">
        <f t="shared" ca="1" si="4"/>
        <v>77.22999999999999</v>
      </c>
      <c r="F33" s="30">
        <f>'Monthly Data'!Y33</f>
        <v>6778</v>
      </c>
      <c r="G33" s="30">
        <f>'Monthly Data'!AA33</f>
        <v>32</v>
      </c>
      <c r="H33" s="30">
        <f>'Monthly Data'!AF33</f>
        <v>341</v>
      </c>
      <c r="I33" s="30">
        <f>'Monthly Data'!AM33</f>
        <v>0</v>
      </c>
      <c r="J33" s="30">
        <f>'Monthly Data'!AN33</f>
        <v>0</v>
      </c>
      <c r="K33" s="30">
        <f>'Monthly Data'!AO33</f>
        <v>0</v>
      </c>
      <c r="L33" s="30">
        <f>'Monthly Data'!AP33</f>
        <v>0</v>
      </c>
      <c r="M33" s="30">
        <f>'Monthly Data'!AQ33</f>
        <v>1</v>
      </c>
      <c r="O33" s="23">
        <f>'GS &gt; 50 OLS Model'!$B$5</f>
        <v>-17059648.826166701</v>
      </c>
      <c r="P33" s="23">
        <f ca="1">'GS &gt; 50 OLS Model'!$B$6*D33</f>
        <v>97979.020827159737</v>
      </c>
      <c r="Q33" s="23">
        <f ca="1">'GS &gt; 50 OLS Model'!$B$7*E33</f>
        <v>2521327.8861429952</v>
      </c>
      <c r="R33" s="23">
        <f>'GS &gt; 50 OLS Model'!$B$8*F33</f>
        <v>36509589.675441638</v>
      </c>
      <c r="S33" s="23">
        <f>'GS &gt; 50 OLS Model'!$B$9*G33</f>
        <v>-787719.89661339519</v>
      </c>
      <c r="T33" s="23">
        <f>'GS &gt; 50 OLS Model'!$B$10*H33</f>
        <v>3000950.679472209</v>
      </c>
      <c r="U33" s="23">
        <f>'GS &gt; 50 OLS Model'!$B$11*I33</f>
        <v>0</v>
      </c>
      <c r="V33" s="23">
        <f>'GS &gt; 50 OLS Model'!$B$12*J33</f>
        <v>0</v>
      </c>
      <c r="W33" s="23">
        <f>'GS &gt; 50 OLS Model'!$B$13*K33</f>
        <v>0</v>
      </c>
      <c r="X33" s="23">
        <f>'GS &gt; 50 OLS Model'!$B$14*L33</f>
        <v>0</v>
      </c>
      <c r="Y33" s="23">
        <f>'GS &gt; 50 OLS Model'!$B$15*M33</f>
        <v>-1207404.17093835</v>
      </c>
      <c r="Z33" s="23">
        <f t="shared" ca="1" si="2"/>
        <v>23075074.368165553</v>
      </c>
    </row>
    <row r="34" spans="1:26">
      <c r="A34" s="11">
        <f>'Monthly Data'!A34</f>
        <v>40787</v>
      </c>
      <c r="B34" s="6">
        <f t="shared" si="1"/>
        <v>2011</v>
      </c>
      <c r="C34" s="30">
        <f>'Monthly Data'!N34</f>
        <v>21272148.788853042</v>
      </c>
      <c r="D34">
        <f t="shared" ca="1" si="4"/>
        <v>86.570000000000007</v>
      </c>
      <c r="E34">
        <f t="shared" ca="1" si="4"/>
        <v>19.899999999999999</v>
      </c>
      <c r="F34" s="30">
        <f>'Monthly Data'!Y34</f>
        <v>6734.6</v>
      </c>
      <c r="G34" s="30">
        <f>'Monthly Data'!AA34</f>
        <v>33</v>
      </c>
      <c r="H34" s="30">
        <f>'Monthly Data'!AF34</f>
        <v>347</v>
      </c>
      <c r="I34" s="30">
        <f>'Monthly Data'!AM34</f>
        <v>1</v>
      </c>
      <c r="J34" s="30">
        <f>'Monthly Data'!AN34</f>
        <v>0</v>
      </c>
      <c r="K34" s="30">
        <f>'Monthly Data'!AO34</f>
        <v>0</v>
      </c>
      <c r="L34" s="30">
        <f>'Monthly Data'!AP34</f>
        <v>0</v>
      </c>
      <c r="M34" s="30">
        <f>'Monthly Data'!AQ34</f>
        <v>0</v>
      </c>
      <c r="O34" s="23">
        <f>'GS &gt; 50 OLS Model'!$B$5</f>
        <v>-17059648.826166701</v>
      </c>
      <c r="P34" s="23">
        <f ca="1">'GS &gt; 50 OLS Model'!$B$6*D34</f>
        <v>666827.34536220285</v>
      </c>
      <c r="Q34" s="23">
        <f ca="1">'GS &gt; 50 OLS Model'!$B$7*E34</f>
        <v>649675.31961990939</v>
      </c>
      <c r="R34" s="23">
        <f>'GS &gt; 50 OLS Model'!$B$8*F34</f>
        <v>36275816.262648165</v>
      </c>
      <c r="S34" s="23">
        <f>'GS &gt; 50 OLS Model'!$B$9*G34</f>
        <v>-812336.14338256384</v>
      </c>
      <c r="T34" s="23">
        <f>'GS &gt; 50 OLS Model'!$B$10*H34</f>
        <v>3053753.3307239194</v>
      </c>
      <c r="U34" s="23">
        <f>'GS &gt; 50 OLS Model'!$B$11*I34</f>
        <v>-1573400.2840208299</v>
      </c>
      <c r="V34" s="23">
        <f>'GS &gt; 50 OLS Model'!$B$12*J34</f>
        <v>0</v>
      </c>
      <c r="W34" s="23">
        <f>'GS &gt; 50 OLS Model'!$B$13*K34</f>
        <v>0</v>
      </c>
      <c r="X34" s="23">
        <f>'GS &gt; 50 OLS Model'!$B$14*L34</f>
        <v>0</v>
      </c>
      <c r="Y34" s="23">
        <f>'GS &gt; 50 OLS Model'!$B$15*M34</f>
        <v>0</v>
      </c>
      <c r="Z34" s="23">
        <f t="shared" ca="1" si="2"/>
        <v>21200687.004784103</v>
      </c>
    </row>
    <row r="35" spans="1:26">
      <c r="A35" s="11">
        <f>'Monthly Data'!A35</f>
        <v>40817</v>
      </c>
      <c r="B35" s="6">
        <f t="shared" si="1"/>
        <v>2011</v>
      </c>
      <c r="C35" s="30">
        <f>'Monthly Data'!N35</f>
        <v>21689864.312401172</v>
      </c>
      <c r="D35">
        <f t="shared" ca="1" si="4"/>
        <v>270.3</v>
      </c>
      <c r="E35">
        <f t="shared" ca="1" si="4"/>
        <v>1.21</v>
      </c>
      <c r="F35" s="30">
        <f>'Monthly Data'!Y35</f>
        <v>6702.2</v>
      </c>
      <c r="G35" s="30">
        <f>'Monthly Data'!AA35</f>
        <v>34</v>
      </c>
      <c r="H35" s="30">
        <f>'Monthly Data'!AF35</f>
        <v>348</v>
      </c>
      <c r="I35" s="30">
        <f>'Monthly Data'!AM35</f>
        <v>1</v>
      </c>
      <c r="J35" s="30">
        <f>'Monthly Data'!AN35</f>
        <v>0</v>
      </c>
      <c r="K35" s="30">
        <f>'Monthly Data'!AO35</f>
        <v>0</v>
      </c>
      <c r="L35" s="30">
        <f>'Monthly Data'!AP35</f>
        <v>0</v>
      </c>
      <c r="M35" s="30">
        <f>'Monthly Data'!AQ35</f>
        <v>0</v>
      </c>
      <c r="O35" s="23">
        <f>'GS &gt; 50 OLS Model'!$B$5</f>
        <v>-17059648.826166701</v>
      </c>
      <c r="P35" s="23">
        <f ca="1">'GS &gt; 50 OLS Model'!$B$6*D35</f>
        <v>2082054.1925771446</v>
      </c>
      <c r="Q35" s="23">
        <f ca="1">'GS &gt; 50 OLS Model'!$B$7*E35</f>
        <v>39502.871192969367</v>
      </c>
      <c r="R35" s="23">
        <f>'GS &gt; 50 OLS Model'!$B$8*F35</f>
        <v>36101294.175677925</v>
      </c>
      <c r="S35" s="23">
        <f>'GS &gt; 50 OLS Model'!$B$9*G35</f>
        <v>-836952.39015173237</v>
      </c>
      <c r="T35" s="23">
        <f>'GS &gt; 50 OLS Model'!$B$10*H35</f>
        <v>3062553.7725992044</v>
      </c>
      <c r="U35" s="23">
        <f>'GS &gt; 50 OLS Model'!$B$11*I35</f>
        <v>-1573400.2840208299</v>
      </c>
      <c r="V35" s="23">
        <f>'GS &gt; 50 OLS Model'!$B$12*J35</f>
        <v>0</v>
      </c>
      <c r="W35" s="23">
        <f>'GS &gt; 50 OLS Model'!$B$13*K35</f>
        <v>0</v>
      </c>
      <c r="X35" s="23">
        <f>'GS &gt; 50 OLS Model'!$B$14*L35</f>
        <v>0</v>
      </c>
      <c r="Y35" s="23">
        <f>'GS &gt; 50 OLS Model'!$B$15*M35</f>
        <v>0</v>
      </c>
      <c r="Z35" s="23">
        <f t="shared" ca="1" si="2"/>
        <v>21815403.51170798</v>
      </c>
    </row>
    <row r="36" spans="1:26">
      <c r="A36" s="11">
        <f>'Monthly Data'!A36</f>
        <v>40848</v>
      </c>
      <c r="B36" s="6">
        <f t="shared" si="1"/>
        <v>2011</v>
      </c>
      <c r="C36" s="30">
        <f>'Monthly Data'!N36</f>
        <v>22036090.227049295</v>
      </c>
      <c r="D36">
        <f t="shared" ca="1" si="4"/>
        <v>444.05</v>
      </c>
      <c r="E36">
        <f t="shared" ca="1" si="4"/>
        <v>0</v>
      </c>
      <c r="F36" s="30">
        <f>'Monthly Data'!Y36</f>
        <v>6669.4</v>
      </c>
      <c r="G36" s="30">
        <f>'Monthly Data'!AA36</f>
        <v>35</v>
      </c>
      <c r="H36" s="30">
        <f>'Monthly Data'!AF36</f>
        <v>353</v>
      </c>
      <c r="I36" s="30">
        <f>'Monthly Data'!AM36</f>
        <v>1</v>
      </c>
      <c r="J36" s="30">
        <f>'Monthly Data'!AN36</f>
        <v>0</v>
      </c>
      <c r="K36" s="30">
        <f>'Monthly Data'!AO36</f>
        <v>0</v>
      </c>
      <c r="L36" s="30">
        <f>'Monthly Data'!AP36</f>
        <v>0</v>
      </c>
      <c r="M36" s="30">
        <f>'Monthly Data'!AQ36</f>
        <v>0</v>
      </c>
      <c r="O36" s="23">
        <f>'GS &gt; 50 OLS Model'!$B$5</f>
        <v>-17059648.826166701</v>
      </c>
      <c r="P36" s="23">
        <f ca="1">'GS &gt; 50 OLS Model'!$B$6*D36</f>
        <v>3420407.5627594562</v>
      </c>
      <c r="Q36" s="23">
        <f ca="1">'GS &gt; 50 OLS Model'!$B$7*E36</f>
        <v>0</v>
      </c>
      <c r="R36" s="23">
        <f>'GS &gt; 50 OLS Model'!$B$8*F36</f>
        <v>35924617.495041378</v>
      </c>
      <c r="S36" s="23">
        <f>'GS &gt; 50 OLS Model'!$B$9*G36</f>
        <v>-861568.63692090102</v>
      </c>
      <c r="T36" s="23">
        <f>'GS &gt; 50 OLS Model'!$B$10*H36</f>
        <v>3106555.9819756299</v>
      </c>
      <c r="U36" s="23">
        <f>'GS &gt; 50 OLS Model'!$B$11*I36</f>
        <v>-1573400.2840208299</v>
      </c>
      <c r="V36" s="23">
        <f>'GS &gt; 50 OLS Model'!$B$12*J36</f>
        <v>0</v>
      </c>
      <c r="W36" s="23">
        <f>'GS &gt; 50 OLS Model'!$B$13*K36</f>
        <v>0</v>
      </c>
      <c r="X36" s="23">
        <f>'GS &gt; 50 OLS Model'!$B$14*L36</f>
        <v>0</v>
      </c>
      <c r="Y36" s="23">
        <f>'GS &gt; 50 OLS Model'!$B$15*M36</f>
        <v>0</v>
      </c>
      <c r="Z36" s="23">
        <f t="shared" ca="1" si="2"/>
        <v>22956963.292668033</v>
      </c>
    </row>
    <row r="37" spans="1:26">
      <c r="A37" s="11">
        <f>'Monthly Data'!A37</f>
        <v>40878</v>
      </c>
      <c r="B37" s="6">
        <f t="shared" si="1"/>
        <v>2011</v>
      </c>
      <c r="C37" s="30">
        <f>'Monthly Data'!N37</f>
        <v>24098497.192697417</v>
      </c>
      <c r="D37">
        <f t="shared" ca="1" si="4"/>
        <v>684.01</v>
      </c>
      <c r="E37">
        <f t="shared" ca="1" si="4"/>
        <v>0</v>
      </c>
      <c r="F37" s="30">
        <f>'Monthly Data'!Y37</f>
        <v>6668.3</v>
      </c>
      <c r="G37" s="30">
        <f>'Monthly Data'!AA37</f>
        <v>36</v>
      </c>
      <c r="H37" s="30">
        <f>'Monthly Data'!AF37</f>
        <v>357</v>
      </c>
      <c r="I37" s="30">
        <f>'Monthly Data'!AM37</f>
        <v>0</v>
      </c>
      <c r="J37" s="30">
        <f>'Monthly Data'!AN37</f>
        <v>0</v>
      </c>
      <c r="K37" s="30">
        <f>'Monthly Data'!AO37</f>
        <v>0</v>
      </c>
      <c r="L37" s="30">
        <f>'Monthly Data'!AP37</f>
        <v>1</v>
      </c>
      <c r="M37" s="30">
        <f>'Monthly Data'!AQ37</f>
        <v>0</v>
      </c>
      <c r="O37" s="23">
        <f>'GS &gt; 50 OLS Model'!$B$5</f>
        <v>-17059648.826166701</v>
      </c>
      <c r="P37" s="23">
        <f ca="1">'GS &gt; 50 OLS Model'!$B$6*D37</f>
        <v>5268760.2229548376</v>
      </c>
      <c r="Q37" s="23">
        <f ca="1">'GS &gt; 50 OLS Model'!$B$7*E37</f>
        <v>0</v>
      </c>
      <c r="R37" s="23">
        <f>'GS &gt; 50 OLS Model'!$B$8*F37</f>
        <v>35918692.362459056</v>
      </c>
      <c r="S37" s="23">
        <f>'GS &gt; 50 OLS Model'!$B$9*G37</f>
        <v>-886184.88369006955</v>
      </c>
      <c r="T37" s="23">
        <f>'GS &gt; 50 OLS Model'!$B$10*H37</f>
        <v>3141757.7494767704</v>
      </c>
      <c r="U37" s="23">
        <f>'GS &gt; 50 OLS Model'!$B$11*I37</f>
        <v>0</v>
      </c>
      <c r="V37" s="23">
        <f>'GS &gt; 50 OLS Model'!$B$12*J37</f>
        <v>0</v>
      </c>
      <c r="W37" s="23">
        <f>'GS &gt; 50 OLS Model'!$B$13*K37</f>
        <v>0</v>
      </c>
      <c r="X37" s="23">
        <f>'GS &gt; 50 OLS Model'!$B$14*L37</f>
        <v>-1083532.53757107</v>
      </c>
      <c r="Y37" s="23">
        <f>'GS &gt; 50 OLS Model'!$B$15*M37</f>
        <v>0</v>
      </c>
      <c r="Z37" s="23">
        <f t="shared" ca="1" si="2"/>
        <v>25299844.087462824</v>
      </c>
    </row>
    <row r="38" spans="1:26">
      <c r="A38" s="11">
        <f>'Monthly Data'!A38</f>
        <v>40909</v>
      </c>
      <c r="B38" s="6">
        <f t="shared" si="1"/>
        <v>2012</v>
      </c>
      <c r="C38" s="30">
        <f>'Monthly Data'!N38</f>
        <v>25884369.936335795</v>
      </c>
      <c r="D38">
        <f t="shared" ca="1" si="4"/>
        <v>784.29</v>
      </c>
      <c r="E38">
        <f t="shared" ca="1" si="4"/>
        <v>0</v>
      </c>
      <c r="F38" s="30">
        <f>'Monthly Data'!Y38</f>
        <v>6635.9</v>
      </c>
      <c r="G38" s="30">
        <f>'Monthly Data'!AA38</f>
        <v>37</v>
      </c>
      <c r="H38" s="30">
        <f>'Monthly Data'!AF38</f>
        <v>358</v>
      </c>
      <c r="I38" s="30">
        <f>'Monthly Data'!AM38</f>
        <v>0</v>
      </c>
      <c r="J38" s="30">
        <f>'Monthly Data'!AN38</f>
        <v>0</v>
      </c>
      <c r="K38" s="30">
        <f>'Monthly Data'!AO38</f>
        <v>0</v>
      </c>
      <c r="L38" s="30">
        <f>'Monthly Data'!AP38</f>
        <v>0</v>
      </c>
      <c r="M38" s="30">
        <f>'Monthly Data'!AQ38</f>
        <v>0</v>
      </c>
      <c r="O38" s="23">
        <f>'GS &gt; 50 OLS Model'!$B$5</f>
        <v>-17059648.826166701</v>
      </c>
      <c r="P38" s="23">
        <f ca="1">'GS &gt; 50 OLS Model'!$B$6*D38</f>
        <v>6041192.3148217853</v>
      </c>
      <c r="Q38" s="23">
        <f ca="1">'GS &gt; 50 OLS Model'!$B$7*E38</f>
        <v>0</v>
      </c>
      <c r="R38" s="23">
        <f>'GS &gt; 50 OLS Model'!$B$8*F38</f>
        <v>35744170.275488809</v>
      </c>
      <c r="S38" s="23">
        <f>'GS &gt; 50 OLS Model'!$B$9*G38</f>
        <v>-910801.13045923819</v>
      </c>
      <c r="T38" s="23">
        <f>'GS &gt; 50 OLS Model'!$B$10*H38</f>
        <v>3150558.1913520554</v>
      </c>
      <c r="U38" s="23">
        <f>'GS &gt; 50 OLS Model'!$B$11*I38</f>
        <v>0</v>
      </c>
      <c r="V38" s="23">
        <f>'GS &gt; 50 OLS Model'!$B$12*J38</f>
        <v>0</v>
      </c>
      <c r="W38" s="23">
        <f>'GS &gt; 50 OLS Model'!$B$13*K38</f>
        <v>0</v>
      </c>
      <c r="X38" s="23">
        <f>'GS &gt; 50 OLS Model'!$B$14*L38</f>
        <v>0</v>
      </c>
      <c r="Y38" s="23">
        <f>'GS &gt; 50 OLS Model'!$B$15*M38</f>
        <v>0</v>
      </c>
      <c r="Z38" s="23">
        <f t="shared" ca="1" si="2"/>
        <v>26965470.825036708</v>
      </c>
    </row>
    <row r="39" spans="1:26">
      <c r="A39" s="11">
        <f>'Monthly Data'!A39</f>
        <v>40940</v>
      </c>
      <c r="B39" s="6">
        <f t="shared" si="1"/>
        <v>2012</v>
      </c>
      <c r="C39" s="30">
        <f>'Monthly Data'!N39</f>
        <v>23846238.243764419</v>
      </c>
      <c r="D39">
        <f t="shared" ca="1" si="4"/>
        <v>682.50999999999988</v>
      </c>
      <c r="E39">
        <f t="shared" ca="1" si="4"/>
        <v>0</v>
      </c>
      <c r="F39" s="30">
        <f>'Monthly Data'!Y39</f>
        <v>6598</v>
      </c>
      <c r="G39" s="30">
        <f>'Monthly Data'!AA39</f>
        <v>38</v>
      </c>
      <c r="H39" s="30">
        <f>'Monthly Data'!AF39</f>
        <v>357</v>
      </c>
      <c r="I39" s="30">
        <f>'Monthly Data'!AM39</f>
        <v>0</v>
      </c>
      <c r="J39" s="30">
        <f>'Monthly Data'!AN39</f>
        <v>1</v>
      </c>
      <c r="K39" s="30">
        <f>'Monthly Data'!AO39</f>
        <v>0</v>
      </c>
      <c r="L39" s="30">
        <f>'Monthly Data'!AP39</f>
        <v>0</v>
      </c>
      <c r="M39" s="30">
        <f>'Monthly Data'!AQ39</f>
        <v>0</v>
      </c>
      <c r="O39" s="23">
        <f>'GS &gt; 50 OLS Model'!$B$5</f>
        <v>-17059648.826166701</v>
      </c>
      <c r="P39" s="23">
        <f ca="1">'GS &gt; 50 OLS Model'!$B$6*D39</f>
        <v>5257206.0931403134</v>
      </c>
      <c r="Q39" s="23">
        <f ca="1">'GS &gt; 50 OLS Model'!$B$7*E39</f>
        <v>0</v>
      </c>
      <c r="R39" s="23">
        <f>'GS &gt; 50 OLS Model'!$B$8*F39</f>
        <v>35540022.525606953</v>
      </c>
      <c r="S39" s="23">
        <f>'GS &gt; 50 OLS Model'!$B$9*G39</f>
        <v>-935417.37722840684</v>
      </c>
      <c r="T39" s="23">
        <f>'GS &gt; 50 OLS Model'!$B$10*H39</f>
        <v>3141757.7494767704</v>
      </c>
      <c r="U39" s="23">
        <f>'GS &gt; 50 OLS Model'!$B$11*I39</f>
        <v>0</v>
      </c>
      <c r="V39" s="23">
        <f>'GS &gt; 50 OLS Model'!$B$12*J39</f>
        <v>-1514604.0647521601</v>
      </c>
      <c r="W39" s="23">
        <f>'GS &gt; 50 OLS Model'!$B$13*K39</f>
        <v>0</v>
      </c>
      <c r="X39" s="23">
        <f>'GS &gt; 50 OLS Model'!$B$14*L39</f>
        <v>0</v>
      </c>
      <c r="Y39" s="23">
        <f>'GS &gt; 50 OLS Model'!$B$15*M39</f>
        <v>0</v>
      </c>
      <c r="Z39" s="23">
        <f t="shared" ca="1" si="2"/>
        <v>24429316.100076772</v>
      </c>
    </row>
    <row r="40" spans="1:26">
      <c r="A40" s="11">
        <f>'Monthly Data'!A40</f>
        <v>40969</v>
      </c>
      <c r="B40" s="6">
        <f t="shared" si="1"/>
        <v>2012</v>
      </c>
      <c r="C40" s="30">
        <f>'Monthly Data'!N40</f>
        <v>23337909.585693043</v>
      </c>
      <c r="D40">
        <f t="shared" ca="1" si="4"/>
        <v>556.99</v>
      </c>
      <c r="E40">
        <f t="shared" ca="1" si="4"/>
        <v>0</v>
      </c>
      <c r="F40" s="30">
        <f>'Monthly Data'!Y40</f>
        <v>6569.8</v>
      </c>
      <c r="G40" s="30">
        <f>'Monthly Data'!AA40</f>
        <v>39</v>
      </c>
      <c r="H40" s="30">
        <f>'Monthly Data'!AF40</f>
        <v>358</v>
      </c>
      <c r="I40" s="30">
        <f>'Monthly Data'!AM40</f>
        <v>0</v>
      </c>
      <c r="J40" s="30">
        <f>'Monthly Data'!AN40</f>
        <v>0</v>
      </c>
      <c r="K40" s="30">
        <f>'Monthly Data'!AO40</f>
        <v>0</v>
      </c>
      <c r="L40" s="30">
        <f>'Monthly Data'!AP40</f>
        <v>0</v>
      </c>
      <c r="M40" s="30">
        <f>'Monthly Data'!AQ40</f>
        <v>0</v>
      </c>
      <c r="O40" s="23">
        <f>'GS &gt; 50 OLS Model'!$B$5</f>
        <v>-17059648.826166701</v>
      </c>
      <c r="P40" s="23">
        <f ca="1">'GS &gt; 50 OLS Model'!$B$6*D40</f>
        <v>4290356.5102609834</v>
      </c>
      <c r="Q40" s="23">
        <f ca="1">'GS &gt; 50 OLS Model'!$B$7*E40</f>
        <v>0</v>
      </c>
      <c r="R40" s="23">
        <f>'GS &gt; 50 OLS Model'!$B$8*F40</f>
        <v>35388123.672132857</v>
      </c>
      <c r="S40" s="23">
        <f>'GS &gt; 50 OLS Model'!$B$9*G40</f>
        <v>-960033.62399757537</v>
      </c>
      <c r="T40" s="23">
        <f>'GS &gt; 50 OLS Model'!$B$10*H40</f>
        <v>3150558.1913520554</v>
      </c>
      <c r="U40" s="23">
        <f>'GS &gt; 50 OLS Model'!$B$11*I40</f>
        <v>0</v>
      </c>
      <c r="V40" s="23">
        <f>'GS &gt; 50 OLS Model'!$B$12*J40</f>
        <v>0</v>
      </c>
      <c r="W40" s="23">
        <f>'GS &gt; 50 OLS Model'!$B$13*K40</f>
        <v>0</v>
      </c>
      <c r="X40" s="23">
        <f>'GS &gt; 50 OLS Model'!$B$14*L40</f>
        <v>0</v>
      </c>
      <c r="Y40" s="23">
        <f>'GS &gt; 50 OLS Model'!$B$15*M40</f>
        <v>0</v>
      </c>
      <c r="Z40" s="23">
        <f t="shared" ca="1" si="2"/>
        <v>24809355.923581619</v>
      </c>
    </row>
    <row r="41" spans="1:26">
      <c r="A41" s="11">
        <f>'Monthly Data'!A41</f>
        <v>41000</v>
      </c>
      <c r="B41" s="6">
        <f t="shared" si="1"/>
        <v>2012</v>
      </c>
      <c r="C41" s="30">
        <f>'Monthly Data'!N41</f>
        <v>21042150.547521669</v>
      </c>
      <c r="D41">
        <f t="shared" ca="1" si="4"/>
        <v>326.58999999999997</v>
      </c>
      <c r="E41">
        <f t="shared" ca="1" si="4"/>
        <v>0.39</v>
      </c>
      <c r="F41" s="30">
        <f>'Monthly Data'!Y41</f>
        <v>6603.3</v>
      </c>
      <c r="G41" s="30">
        <f>'Monthly Data'!AA41</f>
        <v>40</v>
      </c>
      <c r="H41" s="30">
        <f>'Monthly Data'!AF41</f>
        <v>360</v>
      </c>
      <c r="I41" s="30">
        <f>'Monthly Data'!AM41</f>
        <v>0</v>
      </c>
      <c r="J41" s="30">
        <f>'Monthly Data'!AN41</f>
        <v>0</v>
      </c>
      <c r="K41" s="30">
        <f>'Monthly Data'!AO41</f>
        <v>1</v>
      </c>
      <c r="L41" s="30">
        <f>'Monthly Data'!AP41</f>
        <v>0</v>
      </c>
      <c r="M41" s="30">
        <f>'Monthly Data'!AQ41</f>
        <v>0</v>
      </c>
      <c r="O41" s="23">
        <f>'GS &gt; 50 OLS Model'!$B$5</f>
        <v>-17059648.826166701</v>
      </c>
      <c r="P41" s="23">
        <f ca="1">'GS &gt; 50 OLS Model'!$B$6*D41</f>
        <v>2515642.1707501649</v>
      </c>
      <c r="Q41" s="23">
        <f ca="1">'GS &gt; 50 OLS Model'!$B$7*E41</f>
        <v>12732.330384510789</v>
      </c>
      <c r="R41" s="23">
        <f>'GS &gt; 50 OLS Model'!$B$8*F41</f>
        <v>35568570.891685419</v>
      </c>
      <c r="S41" s="23">
        <f>'GS &gt; 50 OLS Model'!$B$9*G41</f>
        <v>-984649.87076674402</v>
      </c>
      <c r="T41" s="23">
        <f>'GS &gt; 50 OLS Model'!$B$10*H41</f>
        <v>3168159.0751026254</v>
      </c>
      <c r="U41" s="23">
        <f>'GS &gt; 50 OLS Model'!$B$11*I41</f>
        <v>0</v>
      </c>
      <c r="V41" s="23">
        <f>'GS &gt; 50 OLS Model'!$B$12*J41</f>
        <v>0</v>
      </c>
      <c r="W41" s="23">
        <f>'GS &gt; 50 OLS Model'!$B$13*K41</f>
        <v>-1589866.56724812</v>
      </c>
      <c r="X41" s="23">
        <f>'GS &gt; 50 OLS Model'!$B$14*L41</f>
        <v>0</v>
      </c>
      <c r="Y41" s="23">
        <f>'GS &gt; 50 OLS Model'!$B$15*M41</f>
        <v>0</v>
      </c>
      <c r="Z41" s="23">
        <f t="shared" ca="1" si="2"/>
        <v>21630939.203741156</v>
      </c>
    </row>
    <row r="42" spans="1:26">
      <c r="A42" s="11">
        <f>'Monthly Data'!A42</f>
        <v>41030</v>
      </c>
      <c r="B42" s="6">
        <f t="shared" si="1"/>
        <v>2012</v>
      </c>
      <c r="C42" s="30">
        <f>'Monthly Data'!N42</f>
        <v>21123089.636950299</v>
      </c>
      <c r="D42">
        <f t="shared" ca="1" si="4"/>
        <v>144.96</v>
      </c>
      <c r="E42">
        <f t="shared" ca="1" si="4"/>
        <v>8.67</v>
      </c>
      <c r="F42" s="30">
        <f>'Monthly Data'!Y42</f>
        <v>6658.1</v>
      </c>
      <c r="G42" s="30">
        <f>'Monthly Data'!AA42</f>
        <v>41</v>
      </c>
      <c r="H42" s="30">
        <f>'Monthly Data'!AF42</f>
        <v>360</v>
      </c>
      <c r="I42" s="30">
        <f>'Monthly Data'!AM42</f>
        <v>0</v>
      </c>
      <c r="J42" s="30">
        <f>'Monthly Data'!AN42</f>
        <v>0</v>
      </c>
      <c r="K42" s="30">
        <f>'Monthly Data'!AO42</f>
        <v>0</v>
      </c>
      <c r="L42" s="30">
        <f>'Monthly Data'!AP42</f>
        <v>0</v>
      </c>
      <c r="M42" s="30">
        <f>'Monthly Data'!AQ42</f>
        <v>1</v>
      </c>
      <c r="O42" s="23">
        <f>'GS &gt; 50 OLS Model'!$B$5</f>
        <v>-17059648.826166701</v>
      </c>
      <c r="P42" s="23">
        <f ca="1">'GS &gt; 50 OLS Model'!$B$6*D42</f>
        <v>1116591.1052755564</v>
      </c>
      <c r="Q42" s="23">
        <f ca="1">'GS &gt; 50 OLS Model'!$B$7*E42</f>
        <v>283049.49854797061</v>
      </c>
      <c r="R42" s="23">
        <f>'GS &gt; 50 OLS Model'!$B$8*F42</f>
        <v>35863750.223968424</v>
      </c>
      <c r="S42" s="23">
        <f>'GS &gt; 50 OLS Model'!$B$9*G42</f>
        <v>-1009266.1175359125</v>
      </c>
      <c r="T42" s="23">
        <f>'GS &gt; 50 OLS Model'!$B$10*H42</f>
        <v>3168159.0751026254</v>
      </c>
      <c r="U42" s="23">
        <f>'GS &gt; 50 OLS Model'!$B$11*I42</f>
        <v>0</v>
      </c>
      <c r="V42" s="23">
        <f>'GS &gt; 50 OLS Model'!$B$12*J42</f>
        <v>0</v>
      </c>
      <c r="W42" s="23">
        <f>'GS &gt; 50 OLS Model'!$B$13*K42</f>
        <v>0</v>
      </c>
      <c r="X42" s="23">
        <f>'GS &gt; 50 OLS Model'!$B$14*L42</f>
        <v>0</v>
      </c>
      <c r="Y42" s="23">
        <f>'GS &gt; 50 OLS Model'!$B$15*M42</f>
        <v>-1207404.17093835</v>
      </c>
      <c r="Z42" s="23">
        <f t="shared" ca="1" si="2"/>
        <v>21155230.788253613</v>
      </c>
    </row>
    <row r="43" spans="1:26">
      <c r="A43" s="11">
        <f>'Monthly Data'!A43</f>
        <v>41061</v>
      </c>
      <c r="B43" s="6">
        <f t="shared" si="1"/>
        <v>2012</v>
      </c>
      <c r="C43" s="30">
        <f>'Monthly Data'!N43</f>
        <v>22012463.81367892</v>
      </c>
      <c r="D43">
        <f t="shared" ca="1" si="4"/>
        <v>41.510000000000005</v>
      </c>
      <c r="E43">
        <f t="shared" ca="1" si="4"/>
        <v>44.41</v>
      </c>
      <c r="F43" s="30">
        <f>'Monthly Data'!Y43</f>
        <v>6737.2</v>
      </c>
      <c r="G43" s="30">
        <f>'Monthly Data'!AA43</f>
        <v>42</v>
      </c>
      <c r="H43" s="30">
        <f>'Monthly Data'!AF43</f>
        <v>361</v>
      </c>
      <c r="I43" s="30">
        <f>'Monthly Data'!AM43</f>
        <v>0</v>
      </c>
      <c r="J43" s="30">
        <f>'Monthly Data'!AN43</f>
        <v>0</v>
      </c>
      <c r="K43" s="30">
        <f>'Monthly Data'!AO43</f>
        <v>0</v>
      </c>
      <c r="L43" s="30">
        <f>'Monthly Data'!AP43</f>
        <v>0</v>
      </c>
      <c r="M43" s="30">
        <f>'Monthly Data'!AQ43</f>
        <v>1</v>
      </c>
      <c r="O43" s="23">
        <f>'GS &gt; 50 OLS Model'!$B$5</f>
        <v>-17059648.826166701</v>
      </c>
      <c r="P43" s="23">
        <f ca="1">'GS &gt; 50 OLS Model'!$B$6*D43</f>
        <v>319741.28573391523</v>
      </c>
      <c r="Q43" s="23">
        <f ca="1">'GS &gt; 50 OLS Model'!$B$7*E43</f>
        <v>1449853.3137849336</v>
      </c>
      <c r="R43" s="23">
        <f>'GS &gt; 50 OLS Model'!$B$8*F43</f>
        <v>36289821.121479109</v>
      </c>
      <c r="S43" s="23">
        <f>'GS &gt; 50 OLS Model'!$B$9*G43</f>
        <v>-1033882.3643050812</v>
      </c>
      <c r="T43" s="23">
        <f>'GS &gt; 50 OLS Model'!$B$10*H43</f>
        <v>3176959.5169779104</v>
      </c>
      <c r="U43" s="23">
        <f>'GS &gt; 50 OLS Model'!$B$11*I43</f>
        <v>0</v>
      </c>
      <c r="V43" s="23">
        <f>'GS &gt; 50 OLS Model'!$B$12*J43</f>
        <v>0</v>
      </c>
      <c r="W43" s="23">
        <f>'GS &gt; 50 OLS Model'!$B$13*K43</f>
        <v>0</v>
      </c>
      <c r="X43" s="23">
        <f>'GS &gt; 50 OLS Model'!$B$14*L43</f>
        <v>0</v>
      </c>
      <c r="Y43" s="23">
        <f>'GS &gt; 50 OLS Model'!$B$15*M43</f>
        <v>-1207404.17093835</v>
      </c>
      <c r="Z43" s="23">
        <f t="shared" ca="1" si="2"/>
        <v>21935439.876565736</v>
      </c>
    </row>
    <row r="44" spans="1:26">
      <c r="A44" s="11">
        <f>'Monthly Data'!A44</f>
        <v>41091</v>
      </c>
      <c r="B44" s="6">
        <f t="shared" si="1"/>
        <v>2012</v>
      </c>
      <c r="C44" s="30">
        <f>'Monthly Data'!N44</f>
        <v>24325640.430607546</v>
      </c>
      <c r="D44">
        <f t="shared" ca="1" si="4"/>
        <v>5.01</v>
      </c>
      <c r="E44">
        <f t="shared" ca="1" si="4"/>
        <v>96.909999999999982</v>
      </c>
      <c r="F44" s="30">
        <f>'Monthly Data'!Y44</f>
        <v>6778.6</v>
      </c>
      <c r="G44" s="30">
        <f>'Monthly Data'!AA44</f>
        <v>43</v>
      </c>
      <c r="H44" s="30">
        <f>'Monthly Data'!AF44</f>
        <v>360</v>
      </c>
      <c r="I44" s="30">
        <f>'Monthly Data'!AM44</f>
        <v>0</v>
      </c>
      <c r="J44" s="30">
        <f>'Monthly Data'!AN44</f>
        <v>0</v>
      </c>
      <c r="K44" s="30">
        <f>'Monthly Data'!AO44</f>
        <v>0</v>
      </c>
      <c r="L44" s="30">
        <f>'Monthly Data'!AP44</f>
        <v>0</v>
      </c>
      <c r="M44" s="30">
        <f>'Monthly Data'!AQ44</f>
        <v>1</v>
      </c>
      <c r="O44" s="23">
        <f>'GS &gt; 50 OLS Model'!$B$5</f>
        <v>-17059648.826166701</v>
      </c>
      <c r="P44" s="23">
        <f ca="1">'GS &gt; 50 OLS Model'!$B$6*D44</f>
        <v>38590.793580508667</v>
      </c>
      <c r="Q44" s="23">
        <f ca="1">'GS &gt; 50 OLS Model'!$B$7*E44</f>
        <v>3163820.8655460011</v>
      </c>
      <c r="R44" s="23">
        <f>'GS &gt; 50 OLS Model'!$B$8*F44</f>
        <v>36512821.565941088</v>
      </c>
      <c r="S44" s="23">
        <f>'GS &gt; 50 OLS Model'!$B$9*G44</f>
        <v>-1058498.6110742497</v>
      </c>
      <c r="T44" s="23">
        <f>'GS &gt; 50 OLS Model'!$B$10*H44</f>
        <v>3168159.0751026254</v>
      </c>
      <c r="U44" s="23">
        <f>'GS &gt; 50 OLS Model'!$B$11*I44</f>
        <v>0</v>
      </c>
      <c r="V44" s="23">
        <f>'GS &gt; 50 OLS Model'!$B$12*J44</f>
        <v>0</v>
      </c>
      <c r="W44" s="23">
        <f>'GS &gt; 50 OLS Model'!$B$13*K44</f>
        <v>0</v>
      </c>
      <c r="X44" s="23">
        <f>'GS &gt; 50 OLS Model'!$B$14*L44</f>
        <v>0</v>
      </c>
      <c r="Y44" s="23">
        <f>'GS &gt; 50 OLS Model'!$B$15*M44</f>
        <v>-1207404.17093835</v>
      </c>
      <c r="Z44" s="23">
        <f t="shared" ca="1" si="2"/>
        <v>23557840.691990919</v>
      </c>
    </row>
    <row r="45" spans="1:26">
      <c r="A45" s="11">
        <f>'Monthly Data'!A45</f>
        <v>41122</v>
      </c>
      <c r="B45" s="6">
        <f t="shared" si="1"/>
        <v>2012</v>
      </c>
      <c r="C45" s="30">
        <f>'Monthly Data'!N45</f>
        <v>23912145.189136177</v>
      </c>
      <c r="D45">
        <f t="shared" ca="1" si="4"/>
        <v>12.719999999999999</v>
      </c>
      <c r="E45">
        <f t="shared" ca="1" si="4"/>
        <v>77.22999999999999</v>
      </c>
      <c r="F45" s="30">
        <f>'Monthly Data'!Y45</f>
        <v>6797.9</v>
      </c>
      <c r="G45" s="30">
        <f>'Monthly Data'!AA45</f>
        <v>44</v>
      </c>
      <c r="H45" s="30">
        <f>'Monthly Data'!AF45</f>
        <v>359</v>
      </c>
      <c r="I45" s="30">
        <f>'Monthly Data'!AM45</f>
        <v>0</v>
      </c>
      <c r="J45" s="30">
        <f>'Monthly Data'!AN45</f>
        <v>0</v>
      </c>
      <c r="K45" s="30">
        <f>'Monthly Data'!AO45</f>
        <v>0</v>
      </c>
      <c r="L45" s="30">
        <f>'Monthly Data'!AP45</f>
        <v>0</v>
      </c>
      <c r="M45" s="30">
        <f>'Monthly Data'!AQ45</f>
        <v>1</v>
      </c>
      <c r="O45" s="23">
        <f>'GS &gt; 50 OLS Model'!$B$5</f>
        <v>-17059648.826166701</v>
      </c>
      <c r="P45" s="23">
        <f ca="1">'GS &gt; 50 OLS Model'!$B$6*D45</f>
        <v>97979.020827159737</v>
      </c>
      <c r="Q45" s="23">
        <f ca="1">'GS &gt; 50 OLS Model'!$B$7*E45</f>
        <v>2521327.8861429952</v>
      </c>
      <c r="R45" s="23">
        <f>'GS &gt; 50 OLS Model'!$B$8*F45</f>
        <v>36616780.71034003</v>
      </c>
      <c r="S45" s="23">
        <f>'GS &gt; 50 OLS Model'!$B$9*G45</f>
        <v>-1083114.8578434184</v>
      </c>
      <c r="T45" s="23">
        <f>'GS &gt; 50 OLS Model'!$B$10*H45</f>
        <v>3159358.6332273404</v>
      </c>
      <c r="U45" s="23">
        <f>'GS &gt; 50 OLS Model'!$B$11*I45</f>
        <v>0</v>
      </c>
      <c r="V45" s="23">
        <f>'GS &gt; 50 OLS Model'!$B$12*J45</f>
        <v>0</v>
      </c>
      <c r="W45" s="23">
        <f>'GS &gt; 50 OLS Model'!$B$13*K45</f>
        <v>0</v>
      </c>
      <c r="X45" s="23">
        <f>'GS &gt; 50 OLS Model'!$B$14*L45</f>
        <v>0</v>
      </c>
      <c r="Y45" s="23">
        <f>'GS &gt; 50 OLS Model'!$B$15*M45</f>
        <v>-1207404.17093835</v>
      </c>
      <c r="Z45" s="23">
        <f t="shared" ca="1" si="2"/>
        <v>23045278.395589057</v>
      </c>
    </row>
    <row r="46" spans="1:26">
      <c r="A46" s="11">
        <f>'Monthly Data'!A46</f>
        <v>41153</v>
      </c>
      <c r="B46" s="6">
        <f t="shared" si="1"/>
        <v>2012</v>
      </c>
      <c r="C46" s="30">
        <f>'Monthly Data'!N46</f>
        <v>21690402.018964801</v>
      </c>
      <c r="D46">
        <f t="shared" ca="1" si="4"/>
        <v>86.570000000000007</v>
      </c>
      <c r="E46">
        <f t="shared" ca="1" si="4"/>
        <v>19.899999999999999</v>
      </c>
      <c r="F46" s="30">
        <f>'Monthly Data'!Y46</f>
        <v>6763.1</v>
      </c>
      <c r="G46" s="30">
        <f>'Monthly Data'!AA46</f>
        <v>45</v>
      </c>
      <c r="H46" s="30">
        <f>'Monthly Data'!AF46</f>
        <v>360</v>
      </c>
      <c r="I46" s="30">
        <f>'Monthly Data'!AM46</f>
        <v>1</v>
      </c>
      <c r="J46" s="30">
        <f>'Monthly Data'!AN46</f>
        <v>0</v>
      </c>
      <c r="K46" s="30">
        <f>'Monthly Data'!AO46</f>
        <v>0</v>
      </c>
      <c r="L46" s="30">
        <f>'Monthly Data'!AP46</f>
        <v>0</v>
      </c>
      <c r="M46" s="30">
        <f>'Monthly Data'!AQ46</f>
        <v>0</v>
      </c>
      <c r="O46" s="23">
        <f>'GS &gt; 50 OLS Model'!$B$5</f>
        <v>-17059648.826166701</v>
      </c>
      <c r="P46" s="23">
        <f ca="1">'GS &gt; 50 OLS Model'!$B$6*D46</f>
        <v>666827.34536220285</v>
      </c>
      <c r="Q46" s="23">
        <f ca="1">'GS &gt; 50 OLS Model'!$B$7*E46</f>
        <v>649675.31961990939</v>
      </c>
      <c r="R46" s="23">
        <f>'GS &gt; 50 OLS Model'!$B$8*F46</f>
        <v>36429331.06137199</v>
      </c>
      <c r="S46" s="23">
        <f>'GS &gt; 50 OLS Model'!$B$9*G46</f>
        <v>-1107731.104612587</v>
      </c>
      <c r="T46" s="23">
        <f>'GS &gt; 50 OLS Model'!$B$10*H46</f>
        <v>3168159.0751026254</v>
      </c>
      <c r="U46" s="23">
        <f>'GS &gt; 50 OLS Model'!$B$11*I46</f>
        <v>-1573400.2840208299</v>
      </c>
      <c r="V46" s="23">
        <f>'GS &gt; 50 OLS Model'!$B$12*J46</f>
        <v>0</v>
      </c>
      <c r="W46" s="23">
        <f>'GS &gt; 50 OLS Model'!$B$13*K46</f>
        <v>0</v>
      </c>
      <c r="X46" s="23">
        <f>'GS &gt; 50 OLS Model'!$B$14*L46</f>
        <v>0</v>
      </c>
      <c r="Y46" s="23">
        <f>'GS &gt; 50 OLS Model'!$B$15*M46</f>
        <v>0</v>
      </c>
      <c r="Z46" s="23">
        <f t="shared" ca="1" si="2"/>
        <v>21173212.586656611</v>
      </c>
    </row>
    <row r="47" spans="1:26">
      <c r="A47" s="11">
        <f>'Monthly Data'!A47</f>
        <v>41183</v>
      </c>
      <c r="B47" s="6">
        <f t="shared" si="1"/>
        <v>2012</v>
      </c>
      <c r="C47" s="30">
        <f>'Monthly Data'!N47</f>
        <v>21873357.22849343</v>
      </c>
      <c r="D47">
        <f t="shared" ref="D47:E62" ca="1" si="5">D35</f>
        <v>270.3</v>
      </c>
      <c r="E47">
        <f t="shared" ca="1" si="5"/>
        <v>1.21</v>
      </c>
      <c r="F47" s="30">
        <f>'Monthly Data'!Y47</f>
        <v>6740.9</v>
      </c>
      <c r="G47" s="30">
        <f>'Monthly Data'!AA47</f>
        <v>46</v>
      </c>
      <c r="H47" s="30">
        <f>'Monthly Data'!AF47</f>
        <v>361</v>
      </c>
      <c r="I47" s="30">
        <f>'Monthly Data'!AM47</f>
        <v>1</v>
      </c>
      <c r="J47" s="30">
        <f>'Monthly Data'!AN47</f>
        <v>0</v>
      </c>
      <c r="K47" s="30">
        <f>'Monthly Data'!AO47</f>
        <v>0</v>
      </c>
      <c r="L47" s="30">
        <f>'Monthly Data'!AP47</f>
        <v>0</v>
      </c>
      <c r="M47" s="30">
        <f>'Monthly Data'!AQ47</f>
        <v>0</v>
      </c>
      <c r="O47" s="23">
        <f>'GS &gt; 50 OLS Model'!$B$5</f>
        <v>-17059648.826166701</v>
      </c>
      <c r="P47" s="23">
        <f ca="1">'GS &gt; 50 OLS Model'!$B$6*D47</f>
        <v>2082054.1925771446</v>
      </c>
      <c r="Q47" s="23">
        <f ca="1">'GS &gt; 50 OLS Model'!$B$7*E47</f>
        <v>39502.871192969367</v>
      </c>
      <c r="R47" s="23">
        <f>'GS &gt; 50 OLS Model'!$B$8*F47</f>
        <v>36309751.112892374</v>
      </c>
      <c r="S47" s="23">
        <f>'GS &gt; 50 OLS Model'!$B$9*G47</f>
        <v>-1132347.3513817557</v>
      </c>
      <c r="T47" s="23">
        <f>'GS &gt; 50 OLS Model'!$B$10*H47</f>
        <v>3176959.5169779104</v>
      </c>
      <c r="U47" s="23">
        <f>'GS &gt; 50 OLS Model'!$B$11*I47</f>
        <v>-1573400.2840208299</v>
      </c>
      <c r="V47" s="23">
        <f>'GS &gt; 50 OLS Model'!$B$12*J47</f>
        <v>0</v>
      </c>
      <c r="W47" s="23">
        <f>'GS &gt; 50 OLS Model'!$B$13*K47</f>
        <v>0</v>
      </c>
      <c r="X47" s="23">
        <f>'GS &gt; 50 OLS Model'!$B$14*L47</f>
        <v>0</v>
      </c>
      <c r="Y47" s="23">
        <f>'GS &gt; 50 OLS Model'!$B$15*M47</f>
        <v>0</v>
      </c>
      <c r="Z47" s="23">
        <f t="shared" ca="1" si="2"/>
        <v>21842871.232071109</v>
      </c>
    </row>
    <row r="48" spans="1:26">
      <c r="A48" s="11">
        <f>'Monthly Data'!A48</f>
        <v>41214</v>
      </c>
      <c r="B48" s="6">
        <f t="shared" si="1"/>
        <v>2012</v>
      </c>
      <c r="C48" s="30">
        <f>'Monthly Data'!N48</f>
        <v>23887273.539022051</v>
      </c>
      <c r="D48">
        <f t="shared" ca="1" si="5"/>
        <v>444.05</v>
      </c>
      <c r="E48">
        <f t="shared" ca="1" si="5"/>
        <v>0</v>
      </c>
      <c r="F48" s="30">
        <f>'Monthly Data'!Y48</f>
        <v>6727.4</v>
      </c>
      <c r="G48" s="30">
        <f>'Monthly Data'!AA48</f>
        <v>47</v>
      </c>
      <c r="H48" s="30">
        <f>'Monthly Data'!AF48</f>
        <v>360</v>
      </c>
      <c r="I48" s="30">
        <f>'Monthly Data'!AM48</f>
        <v>1</v>
      </c>
      <c r="J48" s="30">
        <f>'Monthly Data'!AN48</f>
        <v>0</v>
      </c>
      <c r="K48" s="30">
        <f>'Monthly Data'!AO48</f>
        <v>0</v>
      </c>
      <c r="L48" s="30">
        <f>'Monthly Data'!AP48</f>
        <v>0</v>
      </c>
      <c r="M48" s="30">
        <f>'Monthly Data'!AQ48</f>
        <v>0</v>
      </c>
      <c r="O48" s="23">
        <f>'GS &gt; 50 OLS Model'!$B$5</f>
        <v>-17059648.826166701</v>
      </c>
      <c r="P48" s="23">
        <f ca="1">'GS &gt; 50 OLS Model'!$B$6*D48</f>
        <v>3420407.5627594562</v>
      </c>
      <c r="Q48" s="23">
        <f ca="1">'GS &gt; 50 OLS Model'!$B$7*E48</f>
        <v>0</v>
      </c>
      <c r="R48" s="23">
        <f>'GS &gt; 50 OLS Model'!$B$8*F48</f>
        <v>36237033.576654777</v>
      </c>
      <c r="S48" s="23">
        <f>'GS &gt; 50 OLS Model'!$B$9*G48</f>
        <v>-1156963.5981509241</v>
      </c>
      <c r="T48" s="23">
        <f>'GS &gt; 50 OLS Model'!$B$10*H48</f>
        <v>3168159.0751026254</v>
      </c>
      <c r="U48" s="23">
        <f>'GS &gt; 50 OLS Model'!$B$11*I48</f>
        <v>-1573400.2840208299</v>
      </c>
      <c r="V48" s="23">
        <f>'GS &gt; 50 OLS Model'!$B$12*J48</f>
        <v>0</v>
      </c>
      <c r="W48" s="23">
        <f>'GS &gt; 50 OLS Model'!$B$13*K48</f>
        <v>0</v>
      </c>
      <c r="X48" s="23">
        <f>'GS &gt; 50 OLS Model'!$B$14*L48</f>
        <v>0</v>
      </c>
      <c r="Y48" s="23">
        <f>'GS &gt; 50 OLS Model'!$B$15*M48</f>
        <v>0</v>
      </c>
      <c r="Z48" s="23">
        <f t="shared" ca="1" si="2"/>
        <v>23035587.506178405</v>
      </c>
    </row>
    <row r="49" spans="1:26">
      <c r="A49" s="11">
        <f>'Monthly Data'!A49</f>
        <v>41244</v>
      </c>
      <c r="B49" s="6">
        <f t="shared" si="1"/>
        <v>2012</v>
      </c>
      <c r="C49" s="30">
        <f>'Monthly Data'!N49</f>
        <v>25316304.236350678</v>
      </c>
      <c r="D49">
        <f t="shared" ca="1" si="5"/>
        <v>684.01</v>
      </c>
      <c r="E49">
        <f t="shared" ca="1" si="5"/>
        <v>0</v>
      </c>
      <c r="F49" s="30">
        <f>'Monthly Data'!Y49</f>
        <v>6740.2</v>
      </c>
      <c r="G49" s="30">
        <f>'Monthly Data'!AA49</f>
        <v>48</v>
      </c>
      <c r="H49" s="30">
        <f>'Monthly Data'!AF49</f>
        <v>361</v>
      </c>
      <c r="I49" s="30">
        <f>'Monthly Data'!AM49</f>
        <v>0</v>
      </c>
      <c r="J49" s="30">
        <f>'Monthly Data'!AN49</f>
        <v>0</v>
      </c>
      <c r="K49" s="30">
        <f>'Monthly Data'!AO49</f>
        <v>0</v>
      </c>
      <c r="L49" s="30">
        <f>'Monthly Data'!AP49</f>
        <v>1</v>
      </c>
      <c r="M49" s="30">
        <f>'Monthly Data'!AQ49</f>
        <v>0</v>
      </c>
      <c r="O49" s="23">
        <f>'GS &gt; 50 OLS Model'!$B$5</f>
        <v>-17059648.826166701</v>
      </c>
      <c r="P49" s="23">
        <f ca="1">'GS &gt; 50 OLS Model'!$B$6*D49</f>
        <v>5268760.2229548376</v>
      </c>
      <c r="Q49" s="23">
        <f ca="1">'GS &gt; 50 OLS Model'!$B$7*E49</f>
        <v>0</v>
      </c>
      <c r="R49" s="23">
        <f>'GS &gt; 50 OLS Model'!$B$8*F49</f>
        <v>36305980.573976353</v>
      </c>
      <c r="S49" s="23">
        <f>'GS &gt; 50 OLS Model'!$B$9*G49</f>
        <v>-1181579.8449200927</v>
      </c>
      <c r="T49" s="23">
        <f>'GS &gt; 50 OLS Model'!$B$10*H49</f>
        <v>3176959.5169779104</v>
      </c>
      <c r="U49" s="23">
        <f>'GS &gt; 50 OLS Model'!$B$11*I49</f>
        <v>0</v>
      </c>
      <c r="V49" s="23">
        <f>'GS &gt; 50 OLS Model'!$B$12*J49</f>
        <v>0</v>
      </c>
      <c r="W49" s="23">
        <f>'GS &gt; 50 OLS Model'!$B$13*K49</f>
        <v>0</v>
      </c>
      <c r="X49" s="23">
        <f>'GS &gt; 50 OLS Model'!$B$14*L49</f>
        <v>-1083532.53757107</v>
      </c>
      <c r="Y49" s="23">
        <f>'GS &gt; 50 OLS Model'!$B$15*M49</f>
        <v>0</v>
      </c>
      <c r="Z49" s="23">
        <f t="shared" ca="1" si="2"/>
        <v>25426939.105251238</v>
      </c>
    </row>
    <row r="50" spans="1:26">
      <c r="A50" s="11">
        <f>'Monthly Data'!A50</f>
        <v>41275</v>
      </c>
      <c r="B50" s="6">
        <f t="shared" si="1"/>
        <v>2013</v>
      </c>
      <c r="C50" s="30">
        <f>'Monthly Data'!N50</f>
        <v>27247888.509537995</v>
      </c>
      <c r="D50">
        <f t="shared" ca="1" si="5"/>
        <v>784.29</v>
      </c>
      <c r="E50">
        <f t="shared" ca="1" si="5"/>
        <v>0</v>
      </c>
      <c r="F50" s="30">
        <f>'Monthly Data'!Y50</f>
        <v>6721.7</v>
      </c>
      <c r="G50" s="30">
        <f>'Monthly Data'!AA50</f>
        <v>49</v>
      </c>
      <c r="H50" s="30">
        <f>'Monthly Data'!AF50</f>
        <v>365</v>
      </c>
      <c r="I50" s="30">
        <f>'Monthly Data'!AM50</f>
        <v>0</v>
      </c>
      <c r="J50" s="30">
        <f>'Monthly Data'!AN50</f>
        <v>0</v>
      </c>
      <c r="K50" s="30">
        <f>'Monthly Data'!AO50</f>
        <v>0</v>
      </c>
      <c r="L50" s="30">
        <f>'Monthly Data'!AP50</f>
        <v>0</v>
      </c>
      <c r="M50" s="30">
        <f>'Monthly Data'!AQ50</f>
        <v>0</v>
      </c>
      <c r="O50" s="23">
        <f>'GS &gt; 50 OLS Model'!$B$5</f>
        <v>-17059648.826166701</v>
      </c>
      <c r="P50" s="23">
        <f ca="1">'GS &gt; 50 OLS Model'!$B$6*D50</f>
        <v>6041192.3148217853</v>
      </c>
      <c r="Q50" s="23">
        <f ca="1">'GS &gt; 50 OLS Model'!$B$7*E50</f>
        <v>0</v>
      </c>
      <c r="R50" s="23">
        <f>'GS &gt; 50 OLS Model'!$B$8*F50</f>
        <v>36206330.616910011</v>
      </c>
      <c r="S50" s="23">
        <f>'GS &gt; 50 OLS Model'!$B$9*G50</f>
        <v>-1206196.0916892614</v>
      </c>
      <c r="T50" s="23">
        <f>'GS &gt; 50 OLS Model'!$B$10*H50</f>
        <v>3212161.2844790509</v>
      </c>
      <c r="U50" s="23">
        <f>'GS &gt; 50 OLS Model'!$B$11*I50</f>
        <v>0</v>
      </c>
      <c r="V50" s="23">
        <f>'GS &gt; 50 OLS Model'!$B$12*J50</f>
        <v>0</v>
      </c>
      <c r="W50" s="23">
        <f>'GS &gt; 50 OLS Model'!$B$13*K50</f>
        <v>0</v>
      </c>
      <c r="X50" s="23">
        <f>'GS &gt; 50 OLS Model'!$B$14*L50</f>
        <v>0</v>
      </c>
      <c r="Y50" s="23">
        <f>'GS &gt; 50 OLS Model'!$B$15*M50</f>
        <v>0</v>
      </c>
      <c r="Z50" s="23">
        <f t="shared" ca="1" si="2"/>
        <v>27193839.298354883</v>
      </c>
    </row>
    <row r="51" spans="1:26">
      <c r="A51" s="11">
        <f>'Monthly Data'!A51</f>
        <v>41306</v>
      </c>
      <c r="B51" s="6">
        <f t="shared" si="1"/>
        <v>2013</v>
      </c>
      <c r="C51" s="30">
        <f>'Monthly Data'!N51</f>
        <v>24661696.396936703</v>
      </c>
      <c r="D51">
        <f t="shared" ca="1" si="5"/>
        <v>682.50999999999988</v>
      </c>
      <c r="E51">
        <f t="shared" ca="1" si="5"/>
        <v>0</v>
      </c>
      <c r="F51" s="30">
        <f>'Monthly Data'!Y51</f>
        <v>6702</v>
      </c>
      <c r="G51" s="30">
        <f>'Monthly Data'!AA51</f>
        <v>50</v>
      </c>
      <c r="H51" s="30">
        <f>'Monthly Data'!AF51</f>
        <v>365</v>
      </c>
      <c r="I51" s="30">
        <f>'Monthly Data'!AM51</f>
        <v>0</v>
      </c>
      <c r="J51" s="30">
        <f>'Monthly Data'!AN51</f>
        <v>1</v>
      </c>
      <c r="K51" s="30">
        <f>'Monthly Data'!AO51</f>
        <v>0</v>
      </c>
      <c r="L51" s="30">
        <f>'Monthly Data'!AP51</f>
        <v>0</v>
      </c>
      <c r="M51" s="30">
        <f>'Monthly Data'!AQ51</f>
        <v>0</v>
      </c>
      <c r="O51" s="23">
        <f>'GS &gt; 50 OLS Model'!$B$5</f>
        <v>-17059648.826166701</v>
      </c>
      <c r="P51" s="23">
        <f ca="1">'GS &gt; 50 OLS Model'!$B$6*D51</f>
        <v>5257206.0931403134</v>
      </c>
      <c r="Q51" s="23">
        <f ca="1">'GS &gt; 50 OLS Model'!$B$7*E51</f>
        <v>0</v>
      </c>
      <c r="R51" s="23">
        <f>'GS &gt; 50 OLS Model'!$B$8*F51</f>
        <v>36100216.878844775</v>
      </c>
      <c r="S51" s="23">
        <f>'GS &gt; 50 OLS Model'!$B$9*G51</f>
        <v>-1230812.33845843</v>
      </c>
      <c r="T51" s="23">
        <f>'GS &gt; 50 OLS Model'!$B$10*H51</f>
        <v>3212161.2844790509</v>
      </c>
      <c r="U51" s="23">
        <f>'GS &gt; 50 OLS Model'!$B$11*I51</f>
        <v>0</v>
      </c>
      <c r="V51" s="23">
        <f>'GS &gt; 50 OLS Model'!$B$12*J51</f>
        <v>-1514604.0647521601</v>
      </c>
      <c r="W51" s="23">
        <f>'GS &gt; 50 OLS Model'!$B$13*K51</f>
        <v>0</v>
      </c>
      <c r="X51" s="23">
        <f>'GS &gt; 50 OLS Model'!$B$14*L51</f>
        <v>0</v>
      </c>
      <c r="Y51" s="23">
        <f>'GS &gt; 50 OLS Model'!$B$15*M51</f>
        <v>0</v>
      </c>
      <c r="Z51" s="23">
        <f t="shared" ca="1" si="2"/>
        <v>24764519.02708685</v>
      </c>
    </row>
    <row r="52" spans="1:26">
      <c r="A52" s="11">
        <f>'Monthly Data'!A52</f>
        <v>41334</v>
      </c>
      <c r="B52" s="6">
        <f t="shared" si="1"/>
        <v>2013</v>
      </c>
      <c r="C52" s="30">
        <f>'Monthly Data'!N52</f>
        <v>25156036.893035416</v>
      </c>
      <c r="D52">
        <f t="shared" ca="1" si="5"/>
        <v>556.99</v>
      </c>
      <c r="E52">
        <f t="shared" ca="1" si="5"/>
        <v>0</v>
      </c>
      <c r="F52" s="30">
        <f>'Monthly Data'!Y52</f>
        <v>6675.8</v>
      </c>
      <c r="G52" s="30">
        <f>'Monthly Data'!AA52</f>
        <v>51</v>
      </c>
      <c r="H52" s="30">
        <f>'Monthly Data'!AF52</f>
        <v>369</v>
      </c>
      <c r="I52" s="30">
        <f>'Monthly Data'!AM52</f>
        <v>0</v>
      </c>
      <c r="J52" s="30">
        <f>'Monthly Data'!AN52</f>
        <v>0</v>
      </c>
      <c r="K52" s="30">
        <f>'Monthly Data'!AO52</f>
        <v>0</v>
      </c>
      <c r="L52" s="30">
        <f>'Monthly Data'!AP52</f>
        <v>0</v>
      </c>
      <c r="M52" s="30">
        <f>'Monthly Data'!AQ52</f>
        <v>0</v>
      </c>
      <c r="O52" s="23">
        <f>'GS &gt; 50 OLS Model'!$B$5</f>
        <v>-17059648.826166701</v>
      </c>
      <c r="P52" s="23">
        <f ca="1">'GS &gt; 50 OLS Model'!$B$6*D52</f>
        <v>4290356.5102609834</v>
      </c>
      <c r="Q52" s="23">
        <f ca="1">'GS &gt; 50 OLS Model'!$B$7*E52</f>
        <v>0</v>
      </c>
      <c r="R52" s="23">
        <f>'GS &gt; 50 OLS Model'!$B$8*F52</f>
        <v>35959090.993702173</v>
      </c>
      <c r="S52" s="23">
        <f>'GS &gt; 50 OLS Model'!$B$9*G52</f>
        <v>-1255428.5852275987</v>
      </c>
      <c r="T52" s="23">
        <f>'GS &gt; 50 OLS Model'!$B$10*H52</f>
        <v>3247363.0519801909</v>
      </c>
      <c r="U52" s="23">
        <f>'GS &gt; 50 OLS Model'!$B$11*I52</f>
        <v>0</v>
      </c>
      <c r="V52" s="23">
        <f>'GS &gt; 50 OLS Model'!$B$12*J52</f>
        <v>0</v>
      </c>
      <c r="W52" s="23">
        <f>'GS &gt; 50 OLS Model'!$B$13*K52</f>
        <v>0</v>
      </c>
      <c r="X52" s="23">
        <f>'GS &gt; 50 OLS Model'!$B$14*L52</f>
        <v>0</v>
      </c>
      <c r="Y52" s="23">
        <f>'GS &gt; 50 OLS Model'!$B$15*M52</f>
        <v>0</v>
      </c>
      <c r="Z52" s="23">
        <f t="shared" ca="1" si="2"/>
        <v>25181733.144549049</v>
      </c>
    </row>
    <row r="53" spans="1:26">
      <c r="A53" s="11">
        <f>'Monthly Data'!A53</f>
        <v>41365</v>
      </c>
      <c r="B53" s="6">
        <f t="shared" si="1"/>
        <v>2013</v>
      </c>
      <c r="C53" s="30">
        <f>'Monthly Data'!N53</f>
        <v>22478377.571534127</v>
      </c>
      <c r="D53">
        <f t="shared" ca="1" si="5"/>
        <v>326.58999999999997</v>
      </c>
      <c r="E53">
        <f t="shared" ca="1" si="5"/>
        <v>0.39</v>
      </c>
      <c r="F53" s="30">
        <f>'Monthly Data'!Y53</f>
        <v>6703.7</v>
      </c>
      <c r="G53" s="30">
        <f>'Monthly Data'!AA53</f>
        <v>52</v>
      </c>
      <c r="H53" s="30">
        <f>'Monthly Data'!AF53</f>
        <v>371</v>
      </c>
      <c r="I53" s="30">
        <f>'Monthly Data'!AM53</f>
        <v>0</v>
      </c>
      <c r="J53" s="30">
        <f>'Monthly Data'!AN53</f>
        <v>0</v>
      </c>
      <c r="K53" s="30">
        <f>'Monthly Data'!AO53</f>
        <v>1</v>
      </c>
      <c r="L53" s="30">
        <f>'Monthly Data'!AP53</f>
        <v>0</v>
      </c>
      <c r="M53" s="30">
        <f>'Monthly Data'!AQ53</f>
        <v>0</v>
      </c>
      <c r="O53" s="23">
        <f>'GS &gt; 50 OLS Model'!$B$5</f>
        <v>-17059648.826166701</v>
      </c>
      <c r="P53" s="23">
        <f ca="1">'GS &gt; 50 OLS Model'!$B$6*D53</f>
        <v>2515642.1707501649</v>
      </c>
      <c r="Q53" s="23">
        <f ca="1">'GS &gt; 50 OLS Model'!$B$7*E53</f>
        <v>12732.330384510789</v>
      </c>
      <c r="R53" s="23">
        <f>'GS &gt; 50 OLS Model'!$B$8*F53</f>
        <v>36109373.901926547</v>
      </c>
      <c r="S53" s="23">
        <f>'GS &gt; 50 OLS Model'!$B$9*G53</f>
        <v>-1280044.8319967671</v>
      </c>
      <c r="T53" s="23">
        <f>'GS &gt; 50 OLS Model'!$B$10*H53</f>
        <v>3264963.9357307614</v>
      </c>
      <c r="U53" s="23">
        <f>'GS &gt; 50 OLS Model'!$B$11*I53</f>
        <v>0</v>
      </c>
      <c r="V53" s="23">
        <f>'GS &gt; 50 OLS Model'!$B$12*J53</f>
        <v>0</v>
      </c>
      <c r="W53" s="23">
        <f>'GS &gt; 50 OLS Model'!$B$13*K53</f>
        <v>-1589866.56724812</v>
      </c>
      <c r="X53" s="23">
        <f>'GS &gt; 50 OLS Model'!$B$14*L53</f>
        <v>0</v>
      </c>
      <c r="Y53" s="23">
        <f>'GS &gt; 50 OLS Model'!$B$15*M53</f>
        <v>0</v>
      </c>
      <c r="Z53" s="23">
        <f t="shared" ca="1" si="2"/>
        <v>21973152.113380395</v>
      </c>
    </row>
    <row r="54" spans="1:26">
      <c r="A54" s="11">
        <f>'Monthly Data'!A54</f>
        <v>41395</v>
      </c>
      <c r="B54" s="6">
        <f t="shared" si="1"/>
        <v>2013</v>
      </c>
      <c r="C54" s="30">
        <f>'Monthly Data'!N54</f>
        <v>21098970.468832832</v>
      </c>
      <c r="D54">
        <f t="shared" ca="1" si="5"/>
        <v>144.96</v>
      </c>
      <c r="E54">
        <f t="shared" ca="1" si="5"/>
        <v>8.67</v>
      </c>
      <c r="F54" s="30">
        <f>'Monthly Data'!Y54</f>
        <v>6770.3</v>
      </c>
      <c r="G54" s="30">
        <f>'Monthly Data'!AA54</f>
        <v>53</v>
      </c>
      <c r="H54" s="30">
        <f>'Monthly Data'!AF54</f>
        <v>371</v>
      </c>
      <c r="I54" s="30">
        <f>'Monthly Data'!AM54</f>
        <v>0</v>
      </c>
      <c r="J54" s="30">
        <f>'Monthly Data'!AN54</f>
        <v>0</v>
      </c>
      <c r="K54" s="30">
        <f>'Monthly Data'!AO54</f>
        <v>0</v>
      </c>
      <c r="L54" s="30">
        <f>'Monthly Data'!AP54</f>
        <v>0</v>
      </c>
      <c r="M54" s="30">
        <f>'Monthly Data'!AQ54</f>
        <v>1</v>
      </c>
      <c r="O54" s="23">
        <f>'GS &gt; 50 OLS Model'!$B$5</f>
        <v>-17059648.826166701</v>
      </c>
      <c r="P54" s="23">
        <f ca="1">'GS &gt; 50 OLS Model'!$B$6*D54</f>
        <v>1116591.1052755564</v>
      </c>
      <c r="Q54" s="23">
        <f ca="1">'GS &gt; 50 OLS Model'!$B$7*E54</f>
        <v>283049.49854797061</v>
      </c>
      <c r="R54" s="23">
        <f>'GS &gt; 50 OLS Model'!$B$8*F54</f>
        <v>36468113.747365378</v>
      </c>
      <c r="S54" s="23">
        <f>'GS &gt; 50 OLS Model'!$B$9*G54</f>
        <v>-1304661.0787659357</v>
      </c>
      <c r="T54" s="23">
        <f>'GS &gt; 50 OLS Model'!$B$10*H54</f>
        <v>3264963.9357307614</v>
      </c>
      <c r="U54" s="23">
        <f>'GS &gt; 50 OLS Model'!$B$11*I54</f>
        <v>0</v>
      </c>
      <c r="V54" s="23">
        <f>'GS &gt; 50 OLS Model'!$B$12*J54</f>
        <v>0</v>
      </c>
      <c r="W54" s="23">
        <f>'GS &gt; 50 OLS Model'!$B$13*K54</f>
        <v>0</v>
      </c>
      <c r="X54" s="23">
        <f>'GS &gt; 50 OLS Model'!$B$14*L54</f>
        <v>0</v>
      </c>
      <c r="Y54" s="23">
        <f>'GS &gt; 50 OLS Model'!$B$15*M54</f>
        <v>-1207404.17093835</v>
      </c>
      <c r="Z54" s="23">
        <f t="shared" ca="1" si="2"/>
        <v>21561004.211048681</v>
      </c>
    </row>
    <row r="55" spans="1:26">
      <c r="A55" s="11">
        <f>'Monthly Data'!A55</f>
        <v>41426</v>
      </c>
      <c r="B55" s="6">
        <f t="shared" si="1"/>
        <v>2013</v>
      </c>
      <c r="C55" s="30">
        <f>'Monthly Data'!N55</f>
        <v>21584100.430531546</v>
      </c>
      <c r="D55">
        <f t="shared" ca="1" si="5"/>
        <v>41.510000000000005</v>
      </c>
      <c r="E55">
        <f t="shared" ca="1" si="5"/>
        <v>44.41</v>
      </c>
      <c r="F55" s="30">
        <f>'Monthly Data'!Y55</f>
        <v>6861.8</v>
      </c>
      <c r="G55" s="30">
        <f>'Monthly Data'!AA55</f>
        <v>54</v>
      </c>
      <c r="H55" s="30">
        <f>'Monthly Data'!AF55</f>
        <v>370</v>
      </c>
      <c r="I55" s="30">
        <f>'Monthly Data'!AM55</f>
        <v>0</v>
      </c>
      <c r="J55" s="30">
        <f>'Monthly Data'!AN55</f>
        <v>0</v>
      </c>
      <c r="K55" s="30">
        <f>'Monthly Data'!AO55</f>
        <v>0</v>
      </c>
      <c r="L55" s="30">
        <f>'Monthly Data'!AP55</f>
        <v>0</v>
      </c>
      <c r="M55" s="30">
        <f>'Monthly Data'!AQ55</f>
        <v>1</v>
      </c>
      <c r="O55" s="23">
        <f>'GS &gt; 50 OLS Model'!$B$5</f>
        <v>-17059648.826166701</v>
      </c>
      <c r="P55" s="23">
        <f ca="1">'GS &gt; 50 OLS Model'!$B$6*D55</f>
        <v>319741.28573391523</v>
      </c>
      <c r="Q55" s="23">
        <f ca="1">'GS &gt; 50 OLS Model'!$B$7*E55</f>
        <v>1449853.3137849336</v>
      </c>
      <c r="R55" s="23">
        <f>'GS &gt; 50 OLS Model'!$B$8*F55</f>
        <v>36960977.048531346</v>
      </c>
      <c r="S55" s="23">
        <f>'GS &gt; 50 OLS Model'!$B$9*G55</f>
        <v>-1329277.3255351044</v>
      </c>
      <c r="T55" s="23">
        <f>'GS &gt; 50 OLS Model'!$B$10*H55</f>
        <v>3256163.4938554759</v>
      </c>
      <c r="U55" s="23">
        <f>'GS &gt; 50 OLS Model'!$B$11*I55</f>
        <v>0</v>
      </c>
      <c r="V55" s="23">
        <f>'GS &gt; 50 OLS Model'!$B$12*J55</f>
        <v>0</v>
      </c>
      <c r="W55" s="23">
        <f>'GS &gt; 50 OLS Model'!$B$13*K55</f>
        <v>0</v>
      </c>
      <c r="X55" s="23">
        <f>'GS &gt; 50 OLS Model'!$B$14*L55</f>
        <v>0</v>
      </c>
      <c r="Y55" s="23">
        <f>'GS &gt; 50 OLS Model'!$B$15*M55</f>
        <v>-1207404.17093835</v>
      </c>
      <c r="Z55" s="23">
        <f t="shared" ca="1" si="2"/>
        <v>22390404.819265518</v>
      </c>
    </row>
    <row r="56" spans="1:26">
      <c r="A56" s="11">
        <f>'Monthly Data'!A56</f>
        <v>41456</v>
      </c>
      <c r="B56" s="6">
        <f t="shared" si="1"/>
        <v>2013</v>
      </c>
      <c r="C56" s="30">
        <f>'Monthly Data'!N56</f>
        <v>24380210.304030258</v>
      </c>
      <c r="D56">
        <f t="shared" ca="1" si="5"/>
        <v>5.01</v>
      </c>
      <c r="E56">
        <f t="shared" ca="1" si="5"/>
        <v>96.909999999999982</v>
      </c>
      <c r="F56" s="30">
        <f>'Monthly Data'!Y56</f>
        <v>6917.1</v>
      </c>
      <c r="G56" s="30">
        <f>'Monthly Data'!AA56</f>
        <v>55</v>
      </c>
      <c r="H56" s="30">
        <f>'Monthly Data'!AF56</f>
        <v>371</v>
      </c>
      <c r="I56" s="30">
        <f>'Monthly Data'!AM56</f>
        <v>0</v>
      </c>
      <c r="J56" s="30">
        <f>'Monthly Data'!AN56</f>
        <v>0</v>
      </c>
      <c r="K56" s="30">
        <f>'Monthly Data'!AO56</f>
        <v>0</v>
      </c>
      <c r="L56" s="30">
        <f>'Monthly Data'!AP56</f>
        <v>0</v>
      </c>
      <c r="M56" s="30">
        <f>'Monthly Data'!AQ56</f>
        <v>1</v>
      </c>
      <c r="O56" s="23">
        <f>'GS &gt; 50 OLS Model'!$B$5</f>
        <v>-17059648.826166701</v>
      </c>
      <c r="P56" s="23">
        <f ca="1">'GS &gt; 50 OLS Model'!$B$6*D56</f>
        <v>38590.793580508667</v>
      </c>
      <c r="Q56" s="23">
        <f ca="1">'GS &gt; 50 OLS Model'!$B$7*E56</f>
        <v>3163820.8655460011</v>
      </c>
      <c r="R56" s="23">
        <f>'GS &gt; 50 OLS Model'!$B$8*F56</f>
        <v>37258849.622897223</v>
      </c>
      <c r="S56" s="23">
        <f>'GS &gt; 50 OLS Model'!$B$9*G56</f>
        <v>-1353893.572304273</v>
      </c>
      <c r="T56" s="23">
        <f>'GS &gt; 50 OLS Model'!$B$10*H56</f>
        <v>3264963.9357307614</v>
      </c>
      <c r="U56" s="23">
        <f>'GS &gt; 50 OLS Model'!$B$11*I56</f>
        <v>0</v>
      </c>
      <c r="V56" s="23">
        <f>'GS &gt; 50 OLS Model'!$B$12*J56</f>
        <v>0</v>
      </c>
      <c r="W56" s="23">
        <f>'GS &gt; 50 OLS Model'!$B$13*K56</f>
        <v>0</v>
      </c>
      <c r="X56" s="23">
        <f>'GS &gt; 50 OLS Model'!$B$14*L56</f>
        <v>0</v>
      </c>
      <c r="Y56" s="23">
        <f>'GS &gt; 50 OLS Model'!$B$15*M56</f>
        <v>-1207404.17093835</v>
      </c>
      <c r="Z56" s="23">
        <f t="shared" ca="1" si="2"/>
        <v>24105278.648345172</v>
      </c>
    </row>
    <row r="57" spans="1:26">
      <c r="A57" s="11">
        <f>'Monthly Data'!A57</f>
        <v>41487</v>
      </c>
      <c r="B57" s="6">
        <f t="shared" si="1"/>
        <v>2013</v>
      </c>
      <c r="C57" s="30">
        <f>'Monthly Data'!N57</f>
        <v>23693758.831728969</v>
      </c>
      <c r="D57">
        <f t="shared" ca="1" si="5"/>
        <v>12.719999999999999</v>
      </c>
      <c r="E57">
        <f t="shared" ca="1" si="5"/>
        <v>77.22999999999999</v>
      </c>
      <c r="F57" s="30">
        <f>'Monthly Data'!Y57</f>
        <v>6934.7</v>
      </c>
      <c r="G57" s="30">
        <f>'Monthly Data'!AA57</f>
        <v>56</v>
      </c>
      <c r="H57" s="30">
        <f>'Monthly Data'!AF57</f>
        <v>373</v>
      </c>
      <c r="I57" s="30">
        <f>'Monthly Data'!AM57</f>
        <v>0</v>
      </c>
      <c r="J57" s="30">
        <f>'Monthly Data'!AN57</f>
        <v>0</v>
      </c>
      <c r="K57" s="30">
        <f>'Monthly Data'!AO57</f>
        <v>0</v>
      </c>
      <c r="L57" s="30">
        <f>'Monthly Data'!AP57</f>
        <v>0</v>
      </c>
      <c r="M57" s="30">
        <f>'Monthly Data'!AQ57</f>
        <v>1</v>
      </c>
      <c r="O57" s="23">
        <f>'GS &gt; 50 OLS Model'!$B$5</f>
        <v>-17059648.826166701</v>
      </c>
      <c r="P57" s="23">
        <f ca="1">'GS &gt; 50 OLS Model'!$B$6*D57</f>
        <v>97979.020827159737</v>
      </c>
      <c r="Q57" s="23">
        <f ca="1">'GS &gt; 50 OLS Model'!$B$7*E57</f>
        <v>2521327.8861429952</v>
      </c>
      <c r="R57" s="23">
        <f>'GS &gt; 50 OLS Model'!$B$8*F57</f>
        <v>37353651.744214393</v>
      </c>
      <c r="S57" s="23">
        <f>'GS &gt; 50 OLS Model'!$B$9*G57</f>
        <v>-1378509.8190734417</v>
      </c>
      <c r="T57" s="23">
        <f>'GS &gt; 50 OLS Model'!$B$10*H57</f>
        <v>3282564.8194813314</v>
      </c>
      <c r="U57" s="23">
        <f>'GS &gt; 50 OLS Model'!$B$11*I57</f>
        <v>0</v>
      </c>
      <c r="V57" s="23">
        <f>'GS &gt; 50 OLS Model'!$B$12*J57</f>
        <v>0</v>
      </c>
      <c r="W57" s="23">
        <f>'GS &gt; 50 OLS Model'!$B$13*K57</f>
        <v>0</v>
      </c>
      <c r="X57" s="23">
        <f>'GS &gt; 50 OLS Model'!$B$14*L57</f>
        <v>0</v>
      </c>
      <c r="Y57" s="23">
        <f>'GS &gt; 50 OLS Model'!$B$15*M57</f>
        <v>-1207404.17093835</v>
      </c>
      <c r="Z57" s="23">
        <f t="shared" ca="1" si="2"/>
        <v>23609960.654487386</v>
      </c>
    </row>
    <row r="58" spans="1:26">
      <c r="A58" s="11">
        <f>'Monthly Data'!A58</f>
        <v>41518</v>
      </c>
      <c r="B58" s="6">
        <f t="shared" si="1"/>
        <v>2013</v>
      </c>
      <c r="C58" s="30">
        <f>'Monthly Data'!N58</f>
        <v>21820286.767527681</v>
      </c>
      <c r="D58">
        <f t="shared" ca="1" si="5"/>
        <v>86.570000000000007</v>
      </c>
      <c r="E58">
        <f t="shared" ca="1" si="5"/>
        <v>19.899999999999999</v>
      </c>
      <c r="F58" s="30">
        <f>'Monthly Data'!Y58</f>
        <v>6906.9</v>
      </c>
      <c r="G58" s="30">
        <f>'Monthly Data'!AA58</f>
        <v>57</v>
      </c>
      <c r="H58" s="30">
        <f>'Monthly Data'!AF58</f>
        <v>373</v>
      </c>
      <c r="I58" s="30">
        <f>'Monthly Data'!AM58</f>
        <v>1</v>
      </c>
      <c r="J58" s="30">
        <f>'Monthly Data'!AN58</f>
        <v>0</v>
      </c>
      <c r="K58" s="30">
        <f>'Monthly Data'!AO58</f>
        <v>0</v>
      </c>
      <c r="L58" s="30">
        <f>'Monthly Data'!AP58</f>
        <v>0</v>
      </c>
      <c r="M58" s="30">
        <f>'Monthly Data'!AQ58</f>
        <v>0</v>
      </c>
      <c r="O58" s="23">
        <f>'GS &gt; 50 OLS Model'!$B$5</f>
        <v>-17059648.826166701</v>
      </c>
      <c r="P58" s="23">
        <f ca="1">'GS &gt; 50 OLS Model'!$B$6*D58</f>
        <v>666827.34536220285</v>
      </c>
      <c r="Q58" s="23">
        <f ca="1">'GS &gt; 50 OLS Model'!$B$7*E58</f>
        <v>649675.31961990939</v>
      </c>
      <c r="R58" s="23">
        <f>'GS &gt; 50 OLS Model'!$B$8*F58</f>
        <v>37203907.48440659</v>
      </c>
      <c r="S58" s="23">
        <f>'GS &gt; 50 OLS Model'!$B$9*G58</f>
        <v>-1403126.0658426101</v>
      </c>
      <c r="T58" s="23">
        <f>'GS &gt; 50 OLS Model'!$B$10*H58</f>
        <v>3282564.8194813314</v>
      </c>
      <c r="U58" s="23">
        <f>'GS &gt; 50 OLS Model'!$B$11*I58</f>
        <v>-1573400.2840208299</v>
      </c>
      <c r="V58" s="23">
        <f>'GS &gt; 50 OLS Model'!$B$12*J58</f>
        <v>0</v>
      </c>
      <c r="W58" s="23">
        <f>'GS &gt; 50 OLS Model'!$B$13*K58</f>
        <v>0</v>
      </c>
      <c r="X58" s="23">
        <f>'GS &gt; 50 OLS Model'!$B$14*L58</f>
        <v>0</v>
      </c>
      <c r="Y58" s="23">
        <f>'GS &gt; 50 OLS Model'!$B$15*M58</f>
        <v>0</v>
      </c>
      <c r="Z58" s="23">
        <f t="shared" ca="1" si="2"/>
        <v>21766799.792839896</v>
      </c>
    </row>
    <row r="59" spans="1:26">
      <c r="A59" s="11">
        <f>'Monthly Data'!A59</f>
        <v>41548</v>
      </c>
      <c r="B59" s="6">
        <f t="shared" si="1"/>
        <v>2013</v>
      </c>
      <c r="C59" s="30">
        <f>'Monthly Data'!N59</f>
        <v>22103727.918226391</v>
      </c>
      <c r="D59">
        <f t="shared" ca="1" si="5"/>
        <v>270.3</v>
      </c>
      <c r="E59">
        <f t="shared" ca="1" si="5"/>
        <v>1.21</v>
      </c>
      <c r="F59" s="30">
        <f>'Monthly Data'!Y59</f>
        <v>6889</v>
      </c>
      <c r="G59" s="30">
        <f>'Monthly Data'!AA59</f>
        <v>58</v>
      </c>
      <c r="H59" s="30">
        <f>'Monthly Data'!AF59</f>
        <v>374</v>
      </c>
      <c r="I59" s="30">
        <f>'Monthly Data'!AM59</f>
        <v>1</v>
      </c>
      <c r="J59" s="30">
        <f>'Monthly Data'!AN59</f>
        <v>0</v>
      </c>
      <c r="K59" s="30">
        <f>'Monthly Data'!AO59</f>
        <v>0</v>
      </c>
      <c r="L59" s="30">
        <f>'Monthly Data'!AP59</f>
        <v>0</v>
      </c>
      <c r="M59" s="30">
        <f>'Monthly Data'!AQ59</f>
        <v>0</v>
      </c>
      <c r="O59" s="23">
        <f>'GS &gt; 50 OLS Model'!$B$5</f>
        <v>-17059648.826166701</v>
      </c>
      <c r="P59" s="23">
        <f ca="1">'GS &gt; 50 OLS Model'!$B$6*D59</f>
        <v>2082054.1925771446</v>
      </c>
      <c r="Q59" s="23">
        <f ca="1">'GS &gt; 50 OLS Model'!$B$7*E59</f>
        <v>39502.871192969367</v>
      </c>
      <c r="R59" s="23">
        <f>'GS &gt; 50 OLS Model'!$B$8*F59</f>
        <v>37107489.417839698</v>
      </c>
      <c r="S59" s="23">
        <f>'GS &gt; 50 OLS Model'!$B$9*G59</f>
        <v>-1427742.3126117787</v>
      </c>
      <c r="T59" s="23">
        <f>'GS &gt; 50 OLS Model'!$B$10*H59</f>
        <v>3291365.2613566164</v>
      </c>
      <c r="U59" s="23">
        <f>'GS &gt; 50 OLS Model'!$B$11*I59</f>
        <v>-1573400.2840208299</v>
      </c>
      <c r="V59" s="23">
        <f>'GS &gt; 50 OLS Model'!$B$12*J59</f>
        <v>0</v>
      </c>
      <c r="W59" s="23">
        <f>'GS &gt; 50 OLS Model'!$B$13*K59</f>
        <v>0</v>
      </c>
      <c r="X59" s="23">
        <f>'GS &gt; 50 OLS Model'!$B$14*L59</f>
        <v>0</v>
      </c>
      <c r="Y59" s="23">
        <f>'GS &gt; 50 OLS Model'!$B$15*M59</f>
        <v>0</v>
      </c>
      <c r="Z59" s="23">
        <f t="shared" ca="1" si="2"/>
        <v>22459620.320167121</v>
      </c>
    </row>
    <row r="60" spans="1:26">
      <c r="A60" s="11">
        <f>'Monthly Data'!A60</f>
        <v>41579</v>
      </c>
      <c r="B60" s="6">
        <f t="shared" si="1"/>
        <v>2013</v>
      </c>
      <c r="C60" s="30">
        <f>'Monthly Data'!N60</f>
        <v>24077093.308325101</v>
      </c>
      <c r="D60">
        <f t="shared" ca="1" si="5"/>
        <v>444.05</v>
      </c>
      <c r="E60">
        <f t="shared" ca="1" si="5"/>
        <v>0</v>
      </c>
      <c r="F60" s="30">
        <f>'Monthly Data'!Y60</f>
        <v>6863.8</v>
      </c>
      <c r="G60" s="30">
        <f>'Monthly Data'!AA60</f>
        <v>59</v>
      </c>
      <c r="H60" s="30">
        <f>'Monthly Data'!AF60</f>
        <v>373</v>
      </c>
      <c r="I60" s="30">
        <f>'Monthly Data'!AM60</f>
        <v>1</v>
      </c>
      <c r="J60" s="30">
        <f>'Monthly Data'!AN60</f>
        <v>0</v>
      </c>
      <c r="K60" s="30">
        <f>'Monthly Data'!AO60</f>
        <v>0</v>
      </c>
      <c r="L60" s="30">
        <f>'Monthly Data'!AP60</f>
        <v>0</v>
      </c>
      <c r="M60" s="30">
        <f>'Monthly Data'!AQ60</f>
        <v>0</v>
      </c>
      <c r="O60" s="23">
        <f>'GS &gt; 50 OLS Model'!$B$5</f>
        <v>-17059648.826166701</v>
      </c>
      <c r="P60" s="23">
        <f ca="1">'GS &gt; 50 OLS Model'!$B$6*D60</f>
        <v>3420407.5627594562</v>
      </c>
      <c r="Q60" s="23">
        <f ca="1">'GS &gt; 50 OLS Model'!$B$7*E60</f>
        <v>0</v>
      </c>
      <c r="R60" s="23">
        <f>'GS &gt; 50 OLS Model'!$B$8*F60</f>
        <v>36971750.016862839</v>
      </c>
      <c r="S60" s="23">
        <f>'GS &gt; 50 OLS Model'!$B$9*G60</f>
        <v>-1452358.5593809474</v>
      </c>
      <c r="T60" s="23">
        <f>'GS &gt; 50 OLS Model'!$B$10*H60</f>
        <v>3282564.8194813314</v>
      </c>
      <c r="U60" s="23">
        <f>'GS &gt; 50 OLS Model'!$B$11*I60</f>
        <v>-1573400.2840208299</v>
      </c>
      <c r="V60" s="23">
        <f>'GS &gt; 50 OLS Model'!$B$12*J60</f>
        <v>0</v>
      </c>
      <c r="W60" s="23">
        <f>'GS &gt; 50 OLS Model'!$B$13*K60</f>
        <v>0</v>
      </c>
      <c r="X60" s="23">
        <f>'GS &gt; 50 OLS Model'!$B$14*L60</f>
        <v>0</v>
      </c>
      <c r="Y60" s="23">
        <f>'GS &gt; 50 OLS Model'!$B$15*M60</f>
        <v>0</v>
      </c>
      <c r="Z60" s="23">
        <f t="shared" ca="1" si="2"/>
        <v>23589314.729535148</v>
      </c>
    </row>
    <row r="61" spans="1:26">
      <c r="A61" s="11">
        <f>'Monthly Data'!A61</f>
        <v>41609</v>
      </c>
      <c r="B61" s="6">
        <f t="shared" si="1"/>
        <v>2013</v>
      </c>
      <c r="C61" s="30">
        <f>'Monthly Data'!N61</f>
        <v>27124967.93432381</v>
      </c>
      <c r="D61">
        <f t="shared" ca="1" si="5"/>
        <v>684.01</v>
      </c>
      <c r="E61">
        <f t="shared" ca="1" si="5"/>
        <v>0</v>
      </c>
      <c r="F61" s="30">
        <f>'Monthly Data'!Y61</f>
        <v>6849.3</v>
      </c>
      <c r="G61" s="30">
        <f>'Monthly Data'!AA61</f>
        <v>60</v>
      </c>
      <c r="H61" s="30">
        <f>'Monthly Data'!AF61</f>
        <v>374</v>
      </c>
      <c r="I61" s="30">
        <f>'Monthly Data'!AM61</f>
        <v>0</v>
      </c>
      <c r="J61" s="30">
        <f>'Monthly Data'!AN61</f>
        <v>0</v>
      </c>
      <c r="K61" s="30">
        <f>'Monthly Data'!AO61</f>
        <v>0</v>
      </c>
      <c r="L61" s="30">
        <f>'Monthly Data'!AP61</f>
        <v>1</v>
      </c>
      <c r="M61" s="30">
        <f>'Monthly Data'!AQ61</f>
        <v>0</v>
      </c>
      <c r="O61" s="23">
        <f>'GS &gt; 50 OLS Model'!$B$5</f>
        <v>-17059648.826166701</v>
      </c>
      <c r="P61" s="23">
        <f ca="1">'GS &gt; 50 OLS Model'!$B$6*D61</f>
        <v>5268760.2229548376</v>
      </c>
      <c r="Q61" s="23">
        <f ca="1">'GS &gt; 50 OLS Model'!$B$7*E61</f>
        <v>0</v>
      </c>
      <c r="R61" s="23">
        <f>'GS &gt; 50 OLS Model'!$B$8*F61</f>
        <v>36893645.996459492</v>
      </c>
      <c r="S61" s="23">
        <f>'GS &gt; 50 OLS Model'!$B$9*G61</f>
        <v>-1476974.806150116</v>
      </c>
      <c r="T61" s="23">
        <f>'GS &gt; 50 OLS Model'!$B$10*H61</f>
        <v>3291365.2613566164</v>
      </c>
      <c r="U61" s="23">
        <f>'GS &gt; 50 OLS Model'!$B$11*I61</f>
        <v>0</v>
      </c>
      <c r="V61" s="23">
        <f>'GS &gt; 50 OLS Model'!$B$12*J61</f>
        <v>0</v>
      </c>
      <c r="W61" s="23">
        <f>'GS &gt; 50 OLS Model'!$B$13*K61</f>
        <v>0</v>
      </c>
      <c r="X61" s="23">
        <f>'GS &gt; 50 OLS Model'!$B$14*L61</f>
        <v>-1083532.53757107</v>
      </c>
      <c r="Y61" s="23">
        <f>'GS &gt; 50 OLS Model'!$B$15*M61</f>
        <v>0</v>
      </c>
      <c r="Z61" s="23">
        <f t="shared" ca="1" si="2"/>
        <v>25833615.310883056</v>
      </c>
    </row>
    <row r="62" spans="1:26">
      <c r="A62" s="11">
        <v>41640</v>
      </c>
      <c r="B62" s="6">
        <f t="shared" si="1"/>
        <v>2014</v>
      </c>
      <c r="C62" s="30">
        <f>'Monthly Data'!N62</f>
        <v>27950268.010342397</v>
      </c>
      <c r="D62">
        <f t="shared" ca="1" si="5"/>
        <v>784.29</v>
      </c>
      <c r="E62">
        <f t="shared" ca="1" si="5"/>
        <v>0</v>
      </c>
      <c r="F62" s="30">
        <f>'Monthly Data'!Y62</f>
        <v>6806.1</v>
      </c>
      <c r="G62" s="30">
        <f>'Monthly Data'!AA62</f>
        <v>61</v>
      </c>
      <c r="H62" s="30">
        <f>'Monthly Data'!AF62</f>
        <v>322</v>
      </c>
      <c r="I62" s="30">
        <f>'Monthly Data'!AM62</f>
        <v>0</v>
      </c>
      <c r="J62" s="30">
        <f>'Monthly Data'!AN62</f>
        <v>0</v>
      </c>
      <c r="K62" s="30">
        <f>'Monthly Data'!AO62</f>
        <v>0</v>
      </c>
      <c r="L62" s="30">
        <f>'Monthly Data'!AP62</f>
        <v>0</v>
      </c>
      <c r="M62" s="30">
        <f>'Monthly Data'!AQ62</f>
        <v>0</v>
      </c>
      <c r="O62" s="23">
        <f>'GS &gt; 50 OLS Model'!$B$5</f>
        <v>-17059648.826166701</v>
      </c>
      <c r="P62" s="23">
        <f ca="1">'GS &gt; 50 OLS Model'!$B$6*D62</f>
        <v>6041192.3148217853</v>
      </c>
      <c r="Q62" s="23">
        <f ca="1">'GS &gt; 50 OLS Model'!$B$7*E62</f>
        <v>0</v>
      </c>
      <c r="R62" s="23">
        <f>'GS &gt; 50 OLS Model'!$B$8*F62</f>
        <v>36660949.880499169</v>
      </c>
      <c r="S62" s="23">
        <f>'GS &gt; 50 OLS Model'!$B$9*G62</f>
        <v>-1501591.0529192847</v>
      </c>
      <c r="T62" s="23">
        <f>'GS &gt; 50 OLS Model'!$B$10*H62</f>
        <v>2833742.283841793</v>
      </c>
      <c r="U62" s="23">
        <f>'GS &gt; 50 OLS Model'!$B$11*I62</f>
        <v>0</v>
      </c>
      <c r="V62" s="23">
        <f>'GS &gt; 50 OLS Model'!$B$12*J62</f>
        <v>0</v>
      </c>
      <c r="W62" s="23">
        <f>'GS &gt; 50 OLS Model'!$B$13*K62</f>
        <v>0</v>
      </c>
      <c r="X62" s="23">
        <f>'GS &gt; 50 OLS Model'!$B$14*L62</f>
        <v>0</v>
      </c>
      <c r="Y62" s="23">
        <f>'GS &gt; 50 OLS Model'!$B$15*M62</f>
        <v>0</v>
      </c>
      <c r="Z62" s="23">
        <f t="shared" ca="1" si="2"/>
        <v>26974644.600076761</v>
      </c>
    </row>
    <row r="63" spans="1:26">
      <c r="A63" s="11">
        <v>41671</v>
      </c>
      <c r="B63" s="6">
        <f t="shared" si="1"/>
        <v>2014</v>
      </c>
      <c r="C63" s="30">
        <f>'Monthly Data'!N63</f>
        <v>25183796.294191923</v>
      </c>
      <c r="D63">
        <f t="shared" ref="D63:E78" ca="1" si="6">D51</f>
        <v>682.50999999999988</v>
      </c>
      <c r="E63">
        <f t="shared" ca="1" si="6"/>
        <v>0</v>
      </c>
      <c r="F63" s="30">
        <f>'Monthly Data'!Y63</f>
        <v>6772.3</v>
      </c>
      <c r="G63" s="30">
        <f>'Monthly Data'!AA63</f>
        <v>62</v>
      </c>
      <c r="H63" s="30">
        <f>'Monthly Data'!AF63</f>
        <v>322</v>
      </c>
      <c r="I63" s="30">
        <f>'Monthly Data'!AM63</f>
        <v>0</v>
      </c>
      <c r="J63" s="30">
        <f>'Monthly Data'!AN63</f>
        <v>1</v>
      </c>
      <c r="K63" s="30">
        <f>'Monthly Data'!AO63</f>
        <v>0</v>
      </c>
      <c r="L63" s="30">
        <f>'Monthly Data'!AP63</f>
        <v>0</v>
      </c>
      <c r="M63" s="30">
        <f>'Monthly Data'!AQ63</f>
        <v>0</v>
      </c>
      <c r="O63" s="23">
        <f>'GS &gt; 50 OLS Model'!$B$5</f>
        <v>-17059648.826166701</v>
      </c>
      <c r="P63" s="23">
        <f ca="1">'GS &gt; 50 OLS Model'!$B$6*D63</f>
        <v>5257206.0931403134</v>
      </c>
      <c r="Q63" s="23">
        <f ca="1">'GS &gt; 50 OLS Model'!$B$7*E63</f>
        <v>0</v>
      </c>
      <c r="R63" s="23">
        <f>'GS &gt; 50 OLS Model'!$B$8*F63</f>
        <v>36478886.715696879</v>
      </c>
      <c r="S63" s="23">
        <f>'GS &gt; 50 OLS Model'!$B$9*G63</f>
        <v>-1526207.2996884531</v>
      </c>
      <c r="T63" s="23">
        <f>'GS &gt; 50 OLS Model'!$B$10*H63</f>
        <v>2833742.283841793</v>
      </c>
      <c r="U63" s="23">
        <f>'GS &gt; 50 OLS Model'!$B$11*I63</f>
        <v>0</v>
      </c>
      <c r="V63" s="23">
        <f>'GS &gt; 50 OLS Model'!$B$12*J63</f>
        <v>-1514604.0647521601</v>
      </c>
      <c r="W63" s="23">
        <f>'GS &gt; 50 OLS Model'!$B$13*K63</f>
        <v>0</v>
      </c>
      <c r="X63" s="23">
        <f>'GS &gt; 50 OLS Model'!$B$14*L63</f>
        <v>0</v>
      </c>
      <c r="Y63" s="23">
        <f>'GS &gt; 50 OLS Model'!$B$15*M63</f>
        <v>0</v>
      </c>
      <c r="Z63" s="23">
        <f t="shared" ca="1" si="2"/>
        <v>24469374.90207167</v>
      </c>
    </row>
    <row r="64" spans="1:26">
      <c r="A64" s="11">
        <v>41699</v>
      </c>
      <c r="B64" s="6">
        <f t="shared" si="1"/>
        <v>2014</v>
      </c>
      <c r="C64" s="30">
        <f>'Monthly Data'!N64</f>
        <v>26456428.892041452</v>
      </c>
      <c r="D64">
        <f t="shared" ca="1" si="6"/>
        <v>556.99</v>
      </c>
      <c r="E64">
        <f t="shared" ca="1" si="6"/>
        <v>0</v>
      </c>
      <c r="F64" s="30">
        <f>'Monthly Data'!Y64</f>
        <v>6751.3</v>
      </c>
      <c r="G64" s="30">
        <f>'Monthly Data'!AA64</f>
        <v>63</v>
      </c>
      <c r="H64" s="30">
        <f>'Monthly Data'!AF64</f>
        <v>325</v>
      </c>
      <c r="I64" s="30">
        <f>'Monthly Data'!AM64</f>
        <v>0</v>
      </c>
      <c r="J64" s="30">
        <f>'Monthly Data'!AN64</f>
        <v>0</v>
      </c>
      <c r="K64" s="30">
        <f>'Monthly Data'!AO64</f>
        <v>0</v>
      </c>
      <c r="L64" s="30">
        <f>'Monthly Data'!AP64</f>
        <v>0</v>
      </c>
      <c r="M64" s="30">
        <f>'Monthly Data'!AQ64</f>
        <v>0</v>
      </c>
      <c r="O64" s="23">
        <f>'GS &gt; 50 OLS Model'!$B$5</f>
        <v>-17059648.826166701</v>
      </c>
      <c r="P64" s="23">
        <f ca="1">'GS &gt; 50 OLS Model'!$B$6*D64</f>
        <v>4290356.5102609834</v>
      </c>
      <c r="Q64" s="23">
        <f ca="1">'GS &gt; 50 OLS Model'!$B$7*E64</f>
        <v>0</v>
      </c>
      <c r="R64" s="23">
        <f>'GS &gt; 50 OLS Model'!$B$8*F64</f>
        <v>36365770.548216164</v>
      </c>
      <c r="S64" s="23">
        <f>'GS &gt; 50 OLS Model'!$B$9*G64</f>
        <v>-1550823.5464576217</v>
      </c>
      <c r="T64" s="23">
        <f>'GS &gt; 50 OLS Model'!$B$10*H64</f>
        <v>2860143.609467648</v>
      </c>
      <c r="U64" s="23">
        <f>'GS &gt; 50 OLS Model'!$B$11*I64</f>
        <v>0</v>
      </c>
      <c r="V64" s="23">
        <f>'GS &gt; 50 OLS Model'!$B$12*J64</f>
        <v>0</v>
      </c>
      <c r="W64" s="23">
        <f>'GS &gt; 50 OLS Model'!$B$13*K64</f>
        <v>0</v>
      </c>
      <c r="X64" s="23">
        <f>'GS &gt; 50 OLS Model'!$B$14*L64</f>
        <v>0</v>
      </c>
      <c r="Y64" s="23">
        <f>'GS &gt; 50 OLS Model'!$B$15*M64</f>
        <v>0</v>
      </c>
      <c r="Z64" s="23">
        <f t="shared" ca="1" si="2"/>
        <v>24905798.295320474</v>
      </c>
    </row>
    <row r="65" spans="1:26">
      <c r="A65" s="11">
        <v>41730</v>
      </c>
      <c r="B65" s="6">
        <f t="shared" si="1"/>
        <v>2014</v>
      </c>
      <c r="C65" s="30">
        <f>'Monthly Data'!N65</f>
        <v>22397499.332090985</v>
      </c>
      <c r="D65">
        <f t="shared" ca="1" si="6"/>
        <v>326.58999999999997</v>
      </c>
      <c r="E65">
        <f t="shared" ca="1" si="6"/>
        <v>0.39</v>
      </c>
      <c r="F65" s="30">
        <f>'Monthly Data'!Y65</f>
        <v>6785</v>
      </c>
      <c r="G65" s="30">
        <f>'Monthly Data'!AA65</f>
        <v>64</v>
      </c>
      <c r="H65" s="30">
        <f>'Monthly Data'!AF65</f>
        <v>323</v>
      </c>
      <c r="I65" s="30">
        <f>'Monthly Data'!AM65</f>
        <v>0</v>
      </c>
      <c r="J65" s="30">
        <f>'Monthly Data'!AN65</f>
        <v>0</v>
      </c>
      <c r="K65" s="30">
        <f>'Monthly Data'!AO65</f>
        <v>1</v>
      </c>
      <c r="L65" s="30">
        <f>'Monthly Data'!AP65</f>
        <v>0</v>
      </c>
      <c r="M65" s="30">
        <f>'Monthly Data'!AQ65</f>
        <v>0</v>
      </c>
      <c r="O65" s="23">
        <f>'GS &gt; 50 OLS Model'!$B$5</f>
        <v>-17059648.826166701</v>
      </c>
      <c r="P65" s="23">
        <f ca="1">'GS &gt; 50 OLS Model'!$B$6*D65</f>
        <v>2515642.1707501649</v>
      </c>
      <c r="Q65" s="23">
        <f ca="1">'GS &gt; 50 OLS Model'!$B$7*E65</f>
        <v>12732.330384510789</v>
      </c>
      <c r="R65" s="23">
        <f>'GS &gt; 50 OLS Model'!$B$8*F65</f>
        <v>36547295.064601876</v>
      </c>
      <c r="S65" s="23">
        <f>'GS &gt; 50 OLS Model'!$B$9*G65</f>
        <v>-1575439.7932267904</v>
      </c>
      <c r="T65" s="23">
        <f>'GS &gt; 50 OLS Model'!$B$10*H65</f>
        <v>2842542.725717078</v>
      </c>
      <c r="U65" s="23">
        <f>'GS &gt; 50 OLS Model'!$B$11*I65</f>
        <v>0</v>
      </c>
      <c r="V65" s="23">
        <f>'GS &gt; 50 OLS Model'!$B$12*J65</f>
        <v>0</v>
      </c>
      <c r="W65" s="23">
        <f>'GS &gt; 50 OLS Model'!$B$13*K65</f>
        <v>-1589866.56724812</v>
      </c>
      <c r="X65" s="23">
        <f>'GS &gt; 50 OLS Model'!$B$14*L65</f>
        <v>0</v>
      </c>
      <c r="Y65" s="23">
        <f>'GS &gt; 50 OLS Model'!$B$15*M65</f>
        <v>0</v>
      </c>
      <c r="Z65" s="23">
        <f t="shared" ca="1" si="2"/>
        <v>21693257.104812019</v>
      </c>
    </row>
    <row r="66" spans="1:26">
      <c r="A66" s="11">
        <v>41760</v>
      </c>
      <c r="B66" s="6">
        <f t="shared" si="1"/>
        <v>2014</v>
      </c>
      <c r="C66" s="30">
        <f>'Monthly Data'!N66</f>
        <v>20822092.799240515</v>
      </c>
      <c r="D66">
        <f t="shared" ca="1" si="6"/>
        <v>144.96</v>
      </c>
      <c r="E66">
        <f t="shared" ca="1" si="6"/>
        <v>8.67</v>
      </c>
      <c r="F66" s="30">
        <f>'Monthly Data'!Y66</f>
        <v>6842.6</v>
      </c>
      <c r="G66" s="30">
        <f>'Monthly Data'!AA66</f>
        <v>65</v>
      </c>
      <c r="H66" s="30">
        <f>'Monthly Data'!AF66</f>
        <v>324</v>
      </c>
      <c r="I66" s="30">
        <f>'Monthly Data'!AM66</f>
        <v>0</v>
      </c>
      <c r="J66" s="30">
        <f>'Monthly Data'!AN66</f>
        <v>0</v>
      </c>
      <c r="K66" s="30">
        <f>'Monthly Data'!AO66</f>
        <v>0</v>
      </c>
      <c r="L66" s="30">
        <f>'Monthly Data'!AP66</f>
        <v>0</v>
      </c>
      <c r="M66" s="30">
        <f>'Monthly Data'!AQ66</f>
        <v>1</v>
      </c>
      <c r="O66" s="23">
        <f>'GS &gt; 50 OLS Model'!$B$5</f>
        <v>-17059648.826166701</v>
      </c>
      <c r="P66" s="23">
        <f ca="1">'GS &gt; 50 OLS Model'!$B$6*D66</f>
        <v>1116591.1052755564</v>
      </c>
      <c r="Q66" s="23">
        <f ca="1">'GS &gt; 50 OLS Model'!$B$7*E66</f>
        <v>283049.49854797061</v>
      </c>
      <c r="R66" s="23">
        <f>'GS &gt; 50 OLS Model'!$B$8*F66</f>
        <v>36857556.552548982</v>
      </c>
      <c r="S66" s="23">
        <f>'GS &gt; 50 OLS Model'!$B$9*G66</f>
        <v>-1600056.039995959</v>
      </c>
      <c r="T66" s="23">
        <f>'GS &gt; 50 OLS Model'!$B$10*H66</f>
        <v>2851343.167592363</v>
      </c>
      <c r="U66" s="23">
        <f>'GS &gt; 50 OLS Model'!$B$11*I66</f>
        <v>0</v>
      </c>
      <c r="V66" s="23">
        <f>'GS &gt; 50 OLS Model'!$B$12*J66</f>
        <v>0</v>
      </c>
      <c r="W66" s="23">
        <f>'GS &gt; 50 OLS Model'!$B$13*K66</f>
        <v>0</v>
      </c>
      <c r="X66" s="23">
        <f>'GS &gt; 50 OLS Model'!$B$14*L66</f>
        <v>0</v>
      </c>
      <c r="Y66" s="23">
        <f>'GS &gt; 50 OLS Model'!$B$15*M66</f>
        <v>-1207404.17093835</v>
      </c>
      <c r="Z66" s="23">
        <f t="shared" ca="1" si="2"/>
        <v>21241431.286863863</v>
      </c>
    </row>
    <row r="67" spans="1:26">
      <c r="A67" s="11">
        <v>41791</v>
      </c>
      <c r="B67" s="6">
        <f t="shared" ref="B67:B97" si="7">YEAR(A67)</f>
        <v>2014</v>
      </c>
      <c r="C67" s="30">
        <f>'Monthly Data'!N67</f>
        <v>21310374.756490044</v>
      </c>
      <c r="D67">
        <f t="shared" ca="1" si="6"/>
        <v>41.510000000000005</v>
      </c>
      <c r="E67">
        <f t="shared" ca="1" si="6"/>
        <v>44.41</v>
      </c>
      <c r="F67" s="30">
        <f>'Monthly Data'!Y67</f>
        <v>6912.9</v>
      </c>
      <c r="G67" s="30">
        <f>'Monthly Data'!AA67</f>
        <v>66</v>
      </c>
      <c r="H67" s="30">
        <f>'Monthly Data'!AF67</f>
        <v>325</v>
      </c>
      <c r="I67" s="30">
        <f>'Monthly Data'!AM67</f>
        <v>0</v>
      </c>
      <c r="J67" s="30">
        <f>'Monthly Data'!AN67</f>
        <v>0</v>
      </c>
      <c r="K67" s="30">
        <f>'Monthly Data'!AO67</f>
        <v>0</v>
      </c>
      <c r="L67" s="30">
        <f>'Monthly Data'!AP67</f>
        <v>0</v>
      </c>
      <c r="M67" s="30">
        <f>'Monthly Data'!AQ67</f>
        <v>1</v>
      </c>
      <c r="O67" s="23">
        <f>'GS &gt; 50 OLS Model'!$B$5</f>
        <v>-17059648.826166701</v>
      </c>
      <c r="P67" s="23">
        <f ca="1">'GS &gt; 50 OLS Model'!$B$6*D67</f>
        <v>319741.28573391523</v>
      </c>
      <c r="Q67" s="23">
        <f ca="1">'GS &gt; 50 OLS Model'!$B$7*E67</f>
        <v>1449853.3137849336</v>
      </c>
      <c r="R67" s="23">
        <f>'GS &gt; 50 OLS Model'!$B$8*F67</f>
        <v>37236226.389401078</v>
      </c>
      <c r="S67" s="23">
        <f>'GS &gt; 50 OLS Model'!$B$9*G67</f>
        <v>-1624672.2867651277</v>
      </c>
      <c r="T67" s="23">
        <f>'GS &gt; 50 OLS Model'!$B$10*H67</f>
        <v>2860143.609467648</v>
      </c>
      <c r="U67" s="23">
        <f>'GS &gt; 50 OLS Model'!$B$11*I67</f>
        <v>0</v>
      </c>
      <c r="V67" s="23">
        <f>'GS &gt; 50 OLS Model'!$B$12*J67</f>
        <v>0</v>
      </c>
      <c r="W67" s="23">
        <f>'GS &gt; 50 OLS Model'!$B$13*K67</f>
        <v>0</v>
      </c>
      <c r="X67" s="23">
        <f>'GS &gt; 50 OLS Model'!$B$14*L67</f>
        <v>0</v>
      </c>
      <c r="Y67" s="23">
        <f>'GS &gt; 50 OLS Model'!$B$15*M67</f>
        <v>-1207404.17093835</v>
      </c>
      <c r="Z67" s="23">
        <f t="shared" ref="Z67:Z130" ca="1" si="8">SUM(O67:Y67)</f>
        <v>21974239.314517397</v>
      </c>
    </row>
    <row r="68" spans="1:26">
      <c r="A68" s="11">
        <v>41821</v>
      </c>
      <c r="B68" s="6">
        <f t="shared" si="7"/>
        <v>2014</v>
      </c>
      <c r="C68" s="30">
        <f>'Monthly Data'!N68</f>
        <v>22627282.128939569</v>
      </c>
      <c r="D68">
        <f t="shared" ca="1" si="6"/>
        <v>5.01</v>
      </c>
      <c r="E68">
        <f t="shared" ca="1" si="6"/>
        <v>96.909999999999982</v>
      </c>
      <c r="F68" s="30">
        <f>'Monthly Data'!Y68</f>
        <v>6957.8</v>
      </c>
      <c r="G68" s="30">
        <f>'Monthly Data'!AA68</f>
        <v>67</v>
      </c>
      <c r="H68" s="30">
        <f>'Monthly Data'!AF68</f>
        <v>325</v>
      </c>
      <c r="I68" s="30">
        <f>'Monthly Data'!AM68</f>
        <v>0</v>
      </c>
      <c r="J68" s="30">
        <f>'Monthly Data'!AN68</f>
        <v>0</v>
      </c>
      <c r="K68" s="30">
        <f>'Monthly Data'!AO68</f>
        <v>0</v>
      </c>
      <c r="L68" s="30">
        <f>'Monthly Data'!AP68</f>
        <v>0</v>
      </c>
      <c r="M68" s="30">
        <f>'Monthly Data'!AQ68</f>
        <v>1</v>
      </c>
      <c r="O68" s="23">
        <f>'GS &gt; 50 OLS Model'!$B$5</f>
        <v>-17059648.826166701</v>
      </c>
      <c r="P68" s="23">
        <f ca="1">'GS &gt; 50 OLS Model'!$B$6*D68</f>
        <v>38590.793580508667</v>
      </c>
      <c r="Q68" s="23">
        <f ca="1">'GS &gt; 50 OLS Model'!$B$7*E68</f>
        <v>3163820.8655460011</v>
      </c>
      <c r="R68" s="23">
        <f>'GS &gt; 50 OLS Model'!$B$8*F68</f>
        <v>37478079.52844318</v>
      </c>
      <c r="S68" s="23">
        <f>'GS &gt; 50 OLS Model'!$B$9*G68</f>
        <v>-1649288.5335342961</v>
      </c>
      <c r="T68" s="23">
        <f>'GS &gt; 50 OLS Model'!$B$10*H68</f>
        <v>2860143.609467648</v>
      </c>
      <c r="U68" s="23">
        <f>'GS &gt; 50 OLS Model'!$B$11*I68</f>
        <v>0</v>
      </c>
      <c r="V68" s="23">
        <f>'GS &gt; 50 OLS Model'!$B$12*J68</f>
        <v>0</v>
      </c>
      <c r="W68" s="23">
        <f>'GS &gt; 50 OLS Model'!$B$13*K68</f>
        <v>0</v>
      </c>
      <c r="X68" s="23">
        <f>'GS &gt; 50 OLS Model'!$B$14*L68</f>
        <v>0</v>
      </c>
      <c r="Y68" s="23">
        <f>'GS &gt; 50 OLS Model'!$B$15*M68</f>
        <v>-1207404.17093835</v>
      </c>
      <c r="Z68" s="23">
        <f t="shared" ca="1" si="8"/>
        <v>23624293.26639799</v>
      </c>
    </row>
    <row r="69" spans="1:26">
      <c r="A69" s="11">
        <v>41852</v>
      </c>
      <c r="B69" s="6">
        <f t="shared" si="7"/>
        <v>2014</v>
      </c>
      <c r="C69" s="30">
        <f>'Monthly Data'!N69</f>
        <v>22450638.6115891</v>
      </c>
      <c r="D69">
        <f t="shared" ca="1" si="6"/>
        <v>12.719999999999999</v>
      </c>
      <c r="E69">
        <f t="shared" ca="1" si="6"/>
        <v>77.22999999999999</v>
      </c>
      <c r="F69" s="30">
        <f>'Monthly Data'!Y69</f>
        <v>6969.7</v>
      </c>
      <c r="G69" s="30">
        <f>'Monthly Data'!AA69</f>
        <v>68</v>
      </c>
      <c r="H69" s="30">
        <f>'Monthly Data'!AF69</f>
        <v>326</v>
      </c>
      <c r="I69" s="30">
        <f>'Monthly Data'!AM69</f>
        <v>0</v>
      </c>
      <c r="J69" s="30">
        <f>'Monthly Data'!AN69</f>
        <v>0</v>
      </c>
      <c r="K69" s="30">
        <f>'Monthly Data'!AO69</f>
        <v>0</v>
      </c>
      <c r="L69" s="30">
        <f>'Monthly Data'!AP69</f>
        <v>0</v>
      </c>
      <c r="M69" s="30">
        <f>'Monthly Data'!AQ69</f>
        <v>1</v>
      </c>
      <c r="O69" s="23">
        <f>'GS &gt; 50 OLS Model'!$B$5</f>
        <v>-17059648.826166701</v>
      </c>
      <c r="P69" s="23">
        <f ca="1">'GS &gt; 50 OLS Model'!$B$6*D69</f>
        <v>97979.020827159737</v>
      </c>
      <c r="Q69" s="23">
        <f ca="1">'GS &gt; 50 OLS Model'!$B$7*E69</f>
        <v>2521327.8861429952</v>
      </c>
      <c r="R69" s="23">
        <f>'GS &gt; 50 OLS Model'!$B$8*F69</f>
        <v>37542178.690015577</v>
      </c>
      <c r="S69" s="23">
        <f>'GS &gt; 50 OLS Model'!$B$9*G69</f>
        <v>-1673904.7803034647</v>
      </c>
      <c r="T69" s="23">
        <f>'GS &gt; 50 OLS Model'!$B$10*H69</f>
        <v>2868944.051342933</v>
      </c>
      <c r="U69" s="23">
        <f>'GS &gt; 50 OLS Model'!$B$11*I69</f>
        <v>0</v>
      </c>
      <c r="V69" s="23">
        <f>'GS &gt; 50 OLS Model'!$B$12*J69</f>
        <v>0</v>
      </c>
      <c r="W69" s="23">
        <f>'GS &gt; 50 OLS Model'!$B$13*K69</f>
        <v>0</v>
      </c>
      <c r="X69" s="23">
        <f>'GS &gt; 50 OLS Model'!$B$14*L69</f>
        <v>0</v>
      </c>
      <c r="Y69" s="23">
        <f>'GS &gt; 50 OLS Model'!$B$15*M69</f>
        <v>-1207404.17093835</v>
      </c>
      <c r="Z69" s="23">
        <f t="shared" ca="1" si="8"/>
        <v>23089471.870920151</v>
      </c>
    </row>
    <row r="70" spans="1:26">
      <c r="A70" s="11">
        <v>41883</v>
      </c>
      <c r="B70" s="6">
        <f t="shared" si="7"/>
        <v>2014</v>
      </c>
      <c r="C70" s="30">
        <f>'Monthly Data'!N70</f>
        <v>21090477.322838631</v>
      </c>
      <c r="D70">
        <f t="shared" ca="1" si="6"/>
        <v>86.570000000000007</v>
      </c>
      <c r="E70">
        <f t="shared" ca="1" si="6"/>
        <v>19.899999999999999</v>
      </c>
      <c r="F70" s="30">
        <f>'Monthly Data'!Y70</f>
        <v>6944.1</v>
      </c>
      <c r="G70" s="30">
        <f>'Monthly Data'!AA70</f>
        <v>69</v>
      </c>
      <c r="H70" s="30">
        <f>'Monthly Data'!AF70</f>
        <v>324</v>
      </c>
      <c r="I70" s="30">
        <f>'Monthly Data'!AM70</f>
        <v>1</v>
      </c>
      <c r="J70" s="30">
        <f>'Monthly Data'!AN70</f>
        <v>0</v>
      </c>
      <c r="K70" s="30">
        <f>'Monthly Data'!AO70</f>
        <v>0</v>
      </c>
      <c r="L70" s="30">
        <f>'Monthly Data'!AP70</f>
        <v>0</v>
      </c>
      <c r="M70" s="30">
        <f>'Monthly Data'!AQ70</f>
        <v>0</v>
      </c>
      <c r="O70" s="23">
        <f>'GS &gt; 50 OLS Model'!$B$5</f>
        <v>-17059648.826166701</v>
      </c>
      <c r="P70" s="23">
        <f ca="1">'GS &gt; 50 OLS Model'!$B$6*D70</f>
        <v>666827.34536220285</v>
      </c>
      <c r="Q70" s="23">
        <f ca="1">'GS &gt; 50 OLS Model'!$B$7*E70</f>
        <v>649675.31961990939</v>
      </c>
      <c r="R70" s="23">
        <f>'GS &gt; 50 OLS Model'!$B$8*F70</f>
        <v>37404284.695372425</v>
      </c>
      <c r="S70" s="23">
        <f>'GS &gt; 50 OLS Model'!$B$9*G70</f>
        <v>-1698521.0270726334</v>
      </c>
      <c r="T70" s="23">
        <f>'GS &gt; 50 OLS Model'!$B$10*H70</f>
        <v>2851343.167592363</v>
      </c>
      <c r="U70" s="23">
        <f>'GS &gt; 50 OLS Model'!$B$11*I70</f>
        <v>-1573400.2840208299</v>
      </c>
      <c r="V70" s="23">
        <f>'GS &gt; 50 OLS Model'!$B$12*J70</f>
        <v>0</v>
      </c>
      <c r="W70" s="23">
        <f>'GS &gt; 50 OLS Model'!$B$13*K70</f>
        <v>0</v>
      </c>
      <c r="X70" s="23">
        <f>'GS &gt; 50 OLS Model'!$B$14*L70</f>
        <v>0</v>
      </c>
      <c r="Y70" s="23">
        <f>'GS &gt; 50 OLS Model'!$B$15*M70</f>
        <v>0</v>
      </c>
      <c r="Z70" s="23">
        <f t="shared" ca="1" si="8"/>
        <v>21240560.390686736</v>
      </c>
    </row>
    <row r="71" spans="1:26">
      <c r="A71" s="11">
        <v>41913</v>
      </c>
      <c r="B71" s="6">
        <f t="shared" si="7"/>
        <v>2014</v>
      </c>
      <c r="C71" s="30">
        <f>'Monthly Data'!N71</f>
        <v>21359556.577988163</v>
      </c>
      <c r="D71">
        <f t="shared" ca="1" si="6"/>
        <v>270.3</v>
      </c>
      <c r="E71">
        <f t="shared" ca="1" si="6"/>
        <v>1.21</v>
      </c>
      <c r="F71" s="30">
        <f>'Monthly Data'!Y71</f>
        <v>6936.6</v>
      </c>
      <c r="G71" s="30">
        <f>'Monthly Data'!AA71</f>
        <v>70</v>
      </c>
      <c r="H71" s="30">
        <f>'Monthly Data'!AF71</f>
        <v>324</v>
      </c>
      <c r="I71" s="30">
        <f>'Monthly Data'!AM71</f>
        <v>1</v>
      </c>
      <c r="J71" s="30">
        <f>'Monthly Data'!AN71</f>
        <v>0</v>
      </c>
      <c r="K71" s="30">
        <f>'Monthly Data'!AO71</f>
        <v>0</v>
      </c>
      <c r="L71" s="30">
        <f>'Monthly Data'!AP71</f>
        <v>0</v>
      </c>
      <c r="M71" s="30">
        <f>'Monthly Data'!AQ71</f>
        <v>0</v>
      </c>
      <c r="O71" s="23">
        <f>'GS &gt; 50 OLS Model'!$B$5</f>
        <v>-17059648.826166701</v>
      </c>
      <c r="P71" s="23">
        <f ca="1">'GS &gt; 50 OLS Model'!$B$6*D71</f>
        <v>2082054.1925771446</v>
      </c>
      <c r="Q71" s="23">
        <f ca="1">'GS &gt; 50 OLS Model'!$B$7*E71</f>
        <v>39502.871192969367</v>
      </c>
      <c r="R71" s="23">
        <f>'GS &gt; 50 OLS Model'!$B$8*F71</f>
        <v>37363886.064129315</v>
      </c>
      <c r="S71" s="23">
        <f>'GS &gt; 50 OLS Model'!$B$9*G71</f>
        <v>-1723137.273841802</v>
      </c>
      <c r="T71" s="23">
        <f>'GS &gt; 50 OLS Model'!$B$10*H71</f>
        <v>2851343.167592363</v>
      </c>
      <c r="U71" s="23">
        <f>'GS &gt; 50 OLS Model'!$B$11*I71</f>
        <v>-1573400.2840208299</v>
      </c>
      <c r="V71" s="23">
        <f>'GS &gt; 50 OLS Model'!$B$12*J71</f>
        <v>0</v>
      </c>
      <c r="W71" s="23">
        <f>'GS &gt; 50 OLS Model'!$B$13*K71</f>
        <v>0</v>
      </c>
      <c r="X71" s="23">
        <f>'GS &gt; 50 OLS Model'!$B$14*L71</f>
        <v>0</v>
      </c>
      <c r="Y71" s="23">
        <f>'GS &gt; 50 OLS Model'!$B$15*M71</f>
        <v>0</v>
      </c>
      <c r="Z71" s="23">
        <f t="shared" ca="1" si="8"/>
        <v>21980599.911462456</v>
      </c>
    </row>
    <row r="72" spans="1:26">
      <c r="A72" s="11">
        <v>41944</v>
      </c>
      <c r="B72" s="6">
        <f t="shared" si="7"/>
        <v>2014</v>
      </c>
      <c r="C72" s="30">
        <f>'Monthly Data'!N72</f>
        <v>23170252.922537688</v>
      </c>
      <c r="D72">
        <f t="shared" ca="1" si="6"/>
        <v>444.05</v>
      </c>
      <c r="E72">
        <f t="shared" ca="1" si="6"/>
        <v>0</v>
      </c>
      <c r="F72" s="30">
        <f>'Monthly Data'!Y72</f>
        <v>6914.3</v>
      </c>
      <c r="G72" s="30">
        <f>'Monthly Data'!AA72</f>
        <v>71</v>
      </c>
      <c r="H72" s="30">
        <f>'Monthly Data'!AF72</f>
        <v>327</v>
      </c>
      <c r="I72" s="30">
        <f>'Monthly Data'!AM72</f>
        <v>1</v>
      </c>
      <c r="J72" s="30">
        <f>'Monthly Data'!AN72</f>
        <v>0</v>
      </c>
      <c r="K72" s="30">
        <f>'Monthly Data'!AO72</f>
        <v>0</v>
      </c>
      <c r="L72" s="30">
        <f>'Monthly Data'!AP72</f>
        <v>0</v>
      </c>
      <c r="M72" s="30">
        <f>'Monthly Data'!AQ72</f>
        <v>0</v>
      </c>
      <c r="O72" s="23">
        <f>'GS &gt; 50 OLS Model'!$B$5</f>
        <v>-17059648.826166701</v>
      </c>
      <c r="P72" s="23">
        <f ca="1">'GS &gt; 50 OLS Model'!$B$6*D72</f>
        <v>3420407.5627594562</v>
      </c>
      <c r="Q72" s="23">
        <f ca="1">'GS &gt; 50 OLS Model'!$B$7*E72</f>
        <v>0</v>
      </c>
      <c r="R72" s="23">
        <f>'GS &gt; 50 OLS Model'!$B$8*F72</f>
        <v>37243767.467233129</v>
      </c>
      <c r="S72" s="23">
        <f>'GS &gt; 50 OLS Model'!$B$9*G72</f>
        <v>-1747753.5206109707</v>
      </c>
      <c r="T72" s="23">
        <f>'GS &gt; 50 OLS Model'!$B$10*H72</f>
        <v>2877744.493218218</v>
      </c>
      <c r="U72" s="23">
        <f>'GS &gt; 50 OLS Model'!$B$11*I72</f>
        <v>-1573400.2840208299</v>
      </c>
      <c r="V72" s="23">
        <f>'GS &gt; 50 OLS Model'!$B$12*J72</f>
        <v>0</v>
      </c>
      <c r="W72" s="23">
        <f>'GS &gt; 50 OLS Model'!$B$13*K72</f>
        <v>0</v>
      </c>
      <c r="X72" s="23">
        <f>'GS &gt; 50 OLS Model'!$B$14*L72</f>
        <v>0</v>
      </c>
      <c r="Y72" s="23">
        <f>'GS &gt; 50 OLS Model'!$B$15*M72</f>
        <v>0</v>
      </c>
      <c r="Z72" s="23">
        <f t="shared" ca="1" si="8"/>
        <v>23161116.892412301</v>
      </c>
    </row>
    <row r="73" spans="1:26">
      <c r="A73" s="11">
        <v>41974</v>
      </c>
      <c r="B73" s="6">
        <f t="shared" si="7"/>
        <v>2014</v>
      </c>
      <c r="C73" s="30">
        <f>'Monthly Data'!N73</f>
        <v>25213323.109987214</v>
      </c>
      <c r="D73">
        <f t="shared" ca="1" si="6"/>
        <v>684.01</v>
      </c>
      <c r="E73">
        <f t="shared" ca="1" si="6"/>
        <v>0</v>
      </c>
      <c r="F73" s="30">
        <f>'Monthly Data'!Y73</f>
        <v>6903.2</v>
      </c>
      <c r="G73" s="30">
        <f>'Monthly Data'!AA73</f>
        <v>72</v>
      </c>
      <c r="H73" s="30">
        <f>'Monthly Data'!AF73</f>
        <v>327</v>
      </c>
      <c r="I73" s="30">
        <f>'Monthly Data'!AM73</f>
        <v>0</v>
      </c>
      <c r="J73" s="30">
        <f>'Monthly Data'!AN73</f>
        <v>0</v>
      </c>
      <c r="K73" s="30">
        <f>'Monthly Data'!AO73</f>
        <v>0</v>
      </c>
      <c r="L73" s="30">
        <f>'Monthly Data'!AP73</f>
        <v>1</v>
      </c>
      <c r="M73" s="30">
        <f>'Monthly Data'!AQ73</f>
        <v>0</v>
      </c>
      <c r="O73" s="23">
        <f>'GS &gt; 50 OLS Model'!$B$5</f>
        <v>-17059648.826166701</v>
      </c>
      <c r="P73" s="23">
        <f ca="1">'GS &gt; 50 OLS Model'!$B$6*D73</f>
        <v>5268760.2229548376</v>
      </c>
      <c r="Q73" s="23">
        <f ca="1">'GS &gt; 50 OLS Model'!$B$7*E73</f>
        <v>0</v>
      </c>
      <c r="R73" s="23">
        <f>'GS &gt; 50 OLS Model'!$B$8*F73</f>
        <v>37183977.492993318</v>
      </c>
      <c r="S73" s="23">
        <f>'GS &gt; 50 OLS Model'!$B$9*G73</f>
        <v>-1772369.7673801391</v>
      </c>
      <c r="T73" s="23">
        <f>'GS &gt; 50 OLS Model'!$B$10*H73</f>
        <v>2877744.493218218</v>
      </c>
      <c r="U73" s="23">
        <f>'GS &gt; 50 OLS Model'!$B$11*I73</f>
        <v>0</v>
      </c>
      <c r="V73" s="23">
        <f>'GS &gt; 50 OLS Model'!$B$12*J73</f>
        <v>0</v>
      </c>
      <c r="W73" s="23">
        <f>'GS &gt; 50 OLS Model'!$B$13*K73</f>
        <v>0</v>
      </c>
      <c r="X73" s="23">
        <f>'GS &gt; 50 OLS Model'!$B$14*L73</f>
        <v>-1083532.53757107</v>
      </c>
      <c r="Y73" s="23">
        <f>'GS &gt; 50 OLS Model'!$B$15*M73</f>
        <v>0</v>
      </c>
      <c r="Z73" s="23">
        <f t="shared" ca="1" si="8"/>
        <v>25414931.07804846</v>
      </c>
    </row>
    <row r="74" spans="1:26">
      <c r="A74" s="11">
        <v>42005</v>
      </c>
      <c r="B74" s="6">
        <f t="shared" si="7"/>
        <v>2015</v>
      </c>
      <c r="D74">
        <f t="shared" ca="1" si="6"/>
        <v>784.29</v>
      </c>
      <c r="E74">
        <f t="shared" ca="1" si="6"/>
        <v>0</v>
      </c>
      <c r="F74" s="30">
        <f>F62*(1+SUMIF('Ontario Employment Growth'!B:B,B74,'Ontario Employment Growth'!G:G))</f>
        <v>6880.9670999999998</v>
      </c>
      <c r="G74" s="30">
        <f>G73+1</f>
        <v>73</v>
      </c>
      <c r="H74" s="60">
        <f>SUMIF('Connection count '!B:B,B74,'Connection count '!M:M)</f>
        <v>330.70760277267368</v>
      </c>
      <c r="I74" s="30">
        <f t="shared" ref="I74:M83" si="9">I62</f>
        <v>0</v>
      </c>
      <c r="J74" s="30">
        <f t="shared" si="9"/>
        <v>0</v>
      </c>
      <c r="K74" s="30">
        <f t="shared" si="9"/>
        <v>0</v>
      </c>
      <c r="L74" s="30">
        <f t="shared" si="9"/>
        <v>0</v>
      </c>
      <c r="M74" s="30">
        <f t="shared" si="9"/>
        <v>0</v>
      </c>
      <c r="O74" s="23">
        <f>'GS &gt; 50 OLS Model'!$B$5</f>
        <v>-17059648.826166701</v>
      </c>
      <c r="P74" s="23">
        <f ca="1">'GS &gt; 50 OLS Model'!$B$6*D74</f>
        <v>6041192.3148217853</v>
      </c>
      <c r="Q74" s="23">
        <f ca="1">'GS &gt; 50 OLS Model'!$B$7*E74</f>
        <v>0</v>
      </c>
      <c r="R74" s="23">
        <f>'GS &gt; 50 OLS Model'!$B$8*F74</f>
        <v>37064220.329184659</v>
      </c>
      <c r="S74" s="23">
        <f>'GS &gt; 50 OLS Model'!$B$9*G74</f>
        <v>-1796986.0141493077</v>
      </c>
      <c r="T74" s="23">
        <f>'GS &gt; 50 OLS Model'!$B$10*H74</f>
        <v>2910373.0359157785</v>
      </c>
      <c r="U74" s="23">
        <f>'GS &gt; 50 OLS Model'!$B$11*I74</f>
        <v>0</v>
      </c>
      <c r="V74" s="23">
        <f>'GS &gt; 50 OLS Model'!$B$12*J74</f>
        <v>0</v>
      </c>
      <c r="W74" s="23">
        <f>'GS &gt; 50 OLS Model'!$B$13*K74</f>
        <v>0</v>
      </c>
      <c r="X74" s="23">
        <f>'GS &gt; 50 OLS Model'!$B$14*L74</f>
        <v>0</v>
      </c>
      <c r="Y74" s="23">
        <f>'GS &gt; 50 OLS Model'!$B$15*M74</f>
        <v>0</v>
      </c>
      <c r="Z74" s="23">
        <f t="shared" ca="1" si="8"/>
        <v>27159150.839606211</v>
      </c>
    </row>
    <row r="75" spans="1:26">
      <c r="A75" s="11">
        <v>42036</v>
      </c>
      <c r="B75" s="6">
        <f t="shared" si="7"/>
        <v>2015</v>
      </c>
      <c r="D75">
        <f t="shared" ca="1" si="6"/>
        <v>682.50999999999988</v>
      </c>
      <c r="E75">
        <f t="shared" ca="1" si="6"/>
        <v>0</v>
      </c>
      <c r="F75" s="30">
        <f>F63*(1+SUMIF('Ontario Employment Growth'!B:B,B75,'Ontario Employment Growth'!G:G))</f>
        <v>6846.7952999999998</v>
      </c>
      <c r="G75" s="30">
        <f t="shared" ref="G75:G138" si="10">G74+1</f>
        <v>74</v>
      </c>
      <c r="H75" s="60">
        <f>SUMIF('Connection count '!B:B,B75,'Connection count '!M:M)</f>
        <v>330.70760277267368</v>
      </c>
      <c r="I75" s="30">
        <f t="shared" si="9"/>
        <v>0</v>
      </c>
      <c r="J75" s="30">
        <f t="shared" si="9"/>
        <v>1</v>
      </c>
      <c r="K75" s="30">
        <f t="shared" si="9"/>
        <v>0</v>
      </c>
      <c r="L75" s="30">
        <f t="shared" si="9"/>
        <v>0</v>
      </c>
      <c r="M75" s="30">
        <f t="shared" si="9"/>
        <v>0</v>
      </c>
      <c r="O75" s="23">
        <f>'GS &gt; 50 OLS Model'!$B$5</f>
        <v>-17059648.826166701</v>
      </c>
      <c r="P75" s="23">
        <f ca="1">'GS &gt; 50 OLS Model'!$B$6*D75</f>
        <v>5257206.0931403134</v>
      </c>
      <c r="Q75" s="23">
        <f ca="1">'GS &gt; 50 OLS Model'!$B$7*E75</f>
        <v>0</v>
      </c>
      <c r="R75" s="23">
        <f>'GS &gt; 50 OLS Model'!$B$8*F75</f>
        <v>36880154.469569542</v>
      </c>
      <c r="S75" s="23">
        <f>'GS &gt; 50 OLS Model'!$B$9*G75</f>
        <v>-1821602.2609184764</v>
      </c>
      <c r="T75" s="23">
        <f>'GS &gt; 50 OLS Model'!$B$10*H75</f>
        <v>2910373.0359157785</v>
      </c>
      <c r="U75" s="23">
        <f>'GS &gt; 50 OLS Model'!$B$11*I75</f>
        <v>0</v>
      </c>
      <c r="V75" s="23">
        <f>'GS &gt; 50 OLS Model'!$B$12*J75</f>
        <v>-1514604.0647521601</v>
      </c>
      <c r="W75" s="23">
        <f>'GS &gt; 50 OLS Model'!$B$13*K75</f>
        <v>0</v>
      </c>
      <c r="X75" s="23">
        <f>'GS &gt; 50 OLS Model'!$B$14*L75</f>
        <v>0</v>
      </c>
      <c r="Y75" s="23">
        <f>'GS &gt; 50 OLS Model'!$B$15*M75</f>
        <v>0</v>
      </c>
      <c r="Z75" s="23">
        <f t="shared" ca="1" si="8"/>
        <v>24651878.446788296</v>
      </c>
    </row>
    <row r="76" spans="1:26">
      <c r="A76" s="11">
        <v>42064</v>
      </c>
      <c r="B76" s="6">
        <f t="shared" si="7"/>
        <v>2015</v>
      </c>
      <c r="D76">
        <f t="shared" ca="1" si="6"/>
        <v>556.99</v>
      </c>
      <c r="E76">
        <f t="shared" ca="1" si="6"/>
        <v>0</v>
      </c>
      <c r="F76" s="30">
        <f>F64*(1+SUMIF('Ontario Employment Growth'!B:B,B76,'Ontario Employment Growth'!G:G))</f>
        <v>6825.5642999999991</v>
      </c>
      <c r="G76" s="30">
        <f t="shared" si="10"/>
        <v>75</v>
      </c>
      <c r="H76" s="60">
        <f>SUMIF('Connection count '!B:B,B76,'Connection count '!M:M)</f>
        <v>330.70760277267368</v>
      </c>
      <c r="I76" s="30">
        <f t="shared" si="9"/>
        <v>0</v>
      </c>
      <c r="J76" s="30">
        <f t="shared" si="9"/>
        <v>0</v>
      </c>
      <c r="K76" s="30">
        <f t="shared" si="9"/>
        <v>0</v>
      </c>
      <c r="L76" s="30">
        <f t="shared" si="9"/>
        <v>0</v>
      </c>
      <c r="M76" s="30">
        <f t="shared" si="9"/>
        <v>0</v>
      </c>
      <c r="O76" s="23">
        <f>'GS &gt; 50 OLS Model'!$B$5</f>
        <v>-17059648.826166701</v>
      </c>
      <c r="P76" s="23">
        <f ca="1">'GS &gt; 50 OLS Model'!$B$6*D76</f>
        <v>4290356.5102609834</v>
      </c>
      <c r="Q76" s="23">
        <f ca="1">'GS &gt; 50 OLS Model'!$B$7*E76</f>
        <v>0</v>
      </c>
      <c r="R76" s="23">
        <f>'GS &gt; 50 OLS Model'!$B$8*F76</f>
        <v>36765794.024246536</v>
      </c>
      <c r="S76" s="23">
        <f>'GS &gt; 50 OLS Model'!$B$9*G76</f>
        <v>-1846218.507687645</v>
      </c>
      <c r="T76" s="23">
        <f>'GS &gt; 50 OLS Model'!$B$10*H76</f>
        <v>2910373.0359157785</v>
      </c>
      <c r="U76" s="23">
        <f>'GS &gt; 50 OLS Model'!$B$11*I76</f>
        <v>0</v>
      </c>
      <c r="V76" s="23">
        <f>'GS &gt; 50 OLS Model'!$B$12*J76</f>
        <v>0</v>
      </c>
      <c r="W76" s="23">
        <f>'GS &gt; 50 OLS Model'!$B$13*K76</f>
        <v>0</v>
      </c>
      <c r="X76" s="23">
        <f>'GS &gt; 50 OLS Model'!$B$14*L76</f>
        <v>0</v>
      </c>
      <c r="Y76" s="23">
        <f>'GS &gt; 50 OLS Model'!$B$15*M76</f>
        <v>0</v>
      </c>
      <c r="Z76" s="23">
        <f t="shared" ca="1" si="8"/>
        <v>25060656.23656895</v>
      </c>
    </row>
    <row r="77" spans="1:26">
      <c r="A77" s="11">
        <v>42095</v>
      </c>
      <c r="B77" s="6">
        <f t="shared" si="7"/>
        <v>2015</v>
      </c>
      <c r="D77">
        <f t="shared" ca="1" si="6"/>
        <v>326.58999999999997</v>
      </c>
      <c r="E77">
        <f t="shared" ca="1" si="6"/>
        <v>0.39</v>
      </c>
      <c r="F77" s="30">
        <f>F65*(1+SUMIF('Ontario Employment Growth'!B:B,B77,'Ontario Employment Growth'!G:G))</f>
        <v>6859.6349999999993</v>
      </c>
      <c r="G77" s="30">
        <f t="shared" si="10"/>
        <v>76</v>
      </c>
      <c r="H77" s="60">
        <f>SUMIF('Connection count '!B:B,B77,'Connection count '!M:M)</f>
        <v>330.70760277267368</v>
      </c>
      <c r="I77" s="30">
        <f t="shared" si="9"/>
        <v>0</v>
      </c>
      <c r="J77" s="30">
        <f t="shared" si="9"/>
        <v>0</v>
      </c>
      <c r="K77" s="30">
        <f t="shared" si="9"/>
        <v>1</v>
      </c>
      <c r="L77" s="30">
        <f t="shared" si="9"/>
        <v>0</v>
      </c>
      <c r="M77" s="30">
        <f t="shared" si="9"/>
        <v>0</v>
      </c>
      <c r="O77" s="23">
        <f>'GS &gt; 50 OLS Model'!$B$5</f>
        <v>-17059648.826166701</v>
      </c>
      <c r="P77" s="23">
        <f ca="1">'GS &gt; 50 OLS Model'!$B$6*D77</f>
        <v>2515642.1707501649</v>
      </c>
      <c r="Q77" s="23">
        <f ca="1">'GS &gt; 50 OLS Model'!$B$7*E77</f>
        <v>12732.330384510789</v>
      </c>
      <c r="R77" s="23">
        <f>'GS &gt; 50 OLS Model'!$B$8*F77</f>
        <v>36949315.310312495</v>
      </c>
      <c r="S77" s="23">
        <f>'GS &gt; 50 OLS Model'!$B$9*G77</f>
        <v>-1870834.7544568137</v>
      </c>
      <c r="T77" s="23">
        <f>'GS &gt; 50 OLS Model'!$B$10*H77</f>
        <v>2910373.0359157785</v>
      </c>
      <c r="U77" s="23">
        <f>'GS &gt; 50 OLS Model'!$B$11*I77</f>
        <v>0</v>
      </c>
      <c r="V77" s="23">
        <f>'GS &gt; 50 OLS Model'!$B$12*J77</f>
        <v>0</v>
      </c>
      <c r="W77" s="23">
        <f>'GS &gt; 50 OLS Model'!$B$13*K77</f>
        <v>-1589866.56724812</v>
      </c>
      <c r="X77" s="23">
        <f>'GS &gt; 50 OLS Model'!$B$14*L77</f>
        <v>0</v>
      </c>
      <c r="Y77" s="23">
        <f>'GS &gt; 50 OLS Model'!$B$15*M77</f>
        <v>0</v>
      </c>
      <c r="Z77" s="23">
        <f t="shared" ca="1" si="8"/>
        <v>21867712.699491311</v>
      </c>
    </row>
    <row r="78" spans="1:26">
      <c r="A78" s="11">
        <v>42125</v>
      </c>
      <c r="B78" s="6">
        <f t="shared" si="7"/>
        <v>2015</v>
      </c>
      <c r="D78">
        <f t="shared" ca="1" si="6"/>
        <v>144.96</v>
      </c>
      <c r="E78">
        <f t="shared" ca="1" si="6"/>
        <v>8.67</v>
      </c>
      <c r="F78" s="30">
        <f>F66*(1+SUMIF('Ontario Employment Growth'!B:B,B78,'Ontario Employment Growth'!G:G))</f>
        <v>6917.8685999999998</v>
      </c>
      <c r="G78" s="30">
        <f t="shared" si="10"/>
        <v>77</v>
      </c>
      <c r="H78" s="60">
        <f>SUMIF('Connection count '!B:B,B78,'Connection count '!M:M)</f>
        <v>330.70760277267368</v>
      </c>
      <c r="I78" s="30">
        <f t="shared" si="9"/>
        <v>0</v>
      </c>
      <c r="J78" s="30">
        <f t="shared" si="9"/>
        <v>0</v>
      </c>
      <c r="K78" s="30">
        <f t="shared" si="9"/>
        <v>0</v>
      </c>
      <c r="L78" s="30">
        <f t="shared" si="9"/>
        <v>0</v>
      </c>
      <c r="M78" s="30">
        <f t="shared" si="9"/>
        <v>1</v>
      </c>
      <c r="O78" s="23">
        <f>'GS &gt; 50 OLS Model'!$B$5</f>
        <v>-17059648.826166701</v>
      </c>
      <c r="P78" s="23">
        <f ca="1">'GS &gt; 50 OLS Model'!$B$6*D78</f>
        <v>1116591.1052755564</v>
      </c>
      <c r="Q78" s="23">
        <f ca="1">'GS &gt; 50 OLS Model'!$B$7*E78</f>
        <v>283049.49854797061</v>
      </c>
      <c r="R78" s="23">
        <f>'GS &gt; 50 OLS Model'!$B$8*F78</f>
        <v>37262989.674627014</v>
      </c>
      <c r="S78" s="23">
        <f>'GS &gt; 50 OLS Model'!$B$9*G78</f>
        <v>-1895451.0012259821</v>
      </c>
      <c r="T78" s="23">
        <f>'GS &gt; 50 OLS Model'!$B$10*H78</f>
        <v>2910373.0359157785</v>
      </c>
      <c r="U78" s="23">
        <f>'GS &gt; 50 OLS Model'!$B$11*I78</f>
        <v>0</v>
      </c>
      <c r="V78" s="23">
        <f>'GS &gt; 50 OLS Model'!$B$12*J78</f>
        <v>0</v>
      </c>
      <c r="W78" s="23">
        <f>'GS &gt; 50 OLS Model'!$B$13*K78</f>
        <v>0</v>
      </c>
      <c r="X78" s="23">
        <f>'GS &gt; 50 OLS Model'!$B$14*L78</f>
        <v>0</v>
      </c>
      <c r="Y78" s="23">
        <f>'GS &gt; 50 OLS Model'!$B$15*M78</f>
        <v>-1207404.17093835</v>
      </c>
      <c r="Z78" s="23">
        <f t="shared" ca="1" si="8"/>
        <v>21410499.316035286</v>
      </c>
    </row>
    <row r="79" spans="1:26">
      <c r="A79" s="11">
        <v>42156</v>
      </c>
      <c r="B79" s="6">
        <f t="shared" si="7"/>
        <v>2015</v>
      </c>
      <c r="D79">
        <f t="shared" ref="D79:E94" ca="1" si="11">D67</f>
        <v>41.510000000000005</v>
      </c>
      <c r="E79">
        <f t="shared" ca="1" si="11"/>
        <v>44.41</v>
      </c>
      <c r="F79" s="30">
        <f>F67*(1+SUMIF('Ontario Employment Growth'!B:B,B79,'Ontario Employment Growth'!G:G))</f>
        <v>6988.9418999999989</v>
      </c>
      <c r="G79" s="30">
        <f t="shared" si="10"/>
        <v>78</v>
      </c>
      <c r="H79" s="60">
        <f>SUMIF('Connection count '!B:B,B79,'Connection count '!M:M)</f>
        <v>330.70760277267368</v>
      </c>
      <c r="I79" s="30">
        <f t="shared" si="9"/>
        <v>0</v>
      </c>
      <c r="J79" s="30">
        <f t="shared" si="9"/>
        <v>0</v>
      </c>
      <c r="K79" s="30">
        <f t="shared" si="9"/>
        <v>0</v>
      </c>
      <c r="L79" s="30">
        <f t="shared" si="9"/>
        <v>0</v>
      </c>
      <c r="M79" s="30">
        <f t="shared" si="9"/>
        <v>1</v>
      </c>
      <c r="O79" s="23">
        <f>'GS &gt; 50 OLS Model'!$B$5</f>
        <v>-17059648.826166701</v>
      </c>
      <c r="P79" s="23">
        <f ca="1">'GS &gt; 50 OLS Model'!$B$6*D79</f>
        <v>319741.28573391523</v>
      </c>
      <c r="Q79" s="23">
        <f ca="1">'GS &gt; 50 OLS Model'!$B$7*E79</f>
        <v>1449853.3137849336</v>
      </c>
      <c r="R79" s="23">
        <f>'GS &gt; 50 OLS Model'!$B$8*F79</f>
        <v>37645824.879684485</v>
      </c>
      <c r="S79" s="23">
        <f>'GS &gt; 50 OLS Model'!$B$9*G79</f>
        <v>-1920067.2479951507</v>
      </c>
      <c r="T79" s="23">
        <f>'GS &gt; 50 OLS Model'!$B$10*H79</f>
        <v>2910373.0359157785</v>
      </c>
      <c r="U79" s="23">
        <f>'GS &gt; 50 OLS Model'!$B$11*I79</f>
        <v>0</v>
      </c>
      <c r="V79" s="23">
        <f>'GS &gt; 50 OLS Model'!$B$12*J79</f>
        <v>0</v>
      </c>
      <c r="W79" s="23">
        <f>'GS &gt; 50 OLS Model'!$B$13*K79</f>
        <v>0</v>
      </c>
      <c r="X79" s="23">
        <f>'GS &gt; 50 OLS Model'!$B$14*L79</f>
        <v>0</v>
      </c>
      <c r="Y79" s="23">
        <f>'GS &gt; 50 OLS Model'!$B$15*M79</f>
        <v>-1207404.17093835</v>
      </c>
      <c r="Z79" s="23">
        <f t="shared" ca="1" si="8"/>
        <v>22138672.270018913</v>
      </c>
    </row>
    <row r="80" spans="1:26">
      <c r="A80" s="11">
        <v>42186</v>
      </c>
      <c r="B80" s="6">
        <f t="shared" si="7"/>
        <v>2015</v>
      </c>
      <c r="D80">
        <f t="shared" ca="1" si="11"/>
        <v>5.01</v>
      </c>
      <c r="E80">
        <f t="shared" ca="1" si="11"/>
        <v>96.909999999999982</v>
      </c>
      <c r="F80" s="30">
        <f>F68*(1+SUMIF('Ontario Employment Growth'!B:B,B80,'Ontario Employment Growth'!G:G))</f>
        <v>7034.3357999999998</v>
      </c>
      <c r="G80" s="30">
        <f t="shared" si="10"/>
        <v>79</v>
      </c>
      <c r="H80" s="60">
        <f>SUMIF('Connection count '!B:B,B80,'Connection count '!M:M)</f>
        <v>330.70760277267368</v>
      </c>
      <c r="I80" s="30">
        <f t="shared" si="9"/>
        <v>0</v>
      </c>
      <c r="J80" s="30">
        <f t="shared" si="9"/>
        <v>0</v>
      </c>
      <c r="K80" s="30">
        <f t="shared" si="9"/>
        <v>0</v>
      </c>
      <c r="L80" s="30">
        <f t="shared" si="9"/>
        <v>0</v>
      </c>
      <c r="M80" s="30">
        <f t="shared" si="9"/>
        <v>1</v>
      </c>
      <c r="O80" s="23">
        <f>'GS &gt; 50 OLS Model'!$B$5</f>
        <v>-17059648.826166701</v>
      </c>
      <c r="P80" s="23">
        <f ca="1">'GS &gt; 50 OLS Model'!$B$6*D80</f>
        <v>38590.793580508667</v>
      </c>
      <c r="Q80" s="23">
        <f ca="1">'GS &gt; 50 OLS Model'!$B$7*E80</f>
        <v>3163820.8655460011</v>
      </c>
      <c r="R80" s="23">
        <f>'GS &gt; 50 OLS Model'!$B$8*F80</f>
        <v>37890338.403256051</v>
      </c>
      <c r="S80" s="23">
        <f>'GS &gt; 50 OLS Model'!$B$9*G80</f>
        <v>-1944683.4947643194</v>
      </c>
      <c r="T80" s="23">
        <f>'GS &gt; 50 OLS Model'!$B$10*H80</f>
        <v>2910373.0359157785</v>
      </c>
      <c r="U80" s="23">
        <f>'GS &gt; 50 OLS Model'!$B$11*I80</f>
        <v>0</v>
      </c>
      <c r="V80" s="23">
        <f>'GS &gt; 50 OLS Model'!$B$12*J80</f>
        <v>0</v>
      </c>
      <c r="W80" s="23">
        <f>'GS &gt; 50 OLS Model'!$B$13*K80</f>
        <v>0</v>
      </c>
      <c r="X80" s="23">
        <f>'GS &gt; 50 OLS Model'!$B$14*L80</f>
        <v>0</v>
      </c>
      <c r="Y80" s="23">
        <f>'GS &gt; 50 OLS Model'!$B$15*M80</f>
        <v>-1207404.17093835</v>
      </c>
      <c r="Z80" s="23">
        <f t="shared" ca="1" si="8"/>
        <v>23791386.606428966</v>
      </c>
    </row>
    <row r="81" spans="1:26">
      <c r="A81" s="11">
        <v>42217</v>
      </c>
      <c r="B81" s="6">
        <f t="shared" si="7"/>
        <v>2015</v>
      </c>
      <c r="D81">
        <f t="shared" ca="1" si="11"/>
        <v>12.719999999999999</v>
      </c>
      <c r="E81">
        <f t="shared" ca="1" si="11"/>
        <v>77.22999999999999</v>
      </c>
      <c r="F81" s="30">
        <f>F69*(1+SUMIF('Ontario Employment Growth'!B:B,B81,'Ontario Employment Growth'!G:G))</f>
        <v>7046.3666999999987</v>
      </c>
      <c r="G81" s="30">
        <f t="shared" si="10"/>
        <v>80</v>
      </c>
      <c r="H81" s="60">
        <f>SUMIF('Connection count '!B:B,B81,'Connection count '!M:M)</f>
        <v>330.70760277267368</v>
      </c>
      <c r="I81" s="30">
        <f t="shared" si="9"/>
        <v>0</v>
      </c>
      <c r="J81" s="30">
        <f t="shared" si="9"/>
        <v>0</v>
      </c>
      <c r="K81" s="30">
        <f t="shared" si="9"/>
        <v>0</v>
      </c>
      <c r="L81" s="30">
        <f t="shared" si="9"/>
        <v>0</v>
      </c>
      <c r="M81" s="30">
        <f t="shared" si="9"/>
        <v>1</v>
      </c>
      <c r="O81" s="23">
        <f>'GS &gt; 50 OLS Model'!$B$5</f>
        <v>-17059648.826166701</v>
      </c>
      <c r="P81" s="23">
        <f ca="1">'GS &gt; 50 OLS Model'!$B$6*D81</f>
        <v>97979.020827159737</v>
      </c>
      <c r="Q81" s="23">
        <f ca="1">'GS &gt; 50 OLS Model'!$B$7*E81</f>
        <v>2521327.8861429952</v>
      </c>
      <c r="R81" s="23">
        <f>'GS &gt; 50 OLS Model'!$B$8*F81</f>
        <v>37955142.655605741</v>
      </c>
      <c r="S81" s="23">
        <f>'GS &gt; 50 OLS Model'!$B$9*G81</f>
        <v>-1969299.741533488</v>
      </c>
      <c r="T81" s="23">
        <f>'GS &gt; 50 OLS Model'!$B$10*H81</f>
        <v>2910373.0359157785</v>
      </c>
      <c r="U81" s="23">
        <f>'GS &gt; 50 OLS Model'!$B$11*I81</f>
        <v>0</v>
      </c>
      <c r="V81" s="23">
        <f>'GS &gt; 50 OLS Model'!$B$12*J81</f>
        <v>0</v>
      </c>
      <c r="W81" s="23">
        <f>'GS &gt; 50 OLS Model'!$B$13*K81</f>
        <v>0</v>
      </c>
      <c r="X81" s="23">
        <f>'GS &gt; 50 OLS Model'!$B$14*L81</f>
        <v>0</v>
      </c>
      <c r="Y81" s="23">
        <f>'GS &gt; 50 OLS Model'!$B$15*M81</f>
        <v>-1207404.17093835</v>
      </c>
      <c r="Z81" s="23">
        <f t="shared" ca="1" si="8"/>
        <v>23248469.859853134</v>
      </c>
    </row>
    <row r="82" spans="1:26">
      <c r="A82" s="11">
        <v>42248</v>
      </c>
      <c r="B82" s="6">
        <f t="shared" si="7"/>
        <v>2015</v>
      </c>
      <c r="D82">
        <f t="shared" ca="1" si="11"/>
        <v>86.570000000000007</v>
      </c>
      <c r="E82">
        <f t="shared" ca="1" si="11"/>
        <v>19.899999999999999</v>
      </c>
      <c r="F82" s="30">
        <f>F70*(1+SUMIF('Ontario Employment Growth'!B:B,B82,'Ontario Employment Growth'!G:G))</f>
        <v>7020.4850999999999</v>
      </c>
      <c r="G82" s="30">
        <f t="shared" si="10"/>
        <v>81</v>
      </c>
      <c r="H82" s="60">
        <f>SUMIF('Connection count '!B:B,B82,'Connection count '!M:M)</f>
        <v>330.70760277267368</v>
      </c>
      <c r="I82" s="30">
        <f t="shared" si="9"/>
        <v>1</v>
      </c>
      <c r="J82" s="30">
        <f t="shared" si="9"/>
        <v>0</v>
      </c>
      <c r="K82" s="30">
        <f t="shared" si="9"/>
        <v>0</v>
      </c>
      <c r="L82" s="30">
        <f t="shared" si="9"/>
        <v>0</v>
      </c>
      <c r="M82" s="30">
        <f t="shared" si="9"/>
        <v>0</v>
      </c>
      <c r="O82" s="23">
        <f>'GS &gt; 50 OLS Model'!$B$5</f>
        <v>-17059648.826166701</v>
      </c>
      <c r="P82" s="23">
        <f ca="1">'GS &gt; 50 OLS Model'!$B$6*D82</f>
        <v>666827.34536220285</v>
      </c>
      <c r="Q82" s="23">
        <f ca="1">'GS &gt; 50 OLS Model'!$B$7*E82</f>
        <v>649675.31961990939</v>
      </c>
      <c r="R82" s="23">
        <f>'GS &gt; 50 OLS Model'!$B$8*F82</f>
        <v>37815731.827021517</v>
      </c>
      <c r="S82" s="23">
        <f>'GS &gt; 50 OLS Model'!$B$9*G82</f>
        <v>-1993915.9883026567</v>
      </c>
      <c r="T82" s="23">
        <f>'GS &gt; 50 OLS Model'!$B$10*H82</f>
        <v>2910373.0359157785</v>
      </c>
      <c r="U82" s="23">
        <f>'GS &gt; 50 OLS Model'!$B$11*I82</f>
        <v>-1573400.2840208299</v>
      </c>
      <c r="V82" s="23">
        <f>'GS &gt; 50 OLS Model'!$B$12*J82</f>
        <v>0</v>
      </c>
      <c r="W82" s="23">
        <f>'GS &gt; 50 OLS Model'!$B$13*K82</f>
        <v>0</v>
      </c>
      <c r="X82" s="23">
        <f>'GS &gt; 50 OLS Model'!$B$14*L82</f>
        <v>0</v>
      </c>
      <c r="Y82" s="23">
        <f>'GS &gt; 50 OLS Model'!$B$15*M82</f>
        <v>0</v>
      </c>
      <c r="Z82" s="23">
        <f t="shared" ca="1" si="8"/>
        <v>21415642.429429222</v>
      </c>
    </row>
    <row r="83" spans="1:26">
      <c r="A83" s="11">
        <v>42278</v>
      </c>
      <c r="B83" s="6">
        <f t="shared" si="7"/>
        <v>2015</v>
      </c>
      <c r="D83">
        <f t="shared" ca="1" si="11"/>
        <v>270.3</v>
      </c>
      <c r="E83">
        <f t="shared" ca="1" si="11"/>
        <v>1.21</v>
      </c>
      <c r="F83" s="30">
        <f>F71*(1+SUMIF('Ontario Employment Growth'!B:B,B83,'Ontario Employment Growth'!G:G))</f>
        <v>7012.9025999999994</v>
      </c>
      <c r="G83" s="30">
        <f t="shared" si="10"/>
        <v>82</v>
      </c>
      <c r="H83" s="60">
        <f>SUMIF('Connection count '!B:B,B83,'Connection count '!M:M)</f>
        <v>330.70760277267368</v>
      </c>
      <c r="I83" s="30">
        <f t="shared" si="9"/>
        <v>1</v>
      </c>
      <c r="J83" s="30">
        <f t="shared" si="9"/>
        <v>0</v>
      </c>
      <c r="K83" s="30">
        <f t="shared" si="9"/>
        <v>0</v>
      </c>
      <c r="L83" s="30">
        <f t="shared" si="9"/>
        <v>0</v>
      </c>
      <c r="M83" s="30">
        <f t="shared" si="9"/>
        <v>0</v>
      </c>
      <c r="O83" s="23">
        <f>'GS &gt; 50 OLS Model'!$B$5</f>
        <v>-17059648.826166701</v>
      </c>
      <c r="P83" s="23">
        <f ca="1">'GS &gt; 50 OLS Model'!$B$6*D83</f>
        <v>2082054.1925771446</v>
      </c>
      <c r="Q83" s="23">
        <f ca="1">'GS &gt; 50 OLS Model'!$B$7*E83</f>
        <v>39502.871192969367</v>
      </c>
      <c r="R83" s="23">
        <f>'GS &gt; 50 OLS Model'!$B$8*F83</f>
        <v>37774888.810834736</v>
      </c>
      <c r="S83" s="23">
        <f>'GS &gt; 50 OLS Model'!$B$9*G83</f>
        <v>-2018532.2350718251</v>
      </c>
      <c r="T83" s="23">
        <f>'GS &gt; 50 OLS Model'!$B$10*H83</f>
        <v>2910373.0359157785</v>
      </c>
      <c r="U83" s="23">
        <f>'GS &gt; 50 OLS Model'!$B$11*I83</f>
        <v>-1573400.2840208299</v>
      </c>
      <c r="V83" s="23">
        <f>'GS &gt; 50 OLS Model'!$B$12*J83</f>
        <v>0</v>
      </c>
      <c r="W83" s="23">
        <f>'GS &gt; 50 OLS Model'!$B$13*K83</f>
        <v>0</v>
      </c>
      <c r="X83" s="23">
        <f>'GS &gt; 50 OLS Model'!$B$14*L83</f>
        <v>0</v>
      </c>
      <c r="Y83" s="23">
        <f>'GS &gt; 50 OLS Model'!$B$15*M83</f>
        <v>0</v>
      </c>
      <c r="Z83" s="23">
        <f t="shared" ca="1" si="8"/>
        <v>22155237.565261267</v>
      </c>
    </row>
    <row r="84" spans="1:26">
      <c r="A84" s="11">
        <v>42309</v>
      </c>
      <c r="B84" s="6">
        <f t="shared" si="7"/>
        <v>2015</v>
      </c>
      <c r="D84">
        <f t="shared" ca="1" si="11"/>
        <v>444.05</v>
      </c>
      <c r="E84">
        <f t="shared" ca="1" si="11"/>
        <v>0</v>
      </c>
      <c r="F84" s="30">
        <f>F72*(1+SUMIF('Ontario Employment Growth'!B:B,B84,'Ontario Employment Growth'!G:G))</f>
        <v>6990.3572999999997</v>
      </c>
      <c r="G84" s="30">
        <f t="shared" si="10"/>
        <v>83</v>
      </c>
      <c r="H84" s="60">
        <f>SUMIF('Connection count '!B:B,B84,'Connection count '!M:M)</f>
        <v>330.70760277267368</v>
      </c>
      <c r="I84" s="30">
        <f t="shared" ref="I84:M93" si="12">I72</f>
        <v>1</v>
      </c>
      <c r="J84" s="30">
        <f t="shared" si="12"/>
        <v>0</v>
      </c>
      <c r="K84" s="30">
        <f t="shared" si="12"/>
        <v>0</v>
      </c>
      <c r="L84" s="30">
        <f t="shared" si="12"/>
        <v>0</v>
      </c>
      <c r="M84" s="30">
        <f t="shared" si="12"/>
        <v>0</v>
      </c>
      <c r="O84" s="23">
        <f>'GS &gt; 50 OLS Model'!$B$5</f>
        <v>-17059648.826166701</v>
      </c>
      <c r="P84" s="23">
        <f ca="1">'GS &gt; 50 OLS Model'!$B$6*D84</f>
        <v>3420407.5627594562</v>
      </c>
      <c r="Q84" s="23">
        <f ca="1">'GS &gt; 50 OLS Model'!$B$7*E84</f>
        <v>0</v>
      </c>
      <c r="R84" s="23">
        <f>'GS &gt; 50 OLS Model'!$B$8*F84</f>
        <v>37653448.909372687</v>
      </c>
      <c r="S84" s="23">
        <f>'GS &gt; 50 OLS Model'!$B$9*G84</f>
        <v>-2043148.4818409937</v>
      </c>
      <c r="T84" s="23">
        <f>'GS &gt; 50 OLS Model'!$B$10*H84</f>
        <v>2910373.0359157785</v>
      </c>
      <c r="U84" s="23">
        <f>'GS &gt; 50 OLS Model'!$B$11*I84</f>
        <v>-1573400.2840208299</v>
      </c>
      <c r="V84" s="23">
        <f>'GS &gt; 50 OLS Model'!$B$12*J84</f>
        <v>0</v>
      </c>
      <c r="W84" s="23">
        <f>'GS &gt; 50 OLS Model'!$B$13*K84</f>
        <v>0</v>
      </c>
      <c r="X84" s="23">
        <f>'GS &gt; 50 OLS Model'!$B$14*L84</f>
        <v>0</v>
      </c>
      <c r="Y84" s="23">
        <f>'GS &gt; 50 OLS Model'!$B$15*M84</f>
        <v>0</v>
      </c>
      <c r="Z84" s="23">
        <f t="shared" ca="1" si="8"/>
        <v>23308031.916019395</v>
      </c>
    </row>
    <row r="85" spans="1:26">
      <c r="A85" s="11">
        <v>42339</v>
      </c>
      <c r="B85" s="6">
        <f t="shared" si="7"/>
        <v>2015</v>
      </c>
      <c r="D85">
        <f t="shared" ca="1" si="11"/>
        <v>684.01</v>
      </c>
      <c r="E85">
        <f t="shared" ca="1" si="11"/>
        <v>0</v>
      </c>
      <c r="F85" s="30">
        <f>F73*(1+SUMIF('Ontario Employment Growth'!B:B,B85,'Ontario Employment Growth'!G:G))</f>
        <v>6979.1351999999988</v>
      </c>
      <c r="G85" s="30">
        <f t="shared" si="10"/>
        <v>84</v>
      </c>
      <c r="H85" s="60">
        <f>SUMIF('Connection count '!B:B,B85,'Connection count '!M:M)</f>
        <v>330.70760277267368</v>
      </c>
      <c r="I85" s="30">
        <f t="shared" si="12"/>
        <v>0</v>
      </c>
      <c r="J85" s="30">
        <f t="shared" si="12"/>
        <v>0</v>
      </c>
      <c r="K85" s="30">
        <f t="shared" si="12"/>
        <v>0</v>
      </c>
      <c r="L85" s="30">
        <f t="shared" si="12"/>
        <v>1</v>
      </c>
      <c r="M85" s="30">
        <f t="shared" si="12"/>
        <v>0</v>
      </c>
      <c r="O85" s="23">
        <f>'GS &gt; 50 OLS Model'!$B$5</f>
        <v>-17059648.826166701</v>
      </c>
      <c r="P85" s="23">
        <f ca="1">'GS &gt; 50 OLS Model'!$B$6*D85</f>
        <v>5268760.2229548376</v>
      </c>
      <c r="Q85" s="23">
        <f ca="1">'GS &gt; 50 OLS Model'!$B$7*E85</f>
        <v>0</v>
      </c>
      <c r="R85" s="23">
        <f>'GS &gt; 50 OLS Model'!$B$8*F85</f>
        <v>37593001.245416239</v>
      </c>
      <c r="S85" s="23">
        <f>'GS &gt; 50 OLS Model'!$B$9*G85</f>
        <v>-2067764.7286101624</v>
      </c>
      <c r="T85" s="23">
        <f>'GS &gt; 50 OLS Model'!$B$10*H85</f>
        <v>2910373.0359157785</v>
      </c>
      <c r="U85" s="23">
        <f>'GS &gt; 50 OLS Model'!$B$11*I85</f>
        <v>0</v>
      </c>
      <c r="V85" s="23">
        <f>'GS &gt; 50 OLS Model'!$B$12*J85</f>
        <v>0</v>
      </c>
      <c r="W85" s="23">
        <f>'GS &gt; 50 OLS Model'!$B$13*K85</f>
        <v>0</v>
      </c>
      <c r="X85" s="23">
        <f>'GS &gt; 50 OLS Model'!$B$14*L85</f>
        <v>-1083532.53757107</v>
      </c>
      <c r="Y85" s="23">
        <f>'GS &gt; 50 OLS Model'!$B$15*M85</f>
        <v>0</v>
      </c>
      <c r="Z85" s="23">
        <f t="shared" ca="1" si="8"/>
        <v>25561188.411938921</v>
      </c>
    </row>
    <row r="86" spans="1:26">
      <c r="A86" s="11">
        <v>42370</v>
      </c>
      <c r="B86" s="6">
        <f t="shared" si="7"/>
        <v>2016</v>
      </c>
      <c r="D86">
        <f t="shared" ca="1" si="11"/>
        <v>784.29</v>
      </c>
      <c r="E86">
        <f t="shared" ca="1" si="11"/>
        <v>0</v>
      </c>
      <c r="F86" s="30">
        <f>F74*(1+SUMIF('Ontario Employment Growth'!B:B,B86,'Ontario Employment Growth'!G:G))</f>
        <v>6970.4196722999995</v>
      </c>
      <c r="G86" s="30">
        <f t="shared" si="10"/>
        <v>85</v>
      </c>
      <c r="H86" s="60">
        <f>SUMIF('Connection count '!B:B,B86,'Connection count '!M:M)</f>
        <v>337.03395541340069</v>
      </c>
      <c r="I86" s="30">
        <f t="shared" si="12"/>
        <v>0</v>
      </c>
      <c r="J86" s="30">
        <f t="shared" si="12"/>
        <v>0</v>
      </c>
      <c r="K86" s="30">
        <f t="shared" si="12"/>
        <v>0</v>
      </c>
      <c r="L86" s="30">
        <f t="shared" si="12"/>
        <v>0</v>
      </c>
      <c r="M86" s="30">
        <f t="shared" si="12"/>
        <v>0</v>
      </c>
      <c r="O86" s="23">
        <f>'GS &gt; 50 OLS Model'!$B$5</f>
        <v>-17059648.826166701</v>
      </c>
      <c r="P86" s="23">
        <f ca="1">'GS &gt; 50 OLS Model'!$B$6*D86</f>
        <v>6041192.3148217853</v>
      </c>
      <c r="Q86" s="23">
        <f ca="1">'GS &gt; 50 OLS Model'!$B$7*E86</f>
        <v>0</v>
      </c>
      <c r="R86" s="23">
        <f>'GS &gt; 50 OLS Model'!$B$8*F86</f>
        <v>37546055.193464056</v>
      </c>
      <c r="S86" s="23">
        <f>'GS &gt; 50 OLS Model'!$B$9*G86</f>
        <v>-2092380.975379331</v>
      </c>
      <c r="T86" s="23">
        <f>'GS &gt; 50 OLS Model'!$B$10*H86</f>
        <v>2966047.734613053</v>
      </c>
      <c r="U86" s="23">
        <f>'GS &gt; 50 OLS Model'!$B$11*I86</f>
        <v>0</v>
      </c>
      <c r="V86" s="23">
        <f>'GS &gt; 50 OLS Model'!$B$12*J86</f>
        <v>0</v>
      </c>
      <c r="W86" s="23">
        <f>'GS &gt; 50 OLS Model'!$B$13*K86</f>
        <v>0</v>
      </c>
      <c r="X86" s="23">
        <f>'GS &gt; 50 OLS Model'!$B$14*L86</f>
        <v>0</v>
      </c>
      <c r="Y86" s="23">
        <f>'GS &gt; 50 OLS Model'!$B$15*M86</f>
        <v>0</v>
      </c>
      <c r="Z86" s="23">
        <f t="shared" ca="1" si="8"/>
        <v>27401265.441352859</v>
      </c>
    </row>
    <row r="87" spans="1:26">
      <c r="A87" s="11">
        <v>42401</v>
      </c>
      <c r="B87" s="6">
        <f t="shared" si="7"/>
        <v>2016</v>
      </c>
      <c r="D87">
        <f t="shared" ca="1" si="11"/>
        <v>682.50999999999988</v>
      </c>
      <c r="E87">
        <f t="shared" ca="1" si="11"/>
        <v>0</v>
      </c>
      <c r="F87" s="30">
        <f>F75*(1+SUMIF('Ontario Employment Growth'!B:B,B87,'Ontario Employment Growth'!G:G))</f>
        <v>6935.803638899999</v>
      </c>
      <c r="G87" s="30">
        <f t="shared" si="10"/>
        <v>86</v>
      </c>
      <c r="H87" s="60">
        <f>SUMIF('Connection count '!B:B,B87,'Connection count '!M:M)</f>
        <v>337.03395541340069</v>
      </c>
      <c r="I87" s="30">
        <f t="shared" si="12"/>
        <v>0</v>
      </c>
      <c r="J87" s="30">
        <f t="shared" si="12"/>
        <v>1</v>
      </c>
      <c r="K87" s="30">
        <f t="shared" si="12"/>
        <v>0</v>
      </c>
      <c r="L87" s="30">
        <f t="shared" si="12"/>
        <v>0</v>
      </c>
      <c r="M87" s="30">
        <f t="shared" si="12"/>
        <v>0</v>
      </c>
      <c r="O87" s="23">
        <f>'GS &gt; 50 OLS Model'!$B$5</f>
        <v>-17059648.826166701</v>
      </c>
      <c r="P87" s="23">
        <f ca="1">'GS &gt; 50 OLS Model'!$B$6*D87</f>
        <v>5257206.0931403134</v>
      </c>
      <c r="Q87" s="23">
        <f ca="1">'GS &gt; 50 OLS Model'!$B$7*E87</f>
        <v>0</v>
      </c>
      <c r="R87" s="23">
        <f>'GS &gt; 50 OLS Model'!$B$8*F87</f>
        <v>37359596.47767394</v>
      </c>
      <c r="S87" s="23">
        <f>'GS &gt; 50 OLS Model'!$B$9*G87</f>
        <v>-2116997.2221484995</v>
      </c>
      <c r="T87" s="23">
        <f>'GS &gt; 50 OLS Model'!$B$10*H87</f>
        <v>2966047.734613053</v>
      </c>
      <c r="U87" s="23">
        <f>'GS &gt; 50 OLS Model'!$B$11*I87</f>
        <v>0</v>
      </c>
      <c r="V87" s="23">
        <f>'GS &gt; 50 OLS Model'!$B$12*J87</f>
        <v>-1514604.0647521601</v>
      </c>
      <c r="W87" s="23">
        <f>'GS &gt; 50 OLS Model'!$B$13*K87</f>
        <v>0</v>
      </c>
      <c r="X87" s="23">
        <f>'GS &gt; 50 OLS Model'!$B$14*L87</f>
        <v>0</v>
      </c>
      <c r="Y87" s="23">
        <f>'GS &gt; 50 OLS Model'!$B$15*M87</f>
        <v>0</v>
      </c>
      <c r="Z87" s="23">
        <f t="shared" ca="1" si="8"/>
        <v>24891600.192359947</v>
      </c>
    </row>
    <row r="88" spans="1:26">
      <c r="A88" s="11">
        <v>42430</v>
      </c>
      <c r="B88" s="6">
        <f t="shared" si="7"/>
        <v>2016</v>
      </c>
      <c r="D88">
        <f t="shared" ca="1" si="11"/>
        <v>556.99</v>
      </c>
      <c r="E88">
        <f t="shared" ca="1" si="11"/>
        <v>0</v>
      </c>
      <c r="F88" s="30">
        <f>F76*(1+SUMIF('Ontario Employment Growth'!B:B,B88,'Ontario Employment Growth'!G:G))</f>
        <v>6914.2966358999984</v>
      </c>
      <c r="G88" s="30">
        <f t="shared" si="10"/>
        <v>87</v>
      </c>
      <c r="H88" s="60">
        <f>SUMIF('Connection count '!B:B,B88,'Connection count '!M:M)</f>
        <v>337.03395541340069</v>
      </c>
      <c r="I88" s="30">
        <f t="shared" si="12"/>
        <v>0</v>
      </c>
      <c r="J88" s="30">
        <f t="shared" si="12"/>
        <v>0</v>
      </c>
      <c r="K88" s="30">
        <f t="shared" si="12"/>
        <v>0</v>
      </c>
      <c r="L88" s="30">
        <f t="shared" si="12"/>
        <v>0</v>
      </c>
      <c r="M88" s="30">
        <f t="shared" si="12"/>
        <v>0</v>
      </c>
      <c r="O88" s="23">
        <f>'GS &gt; 50 OLS Model'!$B$5</f>
        <v>-17059648.826166701</v>
      </c>
      <c r="P88" s="23">
        <f ca="1">'GS &gt; 50 OLS Model'!$B$6*D88</f>
        <v>4290356.5102609834</v>
      </c>
      <c r="Q88" s="23">
        <f ca="1">'GS &gt; 50 OLS Model'!$B$7*E88</f>
        <v>0</v>
      </c>
      <c r="R88" s="23">
        <f>'GS &gt; 50 OLS Model'!$B$8*F88</f>
        <v>37243749.346561737</v>
      </c>
      <c r="S88" s="23">
        <f>'GS &gt; 50 OLS Model'!$B$9*G88</f>
        <v>-2141613.4689176683</v>
      </c>
      <c r="T88" s="23">
        <f>'GS &gt; 50 OLS Model'!$B$10*H88</f>
        <v>2966047.734613053</v>
      </c>
      <c r="U88" s="23">
        <f>'GS &gt; 50 OLS Model'!$B$11*I88</f>
        <v>0</v>
      </c>
      <c r="V88" s="23">
        <f>'GS &gt; 50 OLS Model'!$B$12*J88</f>
        <v>0</v>
      </c>
      <c r="W88" s="23">
        <f>'GS &gt; 50 OLS Model'!$B$13*K88</f>
        <v>0</v>
      </c>
      <c r="X88" s="23">
        <f>'GS &gt; 50 OLS Model'!$B$14*L88</f>
        <v>0</v>
      </c>
      <c r="Y88" s="23">
        <f>'GS &gt; 50 OLS Model'!$B$15*M88</f>
        <v>0</v>
      </c>
      <c r="Z88" s="23">
        <f t="shared" ca="1" si="8"/>
        <v>25298891.296351407</v>
      </c>
    </row>
    <row r="89" spans="1:26">
      <c r="A89" s="11">
        <v>42461</v>
      </c>
      <c r="B89" s="6">
        <f t="shared" si="7"/>
        <v>2016</v>
      </c>
      <c r="D89">
        <f t="shared" ca="1" si="11"/>
        <v>326.58999999999997</v>
      </c>
      <c r="E89">
        <f t="shared" ca="1" si="11"/>
        <v>0.39</v>
      </c>
      <c r="F89" s="30">
        <f>F77*(1+SUMIF('Ontario Employment Growth'!B:B,B89,'Ontario Employment Growth'!G:G))</f>
        <v>6948.8102549999985</v>
      </c>
      <c r="G89" s="30">
        <f t="shared" si="10"/>
        <v>88</v>
      </c>
      <c r="H89" s="60">
        <f>SUMIF('Connection count '!B:B,B89,'Connection count '!M:M)</f>
        <v>337.03395541340069</v>
      </c>
      <c r="I89" s="30">
        <f t="shared" si="12"/>
        <v>0</v>
      </c>
      <c r="J89" s="30">
        <f t="shared" si="12"/>
        <v>0</v>
      </c>
      <c r="K89" s="30">
        <f t="shared" si="12"/>
        <v>1</v>
      </c>
      <c r="L89" s="30">
        <f t="shared" si="12"/>
        <v>0</v>
      </c>
      <c r="M89" s="30">
        <f t="shared" si="12"/>
        <v>0</v>
      </c>
      <c r="O89" s="23">
        <f>'GS &gt; 50 OLS Model'!$B$5</f>
        <v>-17059648.826166701</v>
      </c>
      <c r="P89" s="23">
        <f ca="1">'GS &gt; 50 OLS Model'!$B$6*D89</f>
        <v>2515642.1707501649</v>
      </c>
      <c r="Q89" s="23">
        <f ca="1">'GS &gt; 50 OLS Model'!$B$7*E89</f>
        <v>12732.330384510789</v>
      </c>
      <c r="R89" s="23">
        <f>'GS &gt; 50 OLS Model'!$B$8*F89</f>
        <v>37429656.409346551</v>
      </c>
      <c r="S89" s="23">
        <f>'GS &gt; 50 OLS Model'!$B$9*G89</f>
        <v>-2166229.7156868367</v>
      </c>
      <c r="T89" s="23">
        <f>'GS &gt; 50 OLS Model'!$B$10*H89</f>
        <v>2966047.734613053</v>
      </c>
      <c r="U89" s="23">
        <f>'GS &gt; 50 OLS Model'!$B$11*I89</f>
        <v>0</v>
      </c>
      <c r="V89" s="23">
        <f>'GS &gt; 50 OLS Model'!$B$12*J89</f>
        <v>0</v>
      </c>
      <c r="W89" s="23">
        <f>'GS &gt; 50 OLS Model'!$B$13*K89</f>
        <v>-1589866.56724812</v>
      </c>
      <c r="X89" s="23">
        <f>'GS &gt; 50 OLS Model'!$B$14*L89</f>
        <v>0</v>
      </c>
      <c r="Y89" s="23">
        <f>'GS &gt; 50 OLS Model'!$B$15*M89</f>
        <v>0</v>
      </c>
      <c r="Z89" s="23">
        <f t="shared" ca="1" si="8"/>
        <v>22108333.535992622</v>
      </c>
    </row>
    <row r="90" spans="1:26">
      <c r="A90" s="11">
        <v>42491</v>
      </c>
      <c r="B90" s="6">
        <f t="shared" si="7"/>
        <v>2016</v>
      </c>
      <c r="D90">
        <f t="shared" ca="1" si="11"/>
        <v>144.96</v>
      </c>
      <c r="E90">
        <f t="shared" ca="1" si="11"/>
        <v>8.67</v>
      </c>
      <c r="F90" s="30">
        <f>F78*(1+SUMIF('Ontario Employment Growth'!B:B,B90,'Ontario Employment Growth'!G:G))</f>
        <v>7007.8008917999987</v>
      </c>
      <c r="G90" s="30">
        <f t="shared" si="10"/>
        <v>89</v>
      </c>
      <c r="H90" s="60">
        <f>SUMIF('Connection count '!B:B,B90,'Connection count '!M:M)</f>
        <v>337.03395541340069</v>
      </c>
      <c r="I90" s="30">
        <f t="shared" si="12"/>
        <v>0</v>
      </c>
      <c r="J90" s="30">
        <f t="shared" si="12"/>
        <v>0</v>
      </c>
      <c r="K90" s="30">
        <f t="shared" si="12"/>
        <v>0</v>
      </c>
      <c r="L90" s="30">
        <f t="shared" si="12"/>
        <v>0</v>
      </c>
      <c r="M90" s="30">
        <f t="shared" si="12"/>
        <v>1</v>
      </c>
      <c r="O90" s="23">
        <f>'GS &gt; 50 OLS Model'!$B$5</f>
        <v>-17059648.826166701</v>
      </c>
      <c r="P90" s="23">
        <f ca="1">'GS &gt; 50 OLS Model'!$B$6*D90</f>
        <v>1116591.1052755564</v>
      </c>
      <c r="Q90" s="23">
        <f ca="1">'GS &gt; 50 OLS Model'!$B$7*E90</f>
        <v>283049.49854797061</v>
      </c>
      <c r="R90" s="23">
        <f>'GS &gt; 50 OLS Model'!$B$8*F90</f>
        <v>37747408.54039716</v>
      </c>
      <c r="S90" s="23">
        <f>'GS &gt; 50 OLS Model'!$B$9*G90</f>
        <v>-2190845.9624560052</v>
      </c>
      <c r="T90" s="23">
        <f>'GS &gt; 50 OLS Model'!$B$10*H90</f>
        <v>2966047.734613053</v>
      </c>
      <c r="U90" s="23">
        <f>'GS &gt; 50 OLS Model'!$B$11*I90</f>
        <v>0</v>
      </c>
      <c r="V90" s="23">
        <f>'GS &gt; 50 OLS Model'!$B$12*J90</f>
        <v>0</v>
      </c>
      <c r="W90" s="23">
        <f>'GS &gt; 50 OLS Model'!$B$13*K90</f>
        <v>0</v>
      </c>
      <c r="X90" s="23">
        <f>'GS &gt; 50 OLS Model'!$B$14*L90</f>
        <v>0</v>
      </c>
      <c r="Y90" s="23">
        <f>'GS &gt; 50 OLS Model'!$B$15*M90</f>
        <v>-1207404.17093835</v>
      </c>
      <c r="Z90" s="23">
        <f t="shared" ca="1" si="8"/>
        <v>21655197.919272684</v>
      </c>
    </row>
    <row r="91" spans="1:26">
      <c r="A91" s="11">
        <v>42522</v>
      </c>
      <c r="B91" s="6">
        <f t="shared" si="7"/>
        <v>2016</v>
      </c>
      <c r="D91">
        <f t="shared" ca="1" si="11"/>
        <v>41.510000000000005</v>
      </c>
      <c r="E91">
        <f t="shared" ca="1" si="11"/>
        <v>44.41</v>
      </c>
      <c r="F91" s="30">
        <f>F79*(1+SUMIF('Ontario Employment Growth'!B:B,B91,'Ontario Employment Growth'!G:G))</f>
        <v>7079.7981446999984</v>
      </c>
      <c r="G91" s="30">
        <f t="shared" si="10"/>
        <v>90</v>
      </c>
      <c r="H91" s="60">
        <f>SUMIF('Connection count '!B:B,B91,'Connection count '!M:M)</f>
        <v>337.03395541340069</v>
      </c>
      <c r="I91" s="30">
        <f t="shared" si="12"/>
        <v>0</v>
      </c>
      <c r="J91" s="30">
        <f t="shared" si="12"/>
        <v>0</v>
      </c>
      <c r="K91" s="30">
        <f t="shared" si="12"/>
        <v>0</v>
      </c>
      <c r="L91" s="30">
        <f t="shared" si="12"/>
        <v>0</v>
      </c>
      <c r="M91" s="30">
        <f t="shared" si="12"/>
        <v>1</v>
      </c>
      <c r="O91" s="23">
        <f>'GS &gt; 50 OLS Model'!$B$5</f>
        <v>-17059648.826166701</v>
      </c>
      <c r="P91" s="23">
        <f ca="1">'GS &gt; 50 OLS Model'!$B$6*D91</f>
        <v>319741.28573391523</v>
      </c>
      <c r="Q91" s="23">
        <f ca="1">'GS &gt; 50 OLS Model'!$B$7*E91</f>
        <v>1449853.3137849336</v>
      </c>
      <c r="R91" s="23">
        <f>'GS &gt; 50 OLS Model'!$B$8*F91</f>
        <v>38135220.603120379</v>
      </c>
      <c r="S91" s="23">
        <f>'GS &gt; 50 OLS Model'!$B$9*G91</f>
        <v>-2215462.209225174</v>
      </c>
      <c r="T91" s="23">
        <f>'GS &gt; 50 OLS Model'!$B$10*H91</f>
        <v>2966047.734613053</v>
      </c>
      <c r="U91" s="23">
        <f>'GS &gt; 50 OLS Model'!$B$11*I91</f>
        <v>0</v>
      </c>
      <c r="V91" s="23">
        <f>'GS &gt; 50 OLS Model'!$B$12*J91</f>
        <v>0</v>
      </c>
      <c r="W91" s="23">
        <f>'GS &gt; 50 OLS Model'!$B$13*K91</f>
        <v>0</v>
      </c>
      <c r="X91" s="23">
        <f>'GS &gt; 50 OLS Model'!$B$14*L91</f>
        <v>0</v>
      </c>
      <c r="Y91" s="23">
        <f>'GS &gt; 50 OLS Model'!$B$15*M91</f>
        <v>-1207404.17093835</v>
      </c>
      <c r="Z91" s="23">
        <f t="shared" ca="1" si="8"/>
        <v>22388347.730922058</v>
      </c>
    </row>
    <row r="92" spans="1:26">
      <c r="A92" s="11">
        <v>42552</v>
      </c>
      <c r="B92" s="6">
        <f t="shared" si="7"/>
        <v>2016</v>
      </c>
      <c r="D92">
        <f t="shared" ca="1" si="11"/>
        <v>5.01</v>
      </c>
      <c r="E92">
        <f t="shared" ca="1" si="11"/>
        <v>96.909999999999982</v>
      </c>
      <c r="F92" s="30">
        <f>F80*(1+SUMIF('Ontario Employment Growth'!B:B,B92,'Ontario Employment Growth'!G:G))</f>
        <v>7125.782165399999</v>
      </c>
      <c r="G92" s="30">
        <f t="shared" si="10"/>
        <v>91</v>
      </c>
      <c r="H92" s="60">
        <f>SUMIF('Connection count '!B:B,B92,'Connection count '!M:M)</f>
        <v>337.03395541340069</v>
      </c>
      <c r="I92" s="30">
        <f t="shared" si="12"/>
        <v>0</v>
      </c>
      <c r="J92" s="30">
        <f t="shared" si="12"/>
        <v>0</v>
      </c>
      <c r="K92" s="30">
        <f t="shared" si="12"/>
        <v>0</v>
      </c>
      <c r="L92" s="30">
        <f t="shared" si="12"/>
        <v>0</v>
      </c>
      <c r="M92" s="30">
        <f t="shared" si="12"/>
        <v>1</v>
      </c>
      <c r="O92" s="23">
        <f>'GS &gt; 50 OLS Model'!$B$5</f>
        <v>-17059648.826166701</v>
      </c>
      <c r="P92" s="23">
        <f ca="1">'GS &gt; 50 OLS Model'!$B$6*D92</f>
        <v>38590.793580508667</v>
      </c>
      <c r="Q92" s="23">
        <f ca="1">'GS &gt; 50 OLS Model'!$B$7*E92</f>
        <v>3163820.8655460011</v>
      </c>
      <c r="R92" s="23">
        <f>'GS &gt; 50 OLS Model'!$B$8*F92</f>
        <v>38382912.80249837</v>
      </c>
      <c r="S92" s="23">
        <f>'GS &gt; 50 OLS Model'!$B$9*G92</f>
        <v>-2240078.4559943425</v>
      </c>
      <c r="T92" s="23">
        <f>'GS &gt; 50 OLS Model'!$B$10*H92</f>
        <v>2966047.734613053</v>
      </c>
      <c r="U92" s="23">
        <f>'GS &gt; 50 OLS Model'!$B$11*I92</f>
        <v>0</v>
      </c>
      <c r="V92" s="23">
        <f>'GS &gt; 50 OLS Model'!$B$12*J92</f>
        <v>0</v>
      </c>
      <c r="W92" s="23">
        <f>'GS &gt; 50 OLS Model'!$B$13*K92</f>
        <v>0</v>
      </c>
      <c r="X92" s="23">
        <f>'GS &gt; 50 OLS Model'!$B$14*L92</f>
        <v>0</v>
      </c>
      <c r="Y92" s="23">
        <f>'GS &gt; 50 OLS Model'!$B$15*M92</f>
        <v>-1207404.17093835</v>
      </c>
      <c r="Z92" s="23">
        <f t="shared" ca="1" si="8"/>
        <v>24044240.743138541</v>
      </c>
    </row>
    <row r="93" spans="1:26">
      <c r="A93" s="11">
        <v>42583</v>
      </c>
      <c r="B93" s="6">
        <f t="shared" si="7"/>
        <v>2016</v>
      </c>
      <c r="D93">
        <f t="shared" ca="1" si="11"/>
        <v>12.719999999999999</v>
      </c>
      <c r="E93">
        <f t="shared" ca="1" si="11"/>
        <v>77.22999999999999</v>
      </c>
      <c r="F93" s="30">
        <f>F81*(1+SUMIF('Ontario Employment Growth'!B:B,B93,'Ontario Employment Growth'!G:G))</f>
        <v>7137.9694670999979</v>
      </c>
      <c r="G93" s="30">
        <f t="shared" si="10"/>
        <v>92</v>
      </c>
      <c r="H93" s="60">
        <f>SUMIF('Connection count '!B:B,B93,'Connection count '!M:M)</f>
        <v>337.03395541340069</v>
      </c>
      <c r="I93" s="30">
        <f t="shared" si="12"/>
        <v>0</v>
      </c>
      <c r="J93" s="30">
        <f t="shared" si="12"/>
        <v>0</v>
      </c>
      <c r="K93" s="30">
        <f t="shared" si="12"/>
        <v>0</v>
      </c>
      <c r="L93" s="30">
        <f t="shared" si="12"/>
        <v>0</v>
      </c>
      <c r="M93" s="30">
        <f t="shared" si="12"/>
        <v>1</v>
      </c>
      <c r="O93" s="23">
        <f>'GS &gt; 50 OLS Model'!$B$5</f>
        <v>-17059648.826166701</v>
      </c>
      <c r="P93" s="23">
        <f ca="1">'GS &gt; 50 OLS Model'!$B$6*D93</f>
        <v>97979.020827159737</v>
      </c>
      <c r="Q93" s="23">
        <f ca="1">'GS &gt; 50 OLS Model'!$B$7*E93</f>
        <v>2521327.8861429952</v>
      </c>
      <c r="R93" s="23">
        <f>'GS &gt; 50 OLS Model'!$B$8*F93</f>
        <v>38448559.510128617</v>
      </c>
      <c r="S93" s="23">
        <f>'GS &gt; 50 OLS Model'!$B$9*G93</f>
        <v>-2264694.7027635113</v>
      </c>
      <c r="T93" s="23">
        <f>'GS &gt; 50 OLS Model'!$B$10*H93</f>
        <v>2966047.734613053</v>
      </c>
      <c r="U93" s="23">
        <f>'GS &gt; 50 OLS Model'!$B$11*I93</f>
        <v>0</v>
      </c>
      <c r="V93" s="23">
        <f>'GS &gt; 50 OLS Model'!$B$12*J93</f>
        <v>0</v>
      </c>
      <c r="W93" s="23">
        <f>'GS &gt; 50 OLS Model'!$B$13*K93</f>
        <v>0</v>
      </c>
      <c r="X93" s="23">
        <f>'GS &gt; 50 OLS Model'!$B$14*L93</f>
        <v>0</v>
      </c>
      <c r="Y93" s="23">
        <f>'GS &gt; 50 OLS Model'!$B$15*M93</f>
        <v>-1207404.17093835</v>
      </c>
      <c r="Z93" s="23">
        <f t="shared" ca="1" si="8"/>
        <v>23502166.451843262</v>
      </c>
    </row>
    <row r="94" spans="1:26">
      <c r="A94" s="11">
        <v>42614</v>
      </c>
      <c r="B94" s="6">
        <f t="shared" si="7"/>
        <v>2016</v>
      </c>
      <c r="D94">
        <f t="shared" ca="1" si="11"/>
        <v>86.570000000000007</v>
      </c>
      <c r="E94">
        <f t="shared" ca="1" si="11"/>
        <v>19.899999999999999</v>
      </c>
      <c r="F94" s="30">
        <f>F82*(1+SUMIF('Ontario Employment Growth'!B:B,B94,'Ontario Employment Growth'!G:G))</f>
        <v>7111.751406299999</v>
      </c>
      <c r="G94" s="30">
        <f t="shared" si="10"/>
        <v>93</v>
      </c>
      <c r="H94" s="60">
        <f>SUMIF('Connection count '!B:B,B94,'Connection count '!M:M)</f>
        <v>337.03395541340069</v>
      </c>
      <c r="I94" s="30">
        <f t="shared" ref="I94:M103" si="13">I82</f>
        <v>1</v>
      </c>
      <c r="J94" s="30">
        <f t="shared" si="13"/>
        <v>0</v>
      </c>
      <c r="K94" s="30">
        <f t="shared" si="13"/>
        <v>0</v>
      </c>
      <c r="L94" s="30">
        <f t="shared" si="13"/>
        <v>0</v>
      </c>
      <c r="M94" s="30">
        <f t="shared" si="13"/>
        <v>0</v>
      </c>
      <c r="O94" s="23">
        <f>'GS &gt; 50 OLS Model'!$B$5</f>
        <v>-17059648.826166701</v>
      </c>
      <c r="P94" s="23">
        <f ca="1">'GS &gt; 50 OLS Model'!$B$6*D94</f>
        <v>666827.34536220285</v>
      </c>
      <c r="Q94" s="23">
        <f ca="1">'GS &gt; 50 OLS Model'!$B$7*E94</f>
        <v>649675.31961990939</v>
      </c>
      <c r="R94" s="23">
        <f>'GS &gt; 50 OLS Model'!$B$8*F94</f>
        <v>38307336.340772793</v>
      </c>
      <c r="S94" s="23">
        <f>'GS &gt; 50 OLS Model'!$B$9*G94</f>
        <v>-2289310.9495326797</v>
      </c>
      <c r="T94" s="23">
        <f>'GS &gt; 50 OLS Model'!$B$10*H94</f>
        <v>2966047.734613053</v>
      </c>
      <c r="U94" s="23">
        <f>'GS &gt; 50 OLS Model'!$B$11*I94</f>
        <v>-1573400.2840208299</v>
      </c>
      <c r="V94" s="23">
        <f>'GS &gt; 50 OLS Model'!$B$12*J94</f>
        <v>0</v>
      </c>
      <c r="W94" s="23">
        <f>'GS &gt; 50 OLS Model'!$B$13*K94</f>
        <v>0</v>
      </c>
      <c r="X94" s="23">
        <f>'GS &gt; 50 OLS Model'!$B$14*L94</f>
        <v>0</v>
      </c>
      <c r="Y94" s="23">
        <f>'GS &gt; 50 OLS Model'!$B$15*M94</f>
        <v>0</v>
      </c>
      <c r="Z94" s="23">
        <f t="shared" ca="1" si="8"/>
        <v>21667526.680647749</v>
      </c>
    </row>
    <row r="95" spans="1:26">
      <c r="A95" s="11">
        <v>42644</v>
      </c>
      <c r="B95" s="6">
        <f t="shared" si="7"/>
        <v>2016</v>
      </c>
      <c r="D95">
        <f t="shared" ref="D95:E97" ca="1" si="14">D83</f>
        <v>270.3</v>
      </c>
      <c r="E95">
        <f t="shared" ca="1" si="14"/>
        <v>1.21</v>
      </c>
      <c r="F95" s="30">
        <f>F83*(1+SUMIF('Ontario Employment Growth'!B:B,B95,'Ontario Employment Growth'!G:G))</f>
        <v>7104.0703337999985</v>
      </c>
      <c r="G95" s="30">
        <f t="shared" si="10"/>
        <v>94</v>
      </c>
      <c r="H95" s="60">
        <f>SUMIF('Connection count '!B:B,B95,'Connection count '!M:M)</f>
        <v>337.03395541340069</v>
      </c>
      <c r="I95" s="30">
        <f t="shared" si="13"/>
        <v>1</v>
      </c>
      <c r="J95" s="30">
        <f t="shared" si="13"/>
        <v>0</v>
      </c>
      <c r="K95" s="30">
        <f t="shared" si="13"/>
        <v>0</v>
      </c>
      <c r="L95" s="30">
        <f t="shared" si="13"/>
        <v>0</v>
      </c>
      <c r="M95" s="30">
        <f t="shared" si="13"/>
        <v>0</v>
      </c>
      <c r="O95" s="23">
        <f>'GS &gt; 50 OLS Model'!$B$5</f>
        <v>-17059648.826166701</v>
      </c>
      <c r="P95" s="23">
        <f ca="1">'GS &gt; 50 OLS Model'!$B$6*D95</f>
        <v>2082054.1925771446</v>
      </c>
      <c r="Q95" s="23">
        <f ca="1">'GS &gt; 50 OLS Model'!$B$7*E95</f>
        <v>39502.871192969367</v>
      </c>
      <c r="R95" s="23">
        <f>'GS &gt; 50 OLS Model'!$B$8*F95</f>
        <v>38265962.365375578</v>
      </c>
      <c r="S95" s="23">
        <f>'GS &gt; 50 OLS Model'!$B$9*G95</f>
        <v>-2313927.1963018482</v>
      </c>
      <c r="T95" s="23">
        <f>'GS &gt; 50 OLS Model'!$B$10*H95</f>
        <v>2966047.734613053</v>
      </c>
      <c r="U95" s="23">
        <f>'GS &gt; 50 OLS Model'!$B$11*I95</f>
        <v>-1573400.2840208299</v>
      </c>
      <c r="V95" s="23">
        <f>'GS &gt; 50 OLS Model'!$B$12*J95</f>
        <v>0</v>
      </c>
      <c r="W95" s="23">
        <f>'GS &gt; 50 OLS Model'!$B$13*K95</f>
        <v>0</v>
      </c>
      <c r="X95" s="23">
        <f>'GS &gt; 50 OLS Model'!$B$14*L95</f>
        <v>0</v>
      </c>
      <c r="Y95" s="23">
        <f>'GS &gt; 50 OLS Model'!$B$15*M95</f>
        <v>0</v>
      </c>
      <c r="Z95" s="23">
        <f t="shared" ca="1" si="8"/>
        <v>22406590.857269365</v>
      </c>
    </row>
    <row r="96" spans="1:26">
      <c r="A96" s="11">
        <v>42675</v>
      </c>
      <c r="B96" s="6">
        <f t="shared" si="7"/>
        <v>2016</v>
      </c>
      <c r="D96">
        <f t="shared" ca="1" si="14"/>
        <v>444.05</v>
      </c>
      <c r="E96">
        <f t="shared" ca="1" si="14"/>
        <v>0</v>
      </c>
      <c r="F96" s="30">
        <f>F84*(1+SUMIF('Ontario Employment Growth'!B:B,B96,'Ontario Employment Growth'!G:G))</f>
        <v>7081.2319448999988</v>
      </c>
      <c r="G96" s="30">
        <f t="shared" si="10"/>
        <v>95</v>
      </c>
      <c r="H96" s="60">
        <f>SUMIF('Connection count '!B:B,B96,'Connection count '!M:M)</f>
        <v>337.03395541340069</v>
      </c>
      <c r="I96" s="30">
        <f t="shared" si="13"/>
        <v>1</v>
      </c>
      <c r="J96" s="30">
        <f t="shared" si="13"/>
        <v>0</v>
      </c>
      <c r="K96" s="30">
        <f t="shared" si="13"/>
        <v>0</v>
      </c>
      <c r="L96" s="30">
        <f t="shared" si="13"/>
        <v>0</v>
      </c>
      <c r="M96" s="30">
        <f t="shared" si="13"/>
        <v>0</v>
      </c>
      <c r="O96" s="23">
        <f>'GS &gt; 50 OLS Model'!$B$5</f>
        <v>-17059648.826166701</v>
      </c>
      <c r="P96" s="23">
        <f ca="1">'GS &gt; 50 OLS Model'!$B$6*D96</f>
        <v>3420407.5627594562</v>
      </c>
      <c r="Q96" s="23">
        <f ca="1">'GS &gt; 50 OLS Model'!$B$7*E96</f>
        <v>0</v>
      </c>
      <c r="R96" s="23">
        <f>'GS &gt; 50 OLS Model'!$B$8*F96</f>
        <v>38142943.745194532</v>
      </c>
      <c r="S96" s="23">
        <f>'GS &gt; 50 OLS Model'!$B$9*G96</f>
        <v>-2338543.443071017</v>
      </c>
      <c r="T96" s="23">
        <f>'GS &gt; 50 OLS Model'!$B$10*H96</f>
        <v>2966047.734613053</v>
      </c>
      <c r="U96" s="23">
        <f>'GS &gt; 50 OLS Model'!$B$11*I96</f>
        <v>-1573400.2840208299</v>
      </c>
      <c r="V96" s="23">
        <f>'GS &gt; 50 OLS Model'!$B$12*J96</f>
        <v>0</v>
      </c>
      <c r="W96" s="23">
        <f>'GS &gt; 50 OLS Model'!$B$13*K96</f>
        <v>0</v>
      </c>
      <c r="X96" s="23">
        <f>'GS &gt; 50 OLS Model'!$B$14*L96</f>
        <v>0</v>
      </c>
      <c r="Y96" s="23">
        <f>'GS &gt; 50 OLS Model'!$B$15*M96</f>
        <v>0</v>
      </c>
      <c r="Z96" s="23">
        <f t="shared" ca="1" si="8"/>
        <v>23557806.489308495</v>
      </c>
    </row>
    <row r="97" spans="1:26">
      <c r="A97" s="11">
        <v>42705</v>
      </c>
      <c r="B97" s="6">
        <f t="shared" si="7"/>
        <v>2016</v>
      </c>
      <c r="D97">
        <f t="shared" ca="1" si="14"/>
        <v>684.01</v>
      </c>
      <c r="E97">
        <f t="shared" ca="1" si="14"/>
        <v>0</v>
      </c>
      <c r="F97" s="30">
        <f>F85*(1+SUMIF('Ontario Employment Growth'!B:B,B97,'Ontario Employment Growth'!G:G))</f>
        <v>7069.8639575999978</v>
      </c>
      <c r="G97" s="30">
        <f t="shared" si="10"/>
        <v>96</v>
      </c>
      <c r="H97" s="60">
        <f>SUMIF('Connection count '!B:B,B97,'Connection count '!M:M)</f>
        <v>337.03395541340069</v>
      </c>
      <c r="I97" s="30">
        <f t="shared" si="13"/>
        <v>0</v>
      </c>
      <c r="J97" s="30">
        <f t="shared" si="13"/>
        <v>0</v>
      </c>
      <c r="K97" s="30">
        <f t="shared" si="13"/>
        <v>0</v>
      </c>
      <c r="L97" s="30">
        <f t="shared" si="13"/>
        <v>1</v>
      </c>
      <c r="M97" s="30">
        <f t="shared" si="13"/>
        <v>0</v>
      </c>
      <c r="O97" s="23">
        <f>'GS &gt; 50 OLS Model'!$B$5</f>
        <v>-17059648.826166701</v>
      </c>
      <c r="P97" s="23">
        <f ca="1">'GS &gt; 50 OLS Model'!$B$6*D97</f>
        <v>5268760.2229548376</v>
      </c>
      <c r="Q97" s="23">
        <f ca="1">'GS &gt; 50 OLS Model'!$B$7*E97</f>
        <v>0</v>
      </c>
      <c r="R97" s="23">
        <f>'GS &gt; 50 OLS Model'!$B$8*F97</f>
        <v>38081710.261606649</v>
      </c>
      <c r="S97" s="23">
        <f>'GS &gt; 50 OLS Model'!$B$9*G97</f>
        <v>-2363159.6898401855</v>
      </c>
      <c r="T97" s="23">
        <f>'GS &gt; 50 OLS Model'!$B$10*H97</f>
        <v>2966047.734613053</v>
      </c>
      <c r="U97" s="23">
        <f>'GS &gt; 50 OLS Model'!$B$11*I97</f>
        <v>0</v>
      </c>
      <c r="V97" s="23">
        <f>'GS &gt; 50 OLS Model'!$B$12*J97</f>
        <v>0</v>
      </c>
      <c r="W97" s="23">
        <f>'GS &gt; 50 OLS Model'!$B$13*K97</f>
        <v>0</v>
      </c>
      <c r="X97" s="23">
        <f>'GS &gt; 50 OLS Model'!$B$14*L97</f>
        <v>-1083532.53757107</v>
      </c>
      <c r="Y97" s="23">
        <f>'GS &gt; 50 OLS Model'!$B$15*M97</f>
        <v>0</v>
      </c>
      <c r="Z97" s="23">
        <f t="shared" ca="1" si="8"/>
        <v>25810177.165596582</v>
      </c>
    </row>
    <row r="98" spans="1:26">
      <c r="A98" s="11">
        <v>42736</v>
      </c>
      <c r="B98" s="6">
        <f t="shared" ref="B98:B145" si="15">YEAR(A98)</f>
        <v>2017</v>
      </c>
      <c r="D98">
        <f t="shared" ref="D98:E117" ca="1" si="16">D86</f>
        <v>784.29</v>
      </c>
      <c r="E98">
        <f t="shared" ca="1" si="16"/>
        <v>0</v>
      </c>
      <c r="F98" s="30">
        <f>F86*(1+SUMIF('Ontario Employment Growth'!B:B,B98,'Ontario Employment Growth'!G:G))</f>
        <v>7068.0055477121996</v>
      </c>
      <c r="G98" s="30">
        <f t="shared" si="10"/>
        <v>97</v>
      </c>
      <c r="H98" s="60">
        <f>SUMIF('Connection count '!B:B,B98,'Connection count '!M:M)</f>
        <v>343.48132957706599</v>
      </c>
      <c r="I98" s="30">
        <f t="shared" si="13"/>
        <v>0</v>
      </c>
      <c r="J98" s="30">
        <f t="shared" si="13"/>
        <v>0</v>
      </c>
      <c r="K98" s="30">
        <f t="shared" si="13"/>
        <v>0</v>
      </c>
      <c r="L98" s="30">
        <f t="shared" si="13"/>
        <v>0</v>
      </c>
      <c r="M98" s="30">
        <f t="shared" si="13"/>
        <v>0</v>
      </c>
      <c r="O98" s="23">
        <f>'GS &gt; 50 OLS Model'!$B$5</f>
        <v>-17059648.826166701</v>
      </c>
      <c r="P98" s="23">
        <f ca="1">'GS &gt; 50 OLS Model'!$B$6*D98</f>
        <v>6041192.3148217853</v>
      </c>
      <c r="Q98" s="23">
        <f ca="1">'GS &gt; 50 OLS Model'!$B$7*E98</f>
        <v>0</v>
      </c>
      <c r="R98" s="23">
        <f>'GS &gt; 50 OLS Model'!$B$8*F98</f>
        <v>38071699.966172554</v>
      </c>
      <c r="S98" s="23">
        <f>'GS &gt; 50 OLS Model'!$B$9*G98</f>
        <v>-2387775.9366093543</v>
      </c>
      <c r="T98" s="23">
        <f>'GS &gt; 50 OLS Model'!$B$10*H98</f>
        <v>3022787.4761886043</v>
      </c>
      <c r="U98" s="23">
        <f>'GS &gt; 50 OLS Model'!$B$11*I98</f>
        <v>0</v>
      </c>
      <c r="V98" s="23">
        <f>'GS &gt; 50 OLS Model'!$B$12*J98</f>
        <v>0</v>
      </c>
      <c r="W98" s="23">
        <f>'GS &gt; 50 OLS Model'!$B$13*K98</f>
        <v>0</v>
      </c>
      <c r="X98" s="23">
        <f>'GS &gt; 50 OLS Model'!$B$14*L98</f>
        <v>0</v>
      </c>
      <c r="Y98" s="23">
        <f>'GS &gt; 50 OLS Model'!$B$15*M98</f>
        <v>0</v>
      </c>
      <c r="Z98" s="23">
        <f t="shared" ca="1" si="8"/>
        <v>27688254.994406886</v>
      </c>
    </row>
    <row r="99" spans="1:26">
      <c r="A99" s="11">
        <v>42767</v>
      </c>
      <c r="B99" s="6">
        <f t="shared" si="15"/>
        <v>2017</v>
      </c>
      <c r="D99">
        <f t="shared" ca="1" si="16"/>
        <v>682.50999999999988</v>
      </c>
      <c r="E99">
        <f t="shared" ca="1" si="16"/>
        <v>0</v>
      </c>
      <c r="F99" s="30">
        <f>F87*(1+SUMIF('Ontario Employment Growth'!B:B,B99,'Ontario Employment Growth'!G:G))</f>
        <v>7032.904889844599</v>
      </c>
      <c r="G99" s="30">
        <f t="shared" si="10"/>
        <v>98</v>
      </c>
      <c r="H99" s="60">
        <f>SUMIF('Connection count '!B:B,B99,'Connection count '!M:M)</f>
        <v>343.48132957706599</v>
      </c>
      <c r="I99" s="30">
        <f t="shared" si="13"/>
        <v>0</v>
      </c>
      <c r="J99" s="30">
        <f t="shared" si="13"/>
        <v>1</v>
      </c>
      <c r="K99" s="30">
        <f t="shared" si="13"/>
        <v>0</v>
      </c>
      <c r="L99" s="30">
        <f t="shared" si="13"/>
        <v>0</v>
      </c>
      <c r="M99" s="30">
        <f t="shared" si="13"/>
        <v>0</v>
      </c>
      <c r="O99" s="23">
        <f>'GS &gt; 50 OLS Model'!$B$5</f>
        <v>-17059648.826166701</v>
      </c>
      <c r="P99" s="23">
        <f ca="1">'GS &gt; 50 OLS Model'!$B$6*D99</f>
        <v>5257206.0931403134</v>
      </c>
      <c r="Q99" s="23">
        <f ca="1">'GS &gt; 50 OLS Model'!$B$7*E99</f>
        <v>0</v>
      </c>
      <c r="R99" s="23">
        <f>'GS &gt; 50 OLS Model'!$B$8*F99</f>
        <v>37882630.828361377</v>
      </c>
      <c r="S99" s="23">
        <f>'GS &gt; 50 OLS Model'!$B$9*G99</f>
        <v>-2412392.1833785227</v>
      </c>
      <c r="T99" s="23">
        <f>'GS &gt; 50 OLS Model'!$B$10*H99</f>
        <v>3022787.4761886043</v>
      </c>
      <c r="U99" s="23">
        <f>'GS &gt; 50 OLS Model'!$B$11*I99</f>
        <v>0</v>
      </c>
      <c r="V99" s="23">
        <f>'GS &gt; 50 OLS Model'!$B$12*J99</f>
        <v>-1514604.0647521601</v>
      </c>
      <c r="W99" s="23">
        <f>'GS &gt; 50 OLS Model'!$B$13*K99</f>
        <v>0</v>
      </c>
      <c r="X99" s="23">
        <f>'GS &gt; 50 OLS Model'!$B$14*L99</f>
        <v>0</v>
      </c>
      <c r="Y99" s="23">
        <f>'GS &gt; 50 OLS Model'!$B$15*M99</f>
        <v>0</v>
      </c>
      <c r="Z99" s="23">
        <f t="shared" ca="1" si="8"/>
        <v>25175979.323392913</v>
      </c>
    </row>
    <row r="100" spans="1:26">
      <c r="A100" s="11">
        <v>42795</v>
      </c>
      <c r="B100" s="6">
        <f t="shared" si="15"/>
        <v>2017</v>
      </c>
      <c r="D100">
        <f t="shared" ca="1" si="16"/>
        <v>556.99</v>
      </c>
      <c r="E100">
        <f t="shared" ca="1" si="16"/>
        <v>0</v>
      </c>
      <c r="F100" s="30">
        <f>F88*(1+SUMIF('Ontario Employment Growth'!B:B,B100,'Ontario Employment Growth'!G:G))</f>
        <v>7011.096788802598</v>
      </c>
      <c r="G100" s="30">
        <f t="shared" si="10"/>
        <v>99</v>
      </c>
      <c r="H100" s="60">
        <f>SUMIF('Connection count '!B:B,B100,'Connection count '!M:M)</f>
        <v>343.48132957706599</v>
      </c>
      <c r="I100" s="30">
        <f t="shared" si="13"/>
        <v>0</v>
      </c>
      <c r="J100" s="30">
        <f t="shared" si="13"/>
        <v>0</v>
      </c>
      <c r="K100" s="30">
        <f t="shared" si="13"/>
        <v>0</v>
      </c>
      <c r="L100" s="30">
        <f t="shared" si="13"/>
        <v>0</v>
      </c>
      <c r="M100" s="30">
        <f t="shared" si="13"/>
        <v>0</v>
      </c>
      <c r="O100" s="23">
        <f>'GS &gt; 50 OLS Model'!$B$5</f>
        <v>-17059648.826166701</v>
      </c>
      <c r="P100" s="23">
        <f ca="1">'GS &gt; 50 OLS Model'!$B$6*D100</f>
        <v>4290356.5102609834</v>
      </c>
      <c r="Q100" s="23">
        <f ca="1">'GS &gt; 50 OLS Model'!$B$7*E100</f>
        <v>0</v>
      </c>
      <c r="R100" s="23">
        <f>'GS &gt; 50 OLS Model'!$B$8*F100</f>
        <v>37765161.837413602</v>
      </c>
      <c r="S100" s="23">
        <f>'GS &gt; 50 OLS Model'!$B$9*G100</f>
        <v>-2437008.4301476912</v>
      </c>
      <c r="T100" s="23">
        <f>'GS &gt; 50 OLS Model'!$B$10*H100</f>
        <v>3022787.4761886043</v>
      </c>
      <c r="U100" s="23">
        <f>'GS &gt; 50 OLS Model'!$B$11*I100</f>
        <v>0</v>
      </c>
      <c r="V100" s="23">
        <f>'GS &gt; 50 OLS Model'!$B$12*J100</f>
        <v>0</v>
      </c>
      <c r="W100" s="23">
        <f>'GS &gt; 50 OLS Model'!$B$13*K100</f>
        <v>0</v>
      </c>
      <c r="X100" s="23">
        <f>'GS &gt; 50 OLS Model'!$B$14*L100</f>
        <v>0</v>
      </c>
      <c r="Y100" s="23">
        <f>'GS &gt; 50 OLS Model'!$B$15*M100</f>
        <v>0</v>
      </c>
      <c r="Z100" s="23">
        <f t="shared" ca="1" si="8"/>
        <v>25581648.567548797</v>
      </c>
    </row>
    <row r="101" spans="1:26">
      <c r="A101" s="11">
        <v>42826</v>
      </c>
      <c r="B101" s="6">
        <f t="shared" si="15"/>
        <v>2017</v>
      </c>
      <c r="D101">
        <f t="shared" ca="1" si="16"/>
        <v>326.58999999999997</v>
      </c>
      <c r="E101">
        <f t="shared" ca="1" si="16"/>
        <v>0.39</v>
      </c>
      <c r="F101" s="30">
        <f>F89*(1+SUMIF('Ontario Employment Growth'!B:B,B101,'Ontario Employment Growth'!G:G))</f>
        <v>7046.0935985699989</v>
      </c>
      <c r="G101" s="30">
        <f t="shared" si="10"/>
        <v>100</v>
      </c>
      <c r="H101" s="60">
        <f>SUMIF('Connection count '!B:B,B101,'Connection count '!M:M)</f>
        <v>343.48132957706599</v>
      </c>
      <c r="I101" s="30">
        <f t="shared" si="13"/>
        <v>0</v>
      </c>
      <c r="J101" s="30">
        <f t="shared" si="13"/>
        <v>0</v>
      </c>
      <c r="K101" s="30">
        <f t="shared" si="13"/>
        <v>1</v>
      </c>
      <c r="L101" s="30">
        <f t="shared" si="13"/>
        <v>0</v>
      </c>
      <c r="M101" s="30">
        <f t="shared" si="13"/>
        <v>0</v>
      </c>
      <c r="O101" s="23">
        <f>'GS &gt; 50 OLS Model'!$B$5</f>
        <v>-17059648.826166701</v>
      </c>
      <c r="P101" s="23">
        <f ca="1">'GS &gt; 50 OLS Model'!$B$6*D101</f>
        <v>2515642.1707501649</v>
      </c>
      <c r="Q101" s="23">
        <f ca="1">'GS &gt; 50 OLS Model'!$B$7*E101</f>
        <v>12732.330384510789</v>
      </c>
      <c r="R101" s="23">
        <f>'GS &gt; 50 OLS Model'!$B$8*F101</f>
        <v>37953671.599077404</v>
      </c>
      <c r="S101" s="23">
        <f>'GS &gt; 50 OLS Model'!$B$9*G101</f>
        <v>-2461624.67691686</v>
      </c>
      <c r="T101" s="23">
        <f>'GS &gt; 50 OLS Model'!$B$10*H101</f>
        <v>3022787.4761886043</v>
      </c>
      <c r="U101" s="23">
        <f>'GS &gt; 50 OLS Model'!$B$11*I101</f>
        <v>0</v>
      </c>
      <c r="V101" s="23">
        <f>'GS &gt; 50 OLS Model'!$B$12*J101</f>
        <v>0</v>
      </c>
      <c r="W101" s="23">
        <f>'GS &gt; 50 OLS Model'!$B$13*K101</f>
        <v>-1589866.56724812</v>
      </c>
      <c r="X101" s="23">
        <f>'GS &gt; 50 OLS Model'!$B$14*L101</f>
        <v>0</v>
      </c>
      <c r="Y101" s="23">
        <f>'GS &gt; 50 OLS Model'!$B$15*M101</f>
        <v>0</v>
      </c>
      <c r="Z101" s="23">
        <f t="shared" ca="1" si="8"/>
        <v>22393693.506069001</v>
      </c>
    </row>
    <row r="102" spans="1:26">
      <c r="A102" s="11">
        <v>42856</v>
      </c>
      <c r="B102" s="6">
        <f t="shared" si="15"/>
        <v>2017</v>
      </c>
      <c r="D102">
        <f t="shared" ca="1" si="16"/>
        <v>144.96</v>
      </c>
      <c r="E102">
        <f t="shared" ca="1" si="16"/>
        <v>8.67</v>
      </c>
      <c r="F102" s="30">
        <f>F90*(1+SUMIF('Ontario Employment Growth'!B:B,B102,'Ontario Employment Growth'!G:G))</f>
        <v>7105.9101042851989</v>
      </c>
      <c r="G102" s="30">
        <f t="shared" si="10"/>
        <v>101</v>
      </c>
      <c r="H102" s="60">
        <f>SUMIF('Connection count '!B:B,B102,'Connection count '!M:M)</f>
        <v>343.48132957706599</v>
      </c>
      <c r="I102" s="30">
        <f t="shared" si="13"/>
        <v>0</v>
      </c>
      <c r="J102" s="30">
        <f t="shared" si="13"/>
        <v>0</v>
      </c>
      <c r="K102" s="30">
        <f t="shared" si="13"/>
        <v>0</v>
      </c>
      <c r="L102" s="30">
        <f t="shared" si="13"/>
        <v>0</v>
      </c>
      <c r="M102" s="30">
        <f t="shared" si="13"/>
        <v>1</v>
      </c>
      <c r="O102" s="23">
        <f>'GS &gt; 50 OLS Model'!$B$5</f>
        <v>-17059648.826166701</v>
      </c>
      <c r="P102" s="23">
        <f ca="1">'GS &gt; 50 OLS Model'!$B$6*D102</f>
        <v>1116591.1052755564</v>
      </c>
      <c r="Q102" s="23">
        <f ca="1">'GS &gt; 50 OLS Model'!$B$7*E102</f>
        <v>283049.49854797061</v>
      </c>
      <c r="R102" s="23">
        <f>'GS &gt; 50 OLS Model'!$B$8*F102</f>
        <v>38275872.259962723</v>
      </c>
      <c r="S102" s="23">
        <f>'GS &gt; 50 OLS Model'!$B$9*G102</f>
        <v>-2486240.9236860285</v>
      </c>
      <c r="T102" s="23">
        <f>'GS &gt; 50 OLS Model'!$B$10*H102</f>
        <v>3022787.4761886043</v>
      </c>
      <c r="U102" s="23">
        <f>'GS &gt; 50 OLS Model'!$B$11*I102</f>
        <v>0</v>
      </c>
      <c r="V102" s="23">
        <f>'GS &gt; 50 OLS Model'!$B$12*J102</f>
        <v>0</v>
      </c>
      <c r="W102" s="23">
        <f>'GS &gt; 50 OLS Model'!$B$13*K102</f>
        <v>0</v>
      </c>
      <c r="X102" s="23">
        <f>'GS &gt; 50 OLS Model'!$B$14*L102</f>
        <v>0</v>
      </c>
      <c r="Y102" s="23">
        <f>'GS &gt; 50 OLS Model'!$B$15*M102</f>
        <v>-1207404.17093835</v>
      </c>
      <c r="Z102" s="23">
        <f t="shared" ca="1" si="8"/>
        <v>21945006.419183776</v>
      </c>
    </row>
    <row r="103" spans="1:26">
      <c r="A103" s="11">
        <v>42887</v>
      </c>
      <c r="B103" s="6">
        <f t="shared" si="15"/>
        <v>2017</v>
      </c>
      <c r="D103">
        <f t="shared" ca="1" si="16"/>
        <v>41.510000000000005</v>
      </c>
      <c r="E103">
        <f t="shared" ca="1" si="16"/>
        <v>44.41</v>
      </c>
      <c r="F103" s="30">
        <f>F91*(1+SUMIF('Ontario Employment Growth'!B:B,B103,'Ontario Employment Growth'!G:G))</f>
        <v>7178.915318725798</v>
      </c>
      <c r="G103" s="30">
        <f t="shared" si="10"/>
        <v>102</v>
      </c>
      <c r="H103" s="60">
        <f>SUMIF('Connection count '!B:B,B103,'Connection count '!M:M)</f>
        <v>343.48132957706599</v>
      </c>
      <c r="I103" s="30">
        <f t="shared" si="13"/>
        <v>0</v>
      </c>
      <c r="J103" s="30">
        <f t="shared" si="13"/>
        <v>0</v>
      </c>
      <c r="K103" s="30">
        <f t="shared" si="13"/>
        <v>0</v>
      </c>
      <c r="L103" s="30">
        <f t="shared" si="13"/>
        <v>0</v>
      </c>
      <c r="M103" s="30">
        <f t="shared" si="13"/>
        <v>1</v>
      </c>
      <c r="O103" s="23">
        <f>'GS &gt; 50 OLS Model'!$B$5</f>
        <v>-17059648.826166701</v>
      </c>
      <c r="P103" s="23">
        <f ca="1">'GS &gt; 50 OLS Model'!$B$6*D103</f>
        <v>319741.28573391523</v>
      </c>
      <c r="Q103" s="23">
        <f ca="1">'GS &gt; 50 OLS Model'!$B$7*E103</f>
        <v>1449853.3137849336</v>
      </c>
      <c r="R103" s="23">
        <f>'GS &gt; 50 OLS Model'!$B$8*F103</f>
        <v>38669113.691564061</v>
      </c>
      <c r="S103" s="23">
        <f>'GS &gt; 50 OLS Model'!$B$9*G103</f>
        <v>-2510857.1704551973</v>
      </c>
      <c r="T103" s="23">
        <f>'GS &gt; 50 OLS Model'!$B$10*H103</f>
        <v>3022787.4761886043</v>
      </c>
      <c r="U103" s="23">
        <f>'GS &gt; 50 OLS Model'!$B$11*I103</f>
        <v>0</v>
      </c>
      <c r="V103" s="23">
        <f>'GS &gt; 50 OLS Model'!$B$12*J103</f>
        <v>0</v>
      </c>
      <c r="W103" s="23">
        <f>'GS &gt; 50 OLS Model'!$B$13*K103</f>
        <v>0</v>
      </c>
      <c r="X103" s="23">
        <f>'GS &gt; 50 OLS Model'!$B$14*L103</f>
        <v>0</v>
      </c>
      <c r="Y103" s="23">
        <f>'GS &gt; 50 OLS Model'!$B$15*M103</f>
        <v>-1207404.17093835</v>
      </c>
      <c r="Z103" s="23">
        <f t="shared" ca="1" si="8"/>
        <v>22683585.599711265</v>
      </c>
    </row>
    <row r="104" spans="1:26">
      <c r="A104" s="11">
        <v>42917</v>
      </c>
      <c r="B104" s="6">
        <f t="shared" si="15"/>
        <v>2017</v>
      </c>
      <c r="D104">
        <f t="shared" ca="1" si="16"/>
        <v>5.01</v>
      </c>
      <c r="E104">
        <f t="shared" ca="1" si="16"/>
        <v>96.909999999999982</v>
      </c>
      <c r="F104" s="30">
        <f>F92*(1+SUMIF('Ontario Employment Growth'!B:B,B104,'Ontario Employment Growth'!G:G))</f>
        <v>7225.543115715599</v>
      </c>
      <c r="G104" s="30">
        <f t="shared" si="10"/>
        <v>103</v>
      </c>
      <c r="H104" s="60">
        <f>SUMIF('Connection count '!B:B,B104,'Connection count '!M:M)</f>
        <v>343.48132957706599</v>
      </c>
      <c r="I104" s="30">
        <f t="shared" ref="I104:M113" si="17">I92</f>
        <v>0</v>
      </c>
      <c r="J104" s="30">
        <f t="shared" si="17"/>
        <v>0</v>
      </c>
      <c r="K104" s="30">
        <f t="shared" si="17"/>
        <v>0</v>
      </c>
      <c r="L104" s="30">
        <f t="shared" si="17"/>
        <v>0</v>
      </c>
      <c r="M104" s="30">
        <f t="shared" si="17"/>
        <v>1</v>
      </c>
      <c r="O104" s="23">
        <f>'GS &gt; 50 OLS Model'!$B$5</f>
        <v>-17059648.826166701</v>
      </c>
      <c r="P104" s="23">
        <f ca="1">'GS &gt; 50 OLS Model'!$B$6*D104</f>
        <v>38590.793580508667</v>
      </c>
      <c r="Q104" s="23">
        <f ca="1">'GS &gt; 50 OLS Model'!$B$7*E104</f>
        <v>3163820.8655460011</v>
      </c>
      <c r="R104" s="23">
        <f>'GS &gt; 50 OLS Model'!$B$8*F104</f>
        <v>38920273.581733353</v>
      </c>
      <c r="S104" s="23">
        <f>'GS &gt; 50 OLS Model'!$B$9*G104</f>
        <v>-2535473.4172243658</v>
      </c>
      <c r="T104" s="23">
        <f>'GS &gt; 50 OLS Model'!$B$10*H104</f>
        <v>3022787.4761886043</v>
      </c>
      <c r="U104" s="23">
        <f>'GS &gt; 50 OLS Model'!$B$11*I104</f>
        <v>0</v>
      </c>
      <c r="V104" s="23">
        <f>'GS &gt; 50 OLS Model'!$B$12*J104</f>
        <v>0</v>
      </c>
      <c r="W104" s="23">
        <f>'GS &gt; 50 OLS Model'!$B$13*K104</f>
        <v>0</v>
      </c>
      <c r="X104" s="23">
        <f>'GS &gt; 50 OLS Model'!$B$14*L104</f>
        <v>0</v>
      </c>
      <c r="Y104" s="23">
        <f>'GS &gt; 50 OLS Model'!$B$15*M104</f>
        <v>-1207404.17093835</v>
      </c>
      <c r="Z104" s="23">
        <f t="shared" ca="1" si="8"/>
        <v>24342946.302719049</v>
      </c>
    </row>
    <row r="105" spans="1:26">
      <c r="A105" s="11">
        <v>42948</v>
      </c>
      <c r="B105" s="6">
        <f t="shared" si="15"/>
        <v>2017</v>
      </c>
      <c r="D105">
        <f t="shared" ca="1" si="16"/>
        <v>12.719999999999999</v>
      </c>
      <c r="E105">
        <f t="shared" ca="1" si="16"/>
        <v>77.22999999999999</v>
      </c>
      <c r="F105" s="30">
        <f>F93*(1+SUMIF('Ontario Employment Growth'!B:B,B105,'Ontario Employment Growth'!G:G))</f>
        <v>7237.9010396393978</v>
      </c>
      <c r="G105" s="30">
        <f t="shared" si="10"/>
        <v>104</v>
      </c>
      <c r="H105" s="60">
        <f>SUMIF('Connection count '!B:B,B105,'Connection count '!M:M)</f>
        <v>343.48132957706599</v>
      </c>
      <c r="I105" s="30">
        <f t="shared" si="17"/>
        <v>0</v>
      </c>
      <c r="J105" s="30">
        <f t="shared" si="17"/>
        <v>0</v>
      </c>
      <c r="K105" s="30">
        <f t="shared" si="17"/>
        <v>0</v>
      </c>
      <c r="L105" s="30">
        <f t="shared" si="17"/>
        <v>0</v>
      </c>
      <c r="M105" s="30">
        <f t="shared" si="17"/>
        <v>1</v>
      </c>
      <c r="O105" s="23">
        <f>'GS &gt; 50 OLS Model'!$B$5</f>
        <v>-17059648.826166701</v>
      </c>
      <c r="P105" s="23">
        <f ca="1">'GS &gt; 50 OLS Model'!$B$6*D105</f>
        <v>97979.020827159737</v>
      </c>
      <c r="Q105" s="23">
        <f ca="1">'GS &gt; 50 OLS Model'!$B$7*E105</f>
        <v>2521327.8861429952</v>
      </c>
      <c r="R105" s="23">
        <f>'GS &gt; 50 OLS Model'!$B$8*F105</f>
        <v>38986839.343270414</v>
      </c>
      <c r="S105" s="23">
        <f>'GS &gt; 50 OLS Model'!$B$9*G105</f>
        <v>-2560089.6639935342</v>
      </c>
      <c r="T105" s="23">
        <f>'GS &gt; 50 OLS Model'!$B$10*H105</f>
        <v>3022787.4761886043</v>
      </c>
      <c r="U105" s="23">
        <f>'GS &gt; 50 OLS Model'!$B$11*I105</f>
        <v>0</v>
      </c>
      <c r="V105" s="23">
        <f>'GS &gt; 50 OLS Model'!$B$12*J105</f>
        <v>0</v>
      </c>
      <c r="W105" s="23">
        <f>'GS &gt; 50 OLS Model'!$B$13*K105</f>
        <v>0</v>
      </c>
      <c r="X105" s="23">
        <f>'GS &gt; 50 OLS Model'!$B$14*L105</f>
        <v>0</v>
      </c>
      <c r="Y105" s="23">
        <f>'GS &gt; 50 OLS Model'!$B$15*M105</f>
        <v>-1207404.17093835</v>
      </c>
      <c r="Z105" s="23">
        <f t="shared" ca="1" si="8"/>
        <v>23801791.065330587</v>
      </c>
    </row>
    <row r="106" spans="1:26">
      <c r="A106" s="11">
        <v>42979</v>
      </c>
      <c r="B106" s="6">
        <f t="shared" si="15"/>
        <v>2017</v>
      </c>
      <c r="D106">
        <f t="shared" ca="1" si="16"/>
        <v>86.570000000000007</v>
      </c>
      <c r="E106">
        <f t="shared" ca="1" si="16"/>
        <v>19.899999999999999</v>
      </c>
      <c r="F106" s="30">
        <f>F94*(1+SUMIF('Ontario Employment Growth'!B:B,B106,'Ontario Employment Growth'!G:G))</f>
        <v>7211.3159259881986</v>
      </c>
      <c r="G106" s="30">
        <f t="shared" si="10"/>
        <v>105</v>
      </c>
      <c r="H106" s="60">
        <f>SUMIF('Connection count '!B:B,B106,'Connection count '!M:M)</f>
        <v>343.48132957706599</v>
      </c>
      <c r="I106" s="30">
        <f t="shared" si="17"/>
        <v>1</v>
      </c>
      <c r="J106" s="30">
        <f t="shared" si="17"/>
        <v>0</v>
      </c>
      <c r="K106" s="30">
        <f t="shared" si="17"/>
        <v>0</v>
      </c>
      <c r="L106" s="30">
        <f t="shared" si="17"/>
        <v>0</v>
      </c>
      <c r="M106" s="30">
        <f t="shared" si="17"/>
        <v>0</v>
      </c>
      <c r="O106" s="23">
        <f>'GS &gt; 50 OLS Model'!$B$5</f>
        <v>-17059648.826166701</v>
      </c>
      <c r="P106" s="23">
        <f ca="1">'GS &gt; 50 OLS Model'!$B$6*D106</f>
        <v>666827.34536220285</v>
      </c>
      <c r="Q106" s="23">
        <f ca="1">'GS &gt; 50 OLS Model'!$B$7*E106</f>
        <v>649675.31961990939</v>
      </c>
      <c r="R106" s="23">
        <f>'GS &gt; 50 OLS Model'!$B$8*F106</f>
        <v>38843639.049543612</v>
      </c>
      <c r="S106" s="23">
        <f>'GS &gt; 50 OLS Model'!$B$9*G106</f>
        <v>-2584705.910762703</v>
      </c>
      <c r="T106" s="23">
        <f>'GS &gt; 50 OLS Model'!$B$10*H106</f>
        <v>3022787.4761886043</v>
      </c>
      <c r="U106" s="23">
        <f>'GS &gt; 50 OLS Model'!$B$11*I106</f>
        <v>-1573400.2840208299</v>
      </c>
      <c r="V106" s="23">
        <f>'GS &gt; 50 OLS Model'!$B$12*J106</f>
        <v>0</v>
      </c>
      <c r="W106" s="23">
        <f>'GS &gt; 50 OLS Model'!$B$13*K106</f>
        <v>0</v>
      </c>
      <c r="X106" s="23">
        <f>'GS &gt; 50 OLS Model'!$B$14*L106</f>
        <v>0</v>
      </c>
      <c r="Y106" s="23">
        <f>'GS &gt; 50 OLS Model'!$B$15*M106</f>
        <v>0</v>
      </c>
      <c r="Z106" s="23">
        <f t="shared" ca="1" si="8"/>
        <v>21965174.169764094</v>
      </c>
    </row>
    <row r="107" spans="1:26">
      <c r="A107" s="11">
        <v>43009</v>
      </c>
      <c r="B107" s="6">
        <f t="shared" si="15"/>
        <v>2017</v>
      </c>
      <c r="D107">
        <f t="shared" ca="1" si="16"/>
        <v>270.3</v>
      </c>
      <c r="E107">
        <f t="shared" ca="1" si="16"/>
        <v>1.21</v>
      </c>
      <c r="F107" s="30">
        <f>F95*(1+SUMIF('Ontario Employment Growth'!B:B,B107,'Ontario Employment Growth'!G:G))</f>
        <v>7203.5273184731986</v>
      </c>
      <c r="G107" s="30">
        <f t="shared" si="10"/>
        <v>106</v>
      </c>
      <c r="H107" s="60">
        <f>SUMIF('Connection count '!B:B,B107,'Connection count '!M:M)</f>
        <v>343.48132957706599</v>
      </c>
      <c r="I107" s="30">
        <f t="shared" si="17"/>
        <v>1</v>
      </c>
      <c r="J107" s="30">
        <f t="shared" si="17"/>
        <v>0</v>
      </c>
      <c r="K107" s="30">
        <f t="shared" si="17"/>
        <v>0</v>
      </c>
      <c r="L107" s="30">
        <f t="shared" si="17"/>
        <v>0</v>
      </c>
      <c r="M107" s="30">
        <f t="shared" si="17"/>
        <v>0</v>
      </c>
      <c r="O107" s="23">
        <f>'GS &gt; 50 OLS Model'!$B$5</f>
        <v>-17059648.826166701</v>
      </c>
      <c r="P107" s="23">
        <f ca="1">'GS &gt; 50 OLS Model'!$B$6*D107</f>
        <v>2082054.1925771446</v>
      </c>
      <c r="Q107" s="23">
        <f ca="1">'GS &gt; 50 OLS Model'!$B$7*E107</f>
        <v>39502.871192969367</v>
      </c>
      <c r="R107" s="23">
        <f>'GS &gt; 50 OLS Model'!$B$8*F107</f>
        <v>38801685.838490836</v>
      </c>
      <c r="S107" s="23">
        <f>'GS &gt; 50 OLS Model'!$B$9*G107</f>
        <v>-2609322.1575318715</v>
      </c>
      <c r="T107" s="23">
        <f>'GS &gt; 50 OLS Model'!$B$10*H107</f>
        <v>3022787.4761886043</v>
      </c>
      <c r="U107" s="23">
        <f>'GS &gt; 50 OLS Model'!$B$11*I107</f>
        <v>-1573400.2840208299</v>
      </c>
      <c r="V107" s="23">
        <f>'GS &gt; 50 OLS Model'!$B$12*J107</f>
        <v>0</v>
      </c>
      <c r="W107" s="23">
        <f>'GS &gt; 50 OLS Model'!$B$13*K107</f>
        <v>0</v>
      </c>
      <c r="X107" s="23">
        <f>'GS &gt; 50 OLS Model'!$B$14*L107</f>
        <v>0</v>
      </c>
      <c r="Y107" s="23">
        <f>'GS &gt; 50 OLS Model'!$B$15*M107</f>
        <v>0</v>
      </c>
      <c r="Z107" s="23">
        <f t="shared" ca="1" si="8"/>
        <v>22703659.110730149</v>
      </c>
    </row>
    <row r="108" spans="1:26">
      <c r="A108" s="11">
        <v>43040</v>
      </c>
      <c r="B108" s="6">
        <f t="shared" si="15"/>
        <v>2017</v>
      </c>
      <c r="D108">
        <f t="shared" ca="1" si="16"/>
        <v>444.05</v>
      </c>
      <c r="E108">
        <f t="shared" ca="1" si="16"/>
        <v>0</v>
      </c>
      <c r="F108" s="30">
        <f>F96*(1+SUMIF('Ontario Employment Growth'!B:B,B108,'Ontario Employment Growth'!G:G))</f>
        <v>7180.369192128599</v>
      </c>
      <c r="G108" s="30">
        <f t="shared" si="10"/>
        <v>107</v>
      </c>
      <c r="H108" s="60">
        <f>SUMIF('Connection count '!B:B,B108,'Connection count '!M:M)</f>
        <v>343.48132957706599</v>
      </c>
      <c r="I108" s="30">
        <f t="shared" si="17"/>
        <v>1</v>
      </c>
      <c r="J108" s="30">
        <f t="shared" si="17"/>
        <v>0</v>
      </c>
      <c r="K108" s="30">
        <f t="shared" si="17"/>
        <v>0</v>
      </c>
      <c r="L108" s="30">
        <f t="shared" si="17"/>
        <v>0</v>
      </c>
      <c r="M108" s="30">
        <f t="shared" si="17"/>
        <v>0</v>
      </c>
      <c r="O108" s="23">
        <f>'GS &gt; 50 OLS Model'!$B$5</f>
        <v>-17059648.826166701</v>
      </c>
      <c r="P108" s="23">
        <f ca="1">'GS &gt; 50 OLS Model'!$B$6*D108</f>
        <v>3420407.5627594562</v>
      </c>
      <c r="Q108" s="23">
        <f ca="1">'GS &gt; 50 OLS Model'!$B$7*E108</f>
        <v>0</v>
      </c>
      <c r="R108" s="23">
        <f>'GS &gt; 50 OLS Model'!$B$8*F108</f>
        <v>38676944.957627252</v>
      </c>
      <c r="S108" s="23">
        <f>'GS &gt; 50 OLS Model'!$B$9*G108</f>
        <v>-2633938.4043010403</v>
      </c>
      <c r="T108" s="23">
        <f>'GS &gt; 50 OLS Model'!$B$10*H108</f>
        <v>3022787.4761886043</v>
      </c>
      <c r="U108" s="23">
        <f>'GS &gt; 50 OLS Model'!$B$11*I108</f>
        <v>-1573400.2840208299</v>
      </c>
      <c r="V108" s="23">
        <f>'GS &gt; 50 OLS Model'!$B$12*J108</f>
        <v>0</v>
      </c>
      <c r="W108" s="23">
        <f>'GS &gt; 50 OLS Model'!$B$13*K108</f>
        <v>0</v>
      </c>
      <c r="X108" s="23">
        <f>'GS &gt; 50 OLS Model'!$B$14*L108</f>
        <v>0</v>
      </c>
      <c r="Y108" s="23">
        <f>'GS &gt; 50 OLS Model'!$B$15*M108</f>
        <v>0</v>
      </c>
      <c r="Z108" s="23">
        <f t="shared" ca="1" si="8"/>
        <v>23853152.48208674</v>
      </c>
    </row>
    <row r="109" spans="1:26">
      <c r="A109" s="11">
        <v>43070</v>
      </c>
      <c r="B109" s="6">
        <f t="shared" si="15"/>
        <v>2017</v>
      </c>
      <c r="D109">
        <f t="shared" ca="1" si="16"/>
        <v>684.01</v>
      </c>
      <c r="E109">
        <f t="shared" ca="1" si="16"/>
        <v>0</v>
      </c>
      <c r="F109" s="30">
        <f>F97*(1+SUMIF('Ontario Employment Growth'!B:B,B109,'Ontario Employment Growth'!G:G))</f>
        <v>7168.8420530063977</v>
      </c>
      <c r="G109" s="30">
        <f t="shared" si="10"/>
        <v>108</v>
      </c>
      <c r="H109" s="60">
        <f>SUMIF('Connection count '!B:B,B109,'Connection count '!M:M)</f>
        <v>343.48132957706599</v>
      </c>
      <c r="I109" s="30">
        <f t="shared" si="17"/>
        <v>0</v>
      </c>
      <c r="J109" s="30">
        <f t="shared" si="17"/>
        <v>0</v>
      </c>
      <c r="K109" s="30">
        <f t="shared" si="17"/>
        <v>0</v>
      </c>
      <c r="L109" s="30">
        <f t="shared" si="17"/>
        <v>1</v>
      </c>
      <c r="M109" s="30">
        <f t="shared" si="17"/>
        <v>0</v>
      </c>
      <c r="O109" s="23">
        <f>'GS &gt; 50 OLS Model'!$B$5</f>
        <v>-17059648.826166701</v>
      </c>
      <c r="P109" s="23">
        <f ca="1">'GS &gt; 50 OLS Model'!$B$6*D109</f>
        <v>5268760.2229548376</v>
      </c>
      <c r="Q109" s="23">
        <f ca="1">'GS &gt; 50 OLS Model'!$B$7*E109</f>
        <v>0</v>
      </c>
      <c r="R109" s="23">
        <f>'GS &gt; 50 OLS Model'!$B$8*F109</f>
        <v>38614854.205269143</v>
      </c>
      <c r="S109" s="23">
        <f>'GS &gt; 50 OLS Model'!$B$9*G109</f>
        <v>-2658554.6510702088</v>
      </c>
      <c r="T109" s="23">
        <f>'GS &gt; 50 OLS Model'!$B$10*H109</f>
        <v>3022787.4761886043</v>
      </c>
      <c r="U109" s="23">
        <f>'GS &gt; 50 OLS Model'!$B$11*I109</f>
        <v>0</v>
      </c>
      <c r="V109" s="23">
        <f>'GS &gt; 50 OLS Model'!$B$12*J109</f>
        <v>0</v>
      </c>
      <c r="W109" s="23">
        <f>'GS &gt; 50 OLS Model'!$B$13*K109</f>
        <v>0</v>
      </c>
      <c r="X109" s="23">
        <f>'GS &gt; 50 OLS Model'!$B$14*L109</f>
        <v>-1083532.53757107</v>
      </c>
      <c r="Y109" s="23">
        <f>'GS &gt; 50 OLS Model'!$B$15*M109</f>
        <v>0</v>
      </c>
      <c r="Z109" s="23">
        <f t="shared" ca="1" si="8"/>
        <v>26104665.889604606</v>
      </c>
    </row>
    <row r="110" spans="1:26">
      <c r="A110" s="11">
        <v>43101</v>
      </c>
      <c r="B110" s="6">
        <f t="shared" si="15"/>
        <v>2018</v>
      </c>
      <c r="D110">
        <f t="shared" ca="1" si="16"/>
        <v>784.29</v>
      </c>
      <c r="E110">
        <f t="shared" ca="1" si="16"/>
        <v>0</v>
      </c>
      <c r="F110" s="30">
        <f>F98*(1+SUMIF('Ontario Employment Growth'!B:B,B110,'Ontario Employment Growth'!G:G))</f>
        <v>7159.8896198324574</v>
      </c>
      <c r="G110" s="30">
        <f t="shared" si="10"/>
        <v>109</v>
      </c>
      <c r="H110" s="60">
        <f>SUMIF('Connection count '!B:B,B110,'Connection count '!M:M)</f>
        <v>350.05204037473698</v>
      </c>
      <c r="I110" s="30">
        <f t="shared" si="17"/>
        <v>0</v>
      </c>
      <c r="J110" s="30">
        <f t="shared" si="17"/>
        <v>0</v>
      </c>
      <c r="K110" s="30">
        <f t="shared" si="17"/>
        <v>0</v>
      </c>
      <c r="L110" s="30">
        <f t="shared" si="17"/>
        <v>0</v>
      </c>
      <c r="M110" s="30">
        <f t="shared" si="17"/>
        <v>0</v>
      </c>
      <c r="O110" s="23">
        <f>'GS &gt; 50 OLS Model'!$B$5</f>
        <v>-17059648.826166701</v>
      </c>
      <c r="P110" s="23">
        <f ca="1">'GS &gt; 50 OLS Model'!$B$6*D110</f>
        <v>6041192.3148217853</v>
      </c>
      <c r="Q110" s="23">
        <f ca="1">'GS &gt; 50 OLS Model'!$B$7*E110</f>
        <v>0</v>
      </c>
      <c r="R110" s="23">
        <f>'GS &gt; 50 OLS Model'!$B$8*F110</f>
        <v>38566632.065732792</v>
      </c>
      <c r="S110" s="23">
        <f>'GS &gt; 50 OLS Model'!$B$9*G110</f>
        <v>-2683170.8978393772</v>
      </c>
      <c r="T110" s="23">
        <f>'GS &gt; 50 OLS Model'!$B$10*H110</f>
        <v>3080612.6346428157</v>
      </c>
      <c r="U110" s="23">
        <f>'GS &gt; 50 OLS Model'!$B$11*I110</f>
        <v>0</v>
      </c>
      <c r="V110" s="23">
        <f>'GS &gt; 50 OLS Model'!$B$12*J110</f>
        <v>0</v>
      </c>
      <c r="W110" s="23">
        <f>'GS &gt; 50 OLS Model'!$B$13*K110</f>
        <v>0</v>
      </c>
      <c r="X110" s="23">
        <f>'GS &gt; 50 OLS Model'!$B$14*L110</f>
        <v>0</v>
      </c>
      <c r="Y110" s="23">
        <f>'GS &gt; 50 OLS Model'!$B$15*M110</f>
        <v>0</v>
      </c>
      <c r="Z110" s="23">
        <f t="shared" ca="1" si="8"/>
        <v>27945617.291191313</v>
      </c>
    </row>
    <row r="111" spans="1:26">
      <c r="A111" s="11">
        <v>43132</v>
      </c>
      <c r="B111" s="6">
        <f t="shared" si="15"/>
        <v>2018</v>
      </c>
      <c r="D111">
        <f t="shared" ca="1" si="16"/>
        <v>682.50999999999988</v>
      </c>
      <c r="E111">
        <f t="shared" ca="1" si="16"/>
        <v>0</v>
      </c>
      <c r="F111" s="30">
        <f>F99*(1+SUMIF('Ontario Employment Growth'!B:B,B111,'Ontario Employment Growth'!G:G))</f>
        <v>7124.3326534125781</v>
      </c>
      <c r="G111" s="30">
        <f t="shared" si="10"/>
        <v>110</v>
      </c>
      <c r="H111" s="60">
        <f>SUMIF('Connection count '!B:B,B111,'Connection count '!M:M)</f>
        <v>350.05204037473698</v>
      </c>
      <c r="I111" s="30">
        <f t="shared" si="17"/>
        <v>0</v>
      </c>
      <c r="J111" s="30">
        <f t="shared" si="17"/>
        <v>1</v>
      </c>
      <c r="K111" s="30">
        <f t="shared" si="17"/>
        <v>0</v>
      </c>
      <c r="L111" s="30">
        <f t="shared" si="17"/>
        <v>0</v>
      </c>
      <c r="M111" s="30">
        <f t="shared" si="17"/>
        <v>0</v>
      </c>
      <c r="O111" s="23">
        <f>'GS &gt; 50 OLS Model'!$B$5</f>
        <v>-17059648.826166701</v>
      </c>
      <c r="P111" s="23">
        <f ca="1">'GS &gt; 50 OLS Model'!$B$6*D111</f>
        <v>5257206.0931403134</v>
      </c>
      <c r="Q111" s="23">
        <f ca="1">'GS &gt; 50 OLS Model'!$B$7*E111</f>
        <v>0</v>
      </c>
      <c r="R111" s="23">
        <f>'GS &gt; 50 OLS Model'!$B$8*F111</f>
        <v>38375105.029130071</v>
      </c>
      <c r="S111" s="23">
        <f>'GS &gt; 50 OLS Model'!$B$9*G111</f>
        <v>-2707787.144608546</v>
      </c>
      <c r="T111" s="23">
        <f>'GS &gt; 50 OLS Model'!$B$10*H111</f>
        <v>3080612.6346428157</v>
      </c>
      <c r="U111" s="23">
        <f>'GS &gt; 50 OLS Model'!$B$11*I111</f>
        <v>0</v>
      </c>
      <c r="V111" s="23">
        <f>'GS &gt; 50 OLS Model'!$B$12*J111</f>
        <v>-1514604.0647521601</v>
      </c>
      <c r="W111" s="23">
        <f>'GS &gt; 50 OLS Model'!$B$13*K111</f>
        <v>0</v>
      </c>
      <c r="X111" s="23">
        <f>'GS &gt; 50 OLS Model'!$B$14*L111</f>
        <v>0</v>
      </c>
      <c r="Y111" s="23">
        <f>'GS &gt; 50 OLS Model'!$B$15*M111</f>
        <v>0</v>
      </c>
      <c r="Z111" s="23">
        <f t="shared" ca="1" si="8"/>
        <v>25430883.721385796</v>
      </c>
    </row>
    <row r="112" spans="1:26">
      <c r="A112" s="11">
        <v>43160</v>
      </c>
      <c r="B112" s="6">
        <f t="shared" si="15"/>
        <v>2018</v>
      </c>
      <c r="D112">
        <f t="shared" ca="1" si="16"/>
        <v>556.99</v>
      </c>
      <c r="E112">
        <f t="shared" ca="1" si="16"/>
        <v>0</v>
      </c>
      <c r="F112" s="30">
        <f>F100*(1+SUMIF('Ontario Employment Growth'!B:B,B112,'Ontario Employment Growth'!G:G))</f>
        <v>7102.2410470570312</v>
      </c>
      <c r="G112" s="30">
        <f t="shared" si="10"/>
        <v>111</v>
      </c>
      <c r="H112" s="60">
        <f>SUMIF('Connection count '!B:B,B112,'Connection count '!M:M)</f>
        <v>350.05204037473698</v>
      </c>
      <c r="I112" s="30">
        <f t="shared" si="17"/>
        <v>0</v>
      </c>
      <c r="J112" s="30">
        <f t="shared" si="17"/>
        <v>0</v>
      </c>
      <c r="K112" s="30">
        <f t="shared" si="17"/>
        <v>0</v>
      </c>
      <c r="L112" s="30">
        <f t="shared" si="17"/>
        <v>0</v>
      </c>
      <c r="M112" s="30">
        <f t="shared" si="17"/>
        <v>0</v>
      </c>
      <c r="O112" s="23">
        <f>'GS &gt; 50 OLS Model'!$B$5</f>
        <v>-17059648.826166701</v>
      </c>
      <c r="P112" s="23">
        <f ca="1">'GS &gt; 50 OLS Model'!$B$6*D112</f>
        <v>4290356.5102609834</v>
      </c>
      <c r="Q112" s="23">
        <f ca="1">'GS &gt; 50 OLS Model'!$B$7*E112</f>
        <v>0</v>
      </c>
      <c r="R112" s="23">
        <f>'GS &gt; 50 OLS Model'!$B$8*F112</f>
        <v>38256108.941299975</v>
      </c>
      <c r="S112" s="23">
        <f>'GS &gt; 50 OLS Model'!$B$9*G112</f>
        <v>-2732403.3913777145</v>
      </c>
      <c r="T112" s="23">
        <f>'GS &gt; 50 OLS Model'!$B$10*H112</f>
        <v>3080612.6346428157</v>
      </c>
      <c r="U112" s="23">
        <f>'GS &gt; 50 OLS Model'!$B$11*I112</f>
        <v>0</v>
      </c>
      <c r="V112" s="23">
        <f>'GS &gt; 50 OLS Model'!$B$12*J112</f>
        <v>0</v>
      </c>
      <c r="W112" s="23">
        <f>'GS &gt; 50 OLS Model'!$B$13*K112</f>
        <v>0</v>
      </c>
      <c r="X112" s="23">
        <f>'GS &gt; 50 OLS Model'!$B$14*L112</f>
        <v>0</v>
      </c>
      <c r="Y112" s="23">
        <f>'GS &gt; 50 OLS Model'!$B$15*M112</f>
        <v>0</v>
      </c>
      <c r="Z112" s="23">
        <f t="shared" ca="1" si="8"/>
        <v>25835025.868659362</v>
      </c>
    </row>
    <row r="113" spans="1:26">
      <c r="A113" s="11">
        <v>43191</v>
      </c>
      <c r="B113" s="6">
        <f t="shared" si="15"/>
        <v>2018</v>
      </c>
      <c r="D113">
        <f t="shared" ca="1" si="16"/>
        <v>326.58999999999997</v>
      </c>
      <c r="E113">
        <f t="shared" ca="1" si="16"/>
        <v>0.39</v>
      </c>
      <c r="F113" s="30">
        <f>F101*(1+SUMIF('Ontario Employment Growth'!B:B,B113,'Ontario Employment Growth'!G:G))</f>
        <v>7137.6928153514082</v>
      </c>
      <c r="G113" s="30">
        <f t="shared" si="10"/>
        <v>112</v>
      </c>
      <c r="H113" s="60">
        <f>SUMIF('Connection count '!B:B,B113,'Connection count '!M:M)</f>
        <v>350.05204037473698</v>
      </c>
      <c r="I113" s="30">
        <f t="shared" si="17"/>
        <v>0</v>
      </c>
      <c r="J113" s="30">
        <f t="shared" si="17"/>
        <v>0</v>
      </c>
      <c r="K113" s="30">
        <f t="shared" si="17"/>
        <v>1</v>
      </c>
      <c r="L113" s="30">
        <f t="shared" si="17"/>
        <v>0</v>
      </c>
      <c r="M113" s="30">
        <f t="shared" si="17"/>
        <v>0</v>
      </c>
      <c r="O113" s="23">
        <f>'GS &gt; 50 OLS Model'!$B$5</f>
        <v>-17059648.826166701</v>
      </c>
      <c r="P113" s="23">
        <f ca="1">'GS &gt; 50 OLS Model'!$B$6*D113</f>
        <v>2515642.1707501649</v>
      </c>
      <c r="Q113" s="23">
        <f ca="1">'GS &gt; 50 OLS Model'!$B$7*E113</f>
        <v>12732.330384510789</v>
      </c>
      <c r="R113" s="23">
        <f>'GS &gt; 50 OLS Model'!$B$8*F113</f>
        <v>38447069.329865411</v>
      </c>
      <c r="S113" s="23">
        <f>'GS &gt; 50 OLS Model'!$B$9*G113</f>
        <v>-2757019.6381468833</v>
      </c>
      <c r="T113" s="23">
        <f>'GS &gt; 50 OLS Model'!$B$10*H113</f>
        <v>3080612.6346428157</v>
      </c>
      <c r="U113" s="23">
        <f>'GS &gt; 50 OLS Model'!$B$11*I113</f>
        <v>0</v>
      </c>
      <c r="V113" s="23">
        <f>'GS &gt; 50 OLS Model'!$B$12*J113</f>
        <v>0</v>
      </c>
      <c r="W113" s="23">
        <f>'GS &gt; 50 OLS Model'!$B$13*K113</f>
        <v>-1589866.56724812</v>
      </c>
      <c r="X113" s="23">
        <f>'GS &gt; 50 OLS Model'!$B$14*L113</f>
        <v>0</v>
      </c>
      <c r="Y113" s="23">
        <f>'GS &gt; 50 OLS Model'!$B$15*M113</f>
        <v>0</v>
      </c>
      <c r="Z113" s="23">
        <f t="shared" ca="1" si="8"/>
        <v>22649521.434081197</v>
      </c>
    </row>
    <row r="114" spans="1:26">
      <c r="A114" s="11">
        <v>43221</v>
      </c>
      <c r="B114" s="6">
        <f t="shared" si="15"/>
        <v>2018</v>
      </c>
      <c r="D114">
        <f t="shared" ca="1" si="16"/>
        <v>144.96</v>
      </c>
      <c r="E114">
        <f t="shared" ca="1" si="16"/>
        <v>8.67</v>
      </c>
      <c r="F114" s="30">
        <f>F102*(1+SUMIF('Ontario Employment Growth'!B:B,B114,'Ontario Employment Growth'!G:G))</f>
        <v>7198.2869356409055</v>
      </c>
      <c r="G114" s="30">
        <f t="shared" si="10"/>
        <v>113</v>
      </c>
      <c r="H114" s="60">
        <f>SUMIF('Connection count '!B:B,B114,'Connection count '!M:M)</f>
        <v>350.05204037473698</v>
      </c>
      <c r="I114" s="30">
        <f t="shared" ref="I114:M123" si="18">I102</f>
        <v>0</v>
      </c>
      <c r="J114" s="30">
        <f t="shared" si="18"/>
        <v>0</v>
      </c>
      <c r="K114" s="30">
        <f t="shared" si="18"/>
        <v>0</v>
      </c>
      <c r="L114" s="30">
        <f t="shared" si="18"/>
        <v>0</v>
      </c>
      <c r="M114" s="30">
        <f t="shared" si="18"/>
        <v>1</v>
      </c>
      <c r="O114" s="23">
        <f>'GS &gt; 50 OLS Model'!$B$5</f>
        <v>-17059648.826166701</v>
      </c>
      <c r="P114" s="23">
        <f ca="1">'GS &gt; 50 OLS Model'!$B$6*D114</f>
        <v>1116591.1052755564</v>
      </c>
      <c r="Q114" s="23">
        <f ca="1">'GS &gt; 50 OLS Model'!$B$7*E114</f>
        <v>283049.49854797061</v>
      </c>
      <c r="R114" s="23">
        <f>'GS &gt; 50 OLS Model'!$B$8*F114</f>
        <v>38773458.599342234</v>
      </c>
      <c r="S114" s="23">
        <f>'GS &gt; 50 OLS Model'!$B$9*G114</f>
        <v>-2781635.8849160518</v>
      </c>
      <c r="T114" s="23">
        <f>'GS &gt; 50 OLS Model'!$B$10*H114</f>
        <v>3080612.6346428157</v>
      </c>
      <c r="U114" s="23">
        <f>'GS &gt; 50 OLS Model'!$B$11*I114</f>
        <v>0</v>
      </c>
      <c r="V114" s="23">
        <f>'GS &gt; 50 OLS Model'!$B$12*J114</f>
        <v>0</v>
      </c>
      <c r="W114" s="23">
        <f>'GS &gt; 50 OLS Model'!$B$13*K114</f>
        <v>0</v>
      </c>
      <c r="X114" s="23">
        <f>'GS &gt; 50 OLS Model'!$B$14*L114</f>
        <v>0</v>
      </c>
      <c r="Y114" s="23">
        <f>'GS &gt; 50 OLS Model'!$B$15*M114</f>
        <v>-1207404.17093835</v>
      </c>
      <c r="Z114" s="23">
        <f t="shared" ca="1" si="8"/>
        <v>22205022.955787476</v>
      </c>
    </row>
    <row r="115" spans="1:26">
      <c r="A115" s="11">
        <v>43252</v>
      </c>
      <c r="B115" s="6">
        <f t="shared" si="15"/>
        <v>2018</v>
      </c>
      <c r="D115">
        <f t="shared" ca="1" si="16"/>
        <v>41.510000000000005</v>
      </c>
      <c r="E115">
        <f t="shared" ca="1" si="16"/>
        <v>44.41</v>
      </c>
      <c r="F115" s="30">
        <f>F103*(1+SUMIF('Ontario Employment Growth'!B:B,B115,'Ontario Employment Growth'!G:G))</f>
        <v>7272.241217869233</v>
      </c>
      <c r="G115" s="30">
        <f t="shared" si="10"/>
        <v>114</v>
      </c>
      <c r="H115" s="60">
        <f>SUMIF('Connection count '!B:B,B115,'Connection count '!M:M)</f>
        <v>350.05204037473698</v>
      </c>
      <c r="I115" s="30">
        <f t="shared" si="18"/>
        <v>0</v>
      </c>
      <c r="J115" s="30">
        <f t="shared" si="18"/>
        <v>0</v>
      </c>
      <c r="K115" s="30">
        <f t="shared" si="18"/>
        <v>0</v>
      </c>
      <c r="L115" s="30">
        <f t="shared" si="18"/>
        <v>0</v>
      </c>
      <c r="M115" s="30">
        <f t="shared" si="18"/>
        <v>1</v>
      </c>
      <c r="O115" s="23">
        <f>'GS &gt; 50 OLS Model'!$B$5</f>
        <v>-17059648.826166701</v>
      </c>
      <c r="P115" s="23">
        <f ca="1">'GS &gt; 50 OLS Model'!$B$6*D115</f>
        <v>319741.28573391523</v>
      </c>
      <c r="Q115" s="23">
        <f ca="1">'GS &gt; 50 OLS Model'!$B$7*E115</f>
        <v>1449853.3137849336</v>
      </c>
      <c r="R115" s="23">
        <f>'GS &gt; 50 OLS Model'!$B$8*F115</f>
        <v>39171812.169554397</v>
      </c>
      <c r="S115" s="23">
        <f>'GS &gt; 50 OLS Model'!$B$9*G115</f>
        <v>-2806252.1316852202</v>
      </c>
      <c r="T115" s="23">
        <f>'GS &gt; 50 OLS Model'!$B$10*H115</f>
        <v>3080612.6346428157</v>
      </c>
      <c r="U115" s="23">
        <f>'GS &gt; 50 OLS Model'!$B$11*I115</f>
        <v>0</v>
      </c>
      <c r="V115" s="23">
        <f>'GS &gt; 50 OLS Model'!$B$12*J115</f>
        <v>0</v>
      </c>
      <c r="W115" s="23">
        <f>'GS &gt; 50 OLS Model'!$B$13*K115</f>
        <v>0</v>
      </c>
      <c r="X115" s="23">
        <f>'GS &gt; 50 OLS Model'!$B$14*L115</f>
        <v>0</v>
      </c>
      <c r="Y115" s="23">
        <f>'GS &gt; 50 OLS Model'!$B$15*M115</f>
        <v>-1207404.17093835</v>
      </c>
      <c r="Z115" s="23">
        <f t="shared" ca="1" si="8"/>
        <v>22948714.274925794</v>
      </c>
    </row>
    <row r="116" spans="1:26">
      <c r="A116" s="11">
        <v>43282</v>
      </c>
      <c r="B116" s="6">
        <f t="shared" si="15"/>
        <v>2018</v>
      </c>
      <c r="D116">
        <f t="shared" ca="1" si="16"/>
        <v>5.01</v>
      </c>
      <c r="E116">
        <f t="shared" ca="1" si="16"/>
        <v>96.909999999999982</v>
      </c>
      <c r="F116" s="30">
        <f>F104*(1+SUMIF('Ontario Employment Growth'!B:B,B116,'Ontario Employment Growth'!G:G))</f>
        <v>7319.4751762199012</v>
      </c>
      <c r="G116" s="30">
        <f t="shared" si="10"/>
        <v>115</v>
      </c>
      <c r="H116" s="60">
        <f>SUMIF('Connection count '!B:B,B116,'Connection count '!M:M)</f>
        <v>350.05204037473698</v>
      </c>
      <c r="I116" s="30">
        <f t="shared" si="18"/>
        <v>0</v>
      </c>
      <c r="J116" s="30">
        <f t="shared" si="18"/>
        <v>0</v>
      </c>
      <c r="K116" s="30">
        <f t="shared" si="18"/>
        <v>0</v>
      </c>
      <c r="L116" s="30">
        <f t="shared" si="18"/>
        <v>0</v>
      </c>
      <c r="M116" s="30">
        <f t="shared" si="18"/>
        <v>1</v>
      </c>
      <c r="O116" s="23">
        <f>'GS &gt; 50 OLS Model'!$B$5</f>
        <v>-17059648.826166701</v>
      </c>
      <c r="P116" s="23">
        <f ca="1">'GS &gt; 50 OLS Model'!$B$6*D116</f>
        <v>38590.793580508667</v>
      </c>
      <c r="Q116" s="23">
        <f ca="1">'GS &gt; 50 OLS Model'!$B$7*E116</f>
        <v>3163820.8655460011</v>
      </c>
      <c r="R116" s="23">
        <f>'GS &gt; 50 OLS Model'!$B$8*F116</f>
        <v>39426237.138295881</v>
      </c>
      <c r="S116" s="23">
        <f>'GS &gt; 50 OLS Model'!$B$9*G116</f>
        <v>-2830868.3784543891</v>
      </c>
      <c r="T116" s="23">
        <f>'GS &gt; 50 OLS Model'!$B$10*H116</f>
        <v>3080612.6346428157</v>
      </c>
      <c r="U116" s="23">
        <f>'GS &gt; 50 OLS Model'!$B$11*I116</f>
        <v>0</v>
      </c>
      <c r="V116" s="23">
        <f>'GS &gt; 50 OLS Model'!$B$12*J116</f>
        <v>0</v>
      </c>
      <c r="W116" s="23">
        <f>'GS &gt; 50 OLS Model'!$B$13*K116</f>
        <v>0</v>
      </c>
      <c r="X116" s="23">
        <f>'GS &gt; 50 OLS Model'!$B$14*L116</f>
        <v>0</v>
      </c>
      <c r="Y116" s="23">
        <f>'GS &gt; 50 OLS Model'!$B$15*M116</f>
        <v>-1207404.17093835</v>
      </c>
      <c r="Z116" s="23">
        <f t="shared" ca="1" si="8"/>
        <v>24611340.056505769</v>
      </c>
    </row>
    <row r="117" spans="1:26">
      <c r="A117" s="11">
        <v>43313</v>
      </c>
      <c r="B117" s="6">
        <f t="shared" si="15"/>
        <v>2018</v>
      </c>
      <c r="D117">
        <f t="shared" ca="1" si="16"/>
        <v>12.719999999999999</v>
      </c>
      <c r="E117">
        <f t="shared" ca="1" si="16"/>
        <v>77.22999999999999</v>
      </c>
      <c r="F117" s="30">
        <f>F105*(1+SUMIF('Ontario Employment Growth'!B:B,B117,'Ontario Employment Growth'!G:G))</f>
        <v>7331.9937531547093</v>
      </c>
      <c r="G117" s="30">
        <f t="shared" si="10"/>
        <v>116</v>
      </c>
      <c r="H117" s="60">
        <f>SUMIF('Connection count '!B:B,B117,'Connection count '!M:M)</f>
        <v>350.05204037473698</v>
      </c>
      <c r="I117" s="30">
        <f t="shared" si="18"/>
        <v>0</v>
      </c>
      <c r="J117" s="30">
        <f t="shared" si="18"/>
        <v>0</v>
      </c>
      <c r="K117" s="30">
        <f t="shared" si="18"/>
        <v>0</v>
      </c>
      <c r="L117" s="30">
        <f t="shared" si="18"/>
        <v>0</v>
      </c>
      <c r="M117" s="30">
        <f t="shared" si="18"/>
        <v>1</v>
      </c>
      <c r="O117" s="23">
        <f>'GS &gt; 50 OLS Model'!$B$5</f>
        <v>-17059648.826166701</v>
      </c>
      <c r="P117" s="23">
        <f ca="1">'GS &gt; 50 OLS Model'!$B$6*D117</f>
        <v>97979.020827159737</v>
      </c>
      <c r="Q117" s="23">
        <f ca="1">'GS &gt; 50 OLS Model'!$B$7*E117</f>
        <v>2521327.8861429952</v>
      </c>
      <c r="R117" s="23">
        <f>'GS &gt; 50 OLS Model'!$B$8*F117</f>
        <v>39493668.254732929</v>
      </c>
      <c r="S117" s="23">
        <f>'GS &gt; 50 OLS Model'!$B$9*G117</f>
        <v>-2855484.6252235575</v>
      </c>
      <c r="T117" s="23">
        <f>'GS &gt; 50 OLS Model'!$B$10*H117</f>
        <v>3080612.6346428157</v>
      </c>
      <c r="U117" s="23">
        <f>'GS &gt; 50 OLS Model'!$B$11*I117</f>
        <v>0</v>
      </c>
      <c r="V117" s="23">
        <f>'GS &gt; 50 OLS Model'!$B$12*J117</f>
        <v>0</v>
      </c>
      <c r="W117" s="23">
        <f>'GS &gt; 50 OLS Model'!$B$13*K117</f>
        <v>0</v>
      </c>
      <c r="X117" s="23">
        <f>'GS &gt; 50 OLS Model'!$B$14*L117</f>
        <v>0</v>
      </c>
      <c r="Y117" s="23">
        <f>'GS &gt; 50 OLS Model'!$B$15*M117</f>
        <v>-1207404.17093835</v>
      </c>
      <c r="Z117" s="23">
        <f t="shared" ca="1" si="8"/>
        <v>24071050.174017292</v>
      </c>
    </row>
    <row r="118" spans="1:26">
      <c r="A118" s="11">
        <v>43344</v>
      </c>
      <c r="B118" s="6">
        <f t="shared" si="15"/>
        <v>2018</v>
      </c>
      <c r="D118">
        <f t="shared" ref="D118:E137" ca="1" si="19">D106</f>
        <v>86.570000000000007</v>
      </c>
      <c r="E118">
        <f t="shared" ca="1" si="19"/>
        <v>19.899999999999999</v>
      </c>
      <c r="F118" s="30">
        <f>F106*(1+SUMIF('Ontario Employment Growth'!B:B,B118,'Ontario Employment Growth'!G:G))</f>
        <v>7305.0630330260446</v>
      </c>
      <c r="G118" s="30">
        <f t="shared" si="10"/>
        <v>117</v>
      </c>
      <c r="H118" s="60">
        <f>SUMIF('Connection count '!B:B,B118,'Connection count '!M:M)</f>
        <v>350.05204037473698</v>
      </c>
      <c r="I118" s="30">
        <f t="shared" si="18"/>
        <v>1</v>
      </c>
      <c r="J118" s="30">
        <f t="shared" si="18"/>
        <v>0</v>
      </c>
      <c r="K118" s="30">
        <f t="shared" si="18"/>
        <v>0</v>
      </c>
      <c r="L118" s="30">
        <f t="shared" si="18"/>
        <v>0</v>
      </c>
      <c r="M118" s="30">
        <f t="shared" si="18"/>
        <v>0</v>
      </c>
      <c r="O118" s="23">
        <f>'GS &gt; 50 OLS Model'!$B$5</f>
        <v>-17059648.826166701</v>
      </c>
      <c r="P118" s="23">
        <f ca="1">'GS &gt; 50 OLS Model'!$B$6*D118</f>
        <v>666827.34536220285</v>
      </c>
      <c r="Q118" s="23">
        <f ca="1">'GS &gt; 50 OLS Model'!$B$7*E118</f>
        <v>649675.31961990939</v>
      </c>
      <c r="R118" s="23">
        <f>'GS &gt; 50 OLS Model'!$B$8*F118</f>
        <v>39348606.357187673</v>
      </c>
      <c r="S118" s="23">
        <f>'GS &gt; 50 OLS Model'!$B$9*G118</f>
        <v>-2880100.8719927263</v>
      </c>
      <c r="T118" s="23">
        <f>'GS &gt; 50 OLS Model'!$B$10*H118</f>
        <v>3080612.6346428157</v>
      </c>
      <c r="U118" s="23">
        <f>'GS &gt; 50 OLS Model'!$B$11*I118</f>
        <v>-1573400.2840208299</v>
      </c>
      <c r="V118" s="23">
        <f>'GS &gt; 50 OLS Model'!$B$12*J118</f>
        <v>0</v>
      </c>
      <c r="W118" s="23">
        <f>'GS &gt; 50 OLS Model'!$B$13*K118</f>
        <v>0</v>
      </c>
      <c r="X118" s="23">
        <f>'GS &gt; 50 OLS Model'!$B$14*L118</f>
        <v>0</v>
      </c>
      <c r="Y118" s="23">
        <f>'GS &gt; 50 OLS Model'!$B$15*M118</f>
        <v>0</v>
      </c>
      <c r="Z118" s="23">
        <f t="shared" ca="1" si="8"/>
        <v>22232571.674632348</v>
      </c>
    </row>
    <row r="119" spans="1:26">
      <c r="A119" s="11">
        <v>43374</v>
      </c>
      <c r="B119" s="6">
        <f t="shared" si="15"/>
        <v>2018</v>
      </c>
      <c r="D119">
        <f t="shared" ca="1" si="19"/>
        <v>270.3</v>
      </c>
      <c r="E119">
        <f t="shared" ca="1" si="19"/>
        <v>1.21</v>
      </c>
      <c r="F119" s="30">
        <f>F107*(1+SUMIF('Ontario Employment Growth'!B:B,B119,'Ontario Employment Growth'!G:G))</f>
        <v>7297.1731736133497</v>
      </c>
      <c r="G119" s="30">
        <f t="shared" si="10"/>
        <v>118</v>
      </c>
      <c r="H119" s="60">
        <f>SUMIF('Connection count '!B:B,B119,'Connection count '!M:M)</f>
        <v>350.05204037473698</v>
      </c>
      <c r="I119" s="30">
        <f t="shared" si="18"/>
        <v>1</v>
      </c>
      <c r="J119" s="30">
        <f t="shared" si="18"/>
        <v>0</v>
      </c>
      <c r="K119" s="30">
        <f t="shared" si="18"/>
        <v>0</v>
      </c>
      <c r="L119" s="30">
        <f t="shared" si="18"/>
        <v>0</v>
      </c>
      <c r="M119" s="30">
        <f t="shared" si="18"/>
        <v>0</v>
      </c>
      <c r="O119" s="23">
        <f>'GS &gt; 50 OLS Model'!$B$5</f>
        <v>-17059648.826166701</v>
      </c>
      <c r="P119" s="23">
        <f ca="1">'GS &gt; 50 OLS Model'!$B$6*D119</f>
        <v>2082054.1925771446</v>
      </c>
      <c r="Q119" s="23">
        <f ca="1">'GS &gt; 50 OLS Model'!$B$7*E119</f>
        <v>39502.871192969367</v>
      </c>
      <c r="R119" s="23">
        <f>'GS &gt; 50 OLS Model'!$B$8*F119</f>
        <v>39306107.754391216</v>
      </c>
      <c r="S119" s="23">
        <f>'GS &gt; 50 OLS Model'!$B$9*G119</f>
        <v>-2904717.1187618948</v>
      </c>
      <c r="T119" s="23">
        <f>'GS &gt; 50 OLS Model'!$B$10*H119</f>
        <v>3080612.6346428157</v>
      </c>
      <c r="U119" s="23">
        <f>'GS &gt; 50 OLS Model'!$B$11*I119</f>
        <v>-1573400.2840208299</v>
      </c>
      <c r="V119" s="23">
        <f>'GS &gt; 50 OLS Model'!$B$12*J119</f>
        <v>0</v>
      </c>
      <c r="W119" s="23">
        <f>'GS &gt; 50 OLS Model'!$B$13*K119</f>
        <v>0</v>
      </c>
      <c r="X119" s="23">
        <f>'GS &gt; 50 OLS Model'!$B$14*L119</f>
        <v>0</v>
      </c>
      <c r="Y119" s="23">
        <f>'GS &gt; 50 OLS Model'!$B$15*M119</f>
        <v>0</v>
      </c>
      <c r="Z119" s="23">
        <f t="shared" ca="1" si="8"/>
        <v>22970511.223854721</v>
      </c>
    </row>
    <row r="120" spans="1:26">
      <c r="A120" s="11">
        <v>43405</v>
      </c>
      <c r="B120" s="6">
        <f t="shared" si="15"/>
        <v>2018</v>
      </c>
      <c r="D120">
        <f t="shared" ca="1" si="19"/>
        <v>444.05</v>
      </c>
      <c r="E120">
        <f t="shared" ca="1" si="19"/>
        <v>0</v>
      </c>
      <c r="F120" s="30">
        <f>F108*(1+SUMIF('Ontario Employment Growth'!B:B,B120,'Ontario Employment Growth'!G:G))</f>
        <v>7273.7139916262704</v>
      </c>
      <c r="G120" s="30">
        <f t="shared" si="10"/>
        <v>119</v>
      </c>
      <c r="H120" s="60">
        <f>SUMIF('Connection count '!B:B,B120,'Connection count '!M:M)</f>
        <v>350.05204037473698</v>
      </c>
      <c r="I120" s="30">
        <f t="shared" si="18"/>
        <v>1</v>
      </c>
      <c r="J120" s="30">
        <f t="shared" si="18"/>
        <v>0</v>
      </c>
      <c r="K120" s="30">
        <f t="shared" si="18"/>
        <v>0</v>
      </c>
      <c r="L120" s="30">
        <f t="shared" si="18"/>
        <v>0</v>
      </c>
      <c r="M120" s="30">
        <f t="shared" si="18"/>
        <v>0</v>
      </c>
      <c r="O120" s="23">
        <f>'GS &gt; 50 OLS Model'!$B$5</f>
        <v>-17059648.826166701</v>
      </c>
      <c r="P120" s="23">
        <f ca="1">'GS &gt; 50 OLS Model'!$B$6*D120</f>
        <v>3420407.5627594562</v>
      </c>
      <c r="Q120" s="23">
        <f ca="1">'GS &gt; 50 OLS Model'!$B$7*E120</f>
        <v>0</v>
      </c>
      <c r="R120" s="23">
        <f>'GS &gt; 50 OLS Model'!$B$8*F120</f>
        <v>39179745.242076404</v>
      </c>
      <c r="S120" s="23">
        <f>'GS &gt; 50 OLS Model'!$B$9*G120</f>
        <v>-2929333.3655310632</v>
      </c>
      <c r="T120" s="23">
        <f>'GS &gt; 50 OLS Model'!$B$10*H120</f>
        <v>3080612.6346428157</v>
      </c>
      <c r="U120" s="23">
        <f>'GS &gt; 50 OLS Model'!$B$11*I120</f>
        <v>-1573400.2840208299</v>
      </c>
      <c r="V120" s="23">
        <f>'GS &gt; 50 OLS Model'!$B$12*J120</f>
        <v>0</v>
      </c>
      <c r="W120" s="23">
        <f>'GS &gt; 50 OLS Model'!$B$13*K120</f>
        <v>0</v>
      </c>
      <c r="X120" s="23">
        <f>'GS &gt; 50 OLS Model'!$B$14*L120</f>
        <v>0</v>
      </c>
      <c r="Y120" s="23">
        <f>'GS &gt; 50 OLS Model'!$B$15*M120</f>
        <v>0</v>
      </c>
      <c r="Z120" s="23">
        <f t="shared" ca="1" si="8"/>
        <v>24118382.963760082</v>
      </c>
    </row>
    <row r="121" spans="1:26">
      <c r="A121" s="11">
        <v>43435</v>
      </c>
      <c r="B121" s="6">
        <f t="shared" si="15"/>
        <v>2018</v>
      </c>
      <c r="D121">
        <f t="shared" ca="1" si="19"/>
        <v>684.01</v>
      </c>
      <c r="E121">
        <f t="shared" ca="1" si="19"/>
        <v>0</v>
      </c>
      <c r="F121" s="30">
        <f>F109*(1+SUMIF('Ontario Employment Growth'!B:B,B121,'Ontario Employment Growth'!G:G))</f>
        <v>7262.0369996954805</v>
      </c>
      <c r="G121" s="30">
        <f t="shared" si="10"/>
        <v>120</v>
      </c>
      <c r="H121" s="60">
        <f>SUMIF('Connection count '!B:B,B121,'Connection count '!M:M)</f>
        <v>350.05204037473698</v>
      </c>
      <c r="I121" s="30">
        <f t="shared" si="18"/>
        <v>0</v>
      </c>
      <c r="J121" s="30">
        <f t="shared" si="18"/>
        <v>0</v>
      </c>
      <c r="K121" s="30">
        <f t="shared" si="18"/>
        <v>0</v>
      </c>
      <c r="L121" s="30">
        <f t="shared" si="18"/>
        <v>1</v>
      </c>
      <c r="M121" s="30">
        <f t="shared" si="18"/>
        <v>0</v>
      </c>
      <c r="O121" s="23">
        <f>'GS &gt; 50 OLS Model'!$B$5</f>
        <v>-17059648.826166701</v>
      </c>
      <c r="P121" s="23">
        <f ca="1">'GS &gt; 50 OLS Model'!$B$6*D121</f>
        <v>5268760.2229548376</v>
      </c>
      <c r="Q121" s="23">
        <f ca="1">'GS &gt; 50 OLS Model'!$B$7*E121</f>
        <v>0</v>
      </c>
      <c r="R121" s="23">
        <f>'GS &gt; 50 OLS Model'!$B$8*F121</f>
        <v>39116847.309937634</v>
      </c>
      <c r="S121" s="23">
        <f>'GS &gt; 50 OLS Model'!$B$9*G121</f>
        <v>-2953949.6123002321</v>
      </c>
      <c r="T121" s="23">
        <f>'GS &gt; 50 OLS Model'!$B$10*H121</f>
        <v>3080612.6346428157</v>
      </c>
      <c r="U121" s="23">
        <f>'GS &gt; 50 OLS Model'!$B$11*I121</f>
        <v>0</v>
      </c>
      <c r="V121" s="23">
        <f>'GS &gt; 50 OLS Model'!$B$12*J121</f>
        <v>0</v>
      </c>
      <c r="W121" s="23">
        <f>'GS &gt; 50 OLS Model'!$B$13*K121</f>
        <v>0</v>
      </c>
      <c r="X121" s="23">
        <f>'GS &gt; 50 OLS Model'!$B$14*L121</f>
        <v>-1083532.53757107</v>
      </c>
      <c r="Y121" s="23">
        <f>'GS &gt; 50 OLS Model'!$B$15*M121</f>
        <v>0</v>
      </c>
      <c r="Z121" s="23">
        <f t="shared" ca="1" si="8"/>
        <v>26369089.191497285</v>
      </c>
    </row>
    <row r="122" spans="1:26">
      <c r="A122" s="11">
        <v>43466</v>
      </c>
      <c r="B122" s="6">
        <f t="shared" si="15"/>
        <v>2019</v>
      </c>
      <c r="D122">
        <f t="shared" ca="1" si="19"/>
        <v>784.29</v>
      </c>
      <c r="E122">
        <f t="shared" ca="1" si="19"/>
        <v>0</v>
      </c>
      <c r="F122" s="30">
        <f>F110*(1+SUMIF('Ontario Employment Growth'!B:B,B122,'Ontario Employment Growth'!G:G))</f>
        <v>7252.9681848902783</v>
      </c>
      <c r="G122" s="30">
        <f t="shared" si="10"/>
        <v>121</v>
      </c>
      <c r="H122" s="60">
        <f>SUMIF('Connection count '!B:B,B122,'Connection count '!M:M)</f>
        <v>356.74844720496901</v>
      </c>
      <c r="I122" s="30">
        <f t="shared" si="18"/>
        <v>0</v>
      </c>
      <c r="J122" s="30">
        <f t="shared" si="18"/>
        <v>0</v>
      </c>
      <c r="K122" s="30">
        <f t="shared" si="18"/>
        <v>0</v>
      </c>
      <c r="L122" s="30">
        <f t="shared" si="18"/>
        <v>0</v>
      </c>
      <c r="M122" s="30">
        <f t="shared" si="18"/>
        <v>0</v>
      </c>
      <c r="O122" s="23">
        <f>'GS &gt; 50 OLS Model'!$B$5</f>
        <v>-17059648.826166701</v>
      </c>
      <c r="P122" s="23">
        <f ca="1">'GS &gt; 50 OLS Model'!$B$6*D122</f>
        <v>6041192.3148217853</v>
      </c>
      <c r="Q122" s="23">
        <f ca="1">'GS &gt; 50 OLS Model'!$B$7*E122</f>
        <v>0</v>
      </c>
      <c r="R122" s="23">
        <f>'GS &gt; 50 OLS Model'!$B$8*F122</f>
        <v>39067998.282587312</v>
      </c>
      <c r="S122" s="23">
        <f>'GS &gt; 50 OLS Model'!$B$9*G122</f>
        <v>-2978565.8590694005</v>
      </c>
      <c r="T122" s="23">
        <f>'GS &gt; 50 OLS Model'!$B$10*H122</f>
        <v>3139543.9737255345</v>
      </c>
      <c r="U122" s="23">
        <f>'GS &gt; 50 OLS Model'!$B$11*I122</f>
        <v>0</v>
      </c>
      <c r="V122" s="23">
        <f>'GS &gt; 50 OLS Model'!$B$12*J122</f>
        <v>0</v>
      </c>
      <c r="W122" s="23">
        <f>'GS &gt; 50 OLS Model'!$B$13*K122</f>
        <v>0</v>
      </c>
      <c r="X122" s="23">
        <f>'GS &gt; 50 OLS Model'!$B$14*L122</f>
        <v>0</v>
      </c>
      <c r="Y122" s="23">
        <f>'GS &gt; 50 OLS Model'!$B$15*M122</f>
        <v>0</v>
      </c>
      <c r="Z122" s="23">
        <f t="shared" ca="1" si="8"/>
        <v>28210519.88589853</v>
      </c>
    </row>
    <row r="123" spans="1:26">
      <c r="A123" s="11">
        <v>43497</v>
      </c>
      <c r="B123" s="6">
        <f t="shared" si="15"/>
        <v>2019</v>
      </c>
      <c r="D123">
        <f t="shared" ca="1" si="19"/>
        <v>682.50999999999988</v>
      </c>
      <c r="E123">
        <f t="shared" ca="1" si="19"/>
        <v>0</v>
      </c>
      <c r="F123" s="30">
        <f>F111*(1+SUMIF('Ontario Employment Growth'!B:B,B123,'Ontario Employment Growth'!G:G))</f>
        <v>7216.9489779069409</v>
      </c>
      <c r="G123" s="30">
        <f t="shared" si="10"/>
        <v>122</v>
      </c>
      <c r="H123" s="60">
        <f>SUMIF('Connection count '!B:B,B123,'Connection count '!M:M)</f>
        <v>356.74844720496901</v>
      </c>
      <c r="I123" s="30">
        <f t="shared" si="18"/>
        <v>0</v>
      </c>
      <c r="J123" s="30">
        <f t="shared" si="18"/>
        <v>1</v>
      </c>
      <c r="K123" s="30">
        <f t="shared" si="18"/>
        <v>0</v>
      </c>
      <c r="L123" s="30">
        <f t="shared" si="18"/>
        <v>0</v>
      </c>
      <c r="M123" s="30">
        <f t="shared" si="18"/>
        <v>0</v>
      </c>
      <c r="O123" s="23">
        <f>'GS &gt; 50 OLS Model'!$B$5</f>
        <v>-17059648.826166701</v>
      </c>
      <c r="P123" s="23">
        <f ca="1">'GS &gt; 50 OLS Model'!$B$6*D123</f>
        <v>5257206.0931403134</v>
      </c>
      <c r="Q123" s="23">
        <f ca="1">'GS &gt; 50 OLS Model'!$B$7*E123</f>
        <v>0</v>
      </c>
      <c r="R123" s="23">
        <f>'GS &gt; 50 OLS Model'!$B$8*F123</f>
        <v>38873981.394508757</v>
      </c>
      <c r="S123" s="23">
        <f>'GS &gt; 50 OLS Model'!$B$9*G123</f>
        <v>-3003182.1058385693</v>
      </c>
      <c r="T123" s="23">
        <f>'GS &gt; 50 OLS Model'!$B$10*H123</f>
        <v>3139543.9737255345</v>
      </c>
      <c r="U123" s="23">
        <f>'GS &gt; 50 OLS Model'!$B$11*I123</f>
        <v>0</v>
      </c>
      <c r="V123" s="23">
        <f>'GS &gt; 50 OLS Model'!$B$12*J123</f>
        <v>-1514604.0647521601</v>
      </c>
      <c r="W123" s="23">
        <f>'GS &gt; 50 OLS Model'!$B$13*K123</f>
        <v>0</v>
      </c>
      <c r="X123" s="23">
        <f>'GS &gt; 50 OLS Model'!$B$14*L123</f>
        <v>0</v>
      </c>
      <c r="Y123" s="23">
        <f>'GS &gt; 50 OLS Model'!$B$15*M123</f>
        <v>0</v>
      </c>
      <c r="Z123" s="23">
        <f t="shared" ca="1" si="8"/>
        <v>25693296.464617174</v>
      </c>
    </row>
    <row r="124" spans="1:26">
      <c r="A124" s="11">
        <v>43525</v>
      </c>
      <c r="B124" s="6">
        <f t="shared" si="15"/>
        <v>2019</v>
      </c>
      <c r="D124">
        <f t="shared" ca="1" si="19"/>
        <v>556.99</v>
      </c>
      <c r="E124">
        <f t="shared" ca="1" si="19"/>
        <v>0</v>
      </c>
      <c r="F124" s="30">
        <f>F112*(1+SUMIF('Ontario Employment Growth'!B:B,B124,'Ontario Employment Growth'!G:G))</f>
        <v>7194.5701806687721</v>
      </c>
      <c r="G124" s="30">
        <f t="shared" si="10"/>
        <v>123</v>
      </c>
      <c r="H124" s="60">
        <f>SUMIF('Connection count '!B:B,B124,'Connection count '!M:M)</f>
        <v>356.74844720496901</v>
      </c>
      <c r="I124" s="30">
        <f t="shared" ref="I124:M133" si="20">I112</f>
        <v>0</v>
      </c>
      <c r="J124" s="30">
        <f t="shared" si="20"/>
        <v>0</v>
      </c>
      <c r="K124" s="30">
        <f t="shared" si="20"/>
        <v>0</v>
      </c>
      <c r="L124" s="30">
        <f t="shared" si="20"/>
        <v>0</v>
      </c>
      <c r="M124" s="30">
        <f t="shared" si="20"/>
        <v>0</v>
      </c>
      <c r="O124" s="23">
        <f>'GS &gt; 50 OLS Model'!$B$5</f>
        <v>-17059648.826166701</v>
      </c>
      <c r="P124" s="23">
        <f ca="1">'GS &gt; 50 OLS Model'!$B$6*D124</f>
        <v>4290356.5102609834</v>
      </c>
      <c r="Q124" s="23">
        <f ca="1">'GS &gt; 50 OLS Model'!$B$7*E124</f>
        <v>0</v>
      </c>
      <c r="R124" s="23">
        <f>'GS &gt; 50 OLS Model'!$B$8*F124</f>
        <v>38753438.357536867</v>
      </c>
      <c r="S124" s="23">
        <f>'GS &gt; 50 OLS Model'!$B$9*G124</f>
        <v>-3027798.3526077378</v>
      </c>
      <c r="T124" s="23">
        <f>'GS &gt; 50 OLS Model'!$B$10*H124</f>
        <v>3139543.9737255345</v>
      </c>
      <c r="U124" s="23">
        <f>'GS &gt; 50 OLS Model'!$B$11*I124</f>
        <v>0</v>
      </c>
      <c r="V124" s="23">
        <f>'GS &gt; 50 OLS Model'!$B$12*J124</f>
        <v>0</v>
      </c>
      <c r="W124" s="23">
        <f>'GS &gt; 50 OLS Model'!$B$13*K124</f>
        <v>0</v>
      </c>
      <c r="X124" s="23">
        <f>'GS &gt; 50 OLS Model'!$B$14*L124</f>
        <v>0</v>
      </c>
      <c r="Y124" s="23">
        <f>'GS &gt; 50 OLS Model'!$B$15*M124</f>
        <v>0</v>
      </c>
      <c r="Z124" s="23">
        <f t="shared" ca="1" si="8"/>
        <v>26095891.662748948</v>
      </c>
    </row>
    <row r="125" spans="1:26">
      <c r="A125" s="11">
        <v>43556</v>
      </c>
      <c r="B125" s="6">
        <f t="shared" si="15"/>
        <v>2019</v>
      </c>
      <c r="D125">
        <f t="shared" ca="1" si="19"/>
        <v>326.58999999999997</v>
      </c>
      <c r="E125">
        <f t="shared" ca="1" si="19"/>
        <v>0.39</v>
      </c>
      <c r="F125" s="30">
        <f>F113*(1+SUMIF('Ontario Employment Growth'!B:B,B125,'Ontario Employment Growth'!G:G))</f>
        <v>7230.4828219509754</v>
      </c>
      <c r="G125" s="30">
        <f t="shared" si="10"/>
        <v>124</v>
      </c>
      <c r="H125" s="60">
        <f>SUMIF('Connection count '!B:B,B125,'Connection count '!M:M)</f>
        <v>356.74844720496901</v>
      </c>
      <c r="I125" s="30">
        <f t="shared" si="20"/>
        <v>0</v>
      </c>
      <c r="J125" s="30">
        <f t="shared" si="20"/>
        <v>0</v>
      </c>
      <c r="K125" s="30">
        <f t="shared" si="20"/>
        <v>1</v>
      </c>
      <c r="L125" s="30">
        <f t="shared" si="20"/>
        <v>0</v>
      </c>
      <c r="M125" s="30">
        <f t="shared" si="20"/>
        <v>0</v>
      </c>
      <c r="O125" s="23">
        <f>'GS &gt; 50 OLS Model'!$B$5</f>
        <v>-17059648.826166701</v>
      </c>
      <c r="P125" s="23">
        <f ca="1">'GS &gt; 50 OLS Model'!$B$6*D125</f>
        <v>2515642.1707501649</v>
      </c>
      <c r="Q125" s="23">
        <f ca="1">'GS &gt; 50 OLS Model'!$B$7*E125</f>
        <v>12732.330384510789</v>
      </c>
      <c r="R125" s="23">
        <f>'GS &gt; 50 OLS Model'!$B$8*F125</f>
        <v>38946881.231153652</v>
      </c>
      <c r="S125" s="23">
        <f>'GS &gt; 50 OLS Model'!$B$9*G125</f>
        <v>-3052414.5993769062</v>
      </c>
      <c r="T125" s="23">
        <f>'GS &gt; 50 OLS Model'!$B$10*H125</f>
        <v>3139543.9737255345</v>
      </c>
      <c r="U125" s="23">
        <f>'GS &gt; 50 OLS Model'!$B$11*I125</f>
        <v>0</v>
      </c>
      <c r="V125" s="23">
        <f>'GS &gt; 50 OLS Model'!$B$12*J125</f>
        <v>0</v>
      </c>
      <c r="W125" s="23">
        <f>'GS &gt; 50 OLS Model'!$B$13*K125</f>
        <v>-1589866.56724812</v>
      </c>
      <c r="X125" s="23">
        <f>'GS &gt; 50 OLS Model'!$B$14*L125</f>
        <v>0</v>
      </c>
      <c r="Y125" s="23">
        <f>'GS &gt; 50 OLS Model'!$B$15*M125</f>
        <v>0</v>
      </c>
      <c r="Z125" s="23">
        <f t="shared" ca="1" si="8"/>
        <v>22912869.713222135</v>
      </c>
    </row>
    <row r="126" spans="1:26">
      <c r="A126" s="11">
        <v>43586</v>
      </c>
      <c r="B126" s="6">
        <f t="shared" si="15"/>
        <v>2019</v>
      </c>
      <c r="D126">
        <f t="shared" ca="1" si="19"/>
        <v>144.96</v>
      </c>
      <c r="E126">
        <f t="shared" ca="1" si="19"/>
        <v>8.67</v>
      </c>
      <c r="F126" s="30">
        <f>F114*(1+SUMIF('Ontario Employment Growth'!B:B,B126,'Ontario Employment Growth'!G:G))</f>
        <v>7291.8646658042362</v>
      </c>
      <c r="G126" s="30">
        <f t="shared" si="10"/>
        <v>125</v>
      </c>
      <c r="H126" s="60">
        <f>SUMIF('Connection count '!B:B,B126,'Connection count '!M:M)</f>
        <v>356.74844720496901</v>
      </c>
      <c r="I126" s="30">
        <f t="shared" si="20"/>
        <v>0</v>
      </c>
      <c r="J126" s="30">
        <f t="shared" si="20"/>
        <v>0</v>
      </c>
      <c r="K126" s="30">
        <f t="shared" si="20"/>
        <v>0</v>
      </c>
      <c r="L126" s="30">
        <f t="shared" si="20"/>
        <v>0</v>
      </c>
      <c r="M126" s="30">
        <f t="shared" si="20"/>
        <v>1</v>
      </c>
      <c r="O126" s="23">
        <f>'GS &gt; 50 OLS Model'!$B$5</f>
        <v>-17059648.826166701</v>
      </c>
      <c r="P126" s="23">
        <f ca="1">'GS &gt; 50 OLS Model'!$B$6*D126</f>
        <v>1116591.1052755564</v>
      </c>
      <c r="Q126" s="23">
        <f ca="1">'GS &gt; 50 OLS Model'!$B$7*E126</f>
        <v>283049.49854797061</v>
      </c>
      <c r="R126" s="23">
        <f>'GS &gt; 50 OLS Model'!$B$8*F126</f>
        <v>39277513.561133675</v>
      </c>
      <c r="S126" s="23">
        <f>'GS &gt; 50 OLS Model'!$B$9*G126</f>
        <v>-3077030.8461460751</v>
      </c>
      <c r="T126" s="23">
        <f>'GS &gt; 50 OLS Model'!$B$10*H126</f>
        <v>3139543.9737255345</v>
      </c>
      <c r="U126" s="23">
        <f>'GS &gt; 50 OLS Model'!$B$11*I126</f>
        <v>0</v>
      </c>
      <c r="V126" s="23">
        <f>'GS &gt; 50 OLS Model'!$B$12*J126</f>
        <v>0</v>
      </c>
      <c r="W126" s="23">
        <f>'GS &gt; 50 OLS Model'!$B$13*K126</f>
        <v>0</v>
      </c>
      <c r="X126" s="23">
        <f>'GS &gt; 50 OLS Model'!$B$14*L126</f>
        <v>0</v>
      </c>
      <c r="Y126" s="23">
        <f>'GS &gt; 50 OLS Model'!$B$15*M126</f>
        <v>-1207404.17093835</v>
      </c>
      <c r="Z126" s="23">
        <f t="shared" ca="1" si="8"/>
        <v>22472614.295431614</v>
      </c>
    </row>
    <row r="127" spans="1:26">
      <c r="A127" s="11">
        <v>43617</v>
      </c>
      <c r="B127" s="6">
        <f t="shared" si="15"/>
        <v>2019</v>
      </c>
      <c r="D127">
        <f t="shared" ca="1" si="19"/>
        <v>41.510000000000005</v>
      </c>
      <c r="E127">
        <f t="shared" ca="1" si="19"/>
        <v>44.41</v>
      </c>
      <c r="F127" s="30">
        <f>F115*(1+SUMIF('Ontario Employment Growth'!B:B,B127,'Ontario Employment Growth'!G:G))</f>
        <v>7366.7803537015325</v>
      </c>
      <c r="G127" s="30">
        <f t="shared" si="10"/>
        <v>126</v>
      </c>
      <c r="H127" s="60">
        <f>SUMIF('Connection count '!B:B,B127,'Connection count '!M:M)</f>
        <v>356.74844720496901</v>
      </c>
      <c r="I127" s="30">
        <f t="shared" si="20"/>
        <v>0</v>
      </c>
      <c r="J127" s="30">
        <f t="shared" si="20"/>
        <v>0</v>
      </c>
      <c r="K127" s="30">
        <f t="shared" si="20"/>
        <v>0</v>
      </c>
      <c r="L127" s="30">
        <f t="shared" si="20"/>
        <v>0</v>
      </c>
      <c r="M127" s="30">
        <f t="shared" si="20"/>
        <v>1</v>
      </c>
      <c r="O127" s="23">
        <f>'GS &gt; 50 OLS Model'!$B$5</f>
        <v>-17059648.826166701</v>
      </c>
      <c r="P127" s="23">
        <f ca="1">'GS &gt; 50 OLS Model'!$B$6*D127</f>
        <v>319741.28573391523</v>
      </c>
      <c r="Q127" s="23">
        <f ca="1">'GS &gt; 50 OLS Model'!$B$7*E127</f>
        <v>1449853.3137849336</v>
      </c>
      <c r="R127" s="23">
        <f>'GS &gt; 50 OLS Model'!$B$8*F127</f>
        <v>39681045.727758601</v>
      </c>
      <c r="S127" s="23">
        <f>'GS &gt; 50 OLS Model'!$B$9*G127</f>
        <v>-3101647.0929152435</v>
      </c>
      <c r="T127" s="23">
        <f>'GS &gt; 50 OLS Model'!$B$10*H127</f>
        <v>3139543.9737255345</v>
      </c>
      <c r="U127" s="23">
        <f>'GS &gt; 50 OLS Model'!$B$11*I127</f>
        <v>0</v>
      </c>
      <c r="V127" s="23">
        <f>'GS &gt; 50 OLS Model'!$B$12*J127</f>
        <v>0</v>
      </c>
      <c r="W127" s="23">
        <f>'GS &gt; 50 OLS Model'!$B$13*K127</f>
        <v>0</v>
      </c>
      <c r="X127" s="23">
        <f>'GS &gt; 50 OLS Model'!$B$14*L127</f>
        <v>0</v>
      </c>
      <c r="Y127" s="23">
        <f>'GS &gt; 50 OLS Model'!$B$15*M127</f>
        <v>-1207404.17093835</v>
      </c>
      <c r="Z127" s="23">
        <f t="shared" ca="1" si="8"/>
        <v>23221484.210982691</v>
      </c>
    </row>
    <row r="128" spans="1:26">
      <c r="A128" s="11">
        <v>43647</v>
      </c>
      <c r="B128" s="6">
        <f t="shared" si="15"/>
        <v>2019</v>
      </c>
      <c r="D128">
        <f t="shared" ca="1" si="19"/>
        <v>5.01</v>
      </c>
      <c r="E128">
        <f t="shared" ca="1" si="19"/>
        <v>96.909999999999982</v>
      </c>
      <c r="F128" s="30">
        <f>F116*(1+SUMIF('Ontario Employment Growth'!B:B,B128,'Ontario Employment Growth'!G:G))</f>
        <v>7414.6283535107596</v>
      </c>
      <c r="G128" s="30">
        <f t="shared" si="10"/>
        <v>127</v>
      </c>
      <c r="H128" s="60">
        <f>SUMIF('Connection count '!B:B,B128,'Connection count '!M:M)</f>
        <v>356.74844720496901</v>
      </c>
      <c r="I128" s="30">
        <f t="shared" si="20"/>
        <v>0</v>
      </c>
      <c r="J128" s="30">
        <f t="shared" si="20"/>
        <v>0</v>
      </c>
      <c r="K128" s="30">
        <f t="shared" si="20"/>
        <v>0</v>
      </c>
      <c r="L128" s="30">
        <f t="shared" si="20"/>
        <v>0</v>
      </c>
      <c r="M128" s="30">
        <f t="shared" si="20"/>
        <v>1</v>
      </c>
      <c r="O128" s="23">
        <f>'GS &gt; 50 OLS Model'!$B$5</f>
        <v>-17059648.826166701</v>
      </c>
      <c r="P128" s="23">
        <f ca="1">'GS &gt; 50 OLS Model'!$B$6*D128</f>
        <v>38590.793580508667</v>
      </c>
      <c r="Q128" s="23">
        <f ca="1">'GS &gt; 50 OLS Model'!$B$7*E128</f>
        <v>3163820.8655460011</v>
      </c>
      <c r="R128" s="23">
        <f>'GS &gt; 50 OLS Model'!$B$8*F128</f>
        <v>39938778.221093729</v>
      </c>
      <c r="S128" s="23">
        <f>'GS &gt; 50 OLS Model'!$B$9*G128</f>
        <v>-3126263.3396844123</v>
      </c>
      <c r="T128" s="23">
        <f>'GS &gt; 50 OLS Model'!$B$10*H128</f>
        <v>3139543.9737255345</v>
      </c>
      <c r="U128" s="23">
        <f>'GS &gt; 50 OLS Model'!$B$11*I128</f>
        <v>0</v>
      </c>
      <c r="V128" s="23">
        <f>'GS &gt; 50 OLS Model'!$B$12*J128</f>
        <v>0</v>
      </c>
      <c r="W128" s="23">
        <f>'GS &gt; 50 OLS Model'!$B$13*K128</f>
        <v>0</v>
      </c>
      <c r="X128" s="23">
        <f>'GS &gt; 50 OLS Model'!$B$14*L128</f>
        <v>0</v>
      </c>
      <c r="Y128" s="23">
        <f>'GS &gt; 50 OLS Model'!$B$15*M128</f>
        <v>-1207404.17093835</v>
      </c>
      <c r="Z128" s="23">
        <f t="shared" ca="1" si="8"/>
        <v>24887417.51715631</v>
      </c>
    </row>
    <row r="129" spans="1:26">
      <c r="A129" s="11">
        <v>43678</v>
      </c>
      <c r="B129" s="6">
        <f t="shared" si="15"/>
        <v>2019</v>
      </c>
      <c r="D129">
        <f t="shared" ca="1" si="19"/>
        <v>12.719999999999999</v>
      </c>
      <c r="E129">
        <f t="shared" ca="1" si="19"/>
        <v>77.22999999999999</v>
      </c>
      <c r="F129" s="30">
        <f>F117*(1+SUMIF('Ontario Employment Growth'!B:B,B129,'Ontario Employment Growth'!G:G))</f>
        <v>7427.3096719457199</v>
      </c>
      <c r="G129" s="30">
        <f t="shared" si="10"/>
        <v>128</v>
      </c>
      <c r="H129" s="60">
        <f>SUMIF('Connection count '!B:B,B129,'Connection count '!M:M)</f>
        <v>356.74844720496901</v>
      </c>
      <c r="I129" s="30">
        <f t="shared" si="20"/>
        <v>0</v>
      </c>
      <c r="J129" s="30">
        <f t="shared" si="20"/>
        <v>0</v>
      </c>
      <c r="K129" s="30">
        <f t="shared" si="20"/>
        <v>0</v>
      </c>
      <c r="L129" s="30">
        <f t="shared" si="20"/>
        <v>0</v>
      </c>
      <c r="M129" s="30">
        <f t="shared" si="20"/>
        <v>1</v>
      </c>
      <c r="O129" s="23">
        <f>'GS &gt; 50 OLS Model'!$B$5</f>
        <v>-17059648.826166701</v>
      </c>
      <c r="P129" s="23">
        <f ca="1">'GS &gt; 50 OLS Model'!$B$6*D129</f>
        <v>97979.020827159737</v>
      </c>
      <c r="Q129" s="23">
        <f ca="1">'GS &gt; 50 OLS Model'!$B$7*E129</f>
        <v>2521327.8861429952</v>
      </c>
      <c r="R129" s="23">
        <f>'GS &gt; 50 OLS Model'!$B$8*F129</f>
        <v>40007085.942044452</v>
      </c>
      <c r="S129" s="23">
        <f>'GS &gt; 50 OLS Model'!$B$9*G129</f>
        <v>-3150879.5864535808</v>
      </c>
      <c r="T129" s="23">
        <f>'GS &gt; 50 OLS Model'!$B$10*H129</f>
        <v>3139543.9737255345</v>
      </c>
      <c r="U129" s="23">
        <f>'GS &gt; 50 OLS Model'!$B$11*I129</f>
        <v>0</v>
      </c>
      <c r="V129" s="23">
        <f>'GS &gt; 50 OLS Model'!$B$12*J129</f>
        <v>0</v>
      </c>
      <c r="W129" s="23">
        <f>'GS &gt; 50 OLS Model'!$B$13*K129</f>
        <v>0</v>
      </c>
      <c r="X129" s="23">
        <f>'GS &gt; 50 OLS Model'!$B$14*L129</f>
        <v>0</v>
      </c>
      <c r="Y129" s="23">
        <f>'GS &gt; 50 OLS Model'!$B$15*M129</f>
        <v>-1207404.17093835</v>
      </c>
      <c r="Z129" s="23">
        <f t="shared" ca="1" si="8"/>
        <v>24348004.239181511</v>
      </c>
    </row>
    <row r="130" spans="1:26">
      <c r="A130" s="11">
        <v>43709</v>
      </c>
      <c r="B130" s="6">
        <f t="shared" si="15"/>
        <v>2019</v>
      </c>
      <c r="D130">
        <f t="shared" ca="1" si="19"/>
        <v>86.570000000000007</v>
      </c>
      <c r="E130">
        <f t="shared" ca="1" si="19"/>
        <v>19.899999999999999</v>
      </c>
      <c r="F130" s="30">
        <f>F118*(1+SUMIF('Ontario Employment Growth'!B:B,B130,'Ontario Employment Growth'!G:G))</f>
        <v>7400.0288524553825</v>
      </c>
      <c r="G130" s="30">
        <f t="shared" si="10"/>
        <v>129</v>
      </c>
      <c r="H130" s="60">
        <f>SUMIF('Connection count '!B:B,B130,'Connection count '!M:M)</f>
        <v>356.74844720496901</v>
      </c>
      <c r="I130" s="30">
        <f t="shared" si="20"/>
        <v>1</v>
      </c>
      <c r="J130" s="30">
        <f t="shared" si="20"/>
        <v>0</v>
      </c>
      <c r="K130" s="30">
        <f t="shared" si="20"/>
        <v>0</v>
      </c>
      <c r="L130" s="30">
        <f t="shared" si="20"/>
        <v>0</v>
      </c>
      <c r="M130" s="30">
        <f t="shared" si="20"/>
        <v>0</v>
      </c>
      <c r="O130" s="23">
        <f>'GS &gt; 50 OLS Model'!$B$5</f>
        <v>-17059648.826166701</v>
      </c>
      <c r="P130" s="23">
        <f ca="1">'GS &gt; 50 OLS Model'!$B$6*D130</f>
        <v>666827.34536220285</v>
      </c>
      <c r="Q130" s="23">
        <f ca="1">'GS &gt; 50 OLS Model'!$B$7*E130</f>
        <v>649675.31961990939</v>
      </c>
      <c r="R130" s="23">
        <f>'GS &gt; 50 OLS Model'!$B$8*F130</f>
        <v>39860138.239831112</v>
      </c>
      <c r="S130" s="23">
        <f>'GS &gt; 50 OLS Model'!$B$9*G130</f>
        <v>-3175495.8332227492</v>
      </c>
      <c r="T130" s="23">
        <f>'GS &gt; 50 OLS Model'!$B$10*H130</f>
        <v>3139543.9737255345</v>
      </c>
      <c r="U130" s="23">
        <f>'GS &gt; 50 OLS Model'!$B$11*I130</f>
        <v>-1573400.2840208299</v>
      </c>
      <c r="V130" s="23">
        <f>'GS &gt; 50 OLS Model'!$B$12*J130</f>
        <v>0</v>
      </c>
      <c r="W130" s="23">
        <f>'GS &gt; 50 OLS Model'!$B$13*K130</f>
        <v>0</v>
      </c>
      <c r="X130" s="23">
        <f>'GS &gt; 50 OLS Model'!$B$14*L130</f>
        <v>0</v>
      </c>
      <c r="Y130" s="23">
        <f>'GS &gt; 50 OLS Model'!$B$15*M130</f>
        <v>0</v>
      </c>
      <c r="Z130" s="23">
        <f t="shared" ca="1" si="8"/>
        <v>22507639.93512848</v>
      </c>
    </row>
    <row r="131" spans="1:26">
      <c r="A131" s="11">
        <v>43739</v>
      </c>
      <c r="B131" s="6">
        <f t="shared" si="15"/>
        <v>2019</v>
      </c>
      <c r="D131">
        <f t="shared" ca="1" si="19"/>
        <v>270.3</v>
      </c>
      <c r="E131">
        <f t="shared" ca="1" si="19"/>
        <v>1.21</v>
      </c>
      <c r="F131" s="30">
        <f>F119*(1+SUMIF('Ontario Employment Growth'!B:B,B131,'Ontario Employment Growth'!G:G))</f>
        <v>7392.0364248703227</v>
      </c>
      <c r="G131" s="30">
        <f t="shared" si="10"/>
        <v>130</v>
      </c>
      <c r="H131" s="60">
        <f>SUMIF('Connection count '!B:B,B131,'Connection count '!M:M)</f>
        <v>356.74844720496901</v>
      </c>
      <c r="I131" s="30">
        <f t="shared" si="20"/>
        <v>1</v>
      </c>
      <c r="J131" s="30">
        <f t="shared" si="20"/>
        <v>0</v>
      </c>
      <c r="K131" s="30">
        <f t="shared" si="20"/>
        <v>0</v>
      </c>
      <c r="L131" s="30">
        <f t="shared" si="20"/>
        <v>0</v>
      </c>
      <c r="M131" s="30">
        <f t="shared" si="20"/>
        <v>0</v>
      </c>
      <c r="O131" s="23">
        <f>'GS &gt; 50 OLS Model'!$B$5</f>
        <v>-17059648.826166701</v>
      </c>
      <c r="P131" s="23">
        <f ca="1">'GS &gt; 50 OLS Model'!$B$6*D131</f>
        <v>2082054.1925771446</v>
      </c>
      <c r="Q131" s="23">
        <f ca="1">'GS &gt; 50 OLS Model'!$B$7*E131</f>
        <v>39502.871192969367</v>
      </c>
      <c r="R131" s="23">
        <f>'GS &gt; 50 OLS Model'!$B$8*F131</f>
        <v>39817087.155198298</v>
      </c>
      <c r="S131" s="23">
        <f>'GS &gt; 50 OLS Model'!$B$9*G131</f>
        <v>-3200112.0799919181</v>
      </c>
      <c r="T131" s="23">
        <f>'GS &gt; 50 OLS Model'!$B$10*H131</f>
        <v>3139543.9737255345</v>
      </c>
      <c r="U131" s="23">
        <f>'GS &gt; 50 OLS Model'!$B$11*I131</f>
        <v>-1573400.2840208299</v>
      </c>
      <c r="V131" s="23">
        <f>'GS &gt; 50 OLS Model'!$B$12*J131</f>
        <v>0</v>
      </c>
      <c r="W131" s="23">
        <f>'GS &gt; 50 OLS Model'!$B$13*K131</f>
        <v>0</v>
      </c>
      <c r="X131" s="23">
        <f>'GS &gt; 50 OLS Model'!$B$14*L131</f>
        <v>0</v>
      </c>
      <c r="Y131" s="23">
        <f>'GS &gt; 50 OLS Model'!$B$15*M131</f>
        <v>0</v>
      </c>
      <c r="Z131" s="23">
        <f t="shared" ref="Z131:Z145" ca="1" si="21">SUM(O131:Y131)</f>
        <v>23245027.002514496</v>
      </c>
    </row>
    <row r="132" spans="1:26">
      <c r="A132" s="11">
        <v>43770</v>
      </c>
      <c r="B132" s="6">
        <f t="shared" si="15"/>
        <v>2019</v>
      </c>
      <c r="D132">
        <f t="shared" ca="1" si="19"/>
        <v>444.05</v>
      </c>
      <c r="E132">
        <f t="shared" ca="1" si="19"/>
        <v>0</v>
      </c>
      <c r="F132" s="30">
        <f>F120*(1+SUMIF('Ontario Employment Growth'!B:B,B132,'Ontario Employment Growth'!G:G))</f>
        <v>7368.2722735174111</v>
      </c>
      <c r="G132" s="30">
        <f t="shared" si="10"/>
        <v>131</v>
      </c>
      <c r="H132" s="60">
        <f>SUMIF('Connection count '!B:B,B132,'Connection count '!M:M)</f>
        <v>356.74844720496901</v>
      </c>
      <c r="I132" s="30">
        <f t="shared" si="20"/>
        <v>1</v>
      </c>
      <c r="J132" s="30">
        <f t="shared" si="20"/>
        <v>0</v>
      </c>
      <c r="K132" s="30">
        <f t="shared" si="20"/>
        <v>0</v>
      </c>
      <c r="L132" s="30">
        <f t="shared" si="20"/>
        <v>0</v>
      </c>
      <c r="M132" s="30">
        <f t="shared" si="20"/>
        <v>0</v>
      </c>
      <c r="O132" s="23">
        <f>'GS &gt; 50 OLS Model'!$B$5</f>
        <v>-17059648.826166701</v>
      </c>
      <c r="P132" s="23">
        <f ca="1">'GS &gt; 50 OLS Model'!$B$6*D132</f>
        <v>3420407.5627594562</v>
      </c>
      <c r="Q132" s="23">
        <f ca="1">'GS &gt; 50 OLS Model'!$B$7*E132</f>
        <v>0</v>
      </c>
      <c r="R132" s="23">
        <f>'GS &gt; 50 OLS Model'!$B$8*F132</f>
        <v>39689081.930223398</v>
      </c>
      <c r="S132" s="23">
        <f>'GS &gt; 50 OLS Model'!$B$9*G132</f>
        <v>-3224728.3267610865</v>
      </c>
      <c r="T132" s="23">
        <f>'GS &gt; 50 OLS Model'!$B$10*H132</f>
        <v>3139543.9737255345</v>
      </c>
      <c r="U132" s="23">
        <f>'GS &gt; 50 OLS Model'!$B$11*I132</f>
        <v>-1573400.2840208299</v>
      </c>
      <c r="V132" s="23">
        <f>'GS &gt; 50 OLS Model'!$B$12*J132</f>
        <v>0</v>
      </c>
      <c r="W132" s="23">
        <f>'GS &gt; 50 OLS Model'!$B$13*K132</f>
        <v>0</v>
      </c>
      <c r="X132" s="23">
        <f>'GS &gt; 50 OLS Model'!$B$14*L132</f>
        <v>0</v>
      </c>
      <c r="Y132" s="23">
        <f>'GS &gt; 50 OLS Model'!$B$15*M132</f>
        <v>0</v>
      </c>
      <c r="Z132" s="23">
        <f t="shared" ca="1" si="21"/>
        <v>24391256.029759772</v>
      </c>
    </row>
    <row r="133" spans="1:26">
      <c r="A133" s="11">
        <v>43800</v>
      </c>
      <c r="B133" s="6">
        <f t="shared" si="15"/>
        <v>2019</v>
      </c>
      <c r="D133">
        <f t="shared" ca="1" si="19"/>
        <v>684.01</v>
      </c>
      <c r="E133">
        <f t="shared" ca="1" si="19"/>
        <v>0</v>
      </c>
      <c r="F133" s="30">
        <f>F121*(1+SUMIF('Ontario Employment Growth'!B:B,B133,'Ontario Employment Growth'!G:G))</f>
        <v>7356.4434806915215</v>
      </c>
      <c r="G133" s="30">
        <f t="shared" si="10"/>
        <v>132</v>
      </c>
      <c r="H133" s="60">
        <f>SUMIF('Connection count '!B:B,B133,'Connection count '!M:M)</f>
        <v>356.74844720496901</v>
      </c>
      <c r="I133" s="30">
        <f t="shared" si="20"/>
        <v>0</v>
      </c>
      <c r="J133" s="30">
        <f t="shared" si="20"/>
        <v>0</v>
      </c>
      <c r="K133" s="30">
        <f t="shared" si="20"/>
        <v>0</v>
      </c>
      <c r="L133" s="30">
        <f t="shared" si="20"/>
        <v>1</v>
      </c>
      <c r="M133" s="30">
        <f t="shared" si="20"/>
        <v>0</v>
      </c>
      <c r="O133" s="23">
        <f>'GS &gt; 50 OLS Model'!$B$5</f>
        <v>-17059648.826166701</v>
      </c>
      <c r="P133" s="23">
        <f ca="1">'GS &gt; 50 OLS Model'!$B$6*D133</f>
        <v>5268760.2229548376</v>
      </c>
      <c r="Q133" s="23">
        <f ca="1">'GS &gt; 50 OLS Model'!$B$7*E133</f>
        <v>0</v>
      </c>
      <c r="R133" s="23">
        <f>'GS &gt; 50 OLS Model'!$B$8*F133</f>
        <v>39625366.324966826</v>
      </c>
      <c r="S133" s="23">
        <f>'GS &gt; 50 OLS Model'!$B$9*G133</f>
        <v>-3249344.5735302554</v>
      </c>
      <c r="T133" s="23">
        <f>'GS &gt; 50 OLS Model'!$B$10*H133</f>
        <v>3139543.9737255345</v>
      </c>
      <c r="U133" s="23">
        <f>'GS &gt; 50 OLS Model'!$B$11*I133</f>
        <v>0</v>
      </c>
      <c r="V133" s="23">
        <f>'GS &gt; 50 OLS Model'!$B$12*J133</f>
        <v>0</v>
      </c>
      <c r="W133" s="23">
        <f>'GS &gt; 50 OLS Model'!$B$13*K133</f>
        <v>0</v>
      </c>
      <c r="X133" s="23">
        <f>'GS &gt; 50 OLS Model'!$B$14*L133</f>
        <v>-1083532.53757107</v>
      </c>
      <c r="Y133" s="23">
        <f>'GS &gt; 50 OLS Model'!$B$15*M133</f>
        <v>0</v>
      </c>
      <c r="Z133" s="23">
        <f t="shared" ca="1" si="21"/>
        <v>26641144.58437917</v>
      </c>
    </row>
    <row r="134" spans="1:26">
      <c r="A134" s="11">
        <v>43831</v>
      </c>
      <c r="B134" s="6">
        <f t="shared" si="15"/>
        <v>2020</v>
      </c>
      <c r="D134">
        <f t="shared" ca="1" si="19"/>
        <v>784.29</v>
      </c>
      <c r="E134">
        <f t="shared" ca="1" si="19"/>
        <v>0</v>
      </c>
      <c r="F134" s="30">
        <f>F122*(1+SUMIF('Ontario Employment Growth'!B:B,B134,'Ontario Employment Growth'!G:G))</f>
        <v>7347.2567712938508</v>
      </c>
      <c r="G134" s="30">
        <f t="shared" si="10"/>
        <v>133</v>
      </c>
      <c r="H134" s="60">
        <f>SUMIF('Connection count '!B:B,B134,'Connection count '!M:M)</f>
        <v>363.57295460101398</v>
      </c>
      <c r="I134" s="30">
        <f t="shared" ref="I134:M143" si="22">I122</f>
        <v>0</v>
      </c>
      <c r="J134" s="30">
        <f t="shared" si="22"/>
        <v>0</v>
      </c>
      <c r="K134" s="30">
        <f t="shared" si="22"/>
        <v>0</v>
      </c>
      <c r="L134" s="30">
        <f t="shared" si="22"/>
        <v>0</v>
      </c>
      <c r="M134" s="30">
        <f t="shared" si="22"/>
        <v>0</v>
      </c>
      <c r="O134" s="23">
        <f>'GS &gt; 50 OLS Model'!$B$5</f>
        <v>-17059648.826166701</v>
      </c>
      <c r="P134" s="23">
        <f ca="1">'GS &gt; 50 OLS Model'!$B$6*D134</f>
        <v>6041192.3148217853</v>
      </c>
      <c r="Q134" s="23">
        <f ca="1">'GS &gt; 50 OLS Model'!$B$7*E134</f>
        <v>0</v>
      </c>
      <c r="R134" s="23">
        <f>'GS &gt; 50 OLS Model'!$B$8*F134</f>
        <v>39575882.26026094</v>
      </c>
      <c r="S134" s="23">
        <f>'GS &gt; 50 OLS Model'!$B$9*G134</f>
        <v>-3273960.8202994238</v>
      </c>
      <c r="T134" s="23">
        <f>'GS &gt; 50 OLS Model'!$B$10*H134</f>
        <v>3199602.6543918811</v>
      </c>
      <c r="U134" s="23">
        <f>'GS &gt; 50 OLS Model'!$B$11*I134</f>
        <v>0</v>
      </c>
      <c r="V134" s="23">
        <f>'GS &gt; 50 OLS Model'!$B$12*J134</f>
        <v>0</v>
      </c>
      <c r="W134" s="23">
        <f>'GS &gt; 50 OLS Model'!$B$13*K134</f>
        <v>0</v>
      </c>
      <c r="X134" s="23">
        <f>'GS &gt; 50 OLS Model'!$B$14*L134</f>
        <v>0</v>
      </c>
      <c r="Y134" s="23">
        <f>'GS &gt; 50 OLS Model'!$B$15*M134</f>
        <v>0</v>
      </c>
      <c r="Z134" s="23">
        <f t="shared" ca="1" si="21"/>
        <v>28483067.583008479</v>
      </c>
    </row>
    <row r="135" spans="1:26">
      <c r="A135" s="11">
        <v>43862</v>
      </c>
      <c r="B135" s="6">
        <f t="shared" si="15"/>
        <v>2020</v>
      </c>
      <c r="D135">
        <f t="shared" ca="1" si="19"/>
        <v>682.50999999999988</v>
      </c>
      <c r="E135">
        <f t="shared" ca="1" si="19"/>
        <v>0</v>
      </c>
      <c r="F135" s="30">
        <f>F123*(1+SUMIF('Ontario Employment Growth'!B:B,B135,'Ontario Employment Growth'!G:G))</f>
        <v>7310.7693146197307</v>
      </c>
      <c r="G135" s="30">
        <f t="shared" si="10"/>
        <v>134</v>
      </c>
      <c r="H135" s="60">
        <f>SUMIF('Connection count '!B:B,B135,'Connection count '!M:M)</f>
        <v>363.57295460101398</v>
      </c>
      <c r="I135" s="30">
        <f t="shared" si="22"/>
        <v>0</v>
      </c>
      <c r="J135" s="30">
        <f t="shared" si="22"/>
        <v>1</v>
      </c>
      <c r="K135" s="30">
        <f t="shared" si="22"/>
        <v>0</v>
      </c>
      <c r="L135" s="30">
        <f t="shared" si="22"/>
        <v>0</v>
      </c>
      <c r="M135" s="30">
        <f t="shared" si="22"/>
        <v>0</v>
      </c>
      <c r="O135" s="23">
        <f>'GS &gt; 50 OLS Model'!$B$5</f>
        <v>-17059648.826166701</v>
      </c>
      <c r="P135" s="23">
        <f ca="1">'GS &gt; 50 OLS Model'!$B$6*D135</f>
        <v>5257206.0931403134</v>
      </c>
      <c r="Q135" s="23">
        <f ca="1">'GS &gt; 50 OLS Model'!$B$7*E135</f>
        <v>0</v>
      </c>
      <c r="R135" s="23">
        <f>'GS &gt; 50 OLS Model'!$B$8*F135</f>
        <v>39379343.15263737</v>
      </c>
      <c r="S135" s="23">
        <f>'GS &gt; 50 OLS Model'!$B$9*G135</f>
        <v>-3298577.0670685922</v>
      </c>
      <c r="T135" s="23">
        <f>'GS &gt; 50 OLS Model'!$B$10*H135</f>
        <v>3199602.6543918811</v>
      </c>
      <c r="U135" s="23">
        <f>'GS &gt; 50 OLS Model'!$B$11*I135</f>
        <v>0</v>
      </c>
      <c r="V135" s="23">
        <f>'GS &gt; 50 OLS Model'!$B$12*J135</f>
        <v>-1514604.0647521601</v>
      </c>
      <c r="W135" s="23">
        <f>'GS &gt; 50 OLS Model'!$B$13*K135</f>
        <v>0</v>
      </c>
      <c r="X135" s="23">
        <f>'GS &gt; 50 OLS Model'!$B$14*L135</f>
        <v>0</v>
      </c>
      <c r="Y135" s="23">
        <f>'GS &gt; 50 OLS Model'!$B$15*M135</f>
        <v>0</v>
      </c>
      <c r="Z135" s="23">
        <f t="shared" ca="1" si="21"/>
        <v>25963321.942182112</v>
      </c>
    </row>
    <row r="136" spans="1:26">
      <c r="A136" s="11">
        <v>43891</v>
      </c>
      <c r="B136" s="6">
        <f t="shared" si="15"/>
        <v>2020</v>
      </c>
      <c r="D136">
        <f t="shared" ca="1" si="19"/>
        <v>556.99</v>
      </c>
      <c r="E136">
        <f t="shared" ca="1" si="19"/>
        <v>0</v>
      </c>
      <c r="F136" s="30">
        <f>F124*(1+SUMIF('Ontario Employment Growth'!B:B,B136,'Ontario Employment Growth'!G:G))</f>
        <v>7288.0995930174658</v>
      </c>
      <c r="G136" s="30">
        <f t="shared" si="10"/>
        <v>135</v>
      </c>
      <c r="H136" s="60">
        <f>SUMIF('Connection count '!B:B,B136,'Connection count '!M:M)</f>
        <v>363.57295460101398</v>
      </c>
      <c r="I136" s="30">
        <f t="shared" si="22"/>
        <v>0</v>
      </c>
      <c r="J136" s="30">
        <f t="shared" si="22"/>
        <v>0</v>
      </c>
      <c r="K136" s="30">
        <f t="shared" si="22"/>
        <v>0</v>
      </c>
      <c r="L136" s="30">
        <f t="shared" si="22"/>
        <v>0</v>
      </c>
      <c r="M136" s="30">
        <f t="shared" si="22"/>
        <v>0</v>
      </c>
      <c r="O136" s="23">
        <f>'GS &gt; 50 OLS Model'!$B$5</f>
        <v>-17059648.826166701</v>
      </c>
      <c r="P136" s="23">
        <f ca="1">'GS &gt; 50 OLS Model'!$B$6*D136</f>
        <v>4290356.5102609834</v>
      </c>
      <c r="Q136" s="23">
        <f ca="1">'GS &gt; 50 OLS Model'!$B$7*E136</f>
        <v>0</v>
      </c>
      <c r="R136" s="23">
        <f>'GS &gt; 50 OLS Model'!$B$8*F136</f>
        <v>39257233.056184843</v>
      </c>
      <c r="S136" s="23">
        <f>'GS &gt; 50 OLS Model'!$B$9*G136</f>
        <v>-3323193.3138377611</v>
      </c>
      <c r="T136" s="23">
        <f>'GS &gt; 50 OLS Model'!$B$10*H136</f>
        <v>3199602.6543918811</v>
      </c>
      <c r="U136" s="23">
        <f>'GS &gt; 50 OLS Model'!$B$11*I136</f>
        <v>0</v>
      </c>
      <c r="V136" s="23">
        <f>'GS &gt; 50 OLS Model'!$B$12*J136</f>
        <v>0</v>
      </c>
      <c r="W136" s="23">
        <f>'GS &gt; 50 OLS Model'!$B$13*K136</f>
        <v>0</v>
      </c>
      <c r="X136" s="23">
        <f>'GS &gt; 50 OLS Model'!$B$14*L136</f>
        <v>0</v>
      </c>
      <c r="Y136" s="23">
        <f>'GS &gt; 50 OLS Model'!$B$15*M136</f>
        <v>0</v>
      </c>
      <c r="Z136" s="23">
        <f t="shared" ca="1" si="21"/>
        <v>26364350.080833245</v>
      </c>
    </row>
    <row r="137" spans="1:26">
      <c r="A137" s="11">
        <v>43922</v>
      </c>
      <c r="B137" s="6">
        <f t="shared" si="15"/>
        <v>2020</v>
      </c>
      <c r="D137">
        <f t="shared" ca="1" si="19"/>
        <v>326.58999999999997</v>
      </c>
      <c r="E137">
        <f t="shared" ca="1" si="19"/>
        <v>0.39</v>
      </c>
      <c r="F137" s="30">
        <f>F125*(1+SUMIF('Ontario Employment Growth'!B:B,B137,'Ontario Employment Growth'!G:G))</f>
        <v>7324.4790986363378</v>
      </c>
      <c r="G137" s="30">
        <f t="shared" si="10"/>
        <v>136</v>
      </c>
      <c r="H137" s="60">
        <f>SUMIF('Connection count '!B:B,B137,'Connection count '!M:M)</f>
        <v>363.57295460101398</v>
      </c>
      <c r="I137" s="30">
        <f t="shared" si="22"/>
        <v>0</v>
      </c>
      <c r="J137" s="30">
        <f t="shared" si="22"/>
        <v>0</v>
      </c>
      <c r="K137" s="30">
        <f t="shared" si="22"/>
        <v>1</v>
      </c>
      <c r="L137" s="30">
        <f t="shared" si="22"/>
        <v>0</v>
      </c>
      <c r="M137" s="30">
        <f t="shared" si="22"/>
        <v>0</v>
      </c>
      <c r="O137" s="23">
        <f>'GS &gt; 50 OLS Model'!$B$5</f>
        <v>-17059648.826166701</v>
      </c>
      <c r="P137" s="23">
        <f ca="1">'GS &gt; 50 OLS Model'!$B$6*D137</f>
        <v>2515642.1707501649</v>
      </c>
      <c r="Q137" s="23">
        <f ca="1">'GS &gt; 50 OLS Model'!$B$7*E137</f>
        <v>12732.330384510789</v>
      </c>
      <c r="R137" s="23">
        <f>'GS &gt; 50 OLS Model'!$B$8*F137</f>
        <v>39453190.687158652</v>
      </c>
      <c r="S137" s="23">
        <f>'GS &gt; 50 OLS Model'!$B$9*G137</f>
        <v>-3347809.5606069295</v>
      </c>
      <c r="T137" s="23">
        <f>'GS &gt; 50 OLS Model'!$B$10*H137</f>
        <v>3199602.6543918811</v>
      </c>
      <c r="U137" s="23">
        <f>'GS &gt; 50 OLS Model'!$B$11*I137</f>
        <v>0</v>
      </c>
      <c r="V137" s="23">
        <f>'GS &gt; 50 OLS Model'!$B$12*J137</f>
        <v>0</v>
      </c>
      <c r="W137" s="23">
        <f>'GS &gt; 50 OLS Model'!$B$13*K137</f>
        <v>-1589866.56724812</v>
      </c>
      <c r="X137" s="23">
        <f>'GS &gt; 50 OLS Model'!$B$14*L137</f>
        <v>0</v>
      </c>
      <c r="Y137" s="23">
        <f>'GS &gt; 50 OLS Model'!$B$15*M137</f>
        <v>0</v>
      </c>
      <c r="Z137" s="23">
        <f t="shared" ca="1" si="21"/>
        <v>23183842.888663456</v>
      </c>
    </row>
    <row r="138" spans="1:26">
      <c r="A138" s="11">
        <v>43952</v>
      </c>
      <c r="B138" s="6">
        <f t="shared" si="15"/>
        <v>2020</v>
      </c>
      <c r="D138">
        <f t="shared" ref="D138:E145" ca="1" si="23">D126</f>
        <v>144.96</v>
      </c>
      <c r="E138">
        <f t="shared" ca="1" si="23"/>
        <v>8.67</v>
      </c>
      <c r="F138" s="30">
        <f>F126*(1+SUMIF('Ontario Employment Growth'!B:B,B138,'Ontario Employment Growth'!G:G))</f>
        <v>7386.6589064596901</v>
      </c>
      <c r="G138" s="30">
        <f t="shared" si="10"/>
        <v>137</v>
      </c>
      <c r="H138" s="60">
        <f>SUMIF('Connection count '!B:B,B138,'Connection count '!M:M)</f>
        <v>363.57295460101398</v>
      </c>
      <c r="I138" s="30">
        <f t="shared" si="22"/>
        <v>0</v>
      </c>
      <c r="J138" s="30">
        <f t="shared" si="22"/>
        <v>0</v>
      </c>
      <c r="K138" s="30">
        <f t="shared" si="22"/>
        <v>0</v>
      </c>
      <c r="L138" s="30">
        <f t="shared" si="22"/>
        <v>0</v>
      </c>
      <c r="M138" s="30">
        <f t="shared" si="22"/>
        <v>1</v>
      </c>
      <c r="O138" s="23">
        <f>'GS &gt; 50 OLS Model'!$B$5</f>
        <v>-17059648.826166701</v>
      </c>
      <c r="P138" s="23">
        <f ca="1">'GS &gt; 50 OLS Model'!$B$6*D138</f>
        <v>1116591.1052755564</v>
      </c>
      <c r="Q138" s="23">
        <f ca="1">'GS &gt; 50 OLS Model'!$B$7*E138</f>
        <v>283049.49854797061</v>
      </c>
      <c r="R138" s="23">
        <f>'GS &gt; 50 OLS Model'!$B$8*F138</f>
        <v>39788121.237428404</v>
      </c>
      <c r="S138" s="23">
        <f>'GS &gt; 50 OLS Model'!$B$9*G138</f>
        <v>-3372425.8073760984</v>
      </c>
      <c r="T138" s="23">
        <f>'GS &gt; 50 OLS Model'!$B$10*H138</f>
        <v>3199602.6543918811</v>
      </c>
      <c r="U138" s="23">
        <f>'GS &gt; 50 OLS Model'!$B$11*I138</f>
        <v>0</v>
      </c>
      <c r="V138" s="23">
        <f>'GS &gt; 50 OLS Model'!$B$12*J138</f>
        <v>0</v>
      </c>
      <c r="W138" s="23">
        <f>'GS &gt; 50 OLS Model'!$B$13*K138</f>
        <v>0</v>
      </c>
      <c r="X138" s="23">
        <f>'GS &gt; 50 OLS Model'!$B$14*L138</f>
        <v>0</v>
      </c>
      <c r="Y138" s="23">
        <f>'GS &gt; 50 OLS Model'!$B$15*M138</f>
        <v>-1207404.17093835</v>
      </c>
      <c r="Z138" s="23">
        <f t="shared" ca="1" si="21"/>
        <v>22747885.691162664</v>
      </c>
    </row>
    <row r="139" spans="1:26">
      <c r="A139" s="11">
        <v>43983</v>
      </c>
      <c r="B139" s="6">
        <f t="shared" si="15"/>
        <v>2020</v>
      </c>
      <c r="D139">
        <f t="shared" ca="1" si="23"/>
        <v>41.510000000000005</v>
      </c>
      <c r="E139">
        <f t="shared" ca="1" si="23"/>
        <v>44.41</v>
      </c>
      <c r="F139" s="30">
        <f>F127*(1+SUMIF('Ontario Employment Growth'!B:B,B139,'Ontario Employment Growth'!G:G))</f>
        <v>7462.5484982996513</v>
      </c>
      <c r="G139" s="30">
        <f t="shared" ref="G139:G145" si="24">G138+1</f>
        <v>138</v>
      </c>
      <c r="H139" s="60">
        <f>SUMIF('Connection count '!B:B,B139,'Connection count '!M:M)</f>
        <v>363.57295460101398</v>
      </c>
      <c r="I139" s="30">
        <f t="shared" si="22"/>
        <v>0</v>
      </c>
      <c r="J139" s="30">
        <f t="shared" si="22"/>
        <v>0</v>
      </c>
      <c r="K139" s="30">
        <f t="shared" si="22"/>
        <v>0</v>
      </c>
      <c r="L139" s="30">
        <f t="shared" si="22"/>
        <v>0</v>
      </c>
      <c r="M139" s="30">
        <f t="shared" si="22"/>
        <v>1</v>
      </c>
      <c r="O139" s="23">
        <f>'GS &gt; 50 OLS Model'!$B$5</f>
        <v>-17059648.826166701</v>
      </c>
      <c r="P139" s="23">
        <f ca="1">'GS &gt; 50 OLS Model'!$B$6*D139</f>
        <v>319741.28573391523</v>
      </c>
      <c r="Q139" s="23">
        <f ca="1">'GS &gt; 50 OLS Model'!$B$7*E139</f>
        <v>1449853.3137849336</v>
      </c>
      <c r="R139" s="23">
        <f>'GS &gt; 50 OLS Model'!$B$8*F139</f>
        <v>40196899.322219454</v>
      </c>
      <c r="S139" s="23">
        <f>'GS &gt; 50 OLS Model'!$B$9*G139</f>
        <v>-3397042.0541452668</v>
      </c>
      <c r="T139" s="23">
        <f>'GS &gt; 50 OLS Model'!$B$10*H139</f>
        <v>3199602.6543918811</v>
      </c>
      <c r="U139" s="23">
        <f>'GS &gt; 50 OLS Model'!$B$11*I139</f>
        <v>0</v>
      </c>
      <c r="V139" s="23">
        <f>'GS &gt; 50 OLS Model'!$B$12*J139</f>
        <v>0</v>
      </c>
      <c r="W139" s="23">
        <f>'GS &gt; 50 OLS Model'!$B$13*K139</f>
        <v>0</v>
      </c>
      <c r="X139" s="23">
        <f>'GS &gt; 50 OLS Model'!$B$14*L139</f>
        <v>0</v>
      </c>
      <c r="Y139" s="23">
        <f>'GS &gt; 50 OLS Model'!$B$15*M139</f>
        <v>-1207404.17093835</v>
      </c>
      <c r="Z139" s="23">
        <f t="shared" ca="1" si="21"/>
        <v>23502001.524879869</v>
      </c>
    </row>
    <row r="140" spans="1:26">
      <c r="A140" s="11">
        <v>44013</v>
      </c>
      <c r="B140" s="6">
        <f t="shared" si="15"/>
        <v>2020</v>
      </c>
      <c r="D140">
        <f t="shared" ca="1" si="23"/>
        <v>5.01</v>
      </c>
      <c r="E140">
        <f t="shared" ca="1" si="23"/>
        <v>96.909999999999982</v>
      </c>
      <c r="F140" s="30">
        <f>F128*(1+SUMIF('Ontario Employment Growth'!B:B,B140,'Ontario Employment Growth'!G:G))</f>
        <v>7511.0185221063984</v>
      </c>
      <c r="G140" s="30">
        <f t="shared" si="24"/>
        <v>139</v>
      </c>
      <c r="H140" s="60">
        <f>SUMIF('Connection count '!B:B,B140,'Connection count '!M:M)</f>
        <v>363.57295460101398</v>
      </c>
      <c r="I140" s="30">
        <f t="shared" si="22"/>
        <v>0</v>
      </c>
      <c r="J140" s="30">
        <f t="shared" si="22"/>
        <v>0</v>
      </c>
      <c r="K140" s="30">
        <f t="shared" si="22"/>
        <v>0</v>
      </c>
      <c r="L140" s="30">
        <f t="shared" si="22"/>
        <v>0</v>
      </c>
      <c r="M140" s="30">
        <f t="shared" si="22"/>
        <v>1</v>
      </c>
      <c r="O140" s="23">
        <f>'GS &gt; 50 OLS Model'!$B$5</f>
        <v>-17059648.826166701</v>
      </c>
      <c r="P140" s="23">
        <f ca="1">'GS &gt; 50 OLS Model'!$B$6*D140</f>
        <v>38590.793580508667</v>
      </c>
      <c r="Q140" s="23">
        <f ca="1">'GS &gt; 50 OLS Model'!$B$7*E140</f>
        <v>3163820.8655460011</v>
      </c>
      <c r="R140" s="23">
        <f>'GS &gt; 50 OLS Model'!$B$8*F140</f>
        <v>40457982.33796794</v>
      </c>
      <c r="S140" s="23">
        <f>'GS &gt; 50 OLS Model'!$B$9*G140</f>
        <v>-3421658.3009144352</v>
      </c>
      <c r="T140" s="23">
        <f>'GS &gt; 50 OLS Model'!$B$10*H140</f>
        <v>3199602.6543918811</v>
      </c>
      <c r="U140" s="23">
        <f>'GS &gt; 50 OLS Model'!$B$11*I140</f>
        <v>0</v>
      </c>
      <c r="V140" s="23">
        <f>'GS &gt; 50 OLS Model'!$B$12*J140</f>
        <v>0</v>
      </c>
      <c r="W140" s="23">
        <f>'GS &gt; 50 OLS Model'!$B$13*K140</f>
        <v>0</v>
      </c>
      <c r="X140" s="23">
        <f>'GS &gt; 50 OLS Model'!$B$14*L140</f>
        <v>0</v>
      </c>
      <c r="Y140" s="23">
        <f>'GS &gt; 50 OLS Model'!$B$15*M140</f>
        <v>-1207404.17093835</v>
      </c>
      <c r="Z140" s="23">
        <f t="shared" ca="1" si="21"/>
        <v>25171285.353466842</v>
      </c>
    </row>
    <row r="141" spans="1:26">
      <c r="A141" s="11">
        <v>44044</v>
      </c>
      <c r="B141" s="6">
        <f t="shared" si="15"/>
        <v>2020</v>
      </c>
      <c r="D141">
        <f t="shared" ca="1" si="23"/>
        <v>12.719999999999999</v>
      </c>
      <c r="E141">
        <f t="shared" ca="1" si="23"/>
        <v>77.22999999999999</v>
      </c>
      <c r="F141" s="30">
        <f>F129*(1+SUMIF('Ontario Employment Growth'!B:B,B141,'Ontario Employment Growth'!G:G))</f>
        <v>7523.8646976810132</v>
      </c>
      <c r="G141" s="30">
        <f t="shared" si="24"/>
        <v>140</v>
      </c>
      <c r="H141" s="60">
        <f>SUMIF('Connection count '!B:B,B141,'Connection count '!M:M)</f>
        <v>363.57295460101398</v>
      </c>
      <c r="I141" s="30">
        <f t="shared" si="22"/>
        <v>0</v>
      </c>
      <c r="J141" s="30">
        <f t="shared" si="22"/>
        <v>0</v>
      </c>
      <c r="K141" s="30">
        <f t="shared" si="22"/>
        <v>0</v>
      </c>
      <c r="L141" s="30">
        <f t="shared" si="22"/>
        <v>0</v>
      </c>
      <c r="M141" s="30">
        <f t="shared" si="22"/>
        <v>1</v>
      </c>
      <c r="O141" s="23">
        <f>'GS &gt; 50 OLS Model'!$B$5</f>
        <v>-17059648.826166701</v>
      </c>
      <c r="P141" s="23">
        <f ca="1">'GS &gt; 50 OLS Model'!$B$6*D141</f>
        <v>97979.020827159737</v>
      </c>
      <c r="Q141" s="23">
        <f ca="1">'GS &gt; 50 OLS Model'!$B$7*E141</f>
        <v>2521327.8861429952</v>
      </c>
      <c r="R141" s="23">
        <f>'GS &gt; 50 OLS Model'!$B$8*F141</f>
        <v>40527178.05929102</v>
      </c>
      <c r="S141" s="23">
        <f>'GS &gt; 50 OLS Model'!$B$9*G141</f>
        <v>-3446274.5476836041</v>
      </c>
      <c r="T141" s="23">
        <f>'GS &gt; 50 OLS Model'!$B$10*H141</f>
        <v>3199602.6543918811</v>
      </c>
      <c r="U141" s="23">
        <f>'GS &gt; 50 OLS Model'!$B$11*I141</f>
        <v>0</v>
      </c>
      <c r="V141" s="23">
        <f>'GS &gt; 50 OLS Model'!$B$12*J141</f>
        <v>0</v>
      </c>
      <c r="W141" s="23">
        <f>'GS &gt; 50 OLS Model'!$B$13*K141</f>
        <v>0</v>
      </c>
      <c r="X141" s="23">
        <f>'GS &gt; 50 OLS Model'!$B$14*L141</f>
        <v>0</v>
      </c>
      <c r="Y141" s="23">
        <f>'GS &gt; 50 OLS Model'!$B$15*M141</f>
        <v>-1207404.17093835</v>
      </c>
      <c r="Z141" s="23">
        <f t="shared" ca="1" si="21"/>
        <v>24632760.075864401</v>
      </c>
    </row>
    <row r="142" spans="1:26">
      <c r="A142" s="11">
        <v>44075</v>
      </c>
      <c r="B142" s="6">
        <f t="shared" si="15"/>
        <v>2020</v>
      </c>
      <c r="D142">
        <f t="shared" ca="1" si="23"/>
        <v>86.570000000000007</v>
      </c>
      <c r="E142">
        <f t="shared" ca="1" si="23"/>
        <v>19.899999999999999</v>
      </c>
      <c r="F142" s="30">
        <f>F130*(1+SUMIF('Ontario Employment Growth'!B:B,B142,'Ontario Employment Growth'!G:G))</f>
        <v>7496.229227537302</v>
      </c>
      <c r="G142" s="30">
        <f t="shared" si="24"/>
        <v>141</v>
      </c>
      <c r="H142" s="60">
        <f>SUMIF('Connection count '!B:B,B142,'Connection count '!M:M)</f>
        <v>363.57295460101398</v>
      </c>
      <c r="I142" s="30">
        <f t="shared" si="22"/>
        <v>1</v>
      </c>
      <c r="J142" s="30">
        <f t="shared" si="22"/>
        <v>0</v>
      </c>
      <c r="K142" s="30">
        <f t="shared" si="22"/>
        <v>0</v>
      </c>
      <c r="L142" s="30">
        <f t="shared" si="22"/>
        <v>0</v>
      </c>
      <c r="M142" s="30">
        <f t="shared" si="22"/>
        <v>0</v>
      </c>
      <c r="O142" s="23">
        <f>'GS &gt; 50 OLS Model'!$B$5</f>
        <v>-17059648.826166701</v>
      </c>
      <c r="P142" s="23">
        <f ca="1">'GS &gt; 50 OLS Model'!$B$6*D142</f>
        <v>666827.34536220285</v>
      </c>
      <c r="Q142" s="23">
        <f ca="1">'GS &gt; 50 OLS Model'!$B$7*E142</f>
        <v>649675.31961990939</v>
      </c>
      <c r="R142" s="23">
        <f>'GS &gt; 50 OLS Model'!$B$8*F142</f>
        <v>40378320.036948912</v>
      </c>
      <c r="S142" s="23">
        <f>'GS &gt; 50 OLS Model'!$B$9*G142</f>
        <v>-3470890.7944527725</v>
      </c>
      <c r="T142" s="23">
        <f>'GS &gt; 50 OLS Model'!$B$10*H142</f>
        <v>3199602.6543918811</v>
      </c>
      <c r="U142" s="23">
        <f>'GS &gt; 50 OLS Model'!$B$11*I142</f>
        <v>-1573400.2840208299</v>
      </c>
      <c r="V142" s="23">
        <f>'GS &gt; 50 OLS Model'!$B$12*J142</f>
        <v>0</v>
      </c>
      <c r="W142" s="23">
        <f>'GS &gt; 50 OLS Model'!$B$13*K142</f>
        <v>0</v>
      </c>
      <c r="X142" s="23">
        <f>'GS &gt; 50 OLS Model'!$B$14*L142</f>
        <v>0</v>
      </c>
      <c r="Y142" s="23">
        <f>'GS &gt; 50 OLS Model'!$B$15*M142</f>
        <v>0</v>
      </c>
      <c r="Z142" s="23">
        <f t="shared" ca="1" si="21"/>
        <v>22790485.451682605</v>
      </c>
    </row>
    <row r="143" spans="1:26">
      <c r="A143" s="11">
        <v>44105</v>
      </c>
      <c r="B143" s="6">
        <f t="shared" si="15"/>
        <v>2020</v>
      </c>
      <c r="D143">
        <f t="shared" ca="1" si="23"/>
        <v>270.3</v>
      </c>
      <c r="E143">
        <f t="shared" ca="1" si="23"/>
        <v>1.21</v>
      </c>
      <c r="F143" s="30">
        <f>F131*(1+SUMIF('Ontario Employment Growth'!B:B,B143,'Ontario Employment Growth'!G:G))</f>
        <v>7488.1328983936364</v>
      </c>
      <c r="G143" s="30">
        <f t="shared" si="24"/>
        <v>142</v>
      </c>
      <c r="H143" s="60">
        <f>SUMIF('Connection count '!B:B,B143,'Connection count '!M:M)</f>
        <v>363.57295460101398</v>
      </c>
      <c r="I143" s="30">
        <f t="shared" si="22"/>
        <v>1</v>
      </c>
      <c r="J143" s="30">
        <f t="shared" si="22"/>
        <v>0</v>
      </c>
      <c r="K143" s="30">
        <f t="shared" si="22"/>
        <v>0</v>
      </c>
      <c r="L143" s="30">
        <f t="shared" si="22"/>
        <v>0</v>
      </c>
      <c r="M143" s="30">
        <f t="shared" si="22"/>
        <v>0</v>
      </c>
      <c r="O143" s="23">
        <f>'GS &gt; 50 OLS Model'!$B$5</f>
        <v>-17059648.826166701</v>
      </c>
      <c r="P143" s="23">
        <f ca="1">'GS &gt; 50 OLS Model'!$B$6*D143</f>
        <v>2082054.1925771446</v>
      </c>
      <c r="Q143" s="23">
        <f ca="1">'GS &gt; 50 OLS Model'!$B$7*E143</f>
        <v>39502.871192969367</v>
      </c>
      <c r="R143" s="23">
        <f>'GS &gt; 50 OLS Model'!$B$8*F143</f>
        <v>40334709.288215876</v>
      </c>
      <c r="S143" s="23">
        <f>'GS &gt; 50 OLS Model'!$B$9*G143</f>
        <v>-3495507.0412219414</v>
      </c>
      <c r="T143" s="23">
        <f>'GS &gt; 50 OLS Model'!$B$10*H143</f>
        <v>3199602.6543918811</v>
      </c>
      <c r="U143" s="23">
        <f>'GS &gt; 50 OLS Model'!$B$11*I143</f>
        <v>-1573400.2840208299</v>
      </c>
      <c r="V143" s="23">
        <f>'GS &gt; 50 OLS Model'!$B$12*J143</f>
        <v>0</v>
      </c>
      <c r="W143" s="23">
        <f>'GS &gt; 50 OLS Model'!$B$13*K143</f>
        <v>0</v>
      </c>
      <c r="X143" s="23">
        <f>'GS &gt; 50 OLS Model'!$B$14*L143</f>
        <v>0</v>
      </c>
      <c r="Y143" s="23">
        <f>'GS &gt; 50 OLS Model'!$B$15*M143</f>
        <v>0</v>
      </c>
      <c r="Z143" s="23">
        <f t="shared" ca="1" si="21"/>
        <v>23527312.854968395</v>
      </c>
    </row>
    <row r="144" spans="1:26">
      <c r="A144" s="11">
        <v>44136</v>
      </c>
      <c r="B144" s="6">
        <f t="shared" si="15"/>
        <v>2020</v>
      </c>
      <c r="D144">
        <f t="shared" ca="1" si="23"/>
        <v>444.05</v>
      </c>
      <c r="E144">
        <f t="shared" ca="1" si="23"/>
        <v>0</v>
      </c>
      <c r="F144" s="30">
        <f>F132*(1+SUMIF('Ontario Employment Growth'!B:B,B144,'Ontario Employment Growth'!G:G))</f>
        <v>7464.0598130731369</v>
      </c>
      <c r="G144" s="30">
        <f t="shared" si="24"/>
        <v>143</v>
      </c>
      <c r="H144" s="60">
        <f>SUMIF('Connection count '!B:B,B144,'Connection count '!M:M)</f>
        <v>363.57295460101398</v>
      </c>
      <c r="I144" s="30">
        <f t="shared" ref="I144:M145" si="25">I132</f>
        <v>1</v>
      </c>
      <c r="J144" s="30">
        <f t="shared" si="25"/>
        <v>0</v>
      </c>
      <c r="K144" s="30">
        <f t="shared" si="25"/>
        <v>0</v>
      </c>
      <c r="L144" s="30">
        <f t="shared" si="25"/>
        <v>0</v>
      </c>
      <c r="M144" s="30">
        <f t="shared" si="25"/>
        <v>0</v>
      </c>
      <c r="O144" s="23">
        <f>'GS &gt; 50 OLS Model'!$B$5</f>
        <v>-17059648.826166701</v>
      </c>
      <c r="P144" s="23">
        <f ca="1">'GS &gt; 50 OLS Model'!$B$6*D144</f>
        <v>3420407.5627594562</v>
      </c>
      <c r="Q144" s="23">
        <f ca="1">'GS &gt; 50 OLS Model'!$B$7*E144</f>
        <v>0</v>
      </c>
      <c r="R144" s="23">
        <f>'GS &gt; 50 OLS Model'!$B$8*F144</f>
        <v>40205039.995316297</v>
      </c>
      <c r="S144" s="23">
        <f>'GS &gt; 50 OLS Model'!$B$9*G144</f>
        <v>-3520123.2879911098</v>
      </c>
      <c r="T144" s="23">
        <f>'GS &gt; 50 OLS Model'!$B$10*H144</f>
        <v>3199602.6543918811</v>
      </c>
      <c r="U144" s="23">
        <f>'GS &gt; 50 OLS Model'!$B$11*I144</f>
        <v>-1573400.2840208299</v>
      </c>
      <c r="V144" s="23">
        <f>'GS &gt; 50 OLS Model'!$B$12*J144</f>
        <v>0</v>
      </c>
      <c r="W144" s="23">
        <f>'GS &gt; 50 OLS Model'!$B$13*K144</f>
        <v>0</v>
      </c>
      <c r="X144" s="23">
        <f>'GS &gt; 50 OLS Model'!$B$14*L144</f>
        <v>0</v>
      </c>
      <c r="Y144" s="23">
        <f>'GS &gt; 50 OLS Model'!$B$15*M144</f>
        <v>0</v>
      </c>
      <c r="Z144" s="23">
        <f t="shared" ca="1" si="21"/>
        <v>24671877.814288992</v>
      </c>
    </row>
    <row r="145" spans="1:26">
      <c r="A145" s="11">
        <v>44166</v>
      </c>
      <c r="B145" s="6">
        <f t="shared" si="15"/>
        <v>2020</v>
      </c>
      <c r="D145">
        <f t="shared" ca="1" si="23"/>
        <v>684.01</v>
      </c>
      <c r="E145">
        <f t="shared" ca="1" si="23"/>
        <v>0</v>
      </c>
      <c r="F145" s="30">
        <f>F133*(1+SUMIF('Ontario Employment Growth'!B:B,B145,'Ontario Employment Growth'!G:G))</f>
        <v>7452.0772459405107</v>
      </c>
      <c r="G145" s="30">
        <f t="shared" si="24"/>
        <v>144</v>
      </c>
      <c r="H145" s="60">
        <f>SUMIF('Connection count '!B:B,B145,'Connection count '!M:M)</f>
        <v>363.57295460101398</v>
      </c>
      <c r="I145" s="30">
        <f t="shared" si="25"/>
        <v>0</v>
      </c>
      <c r="J145" s="30">
        <f t="shared" si="25"/>
        <v>0</v>
      </c>
      <c r="K145" s="30">
        <f t="shared" si="25"/>
        <v>0</v>
      </c>
      <c r="L145" s="30">
        <f t="shared" si="25"/>
        <v>1</v>
      </c>
      <c r="M145" s="30">
        <f t="shared" si="25"/>
        <v>0</v>
      </c>
      <c r="O145" s="23">
        <f>'GS &gt; 50 OLS Model'!$B$5</f>
        <v>-17059648.826166701</v>
      </c>
      <c r="P145" s="23">
        <f ca="1">'GS &gt; 50 OLS Model'!$B$6*D145</f>
        <v>5268760.2229548376</v>
      </c>
      <c r="Q145" s="23">
        <f ca="1">'GS &gt; 50 OLS Model'!$B$7*E145</f>
        <v>0</v>
      </c>
      <c r="R145" s="23">
        <f>'GS &gt; 50 OLS Model'!$B$8*F145</f>
        <v>40140496.087191388</v>
      </c>
      <c r="S145" s="23">
        <f>'GS &gt; 50 OLS Model'!$B$9*G145</f>
        <v>-3544739.5347602782</v>
      </c>
      <c r="T145" s="23">
        <f>'GS &gt; 50 OLS Model'!$B$10*H145</f>
        <v>3199602.6543918811</v>
      </c>
      <c r="U145" s="23">
        <f>'GS &gt; 50 OLS Model'!$B$11*I145</f>
        <v>0</v>
      </c>
      <c r="V145" s="23">
        <f>'GS &gt; 50 OLS Model'!$B$12*J145</f>
        <v>0</v>
      </c>
      <c r="W145" s="23">
        <f>'GS &gt; 50 OLS Model'!$B$13*K145</f>
        <v>0</v>
      </c>
      <c r="X145" s="23">
        <f>'GS &gt; 50 OLS Model'!$B$14*L145</f>
        <v>-1083532.53757107</v>
      </c>
      <c r="Y145" s="23">
        <f>'GS &gt; 50 OLS Model'!$B$15*M145</f>
        <v>0</v>
      </c>
      <c r="Z145" s="23">
        <f t="shared" ca="1" si="21"/>
        <v>26920938.066040058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5"/>
  <sheetViews>
    <sheetView workbookViewId="0"/>
  </sheetViews>
  <sheetFormatPr defaultRowHeight="12.75"/>
  <cols>
    <col min="1" max="1" width="7.14062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10.42578125" bestFit="1" customWidth="1"/>
    <col min="7" max="7" width="7.42578125" bestFit="1" customWidth="1"/>
    <col min="8" max="8" width="5.5703125" bestFit="1" customWidth="1"/>
    <col min="9" max="9" width="4" bestFit="1" customWidth="1"/>
    <col min="10" max="10" width="6.140625" bestFit="1" customWidth="1"/>
    <col min="11" max="11" width="6.140625" customWidth="1"/>
    <col min="12" max="12" width="14.5703125" bestFit="1" customWidth="1"/>
    <col min="14" max="14" width="11.28515625" style="23" bestFit="1" customWidth="1"/>
    <col min="15" max="16" width="10.28515625" style="23" bestFit="1" customWidth="1"/>
    <col min="17" max="17" width="11.5703125" style="23" bestFit="1" customWidth="1"/>
    <col min="18" max="18" width="11.28515625" style="23" bestFit="1" customWidth="1"/>
    <col min="19" max="21" width="10.28515625" style="23" bestFit="1" customWidth="1"/>
    <col min="22" max="22" width="8.7109375" style="23" bestFit="1" customWidth="1"/>
    <col min="23" max="23" width="15.7109375" style="23" bestFit="1" customWidth="1"/>
    <col min="24" max="24" width="16.85546875" style="23" bestFit="1" customWidth="1"/>
  </cols>
  <sheetData>
    <row r="1" spans="1:24">
      <c r="A1" s="11" t="str">
        <f>'Monthly Data'!A1</f>
        <v>Date</v>
      </c>
      <c r="B1" s="15" t="s">
        <v>33</v>
      </c>
      <c r="C1" t="str">
        <f>'Monthly Data'!O1</f>
        <v>LUkWh</v>
      </c>
      <c r="D1" s="30" t="str">
        <f>'Monthly Data'!U1</f>
        <v>HDD</v>
      </c>
      <c r="E1" s="30" t="str">
        <f>'Monthly Data'!V1</f>
        <v>CDD</v>
      </c>
      <c r="F1" s="30" t="str">
        <f>'Monthly Data'!X1</f>
        <v>MonthDays</v>
      </c>
      <c r="G1" s="30" t="str">
        <f>'Monthly Data'!Y1</f>
        <v>OntFTE</v>
      </c>
      <c r="H1" s="30" t="str">
        <f>'Monthly Data'!AA1</f>
        <v>Trend</v>
      </c>
      <c r="I1" s="30" t="str">
        <f>'Monthly Data'!AM1</f>
        <v>Fall</v>
      </c>
      <c r="J1" s="30" t="str">
        <f>'Monthly Data'!AO1</f>
        <v>DAPR</v>
      </c>
      <c r="K1" s="4" t="str">
        <f>'Monthly Data'!AP1</f>
        <v>DDEC</v>
      </c>
      <c r="L1" s="4" t="str">
        <f>'Monthly Data'!AQ1</f>
        <v>PostSecondarySummer</v>
      </c>
      <c r="N1" s="23" t="str">
        <f>'LU OLS Model'!$A$5</f>
        <v>const</v>
      </c>
      <c r="O1" s="23" t="str">
        <f>'LU OLS Model'!$A$6</f>
        <v>HDD</v>
      </c>
      <c r="P1" s="23" t="str">
        <f>'LU OLS Model'!$A$7</f>
        <v>CDD</v>
      </c>
      <c r="Q1" s="23" t="str">
        <f>'LU OLS Model'!$A$8</f>
        <v>MonthDays</v>
      </c>
      <c r="R1" s="23" t="str">
        <f>'LU OLS Model'!$A$9</f>
        <v>OntFTE</v>
      </c>
      <c r="S1" s="23" t="str">
        <f>'LU OLS Model'!$A$10</f>
        <v>Trend</v>
      </c>
      <c r="T1" s="23" t="str">
        <f>'LU OLS Model'!$A$11</f>
        <v>Fall</v>
      </c>
      <c r="U1" s="23" t="str">
        <f>'LU OLS Model'!$A$12</f>
        <v>DAPR</v>
      </c>
      <c r="V1" s="23" t="str">
        <f>'LU OLS Model'!$A$13</f>
        <v>DDEC</v>
      </c>
      <c r="W1" s="23" t="str">
        <f>'LU OLS Model'!$A$14</f>
        <v>PostSecondarySummer</v>
      </c>
      <c r="X1" s="58" t="s">
        <v>58</v>
      </c>
    </row>
    <row r="2" spans="1:24">
      <c r="A2" s="11">
        <f>'Monthly Data'!A2</f>
        <v>39814</v>
      </c>
      <c r="B2" s="6">
        <f>YEAR(A2)</f>
        <v>2009</v>
      </c>
      <c r="C2">
        <f>'Monthly Data'!Q2</f>
        <v>12630235.100299999</v>
      </c>
      <c r="D2">
        <f ca="1">'Weather Data'!G66</f>
        <v>784.29</v>
      </c>
      <c r="E2" s="30">
        <f ca="1">'Weather Data'!H66</f>
        <v>0</v>
      </c>
      <c r="F2">
        <f>'Monthly Data'!X2</f>
        <v>31</v>
      </c>
      <c r="G2" s="30">
        <f>'Monthly Data'!Y2</f>
        <v>6506.5</v>
      </c>
      <c r="H2">
        <f>'Monthly Data'!AA2</f>
        <v>1</v>
      </c>
      <c r="I2" s="30">
        <f>'Monthly Data'!AM2</f>
        <v>0</v>
      </c>
      <c r="J2" s="4">
        <f>'Monthly Data'!AO2</f>
        <v>0</v>
      </c>
      <c r="K2" s="4">
        <f>'Monthly Data'!AP2</f>
        <v>0</v>
      </c>
      <c r="L2" s="4">
        <f>'Monthly Data'!AQ2</f>
        <v>0</v>
      </c>
      <c r="N2" s="23">
        <f>'LU OLS Model'!$B$5</f>
        <v>-37159358.269763596</v>
      </c>
      <c r="O2" s="23">
        <f ca="1">'LU OLS Model'!$B$6*D2</f>
        <v>-1523162.0047948186</v>
      </c>
      <c r="P2" s="23">
        <f ca="1">'LU OLS Model'!$B$7*E2</f>
        <v>0</v>
      </c>
      <c r="Q2" s="23">
        <f>'LU OLS Model'!$B$8*F2</f>
        <v>10663463.283272332</v>
      </c>
      <c r="R2" s="23">
        <f>'LU OLS Model'!$B$9*G2</f>
        <v>40977829.474515334</v>
      </c>
      <c r="S2" s="23">
        <f>'LU OLS Model'!$B$10*H2</f>
        <v>-33857.366920071501</v>
      </c>
      <c r="T2" s="23">
        <f>'LU OLS Model'!$B$11*I2</f>
        <v>0</v>
      </c>
      <c r="U2" s="23">
        <f>'LU OLS Model'!$B$12*J2</f>
        <v>0</v>
      </c>
      <c r="V2" s="23">
        <f>'LU OLS Model'!$B$13*K2</f>
        <v>0</v>
      </c>
      <c r="W2" s="23">
        <f>'LU OLS Model'!$B$14*L2</f>
        <v>0</v>
      </c>
      <c r="X2" s="23">
        <f ca="1">SUM(N2:W2)</f>
        <v>12924915.116309179</v>
      </c>
    </row>
    <row r="3" spans="1:24">
      <c r="A3" s="11">
        <f>'Monthly Data'!A3</f>
        <v>39845</v>
      </c>
      <c r="B3" s="6">
        <f t="shared" ref="B3:B66" si="0">YEAR(A3)</f>
        <v>2009</v>
      </c>
      <c r="C3" s="30">
        <f>'Monthly Data'!Q3</f>
        <v>11333821.4934</v>
      </c>
      <c r="D3" s="30">
        <f ca="1">'Weather Data'!G67</f>
        <v>682.50999999999988</v>
      </c>
      <c r="E3" s="30">
        <f ca="1">'Weather Data'!H67</f>
        <v>0</v>
      </c>
      <c r="F3">
        <f>'Monthly Data'!X3</f>
        <v>28</v>
      </c>
      <c r="G3" s="30">
        <f>'Monthly Data'!Y3</f>
        <v>6436.2</v>
      </c>
      <c r="H3">
        <f>'Monthly Data'!AA3</f>
        <v>2</v>
      </c>
      <c r="I3" s="30">
        <f>'Monthly Data'!AM3</f>
        <v>0</v>
      </c>
      <c r="J3" s="4">
        <f>'Monthly Data'!AO3</f>
        <v>0</v>
      </c>
      <c r="K3" s="4">
        <f>'Monthly Data'!AP3</f>
        <v>0</v>
      </c>
      <c r="L3" s="4">
        <f>'Monthly Data'!AQ3</f>
        <v>0</v>
      </c>
      <c r="N3" s="23">
        <f>'LU OLS Model'!$B$5</f>
        <v>-37159358.269763596</v>
      </c>
      <c r="O3" s="23">
        <f ca="1">'LU OLS Model'!$B$6*D3</f>
        <v>-1325496.053618574</v>
      </c>
      <c r="P3" s="23">
        <f ca="1">'LU OLS Model'!$B$7*E3</f>
        <v>0</v>
      </c>
      <c r="Q3" s="23">
        <f>'LU OLS Model'!$B$8*F3</f>
        <v>9631515.223600816</v>
      </c>
      <c r="R3" s="23">
        <f>'LU OLS Model'!$B$9*G3</f>
        <v>40535081.236283034</v>
      </c>
      <c r="S3" s="23">
        <f>'LU OLS Model'!$B$10*H3</f>
        <v>-67714.733840143002</v>
      </c>
      <c r="T3" s="23">
        <f>'LU OLS Model'!$B$11*I3</f>
        <v>0</v>
      </c>
      <c r="U3" s="23">
        <f>'LU OLS Model'!$B$12*J3</f>
        <v>0</v>
      </c>
      <c r="V3" s="23">
        <f>'LU OLS Model'!$B$13*K3</f>
        <v>0</v>
      </c>
      <c r="W3" s="23">
        <f>'LU OLS Model'!$B$14*L3</f>
        <v>0</v>
      </c>
      <c r="X3" s="23">
        <f t="shared" ref="X3:X66" ca="1" si="1">SUM(N3:W3)</f>
        <v>11614027.402661538</v>
      </c>
    </row>
    <row r="4" spans="1:24">
      <c r="A4" s="11">
        <f>'Monthly Data'!A4</f>
        <v>39873</v>
      </c>
      <c r="B4" s="6">
        <f t="shared" si="0"/>
        <v>2009</v>
      </c>
      <c r="C4" s="30">
        <f>'Monthly Data'!Q4</f>
        <v>12370923.8947</v>
      </c>
      <c r="D4" s="30">
        <f ca="1">'Weather Data'!G68</f>
        <v>556.99</v>
      </c>
      <c r="E4" s="30">
        <f ca="1">'Weather Data'!H68</f>
        <v>0</v>
      </c>
      <c r="F4">
        <f>'Monthly Data'!X4</f>
        <v>31</v>
      </c>
      <c r="G4" s="30">
        <f>'Monthly Data'!Y4</f>
        <v>6363.8</v>
      </c>
      <c r="H4">
        <f>'Monthly Data'!AA4</f>
        <v>3</v>
      </c>
      <c r="I4" s="30">
        <f>'Monthly Data'!AM4</f>
        <v>0</v>
      </c>
      <c r="J4" s="4">
        <f>'Monthly Data'!AO4</f>
        <v>0</v>
      </c>
      <c r="K4" s="4">
        <f>'Monthly Data'!AP4</f>
        <v>0</v>
      </c>
      <c r="L4" s="4">
        <f>'Monthly Data'!AQ4</f>
        <v>0</v>
      </c>
      <c r="N4" s="23">
        <f>'LU OLS Model'!$B$5</f>
        <v>-37159358.269763596</v>
      </c>
      <c r="O4" s="23">
        <f ca="1">'LU OLS Model'!$B$6*D4</f>
        <v>-1081724.8786171773</v>
      </c>
      <c r="P4" s="23">
        <f ca="1">'LU OLS Model'!$B$7*E4</f>
        <v>0</v>
      </c>
      <c r="Q4" s="23">
        <f>'LU OLS Model'!$B$8*F4</f>
        <v>10663463.283272332</v>
      </c>
      <c r="R4" s="23">
        <f>'LU OLS Model'!$B$9*G4</f>
        <v>40079107.232755043</v>
      </c>
      <c r="S4" s="23">
        <f>'LU OLS Model'!$B$10*H4</f>
        <v>-101572.1007602145</v>
      </c>
      <c r="T4" s="23">
        <f>'LU OLS Model'!$B$11*I4</f>
        <v>0</v>
      </c>
      <c r="U4" s="23">
        <f>'LU OLS Model'!$B$12*J4</f>
        <v>0</v>
      </c>
      <c r="V4" s="23">
        <f>'LU OLS Model'!$B$13*K4</f>
        <v>0</v>
      </c>
      <c r="W4" s="23">
        <f>'LU OLS Model'!$B$14*L4</f>
        <v>0</v>
      </c>
      <c r="X4" s="23">
        <f t="shared" ca="1" si="1"/>
        <v>12399915.266886391</v>
      </c>
    </row>
    <row r="5" spans="1:24">
      <c r="A5" s="11">
        <f>'Monthly Data'!A5</f>
        <v>39904</v>
      </c>
      <c r="B5" s="6">
        <f t="shared" si="0"/>
        <v>2009</v>
      </c>
      <c r="C5" s="30">
        <f>'Monthly Data'!Q5</f>
        <v>11402691.3343</v>
      </c>
      <c r="D5" s="30">
        <f ca="1">'Weather Data'!G69</f>
        <v>326.58999999999997</v>
      </c>
      <c r="E5" s="30">
        <f ca="1">'Weather Data'!H69</f>
        <v>0.39</v>
      </c>
      <c r="F5">
        <f>'Monthly Data'!X5</f>
        <v>30</v>
      </c>
      <c r="G5" s="30">
        <f>'Monthly Data'!Y5</f>
        <v>6359.6</v>
      </c>
      <c r="H5">
        <f>'Monthly Data'!AA5</f>
        <v>4</v>
      </c>
      <c r="I5" s="30">
        <f>'Monthly Data'!AM5</f>
        <v>0</v>
      </c>
      <c r="J5" s="4">
        <f>'Monthly Data'!AO5</f>
        <v>1</v>
      </c>
      <c r="K5" s="4">
        <f>'Monthly Data'!AP5</f>
        <v>0</v>
      </c>
      <c r="L5" s="4">
        <f>'Monthly Data'!AQ5</f>
        <v>0</v>
      </c>
      <c r="N5" s="23">
        <f>'LU OLS Model'!$B$5</f>
        <v>-37159358.269763596</v>
      </c>
      <c r="O5" s="23">
        <f ca="1">'LU OLS Model'!$B$6*D5</f>
        <v>-634267.27249606617</v>
      </c>
      <c r="P5" s="23">
        <f ca="1">'LU OLS Model'!$B$7*E5</f>
        <v>7322.6846434558438</v>
      </c>
      <c r="Q5" s="23">
        <f>'LU OLS Model'!$B$8*F5</f>
        <v>10319480.59671516</v>
      </c>
      <c r="R5" s="23">
        <f>'LU OLS Model'!$B$9*G5</f>
        <v>40052655.702163637</v>
      </c>
      <c r="S5" s="23">
        <f>'LU OLS Model'!$B$10*H5</f>
        <v>-135429.467680286</v>
      </c>
      <c r="T5" s="23">
        <f>'LU OLS Model'!$B$11*I5</f>
        <v>0</v>
      </c>
      <c r="U5" s="23">
        <f>'LU OLS Model'!$B$12*J5</f>
        <v>-1039228.3455262</v>
      </c>
      <c r="V5" s="23">
        <f>'LU OLS Model'!$B$13*K5</f>
        <v>0</v>
      </c>
      <c r="W5" s="23">
        <f>'LU OLS Model'!$B$14*L5</f>
        <v>0</v>
      </c>
      <c r="X5" s="23">
        <f t="shared" ca="1" si="1"/>
        <v>11411175.628056102</v>
      </c>
    </row>
    <row r="6" spans="1:24">
      <c r="A6" s="11">
        <f>'Monthly Data'!A6</f>
        <v>39934</v>
      </c>
      <c r="B6" s="6">
        <f t="shared" si="0"/>
        <v>2009</v>
      </c>
      <c r="C6" s="30">
        <f>'Monthly Data'!Q6</f>
        <v>11555213.605999999</v>
      </c>
      <c r="D6" s="30">
        <f ca="1">'Weather Data'!G70</f>
        <v>144.96</v>
      </c>
      <c r="E6" s="30">
        <f ca="1">'Weather Data'!H70</f>
        <v>8.67</v>
      </c>
      <c r="F6">
        <f>'Monthly Data'!X6</f>
        <v>31</v>
      </c>
      <c r="G6" s="30">
        <f>'Monthly Data'!Y6</f>
        <v>6382.1</v>
      </c>
      <c r="H6">
        <f>'Monthly Data'!AA6</f>
        <v>5</v>
      </c>
      <c r="I6" s="30">
        <f>'Monthly Data'!AM6</f>
        <v>0</v>
      </c>
      <c r="J6" s="4">
        <f>'Monthly Data'!AO6</f>
        <v>0</v>
      </c>
      <c r="K6" s="4">
        <f>'Monthly Data'!AP6</f>
        <v>0</v>
      </c>
      <c r="L6" s="4">
        <f>'Monthly Data'!AQ6</f>
        <v>1</v>
      </c>
      <c r="N6" s="23">
        <f>'LU OLS Model'!$B$5</f>
        <v>-37159358.269763596</v>
      </c>
      <c r="O6" s="23">
        <f ca="1">'LU OLS Model'!$B$6*D6</f>
        <v>-281525.41051786573</v>
      </c>
      <c r="P6" s="23">
        <f ca="1">'LU OLS Model'!$B$7*E6</f>
        <v>162788.91245836453</v>
      </c>
      <c r="Q6" s="23">
        <f>'LU OLS Model'!$B$8*F6</f>
        <v>10663463.283272332</v>
      </c>
      <c r="R6" s="23">
        <f>'LU OLS Model'!$B$9*G6</f>
        <v>40194360.330331869</v>
      </c>
      <c r="S6" s="23">
        <f>'LU OLS Model'!$B$10*H6</f>
        <v>-169286.83460035751</v>
      </c>
      <c r="T6" s="23">
        <f>'LU OLS Model'!$B$11*I6</f>
        <v>0</v>
      </c>
      <c r="U6" s="23">
        <f>'LU OLS Model'!$B$12*J6</f>
        <v>0</v>
      </c>
      <c r="V6" s="23">
        <f>'LU OLS Model'!$B$13*K6</f>
        <v>0</v>
      </c>
      <c r="W6" s="23">
        <f>'LU OLS Model'!$B$14*L6</f>
        <v>-1700644.40454555</v>
      </c>
      <c r="X6" s="23">
        <f t="shared" ca="1" si="1"/>
        <v>11709797.606635204</v>
      </c>
    </row>
    <row r="7" spans="1:24">
      <c r="A7" s="11">
        <f>'Monthly Data'!A7</f>
        <v>39965</v>
      </c>
      <c r="B7" s="6">
        <f t="shared" si="0"/>
        <v>2009</v>
      </c>
      <c r="C7" s="30">
        <f>'Monthly Data'!Q7</f>
        <v>12458106.387699999</v>
      </c>
      <c r="D7" s="30">
        <f ca="1">'Weather Data'!G71</f>
        <v>41.510000000000005</v>
      </c>
      <c r="E7" s="30">
        <f ca="1">'Weather Data'!H71</f>
        <v>44.41</v>
      </c>
      <c r="F7">
        <f>'Monthly Data'!X7</f>
        <v>30</v>
      </c>
      <c r="G7" s="30">
        <f>'Monthly Data'!Y7</f>
        <v>6429.4</v>
      </c>
      <c r="H7">
        <f>'Monthly Data'!AA7</f>
        <v>6</v>
      </c>
      <c r="I7" s="30">
        <f>'Monthly Data'!AM7</f>
        <v>0</v>
      </c>
      <c r="J7" s="4">
        <f>'Monthly Data'!AO7</f>
        <v>0</v>
      </c>
      <c r="K7" s="4">
        <f>'Monthly Data'!AP7</f>
        <v>0</v>
      </c>
      <c r="L7" s="4">
        <f>'Monthly Data'!AQ7</f>
        <v>1</v>
      </c>
      <c r="N7" s="23">
        <f>'LU OLS Model'!$B$5</f>
        <v>-37159358.269763596</v>
      </c>
      <c r="O7" s="23">
        <f ca="1">'LU OLS Model'!$B$6*D7</f>
        <v>-80616.168533365111</v>
      </c>
      <c r="P7" s="23">
        <f ca="1">'LU OLS Model'!$B$7*E7</f>
        <v>833847.24363044614</v>
      </c>
      <c r="Q7" s="23">
        <f>'LU OLS Model'!$B$8*F7</f>
        <v>10319480.59671516</v>
      </c>
      <c r="R7" s="23">
        <f>'LU OLS Model'!$B$9*G7</f>
        <v>40492254.948658861</v>
      </c>
      <c r="S7" s="23">
        <f>'LU OLS Model'!$B$10*H7</f>
        <v>-203144.20152042899</v>
      </c>
      <c r="T7" s="23">
        <f>'LU OLS Model'!$B$11*I7</f>
        <v>0</v>
      </c>
      <c r="U7" s="23">
        <f>'LU OLS Model'!$B$12*J7</f>
        <v>0</v>
      </c>
      <c r="V7" s="23">
        <f>'LU OLS Model'!$B$13*K7</f>
        <v>0</v>
      </c>
      <c r="W7" s="23">
        <f>'LU OLS Model'!$B$14*L7</f>
        <v>-1700644.40454555</v>
      </c>
      <c r="X7" s="23">
        <f t="shared" ca="1" si="1"/>
        <v>12501819.744641531</v>
      </c>
    </row>
    <row r="8" spans="1:24">
      <c r="A8" s="11">
        <f>'Monthly Data'!A8</f>
        <v>39995</v>
      </c>
      <c r="B8" s="6">
        <f t="shared" si="0"/>
        <v>2009</v>
      </c>
      <c r="C8" s="30">
        <f>'Monthly Data'!Q8</f>
        <v>13695389.126600001</v>
      </c>
      <c r="D8" s="30">
        <f ca="1">'Weather Data'!G72</f>
        <v>5.01</v>
      </c>
      <c r="E8" s="30">
        <f ca="1">'Weather Data'!H72</f>
        <v>96.909999999999982</v>
      </c>
      <c r="F8">
        <f>'Monthly Data'!X8</f>
        <v>31</v>
      </c>
      <c r="G8" s="30">
        <f>'Monthly Data'!Y8</f>
        <v>6467</v>
      </c>
      <c r="H8">
        <f>'Monthly Data'!AA8</f>
        <v>7</v>
      </c>
      <c r="I8" s="30">
        <f>'Monthly Data'!AM8</f>
        <v>0</v>
      </c>
      <c r="J8" s="4">
        <f>'Monthly Data'!AO8</f>
        <v>0</v>
      </c>
      <c r="K8" s="4">
        <f>'Monthly Data'!AP8</f>
        <v>0</v>
      </c>
      <c r="L8" s="4">
        <f>'Monthly Data'!AQ8</f>
        <v>1</v>
      </c>
      <c r="N8" s="23">
        <f>'LU OLS Model'!$B$5</f>
        <v>-37159358.269763596</v>
      </c>
      <c r="O8" s="23">
        <f ca="1">'LU OLS Model'!$B$6*D8</f>
        <v>-9729.8724247689515</v>
      </c>
      <c r="P8" s="23">
        <f ca="1">'LU OLS Model'!$B$7*E8</f>
        <v>1819593.2533264249</v>
      </c>
      <c r="Q8" s="23">
        <f>'LU OLS Model'!$B$8*F8</f>
        <v>10663463.283272332</v>
      </c>
      <c r="R8" s="23">
        <f>'LU OLS Model'!$B$9*G8</f>
        <v>40729059.127286658</v>
      </c>
      <c r="S8" s="23">
        <f>'LU OLS Model'!$B$10*H8</f>
        <v>-237001.5684405005</v>
      </c>
      <c r="T8" s="23">
        <f>'LU OLS Model'!$B$11*I8</f>
        <v>0</v>
      </c>
      <c r="U8" s="23">
        <f>'LU OLS Model'!$B$12*J8</f>
        <v>0</v>
      </c>
      <c r="V8" s="23">
        <f>'LU OLS Model'!$B$13*K8</f>
        <v>0</v>
      </c>
      <c r="W8" s="23">
        <f>'LU OLS Model'!$B$14*L8</f>
        <v>-1700644.40454555</v>
      </c>
      <c r="X8" s="23">
        <f t="shared" ca="1" si="1"/>
        <v>14105381.548711002</v>
      </c>
    </row>
    <row r="9" spans="1:24">
      <c r="A9" s="11">
        <f>'Monthly Data'!A9</f>
        <v>40026</v>
      </c>
      <c r="B9" s="6">
        <f t="shared" si="0"/>
        <v>2009</v>
      </c>
      <c r="C9" s="30">
        <f>'Monthly Data'!Q9</f>
        <v>14408989.219000001</v>
      </c>
      <c r="D9" s="30">
        <f ca="1">'Weather Data'!G73</f>
        <v>12.719999999999999</v>
      </c>
      <c r="E9" s="30">
        <f ca="1">'Weather Data'!H73</f>
        <v>77.22999999999999</v>
      </c>
      <c r="F9">
        <f>'Monthly Data'!X9</f>
        <v>31</v>
      </c>
      <c r="G9" s="30">
        <f>'Monthly Data'!Y9</f>
        <v>6487.6</v>
      </c>
      <c r="H9">
        <f>'Monthly Data'!AA9</f>
        <v>8</v>
      </c>
      <c r="I9" s="30">
        <f>'Monthly Data'!AM9</f>
        <v>0</v>
      </c>
      <c r="J9" s="4">
        <f>'Monthly Data'!AO9</f>
        <v>0</v>
      </c>
      <c r="K9" s="4">
        <f>'Monthly Data'!AP9</f>
        <v>0</v>
      </c>
      <c r="L9" s="4">
        <f>'Monthly Data'!AQ9</f>
        <v>1</v>
      </c>
      <c r="N9" s="23">
        <f>'LU OLS Model'!$B$5</f>
        <v>-37159358.269763596</v>
      </c>
      <c r="O9" s="23">
        <f ca="1">'LU OLS Model'!$B$6*D9</f>
        <v>-24703.388671269669</v>
      </c>
      <c r="P9" s="23">
        <f ca="1">'LU OLS Model'!$B$7*E9</f>
        <v>1450079.3205489609</v>
      </c>
      <c r="Q9" s="23">
        <f>'LU OLS Model'!$B$8*F9</f>
        <v>10663463.283272332</v>
      </c>
      <c r="R9" s="23">
        <f>'LU OLS Model'!$B$9*G9</f>
        <v>40858797.586854018</v>
      </c>
      <c r="S9" s="23">
        <f>'LU OLS Model'!$B$10*H9</f>
        <v>-270858.93536057201</v>
      </c>
      <c r="T9" s="23">
        <f>'LU OLS Model'!$B$11*I9</f>
        <v>0</v>
      </c>
      <c r="U9" s="23">
        <f>'LU OLS Model'!$B$12*J9</f>
        <v>0</v>
      </c>
      <c r="V9" s="23">
        <f>'LU OLS Model'!$B$13*K9</f>
        <v>0</v>
      </c>
      <c r="W9" s="23">
        <f>'LU OLS Model'!$B$14*L9</f>
        <v>-1700644.40454555</v>
      </c>
      <c r="X9" s="23">
        <f t="shared" ca="1" si="1"/>
        <v>13816775.192334322</v>
      </c>
    </row>
    <row r="10" spans="1:24">
      <c r="A10" s="11">
        <f>'Monthly Data'!A10</f>
        <v>40057</v>
      </c>
      <c r="B10" s="6">
        <f t="shared" si="0"/>
        <v>2009</v>
      </c>
      <c r="C10" s="30">
        <f>'Monthly Data'!Q10</f>
        <v>12983020.697999999</v>
      </c>
      <c r="D10" s="30">
        <f ca="1">'Weather Data'!G74</f>
        <v>86.570000000000007</v>
      </c>
      <c r="E10" s="30">
        <f ca="1">'Weather Data'!H74</f>
        <v>19.899999999999999</v>
      </c>
      <c r="F10">
        <f>'Monthly Data'!X10</f>
        <v>30</v>
      </c>
      <c r="G10" s="30">
        <f>'Monthly Data'!Y10</f>
        <v>6470.2</v>
      </c>
      <c r="H10">
        <f>'Monthly Data'!AA10</f>
        <v>9</v>
      </c>
      <c r="I10" s="30">
        <f>'Monthly Data'!AM10</f>
        <v>1</v>
      </c>
      <c r="J10" s="4">
        <f>'Monthly Data'!AO10</f>
        <v>0</v>
      </c>
      <c r="K10" s="4">
        <f>'Monthly Data'!AP10</f>
        <v>0</v>
      </c>
      <c r="L10" s="4">
        <f>'Monthly Data'!AQ10</f>
        <v>0</v>
      </c>
      <c r="N10" s="23">
        <f>'LU OLS Model'!$B$5</f>
        <v>-37159358.269763596</v>
      </c>
      <c r="O10" s="23">
        <f ca="1">'LU OLS Model'!$B$6*D10</f>
        <v>-168126.75764715532</v>
      </c>
      <c r="P10" s="23">
        <f ca="1">'LU OLS Model'!$B$7*E10</f>
        <v>373644.67796095199</v>
      </c>
      <c r="Q10" s="23">
        <f>'LU OLS Model'!$B$8*F10</f>
        <v>10319480.59671516</v>
      </c>
      <c r="R10" s="23">
        <f>'LU OLS Model'!$B$9*G10</f>
        <v>40749212.674403921</v>
      </c>
      <c r="S10" s="23">
        <f>'LU OLS Model'!$B$10*H10</f>
        <v>-304716.30228064349</v>
      </c>
      <c r="T10" s="23">
        <f>'LU OLS Model'!$B$11*I10</f>
        <v>-1059857.8947751301</v>
      </c>
      <c r="U10" s="23">
        <f>'LU OLS Model'!$B$12*J10</f>
        <v>0</v>
      </c>
      <c r="V10" s="23">
        <f>'LU OLS Model'!$B$13*K10</f>
        <v>0</v>
      </c>
      <c r="W10" s="23">
        <f>'LU OLS Model'!$B$14*L10</f>
        <v>0</v>
      </c>
      <c r="X10" s="23">
        <f t="shared" ca="1" si="1"/>
        <v>12750278.724613508</v>
      </c>
    </row>
    <row r="11" spans="1:24">
      <c r="A11" s="11">
        <f>'Monthly Data'!A11</f>
        <v>40087</v>
      </c>
      <c r="B11" s="6">
        <f t="shared" si="0"/>
        <v>2009</v>
      </c>
      <c r="C11" s="30">
        <f>'Monthly Data'!Q11</f>
        <v>12029943</v>
      </c>
      <c r="D11" s="30">
        <f ca="1">'Weather Data'!G75</f>
        <v>270.3</v>
      </c>
      <c r="E11" s="30">
        <f ca="1">'Weather Data'!H75</f>
        <v>1.21</v>
      </c>
      <c r="F11">
        <f>'Monthly Data'!X11</f>
        <v>31</v>
      </c>
      <c r="G11" s="30">
        <f>'Monthly Data'!Y11</f>
        <v>6472.1</v>
      </c>
      <c r="H11">
        <f>'Monthly Data'!AA11</f>
        <v>10</v>
      </c>
      <c r="I11" s="30">
        <f>'Monthly Data'!AM11</f>
        <v>1</v>
      </c>
      <c r="J11" s="4">
        <f>'Monthly Data'!AO11</f>
        <v>0</v>
      </c>
      <c r="K11" s="4">
        <f>'Monthly Data'!AP11</f>
        <v>0</v>
      </c>
      <c r="L11" s="4">
        <f>'Monthly Data'!AQ11</f>
        <v>0</v>
      </c>
      <c r="N11" s="23">
        <f>'LU OLS Model'!$B$5</f>
        <v>-37159358.269763596</v>
      </c>
      <c r="O11" s="23">
        <f ca="1">'LU OLS Model'!$B$6*D11</f>
        <v>-524947.00926448056</v>
      </c>
      <c r="P11" s="23">
        <f ca="1">'LU OLS Model'!$B$7*E11</f>
        <v>22719.098509183514</v>
      </c>
      <c r="Q11" s="23">
        <f>'LU OLS Model'!$B$8*F11</f>
        <v>10663463.283272332</v>
      </c>
      <c r="R11" s="23">
        <f>'LU OLS Model'!$B$9*G11</f>
        <v>40761178.843004793</v>
      </c>
      <c r="S11" s="23">
        <f>'LU OLS Model'!$B$10*H11</f>
        <v>-338573.66920071503</v>
      </c>
      <c r="T11" s="23">
        <f>'LU OLS Model'!$B$11*I11</f>
        <v>-1059857.8947751301</v>
      </c>
      <c r="U11" s="23">
        <f>'LU OLS Model'!$B$12*J11</f>
        <v>0</v>
      </c>
      <c r="V11" s="23">
        <f>'LU OLS Model'!$B$13*K11</f>
        <v>0</v>
      </c>
      <c r="W11" s="23">
        <f>'LU OLS Model'!$B$14*L11</f>
        <v>0</v>
      </c>
      <c r="X11" s="23">
        <f t="shared" ca="1" si="1"/>
        <v>12364624.381782386</v>
      </c>
    </row>
    <row r="12" spans="1:24">
      <c r="A12" s="11">
        <f>'Monthly Data'!A12</f>
        <v>40118</v>
      </c>
      <c r="B12" s="6">
        <f t="shared" si="0"/>
        <v>2009</v>
      </c>
      <c r="C12" s="30">
        <f>'Monthly Data'!Q12</f>
        <v>11523934</v>
      </c>
      <c r="D12" s="30">
        <f ca="1">'Weather Data'!G76</f>
        <v>444.05</v>
      </c>
      <c r="E12" s="30">
        <f ca="1">'Weather Data'!H76</f>
        <v>0</v>
      </c>
      <c r="F12">
        <f>'Monthly Data'!X12</f>
        <v>30</v>
      </c>
      <c r="G12" s="30">
        <f>'Monthly Data'!Y12</f>
        <v>6465.6</v>
      </c>
      <c r="H12">
        <f>'Monthly Data'!AA12</f>
        <v>11</v>
      </c>
      <c r="I12" s="30">
        <f>'Monthly Data'!AM12</f>
        <v>1</v>
      </c>
      <c r="J12" s="4">
        <f>'Monthly Data'!AO12</f>
        <v>0</v>
      </c>
      <c r="K12" s="4">
        <f>'Monthly Data'!AP12</f>
        <v>0</v>
      </c>
      <c r="L12" s="4">
        <f>'Monthly Data'!AQ12</f>
        <v>0</v>
      </c>
      <c r="N12" s="23">
        <f>'LU OLS Model'!$B$5</f>
        <v>-37159358.269763596</v>
      </c>
      <c r="O12" s="23">
        <f ca="1">'LU OLS Model'!$B$6*D12</f>
        <v>-862385.19964444172</v>
      </c>
      <c r="P12" s="23">
        <f ca="1">'LU OLS Model'!$B$7*E12</f>
        <v>0</v>
      </c>
      <c r="Q12" s="23">
        <f>'LU OLS Model'!$B$8*F12</f>
        <v>10319480.59671516</v>
      </c>
      <c r="R12" s="23">
        <f>'LU OLS Model'!$B$9*G12</f>
        <v>40720241.950422861</v>
      </c>
      <c r="S12" s="23">
        <f>'LU OLS Model'!$B$10*H12</f>
        <v>-372431.03612078651</v>
      </c>
      <c r="T12" s="23">
        <f>'LU OLS Model'!$B$11*I12</f>
        <v>-1059857.8947751301</v>
      </c>
      <c r="U12" s="23">
        <f>'LU OLS Model'!$B$12*J12</f>
        <v>0</v>
      </c>
      <c r="V12" s="23">
        <f>'LU OLS Model'!$B$13*K12</f>
        <v>0</v>
      </c>
      <c r="W12" s="23">
        <f>'LU OLS Model'!$B$14*L12</f>
        <v>0</v>
      </c>
      <c r="X12" s="23">
        <f t="shared" ca="1" si="1"/>
        <v>11585690.146834068</v>
      </c>
    </row>
    <row r="13" spans="1:24">
      <c r="A13" s="11">
        <f>'Monthly Data'!A13</f>
        <v>40148</v>
      </c>
      <c r="B13" s="6">
        <f t="shared" si="0"/>
        <v>2009</v>
      </c>
      <c r="C13" s="30">
        <f>'Monthly Data'!Q13</f>
        <v>11610601</v>
      </c>
      <c r="D13" s="30">
        <f ca="1">'Weather Data'!G77</f>
        <v>684.01</v>
      </c>
      <c r="E13" s="30">
        <f ca="1">'Weather Data'!H77</f>
        <v>0</v>
      </c>
      <c r="F13">
        <f>'Monthly Data'!X13</f>
        <v>31</v>
      </c>
      <c r="G13" s="30">
        <f>'Monthly Data'!Y13</f>
        <v>6467.5</v>
      </c>
      <c r="H13">
        <f>'Monthly Data'!AA13</f>
        <v>12</v>
      </c>
      <c r="I13" s="30">
        <f>'Monthly Data'!AM13</f>
        <v>0</v>
      </c>
      <c r="J13" s="4">
        <f>'Monthly Data'!AO13</f>
        <v>0</v>
      </c>
      <c r="K13" s="4">
        <f>'Monthly Data'!AP13</f>
        <v>1</v>
      </c>
      <c r="L13" s="4">
        <f>'Monthly Data'!AQ13</f>
        <v>0</v>
      </c>
      <c r="N13" s="23">
        <f>'LU OLS Model'!$B$5</f>
        <v>-37159358.269763596</v>
      </c>
      <c r="O13" s="23">
        <f ca="1">'LU OLS Model'!$B$6*D13</f>
        <v>-1328409.1890750919</v>
      </c>
      <c r="P13" s="23">
        <f ca="1">'LU OLS Model'!$B$7*E13</f>
        <v>0</v>
      </c>
      <c r="Q13" s="23">
        <f>'LU OLS Model'!$B$8*F13</f>
        <v>10663463.283272332</v>
      </c>
      <c r="R13" s="23">
        <f>'LU OLS Model'!$B$9*G13</f>
        <v>40732208.119023733</v>
      </c>
      <c r="S13" s="23">
        <f>'LU OLS Model'!$B$10*H13</f>
        <v>-406288.40304085799</v>
      </c>
      <c r="T13" s="23">
        <f>'LU OLS Model'!$B$11*I13</f>
        <v>0</v>
      </c>
      <c r="U13" s="23">
        <f>'LU OLS Model'!$B$12*J13</f>
        <v>0</v>
      </c>
      <c r="V13" s="23">
        <f>'LU OLS Model'!$B$13*K13</f>
        <v>-999570.07441694394</v>
      </c>
      <c r="W13" s="23">
        <f>'LU OLS Model'!$B$14*L13</f>
        <v>0</v>
      </c>
      <c r="X13" s="23">
        <f t="shared" ca="1" si="1"/>
        <v>11502045.465999577</v>
      </c>
    </row>
    <row r="14" spans="1:24">
      <c r="A14" s="11">
        <f>'Monthly Data'!A14</f>
        <v>40179</v>
      </c>
      <c r="B14" s="6">
        <f t="shared" si="0"/>
        <v>2010</v>
      </c>
      <c r="C14" s="30">
        <f>'Monthly Data'!Q14</f>
        <v>11955217.004000001</v>
      </c>
      <c r="D14">
        <f ca="1">D2</f>
        <v>784.29</v>
      </c>
      <c r="E14">
        <f ca="1">E2</f>
        <v>0</v>
      </c>
      <c r="F14">
        <f>'Monthly Data'!X14</f>
        <v>31</v>
      </c>
      <c r="G14" s="30">
        <f>'Monthly Data'!Y14</f>
        <v>6434.5</v>
      </c>
      <c r="H14">
        <f>'Monthly Data'!AA14</f>
        <v>13</v>
      </c>
      <c r="I14" s="30">
        <f>'Monthly Data'!AM14</f>
        <v>0</v>
      </c>
      <c r="J14" s="4">
        <f>'Monthly Data'!AO14</f>
        <v>0</v>
      </c>
      <c r="K14" s="4">
        <f>'Monthly Data'!AP14</f>
        <v>0</v>
      </c>
      <c r="L14" s="4">
        <f>'Monthly Data'!AQ14</f>
        <v>0</v>
      </c>
      <c r="N14" s="23">
        <f>'LU OLS Model'!$B$5</f>
        <v>-37159358.269763596</v>
      </c>
      <c r="O14" s="23">
        <f ca="1">'LU OLS Model'!$B$6*D14</f>
        <v>-1523162.0047948186</v>
      </c>
      <c r="P14" s="23">
        <f ca="1">'LU OLS Model'!$B$7*E14</f>
        <v>0</v>
      </c>
      <c r="Q14" s="23">
        <f>'LU OLS Model'!$B$8*F14</f>
        <v>10663463.283272332</v>
      </c>
      <c r="R14" s="23">
        <f>'LU OLS Model'!$B$9*G14</f>
        <v>40524374.664376996</v>
      </c>
      <c r="S14" s="23">
        <f>'LU OLS Model'!$B$10*H14</f>
        <v>-440145.76996092952</v>
      </c>
      <c r="T14" s="23">
        <f>'LU OLS Model'!$B$11*I14</f>
        <v>0</v>
      </c>
      <c r="U14" s="23">
        <f>'LU OLS Model'!$B$12*J14</f>
        <v>0</v>
      </c>
      <c r="V14" s="23">
        <f>'LU OLS Model'!$B$13*K14</f>
        <v>0</v>
      </c>
      <c r="W14" s="23">
        <f>'LU OLS Model'!$B$14*L14</f>
        <v>0</v>
      </c>
      <c r="X14" s="23">
        <f t="shared" ca="1" si="1"/>
        <v>12065171.903129984</v>
      </c>
    </row>
    <row r="15" spans="1:24">
      <c r="A15" s="11">
        <f>'Monthly Data'!A15</f>
        <v>40210</v>
      </c>
      <c r="B15" s="6">
        <f t="shared" si="0"/>
        <v>2010</v>
      </c>
      <c r="C15" s="30">
        <f>'Monthly Data'!Q15</f>
        <v>10874740.4221</v>
      </c>
      <c r="D15">
        <f t="shared" ref="D15:E30" ca="1" si="2">D3</f>
        <v>682.50999999999988</v>
      </c>
      <c r="E15">
        <f t="shared" ca="1" si="2"/>
        <v>0</v>
      </c>
      <c r="F15">
        <f>'Monthly Data'!X15</f>
        <v>28</v>
      </c>
      <c r="G15" s="30">
        <f>'Monthly Data'!Y15</f>
        <v>6404.1</v>
      </c>
      <c r="H15">
        <f>'Monthly Data'!AA15</f>
        <v>14</v>
      </c>
      <c r="I15" s="30">
        <f>'Monthly Data'!AM15</f>
        <v>0</v>
      </c>
      <c r="J15" s="4">
        <f>'Monthly Data'!AO15</f>
        <v>0</v>
      </c>
      <c r="K15" s="4">
        <f>'Monthly Data'!AP15</f>
        <v>0</v>
      </c>
      <c r="L15" s="4">
        <f>'Monthly Data'!AQ15</f>
        <v>0</v>
      </c>
      <c r="N15" s="23">
        <f>'LU OLS Model'!$B$5</f>
        <v>-37159358.269763596</v>
      </c>
      <c r="O15" s="23">
        <f ca="1">'LU OLS Model'!$B$6*D15</f>
        <v>-1325496.053618574</v>
      </c>
      <c r="P15" s="23">
        <f ca="1">'LU OLS Model'!$B$7*E15</f>
        <v>0</v>
      </c>
      <c r="Q15" s="23">
        <f>'LU OLS Model'!$B$8*F15</f>
        <v>9631515.223600816</v>
      </c>
      <c r="R15" s="23">
        <f>'LU OLS Model'!$B$9*G15</f>
        <v>40332915.966763027</v>
      </c>
      <c r="S15" s="23">
        <f>'LU OLS Model'!$B$10*H15</f>
        <v>-474003.136881001</v>
      </c>
      <c r="T15" s="23">
        <f>'LU OLS Model'!$B$11*I15</f>
        <v>0</v>
      </c>
      <c r="U15" s="23">
        <f>'LU OLS Model'!$B$12*J15</f>
        <v>0</v>
      </c>
      <c r="V15" s="23">
        <f>'LU OLS Model'!$B$13*K15</f>
        <v>0</v>
      </c>
      <c r="W15" s="23">
        <f>'LU OLS Model'!$B$14*L15</f>
        <v>0</v>
      </c>
      <c r="X15" s="23">
        <f t="shared" ca="1" si="1"/>
        <v>11005573.730100673</v>
      </c>
    </row>
    <row r="16" spans="1:24">
      <c r="A16" s="11">
        <f>'Monthly Data'!A16</f>
        <v>40238</v>
      </c>
      <c r="B16" s="6">
        <f t="shared" si="0"/>
        <v>2010</v>
      </c>
      <c r="C16" s="30">
        <f>'Monthly Data'!Q16</f>
        <v>11920294.521500001</v>
      </c>
      <c r="D16">
        <f t="shared" ca="1" si="2"/>
        <v>556.99</v>
      </c>
      <c r="E16">
        <f t="shared" ca="1" si="2"/>
        <v>0</v>
      </c>
      <c r="F16">
        <f>'Monthly Data'!X16</f>
        <v>31</v>
      </c>
      <c r="G16" s="30">
        <f>'Monthly Data'!Y16</f>
        <v>6377.2</v>
      </c>
      <c r="H16">
        <f>'Monthly Data'!AA16</f>
        <v>15</v>
      </c>
      <c r="I16" s="30">
        <f>'Monthly Data'!AM16</f>
        <v>0</v>
      </c>
      <c r="J16" s="4">
        <f>'Monthly Data'!AO16</f>
        <v>0</v>
      </c>
      <c r="K16" s="4">
        <f>'Monthly Data'!AP16</f>
        <v>0</v>
      </c>
      <c r="L16" s="4">
        <f>'Monthly Data'!AQ16</f>
        <v>0</v>
      </c>
      <c r="N16" s="23">
        <f>'LU OLS Model'!$B$5</f>
        <v>-37159358.269763596</v>
      </c>
      <c r="O16" s="23">
        <f ca="1">'LU OLS Model'!$B$6*D16</f>
        <v>-1081724.8786171773</v>
      </c>
      <c r="P16" s="23">
        <f ca="1">'LU OLS Model'!$B$7*E16</f>
        <v>0</v>
      </c>
      <c r="Q16" s="23">
        <f>'LU OLS Model'!$B$8*F16</f>
        <v>10663463.283272332</v>
      </c>
      <c r="R16" s="23">
        <f>'LU OLS Model'!$B$9*G16</f>
        <v>40163500.211308561</v>
      </c>
      <c r="S16" s="23">
        <f>'LU OLS Model'!$B$10*H16</f>
        <v>-507860.50380107254</v>
      </c>
      <c r="T16" s="23">
        <f>'LU OLS Model'!$B$11*I16</f>
        <v>0</v>
      </c>
      <c r="U16" s="23">
        <f>'LU OLS Model'!$B$12*J16</f>
        <v>0</v>
      </c>
      <c r="V16" s="23">
        <f>'LU OLS Model'!$B$13*K16</f>
        <v>0</v>
      </c>
      <c r="W16" s="23">
        <f>'LU OLS Model'!$B$14*L16</f>
        <v>0</v>
      </c>
      <c r="X16" s="23">
        <f t="shared" ca="1" si="1"/>
        <v>12078019.842399051</v>
      </c>
    </row>
    <row r="17" spans="1:24">
      <c r="A17" s="11">
        <f>'Monthly Data'!A17</f>
        <v>40269</v>
      </c>
      <c r="B17" s="6">
        <f t="shared" si="0"/>
        <v>2010</v>
      </c>
      <c r="C17" s="30">
        <f>'Monthly Data'!Q17</f>
        <v>11299278.237500001</v>
      </c>
      <c r="D17">
        <f t="shared" ca="1" si="2"/>
        <v>326.58999999999997</v>
      </c>
      <c r="E17">
        <f t="shared" ca="1" si="2"/>
        <v>0.39</v>
      </c>
      <c r="F17">
        <f>'Monthly Data'!X17</f>
        <v>30</v>
      </c>
      <c r="G17" s="30">
        <f>'Monthly Data'!Y17</f>
        <v>6401.7</v>
      </c>
      <c r="H17">
        <f>'Monthly Data'!AA17</f>
        <v>16</v>
      </c>
      <c r="I17" s="30">
        <f>'Monthly Data'!AM17</f>
        <v>0</v>
      </c>
      <c r="J17" s="4">
        <f>'Monthly Data'!AO17</f>
        <v>1</v>
      </c>
      <c r="K17" s="4">
        <f>'Monthly Data'!AP17</f>
        <v>0</v>
      </c>
      <c r="L17" s="4">
        <f>'Monthly Data'!AQ17</f>
        <v>0</v>
      </c>
      <c r="N17" s="23">
        <f>'LU OLS Model'!$B$5</f>
        <v>-37159358.269763596</v>
      </c>
      <c r="O17" s="23">
        <f ca="1">'LU OLS Model'!$B$6*D17</f>
        <v>-634267.27249606617</v>
      </c>
      <c r="P17" s="23">
        <f ca="1">'LU OLS Model'!$B$7*E17</f>
        <v>7322.6846434558438</v>
      </c>
      <c r="Q17" s="23">
        <f>'LU OLS Model'!$B$8*F17</f>
        <v>10319480.59671516</v>
      </c>
      <c r="R17" s="23">
        <f>'LU OLS Model'!$B$9*G17</f>
        <v>40317800.80642508</v>
      </c>
      <c r="S17" s="23">
        <f>'LU OLS Model'!$B$10*H17</f>
        <v>-541717.87072114402</v>
      </c>
      <c r="T17" s="23">
        <f>'LU OLS Model'!$B$11*I17</f>
        <v>0</v>
      </c>
      <c r="U17" s="23">
        <f>'LU OLS Model'!$B$12*J17</f>
        <v>-1039228.3455262</v>
      </c>
      <c r="V17" s="23">
        <f>'LU OLS Model'!$B$13*K17</f>
        <v>0</v>
      </c>
      <c r="W17" s="23">
        <f>'LU OLS Model'!$B$14*L17</f>
        <v>0</v>
      </c>
      <c r="X17" s="23">
        <f t="shared" ca="1" si="1"/>
        <v>11270032.329276687</v>
      </c>
    </row>
    <row r="18" spans="1:24">
      <c r="A18" s="11">
        <f>'Monthly Data'!A18</f>
        <v>40299</v>
      </c>
      <c r="B18" s="6">
        <f t="shared" si="0"/>
        <v>2010</v>
      </c>
      <c r="C18" s="30">
        <f>'Monthly Data'!Q18</f>
        <v>12141816.925799999</v>
      </c>
      <c r="D18">
        <f t="shared" ca="1" si="2"/>
        <v>144.96</v>
      </c>
      <c r="E18">
        <f t="shared" ca="1" si="2"/>
        <v>8.67</v>
      </c>
      <c r="F18">
        <f>'Monthly Data'!X18</f>
        <v>31</v>
      </c>
      <c r="G18" s="30">
        <f>'Monthly Data'!Y18</f>
        <v>6468.9</v>
      </c>
      <c r="H18">
        <f>'Monthly Data'!AA18</f>
        <v>17</v>
      </c>
      <c r="I18" s="30">
        <f>'Monthly Data'!AM18</f>
        <v>0</v>
      </c>
      <c r="J18" s="4">
        <f>'Monthly Data'!AO18</f>
        <v>0</v>
      </c>
      <c r="K18" s="4">
        <f>'Monthly Data'!AP18</f>
        <v>0</v>
      </c>
      <c r="L18" s="4">
        <f>'Monthly Data'!AQ18</f>
        <v>1</v>
      </c>
      <c r="N18" s="23">
        <f>'LU OLS Model'!$B$5</f>
        <v>-37159358.269763596</v>
      </c>
      <c r="O18" s="23">
        <f ca="1">'LU OLS Model'!$B$6*D18</f>
        <v>-281525.41051786573</v>
      </c>
      <c r="P18" s="23">
        <f ca="1">'LU OLS Model'!$B$7*E18</f>
        <v>162788.91245836453</v>
      </c>
      <c r="Q18" s="23">
        <f>'LU OLS Model'!$B$8*F18</f>
        <v>10663463.283272332</v>
      </c>
      <c r="R18" s="23">
        <f>'LU OLS Model'!$B$9*G18</f>
        <v>40741025.29588753</v>
      </c>
      <c r="S18" s="23">
        <f>'LU OLS Model'!$B$10*H18</f>
        <v>-575575.23764121556</v>
      </c>
      <c r="T18" s="23">
        <f>'LU OLS Model'!$B$11*I18</f>
        <v>0</v>
      </c>
      <c r="U18" s="23">
        <f>'LU OLS Model'!$B$12*J18</f>
        <v>0</v>
      </c>
      <c r="V18" s="23">
        <f>'LU OLS Model'!$B$13*K18</f>
        <v>0</v>
      </c>
      <c r="W18" s="23">
        <f>'LU OLS Model'!$B$14*L18</f>
        <v>-1700644.40454555</v>
      </c>
      <c r="X18" s="23">
        <f t="shared" ca="1" si="1"/>
        <v>11850174.169150006</v>
      </c>
    </row>
    <row r="19" spans="1:24">
      <c r="A19" s="11">
        <f>'Monthly Data'!A19</f>
        <v>40330</v>
      </c>
      <c r="B19" s="6">
        <f t="shared" si="0"/>
        <v>2010</v>
      </c>
      <c r="C19" s="30">
        <f>'Monthly Data'!Q19</f>
        <v>12649401.524900001</v>
      </c>
      <c r="D19">
        <f t="shared" ca="1" si="2"/>
        <v>41.510000000000005</v>
      </c>
      <c r="E19">
        <f t="shared" ca="1" si="2"/>
        <v>44.41</v>
      </c>
      <c r="F19">
        <f>'Monthly Data'!X19</f>
        <v>30</v>
      </c>
      <c r="G19" s="30">
        <f>'Monthly Data'!Y19</f>
        <v>6578.9</v>
      </c>
      <c r="H19">
        <f>'Monthly Data'!AA19</f>
        <v>18</v>
      </c>
      <c r="I19" s="30">
        <f>'Monthly Data'!AM19</f>
        <v>0</v>
      </c>
      <c r="J19" s="4">
        <f>'Monthly Data'!AO19</f>
        <v>0</v>
      </c>
      <c r="K19" s="4">
        <f>'Monthly Data'!AP19</f>
        <v>0</v>
      </c>
      <c r="L19" s="4">
        <f>'Monthly Data'!AQ19</f>
        <v>1</v>
      </c>
      <c r="N19" s="23">
        <f>'LU OLS Model'!$B$5</f>
        <v>-37159358.269763596</v>
      </c>
      <c r="O19" s="23">
        <f ca="1">'LU OLS Model'!$B$6*D19</f>
        <v>-80616.168533365111</v>
      </c>
      <c r="P19" s="23">
        <f ca="1">'LU OLS Model'!$B$7*E19</f>
        <v>833847.24363044614</v>
      </c>
      <c r="Q19" s="23">
        <f>'LU OLS Model'!$B$8*F19</f>
        <v>10319480.59671516</v>
      </c>
      <c r="R19" s="23">
        <f>'LU OLS Model'!$B$9*G19</f>
        <v>41433803.478043325</v>
      </c>
      <c r="S19" s="23">
        <f>'LU OLS Model'!$B$10*H19</f>
        <v>-609432.60456128698</v>
      </c>
      <c r="T19" s="23">
        <f>'LU OLS Model'!$B$11*I19</f>
        <v>0</v>
      </c>
      <c r="U19" s="23">
        <f>'LU OLS Model'!$B$12*J19</f>
        <v>0</v>
      </c>
      <c r="V19" s="23">
        <f>'LU OLS Model'!$B$13*K19</f>
        <v>0</v>
      </c>
      <c r="W19" s="23">
        <f>'LU OLS Model'!$B$14*L19</f>
        <v>-1700644.40454555</v>
      </c>
      <c r="X19" s="23">
        <f t="shared" ca="1" si="1"/>
        <v>13037079.870985135</v>
      </c>
    </row>
    <row r="20" spans="1:24">
      <c r="A20" s="11">
        <f>'Monthly Data'!A20</f>
        <v>40360</v>
      </c>
      <c r="B20" s="6">
        <f t="shared" si="0"/>
        <v>2010</v>
      </c>
      <c r="C20" s="30">
        <f>'Monthly Data'!Q20</f>
        <v>14680604.799199998</v>
      </c>
      <c r="D20">
        <f t="shared" ca="1" si="2"/>
        <v>5.01</v>
      </c>
      <c r="E20">
        <f t="shared" ca="1" si="2"/>
        <v>96.909999999999982</v>
      </c>
      <c r="F20">
        <f>'Monthly Data'!X20</f>
        <v>31</v>
      </c>
      <c r="G20" s="30">
        <f>'Monthly Data'!Y20</f>
        <v>6640.9</v>
      </c>
      <c r="H20">
        <f>'Monthly Data'!AA20</f>
        <v>19</v>
      </c>
      <c r="I20" s="30">
        <f>'Monthly Data'!AM20</f>
        <v>0</v>
      </c>
      <c r="J20" s="4">
        <f>'Monthly Data'!AO20</f>
        <v>0</v>
      </c>
      <c r="K20" s="4">
        <f>'Monthly Data'!AP20</f>
        <v>0</v>
      </c>
      <c r="L20" s="4">
        <f>'Monthly Data'!AQ20</f>
        <v>1</v>
      </c>
      <c r="N20" s="23">
        <f>'LU OLS Model'!$B$5</f>
        <v>-37159358.269763596</v>
      </c>
      <c r="O20" s="23">
        <f ca="1">'LU OLS Model'!$B$6*D20</f>
        <v>-9729.8724247689515</v>
      </c>
      <c r="P20" s="23">
        <f ca="1">'LU OLS Model'!$B$7*E20</f>
        <v>1819593.2533264249</v>
      </c>
      <c r="Q20" s="23">
        <f>'LU OLS Model'!$B$8*F20</f>
        <v>10663463.283272332</v>
      </c>
      <c r="R20" s="23">
        <f>'LU OLS Model'!$B$9*G20</f>
        <v>41824278.453440227</v>
      </c>
      <c r="S20" s="23">
        <f>'LU OLS Model'!$B$10*H20</f>
        <v>-643289.97148135852</v>
      </c>
      <c r="T20" s="23">
        <f>'LU OLS Model'!$B$11*I20</f>
        <v>0</v>
      </c>
      <c r="U20" s="23">
        <f>'LU OLS Model'!$B$12*J20</f>
        <v>0</v>
      </c>
      <c r="V20" s="23">
        <f>'LU OLS Model'!$B$13*K20</f>
        <v>0</v>
      </c>
      <c r="W20" s="23">
        <f>'LU OLS Model'!$B$14*L20</f>
        <v>-1700644.40454555</v>
      </c>
      <c r="X20" s="23">
        <f t="shared" ca="1" si="1"/>
        <v>14794312.471823713</v>
      </c>
    </row>
    <row r="21" spans="1:24">
      <c r="A21" s="11">
        <f>'Monthly Data'!A21</f>
        <v>40391</v>
      </c>
      <c r="B21" s="6">
        <f t="shared" si="0"/>
        <v>2010</v>
      </c>
      <c r="C21" s="30">
        <f>'Monthly Data'!Q21</f>
        <v>14598500.270999998</v>
      </c>
      <c r="D21">
        <f t="shared" ca="1" si="2"/>
        <v>12.719999999999999</v>
      </c>
      <c r="E21">
        <f t="shared" ca="1" si="2"/>
        <v>77.22999999999999</v>
      </c>
      <c r="F21">
        <f>'Monthly Data'!X21</f>
        <v>31</v>
      </c>
      <c r="G21" s="30">
        <f>'Monthly Data'!Y21</f>
        <v>6662.6</v>
      </c>
      <c r="H21">
        <f>'Monthly Data'!AA21</f>
        <v>20</v>
      </c>
      <c r="I21" s="30">
        <f>'Monthly Data'!AM21</f>
        <v>0</v>
      </c>
      <c r="J21" s="4">
        <f>'Monthly Data'!AO21</f>
        <v>0</v>
      </c>
      <c r="K21" s="4">
        <f>'Monthly Data'!AP21</f>
        <v>0</v>
      </c>
      <c r="L21" s="4">
        <f>'Monthly Data'!AQ21</f>
        <v>1</v>
      </c>
      <c r="N21" s="23">
        <f>'LU OLS Model'!$B$5</f>
        <v>-37159358.269763596</v>
      </c>
      <c r="O21" s="23">
        <f ca="1">'LU OLS Model'!$B$6*D21</f>
        <v>-24703.388671269669</v>
      </c>
      <c r="P21" s="23">
        <f ca="1">'LU OLS Model'!$B$7*E21</f>
        <v>1450079.3205489609</v>
      </c>
      <c r="Q21" s="23">
        <f>'LU OLS Model'!$B$8*F21</f>
        <v>10663463.283272332</v>
      </c>
      <c r="R21" s="23">
        <f>'LU OLS Model'!$B$9*G21</f>
        <v>41960944.694829151</v>
      </c>
      <c r="S21" s="23">
        <f>'LU OLS Model'!$B$10*H21</f>
        <v>-677147.33840143005</v>
      </c>
      <c r="T21" s="23">
        <f>'LU OLS Model'!$B$11*I21</f>
        <v>0</v>
      </c>
      <c r="U21" s="23">
        <f>'LU OLS Model'!$B$12*J21</f>
        <v>0</v>
      </c>
      <c r="V21" s="23">
        <f>'LU OLS Model'!$B$13*K21</f>
        <v>0</v>
      </c>
      <c r="W21" s="23">
        <f>'LU OLS Model'!$B$14*L21</f>
        <v>-1700644.40454555</v>
      </c>
      <c r="X21" s="23">
        <f t="shared" ca="1" si="1"/>
        <v>14512633.897268597</v>
      </c>
    </row>
    <row r="22" spans="1:24">
      <c r="A22" s="11">
        <f>'Monthly Data'!A22</f>
        <v>40422</v>
      </c>
      <c r="B22" s="6">
        <f t="shared" si="0"/>
        <v>2010</v>
      </c>
      <c r="C22" s="30">
        <f>'Monthly Data'!Q22</f>
        <v>13203697.476100001</v>
      </c>
      <c r="D22">
        <f t="shared" ca="1" si="2"/>
        <v>86.570000000000007</v>
      </c>
      <c r="E22">
        <f t="shared" ca="1" si="2"/>
        <v>19.899999999999999</v>
      </c>
      <c r="F22">
        <f>'Monthly Data'!X22</f>
        <v>30</v>
      </c>
      <c r="G22" s="30">
        <f>'Monthly Data'!Y22</f>
        <v>6611.2</v>
      </c>
      <c r="H22">
        <f>'Monthly Data'!AA22</f>
        <v>21</v>
      </c>
      <c r="I22" s="30">
        <f>'Monthly Data'!AM22</f>
        <v>1</v>
      </c>
      <c r="J22" s="4">
        <f>'Monthly Data'!AO22</f>
        <v>0</v>
      </c>
      <c r="K22" s="4">
        <f>'Monthly Data'!AP22</f>
        <v>0</v>
      </c>
      <c r="L22" s="4">
        <f>'Monthly Data'!AQ22</f>
        <v>0</v>
      </c>
      <c r="N22" s="23">
        <f>'LU OLS Model'!$B$5</f>
        <v>-37159358.269763596</v>
      </c>
      <c r="O22" s="23">
        <f ca="1">'LU OLS Model'!$B$6*D22</f>
        <v>-168126.75764715532</v>
      </c>
      <c r="P22" s="23">
        <f ca="1">'LU OLS Model'!$B$7*E22</f>
        <v>373644.67796095199</v>
      </c>
      <c r="Q22" s="23">
        <f>'LU OLS Model'!$B$8*F22</f>
        <v>10319480.59671516</v>
      </c>
      <c r="R22" s="23">
        <f>'LU OLS Model'!$B$9*G22</f>
        <v>41637228.344258167</v>
      </c>
      <c r="S22" s="23">
        <f>'LU OLS Model'!$B$10*H22</f>
        <v>-711004.70532150147</v>
      </c>
      <c r="T22" s="23">
        <f>'LU OLS Model'!$B$11*I22</f>
        <v>-1059857.8947751301</v>
      </c>
      <c r="U22" s="23">
        <f>'LU OLS Model'!$B$12*J22</f>
        <v>0</v>
      </c>
      <c r="V22" s="23">
        <f>'LU OLS Model'!$B$13*K22</f>
        <v>0</v>
      </c>
      <c r="W22" s="23">
        <f>'LU OLS Model'!$B$14*L22</f>
        <v>0</v>
      </c>
      <c r="X22" s="23">
        <f t="shared" ca="1" si="1"/>
        <v>13232005.991426896</v>
      </c>
    </row>
    <row r="23" spans="1:24">
      <c r="A23" s="11">
        <f>'Monthly Data'!A23</f>
        <v>40452</v>
      </c>
      <c r="B23" s="6">
        <f t="shared" si="0"/>
        <v>2010</v>
      </c>
      <c r="C23" s="30">
        <f>'Monthly Data'!Q23</f>
        <v>12168635.138100002</v>
      </c>
      <c r="D23">
        <f t="shared" ca="1" si="2"/>
        <v>270.3</v>
      </c>
      <c r="E23">
        <f t="shared" ca="1" si="2"/>
        <v>1.21</v>
      </c>
      <c r="F23">
        <f>'Monthly Data'!X23</f>
        <v>31</v>
      </c>
      <c r="G23" s="30">
        <f>'Monthly Data'!Y23</f>
        <v>6587.1</v>
      </c>
      <c r="H23">
        <f>'Monthly Data'!AA23</f>
        <v>22</v>
      </c>
      <c r="I23" s="30">
        <f>'Monthly Data'!AM23</f>
        <v>1</v>
      </c>
      <c r="J23" s="4">
        <f>'Monthly Data'!AO23</f>
        <v>0</v>
      </c>
      <c r="K23" s="4">
        <f>'Monthly Data'!AP23</f>
        <v>0</v>
      </c>
      <c r="L23" s="4">
        <f>'Monthly Data'!AQ23</f>
        <v>0</v>
      </c>
      <c r="N23" s="23">
        <f>'LU OLS Model'!$B$5</f>
        <v>-37159358.269763596</v>
      </c>
      <c r="O23" s="23">
        <f ca="1">'LU OLS Model'!$B$6*D23</f>
        <v>-524947.00926448056</v>
      </c>
      <c r="P23" s="23">
        <f ca="1">'LU OLS Model'!$B$7*E23</f>
        <v>22719.098509183514</v>
      </c>
      <c r="Q23" s="23">
        <f>'LU OLS Model'!$B$8*F23</f>
        <v>10663463.283272332</v>
      </c>
      <c r="R23" s="23">
        <f>'LU OLS Model'!$B$9*G23</f>
        <v>41485446.94253131</v>
      </c>
      <c r="S23" s="23">
        <f>'LU OLS Model'!$B$10*H23</f>
        <v>-744862.07224157301</v>
      </c>
      <c r="T23" s="23">
        <f>'LU OLS Model'!$B$11*I23</f>
        <v>-1059857.8947751301</v>
      </c>
      <c r="U23" s="23">
        <f>'LU OLS Model'!$B$12*J23</f>
        <v>0</v>
      </c>
      <c r="V23" s="23">
        <f>'LU OLS Model'!$B$13*K23</f>
        <v>0</v>
      </c>
      <c r="W23" s="23">
        <f>'LU OLS Model'!$B$14*L23</f>
        <v>0</v>
      </c>
      <c r="X23" s="23">
        <f t="shared" ca="1" si="1"/>
        <v>12682604.078268046</v>
      </c>
    </row>
    <row r="24" spans="1:24">
      <c r="A24" s="11">
        <f>'Monthly Data'!A24</f>
        <v>40483</v>
      </c>
      <c r="B24" s="6">
        <f t="shared" si="0"/>
        <v>2010</v>
      </c>
      <c r="C24" s="30">
        <f>'Monthly Data'!Q24</f>
        <v>11726856.469900001</v>
      </c>
      <c r="D24">
        <f t="shared" ca="1" si="2"/>
        <v>444.05</v>
      </c>
      <c r="E24">
        <f t="shared" ca="1" si="2"/>
        <v>0</v>
      </c>
      <c r="F24">
        <f>'Monthly Data'!X24</f>
        <v>30</v>
      </c>
      <c r="G24" s="30">
        <f>'Monthly Data'!Y24</f>
        <v>6566.6</v>
      </c>
      <c r="H24">
        <f>'Monthly Data'!AA24</f>
        <v>23</v>
      </c>
      <c r="I24" s="30">
        <f>'Monthly Data'!AM24</f>
        <v>1</v>
      </c>
      <c r="J24" s="4">
        <f>'Monthly Data'!AO24</f>
        <v>0</v>
      </c>
      <c r="K24" s="4">
        <f>'Monthly Data'!AP24</f>
        <v>0</v>
      </c>
      <c r="L24" s="4">
        <f>'Monthly Data'!AQ24</f>
        <v>0</v>
      </c>
      <c r="N24" s="23">
        <f>'LU OLS Model'!$B$5</f>
        <v>-37159358.269763596</v>
      </c>
      <c r="O24" s="23">
        <f ca="1">'LU OLS Model'!$B$6*D24</f>
        <v>-862385.19964444172</v>
      </c>
      <c r="P24" s="23">
        <f ca="1">'LU OLS Model'!$B$7*E24</f>
        <v>0</v>
      </c>
      <c r="Q24" s="23">
        <f>'LU OLS Model'!$B$8*F24</f>
        <v>10319480.59671516</v>
      </c>
      <c r="R24" s="23">
        <f>'LU OLS Model'!$B$9*G24</f>
        <v>41356338.281311363</v>
      </c>
      <c r="S24" s="23">
        <f>'LU OLS Model'!$B$10*H24</f>
        <v>-778719.43916164455</v>
      </c>
      <c r="T24" s="23">
        <f>'LU OLS Model'!$B$11*I24</f>
        <v>-1059857.8947751301</v>
      </c>
      <c r="U24" s="23">
        <f>'LU OLS Model'!$B$12*J24</f>
        <v>0</v>
      </c>
      <c r="V24" s="23">
        <f>'LU OLS Model'!$B$13*K24</f>
        <v>0</v>
      </c>
      <c r="W24" s="23">
        <f>'LU OLS Model'!$B$14*L24</f>
        <v>0</v>
      </c>
      <c r="X24" s="23">
        <f t="shared" ca="1" si="1"/>
        <v>11815498.074681712</v>
      </c>
    </row>
    <row r="25" spans="1:24">
      <c r="A25" s="11">
        <f>'Monthly Data'!A25</f>
        <v>40513</v>
      </c>
      <c r="B25" s="6">
        <f t="shared" si="0"/>
        <v>2010</v>
      </c>
      <c r="C25" s="30">
        <f>'Monthly Data'!Q25</f>
        <v>11839747.178100001</v>
      </c>
      <c r="D25">
        <f t="shared" ca="1" si="2"/>
        <v>684.01</v>
      </c>
      <c r="E25">
        <f t="shared" ca="1" si="2"/>
        <v>0</v>
      </c>
      <c r="F25">
        <f>'Monthly Data'!X25</f>
        <v>31</v>
      </c>
      <c r="G25" s="30">
        <f>'Monthly Data'!Y25</f>
        <v>6584.1</v>
      </c>
      <c r="H25">
        <f>'Monthly Data'!AA25</f>
        <v>24</v>
      </c>
      <c r="I25" s="30">
        <f>'Monthly Data'!AM25</f>
        <v>0</v>
      </c>
      <c r="J25" s="4">
        <f>'Monthly Data'!AO25</f>
        <v>0</v>
      </c>
      <c r="K25" s="4">
        <f>'Monthly Data'!AP25</f>
        <v>1</v>
      </c>
      <c r="L25" s="4">
        <f>'Monthly Data'!AQ25</f>
        <v>0</v>
      </c>
      <c r="N25" s="23">
        <f>'LU OLS Model'!$B$5</f>
        <v>-37159358.269763596</v>
      </c>
      <c r="O25" s="23">
        <f ca="1">'LU OLS Model'!$B$6*D25</f>
        <v>-1328409.1890750919</v>
      </c>
      <c r="P25" s="23">
        <f ca="1">'LU OLS Model'!$B$7*E25</f>
        <v>0</v>
      </c>
      <c r="Q25" s="23">
        <f>'LU OLS Model'!$B$8*F25</f>
        <v>10663463.283272332</v>
      </c>
      <c r="R25" s="23">
        <f>'LU OLS Model'!$B$9*G25</f>
        <v>41466552.992108874</v>
      </c>
      <c r="S25" s="23">
        <f>'LU OLS Model'!$B$10*H25</f>
        <v>-812576.80608171597</v>
      </c>
      <c r="T25" s="23">
        <f>'LU OLS Model'!$B$11*I25</f>
        <v>0</v>
      </c>
      <c r="U25" s="23">
        <f>'LU OLS Model'!$B$12*J25</f>
        <v>0</v>
      </c>
      <c r="V25" s="23">
        <f>'LU OLS Model'!$B$13*K25</f>
        <v>-999570.07441694394</v>
      </c>
      <c r="W25" s="23">
        <f>'LU OLS Model'!$B$14*L25</f>
        <v>0</v>
      </c>
      <c r="X25" s="23">
        <f t="shared" ca="1" si="1"/>
        <v>11830101.93604386</v>
      </c>
    </row>
    <row r="26" spans="1:24">
      <c r="A26" s="11">
        <f>'Monthly Data'!A26</f>
        <v>40544</v>
      </c>
      <c r="B26" s="6">
        <f t="shared" si="0"/>
        <v>2011</v>
      </c>
      <c r="C26" s="30">
        <f>'Monthly Data'!Q26</f>
        <v>12405613.722375479</v>
      </c>
      <c r="D26">
        <f t="shared" ca="1" si="2"/>
        <v>784.29</v>
      </c>
      <c r="E26">
        <f t="shared" ca="1" si="2"/>
        <v>0</v>
      </c>
      <c r="F26">
        <f>'Monthly Data'!X26</f>
        <v>31</v>
      </c>
      <c r="G26" s="30">
        <f>'Monthly Data'!Y26</f>
        <v>6571.2</v>
      </c>
      <c r="H26">
        <f>'Monthly Data'!AA26</f>
        <v>25</v>
      </c>
      <c r="I26" s="30">
        <f>'Monthly Data'!AM26</f>
        <v>0</v>
      </c>
      <c r="J26" s="4">
        <f>'Monthly Data'!AO26</f>
        <v>0</v>
      </c>
      <c r="K26" s="4">
        <f>'Monthly Data'!AP26</f>
        <v>0</v>
      </c>
      <c r="L26" s="4">
        <f>'Monthly Data'!AQ26</f>
        <v>0</v>
      </c>
      <c r="N26" s="23">
        <f>'LU OLS Model'!$B$5</f>
        <v>-37159358.269763596</v>
      </c>
      <c r="O26" s="23">
        <f ca="1">'LU OLS Model'!$B$6*D26</f>
        <v>-1523162.0047948186</v>
      </c>
      <c r="P26" s="23">
        <f ca="1">'LU OLS Model'!$B$7*E26</f>
        <v>0</v>
      </c>
      <c r="Q26" s="23">
        <f>'LU OLS Model'!$B$8*F26</f>
        <v>10663463.283272332</v>
      </c>
      <c r="R26" s="23">
        <f>'LU OLS Model'!$B$9*G26</f>
        <v>41385309.005292423</v>
      </c>
      <c r="S26" s="23">
        <f>'LU OLS Model'!$B$10*H26</f>
        <v>-846434.17300178751</v>
      </c>
      <c r="T26" s="23">
        <f>'LU OLS Model'!$B$11*I26</f>
        <v>0</v>
      </c>
      <c r="U26" s="23">
        <f>'LU OLS Model'!$B$12*J26</f>
        <v>0</v>
      </c>
      <c r="V26" s="23">
        <f>'LU OLS Model'!$B$13*K26</f>
        <v>0</v>
      </c>
      <c r="W26" s="23">
        <f>'LU OLS Model'!$B$14*L26</f>
        <v>0</v>
      </c>
      <c r="X26" s="23">
        <f t="shared" ca="1" si="1"/>
        <v>12519817.841004552</v>
      </c>
    </row>
    <row r="27" spans="1:24">
      <c r="A27" s="11">
        <f>'Monthly Data'!A27</f>
        <v>40575</v>
      </c>
      <c r="B27" s="6">
        <f t="shared" si="0"/>
        <v>2011</v>
      </c>
      <c r="C27" s="30">
        <f>'Monthly Data'!Q27</f>
        <v>11374508.151626434</v>
      </c>
      <c r="D27">
        <f t="shared" ca="1" si="2"/>
        <v>682.50999999999988</v>
      </c>
      <c r="E27">
        <f t="shared" ca="1" si="2"/>
        <v>0</v>
      </c>
      <c r="F27">
        <f>'Monthly Data'!X27</f>
        <v>28</v>
      </c>
      <c r="G27" s="30">
        <f>'Monthly Data'!Y27</f>
        <v>6548.1</v>
      </c>
      <c r="H27">
        <f>'Monthly Data'!AA27</f>
        <v>26</v>
      </c>
      <c r="I27" s="30">
        <f>'Monthly Data'!AM27</f>
        <v>0</v>
      </c>
      <c r="J27" s="4">
        <f>'Monthly Data'!AO27</f>
        <v>0</v>
      </c>
      <c r="K27" s="4">
        <f>'Monthly Data'!AP27</f>
        <v>0</v>
      </c>
      <c r="L27" s="4">
        <f>'Monthly Data'!AQ27</f>
        <v>0</v>
      </c>
      <c r="N27" s="23">
        <f>'LU OLS Model'!$B$5</f>
        <v>-37159358.269763596</v>
      </c>
      <c r="O27" s="23">
        <f ca="1">'LU OLS Model'!$B$6*D27</f>
        <v>-1325496.053618574</v>
      </c>
      <c r="P27" s="23">
        <f ca="1">'LU OLS Model'!$B$7*E27</f>
        <v>0</v>
      </c>
      <c r="Q27" s="23">
        <f>'LU OLS Model'!$B$8*F27</f>
        <v>9631515.223600816</v>
      </c>
      <c r="R27" s="23">
        <f>'LU OLS Model'!$B$9*G27</f>
        <v>41239825.587039709</v>
      </c>
      <c r="S27" s="23">
        <f>'LU OLS Model'!$B$10*H27</f>
        <v>-880291.53992185905</v>
      </c>
      <c r="T27" s="23">
        <f>'LU OLS Model'!$B$11*I27</f>
        <v>0</v>
      </c>
      <c r="U27" s="23">
        <f>'LU OLS Model'!$B$12*J27</f>
        <v>0</v>
      </c>
      <c r="V27" s="23">
        <f>'LU OLS Model'!$B$13*K27</f>
        <v>0</v>
      </c>
      <c r="W27" s="23">
        <f>'LU OLS Model'!$B$14*L27</f>
        <v>0</v>
      </c>
      <c r="X27" s="23">
        <f t="shared" ca="1" si="1"/>
        <v>11506194.947336497</v>
      </c>
    </row>
    <row r="28" spans="1:24">
      <c r="A28" s="11">
        <f>'Monthly Data'!A28</f>
        <v>40603</v>
      </c>
      <c r="B28" s="6">
        <f t="shared" si="0"/>
        <v>2011</v>
      </c>
      <c r="C28" s="30">
        <f>'Monthly Data'!Q28</f>
        <v>12423061.406977391</v>
      </c>
      <c r="D28">
        <f t="shared" ca="1" si="2"/>
        <v>556.99</v>
      </c>
      <c r="E28">
        <f t="shared" ca="1" si="2"/>
        <v>0</v>
      </c>
      <c r="F28">
        <f>'Monthly Data'!X28</f>
        <v>31</v>
      </c>
      <c r="G28" s="30">
        <f>'Monthly Data'!Y28</f>
        <v>6523.7</v>
      </c>
      <c r="H28">
        <f>'Monthly Data'!AA28</f>
        <v>27</v>
      </c>
      <c r="I28" s="30">
        <f>'Monthly Data'!AM28</f>
        <v>0</v>
      </c>
      <c r="J28" s="4">
        <f>'Monthly Data'!AO28</f>
        <v>0</v>
      </c>
      <c r="K28" s="4">
        <f>'Monthly Data'!AP28</f>
        <v>0</v>
      </c>
      <c r="L28" s="4">
        <f>'Monthly Data'!AQ28</f>
        <v>0</v>
      </c>
      <c r="N28" s="23">
        <f>'LU OLS Model'!$B$5</f>
        <v>-37159358.269763596</v>
      </c>
      <c r="O28" s="23">
        <f ca="1">'LU OLS Model'!$B$6*D28</f>
        <v>-1081724.8786171773</v>
      </c>
      <c r="P28" s="23">
        <f ca="1">'LU OLS Model'!$B$7*E28</f>
        <v>0</v>
      </c>
      <c r="Q28" s="23">
        <f>'LU OLS Model'!$B$8*F28</f>
        <v>10663463.283272332</v>
      </c>
      <c r="R28" s="23">
        <f>'LU OLS Model'!$B$9*G28</f>
        <v>41086154.790270604</v>
      </c>
      <c r="S28" s="23">
        <f>'LU OLS Model'!$B$10*H28</f>
        <v>-914148.90684193058</v>
      </c>
      <c r="T28" s="23">
        <f>'LU OLS Model'!$B$11*I28</f>
        <v>0</v>
      </c>
      <c r="U28" s="23">
        <f>'LU OLS Model'!$B$12*J28</f>
        <v>0</v>
      </c>
      <c r="V28" s="23">
        <f>'LU OLS Model'!$B$13*K28</f>
        <v>0</v>
      </c>
      <c r="W28" s="23">
        <f>'LU OLS Model'!$B$14*L28</f>
        <v>0</v>
      </c>
      <c r="X28" s="23">
        <f t="shared" ca="1" si="1"/>
        <v>12594386.018320236</v>
      </c>
    </row>
    <row r="29" spans="1:24">
      <c r="A29" s="11">
        <f>'Monthly Data'!A29</f>
        <v>40634</v>
      </c>
      <c r="B29" s="6">
        <f t="shared" si="0"/>
        <v>2011</v>
      </c>
      <c r="C29" s="30">
        <f>'Monthly Data'!Q29</f>
        <v>11687900.613328347</v>
      </c>
      <c r="D29">
        <f t="shared" ca="1" si="2"/>
        <v>326.58999999999997</v>
      </c>
      <c r="E29">
        <f t="shared" ca="1" si="2"/>
        <v>0.39</v>
      </c>
      <c r="F29">
        <f>'Monthly Data'!X29</f>
        <v>30</v>
      </c>
      <c r="G29" s="30">
        <f>'Monthly Data'!Y29</f>
        <v>6550</v>
      </c>
      <c r="H29">
        <f>'Monthly Data'!AA29</f>
        <v>28</v>
      </c>
      <c r="I29" s="30">
        <f>'Monthly Data'!AM29</f>
        <v>0</v>
      </c>
      <c r="J29" s="4">
        <f>'Monthly Data'!AO29</f>
        <v>1</v>
      </c>
      <c r="K29" s="4">
        <f>'Monthly Data'!AP29</f>
        <v>0</v>
      </c>
      <c r="L29" s="4">
        <f>'Monthly Data'!AQ29</f>
        <v>0</v>
      </c>
      <c r="N29" s="23">
        <f>'LU OLS Model'!$B$5</f>
        <v>-37159358.269763596</v>
      </c>
      <c r="O29" s="23">
        <f ca="1">'LU OLS Model'!$B$6*D29</f>
        <v>-634267.27249606617</v>
      </c>
      <c r="P29" s="23">
        <f ca="1">'LU OLS Model'!$B$7*E29</f>
        <v>7322.6846434558438</v>
      </c>
      <c r="Q29" s="23">
        <f>'LU OLS Model'!$B$8*F29</f>
        <v>10319480.59671516</v>
      </c>
      <c r="R29" s="23">
        <f>'LU OLS Model'!$B$9*G29</f>
        <v>41251791.755640581</v>
      </c>
      <c r="S29" s="23">
        <f>'LU OLS Model'!$B$10*H29</f>
        <v>-948006.27376200201</v>
      </c>
      <c r="T29" s="23">
        <f>'LU OLS Model'!$B$11*I29</f>
        <v>0</v>
      </c>
      <c r="U29" s="23">
        <f>'LU OLS Model'!$B$12*J29</f>
        <v>-1039228.3455262</v>
      </c>
      <c r="V29" s="23">
        <f>'LU OLS Model'!$B$13*K29</f>
        <v>0</v>
      </c>
      <c r="W29" s="23">
        <f>'LU OLS Model'!$B$14*L29</f>
        <v>0</v>
      </c>
      <c r="X29" s="23">
        <f t="shared" ca="1" si="1"/>
        <v>11797734.87545133</v>
      </c>
    </row>
    <row r="30" spans="1:24">
      <c r="A30" s="11">
        <f>'Monthly Data'!A30</f>
        <v>40664</v>
      </c>
      <c r="B30" s="6">
        <f t="shared" si="0"/>
        <v>2011</v>
      </c>
      <c r="C30" s="30">
        <f>'Monthly Data'!Q30</f>
        <v>12168060.882579302</v>
      </c>
      <c r="D30">
        <f t="shared" ca="1" si="2"/>
        <v>144.96</v>
      </c>
      <c r="E30">
        <f t="shared" ca="1" si="2"/>
        <v>8.67</v>
      </c>
      <c r="F30">
        <f>'Monthly Data'!X30</f>
        <v>31</v>
      </c>
      <c r="G30" s="30">
        <f>'Monthly Data'!Y30</f>
        <v>6612</v>
      </c>
      <c r="H30">
        <f>'Monthly Data'!AA30</f>
        <v>29</v>
      </c>
      <c r="I30" s="30">
        <f>'Monthly Data'!AM30</f>
        <v>0</v>
      </c>
      <c r="J30" s="4">
        <f>'Monthly Data'!AO30</f>
        <v>0</v>
      </c>
      <c r="K30" s="4">
        <f>'Monthly Data'!AP30</f>
        <v>0</v>
      </c>
      <c r="L30" s="4">
        <f>'Monthly Data'!AQ30</f>
        <v>1</v>
      </c>
      <c r="N30" s="23">
        <f>'LU OLS Model'!$B$5</f>
        <v>-37159358.269763596</v>
      </c>
      <c r="O30" s="23">
        <f ca="1">'LU OLS Model'!$B$6*D30</f>
        <v>-281525.41051786573</v>
      </c>
      <c r="P30" s="23">
        <f ca="1">'LU OLS Model'!$B$7*E30</f>
        <v>162788.91245836453</v>
      </c>
      <c r="Q30" s="23">
        <f>'LU OLS Model'!$B$8*F30</f>
        <v>10663463.283272332</v>
      </c>
      <c r="R30" s="23">
        <f>'LU OLS Model'!$B$9*G30</f>
        <v>41642266.731037483</v>
      </c>
      <c r="S30" s="23">
        <f>'LU OLS Model'!$B$10*H30</f>
        <v>-981863.64068207354</v>
      </c>
      <c r="T30" s="23">
        <f>'LU OLS Model'!$B$11*I30</f>
        <v>0</v>
      </c>
      <c r="U30" s="23">
        <f>'LU OLS Model'!$B$12*J30</f>
        <v>0</v>
      </c>
      <c r="V30" s="23">
        <f>'LU OLS Model'!$B$13*K30</f>
        <v>0</v>
      </c>
      <c r="W30" s="23">
        <f>'LU OLS Model'!$B$14*L30</f>
        <v>-1700644.40454555</v>
      </c>
      <c r="X30" s="23">
        <f t="shared" ca="1" si="1"/>
        <v>12345127.201259101</v>
      </c>
    </row>
    <row r="31" spans="1:24">
      <c r="A31" s="11">
        <f>'Monthly Data'!A31</f>
        <v>40695</v>
      </c>
      <c r="B31" s="6">
        <f t="shared" si="0"/>
        <v>2011</v>
      </c>
      <c r="C31" s="30">
        <f>'Monthly Data'!Q31</f>
        <v>13362627.250630258</v>
      </c>
      <c r="D31">
        <f t="shared" ref="D31:E46" ca="1" si="3">D19</f>
        <v>41.510000000000005</v>
      </c>
      <c r="E31">
        <f t="shared" ca="1" si="3"/>
        <v>44.41</v>
      </c>
      <c r="F31">
        <f>'Monthly Data'!X31</f>
        <v>30</v>
      </c>
      <c r="G31" s="30">
        <f>'Monthly Data'!Y31</f>
        <v>6706.8</v>
      </c>
      <c r="H31">
        <f>'Monthly Data'!AA31</f>
        <v>30</v>
      </c>
      <c r="I31" s="30">
        <f>'Monthly Data'!AM31</f>
        <v>0</v>
      </c>
      <c r="J31" s="4">
        <f>'Monthly Data'!AO31</f>
        <v>0</v>
      </c>
      <c r="K31" s="4">
        <f>'Monthly Data'!AP31</f>
        <v>0</v>
      </c>
      <c r="L31" s="4">
        <f>'Monthly Data'!AQ31</f>
        <v>1</v>
      </c>
      <c r="N31" s="23">
        <f>'LU OLS Model'!$B$5</f>
        <v>-37159358.269763596</v>
      </c>
      <c r="O31" s="23">
        <f ca="1">'LU OLS Model'!$B$6*D31</f>
        <v>-80616.168533365111</v>
      </c>
      <c r="P31" s="23">
        <f ca="1">'LU OLS Model'!$B$7*E31</f>
        <v>833847.24363044614</v>
      </c>
      <c r="Q31" s="23">
        <f>'LU OLS Model'!$B$8*F31</f>
        <v>10319480.59671516</v>
      </c>
      <c r="R31" s="23">
        <f>'LU OLS Model'!$B$9*G31</f>
        <v>42239315.564386293</v>
      </c>
      <c r="S31" s="23">
        <f>'LU OLS Model'!$B$10*H31</f>
        <v>-1015721.0076021451</v>
      </c>
      <c r="T31" s="23">
        <f>'LU OLS Model'!$B$11*I31</f>
        <v>0</v>
      </c>
      <c r="U31" s="23">
        <f>'LU OLS Model'!$B$12*J31</f>
        <v>0</v>
      </c>
      <c r="V31" s="23">
        <f>'LU OLS Model'!$B$13*K31</f>
        <v>0</v>
      </c>
      <c r="W31" s="23">
        <f>'LU OLS Model'!$B$14*L31</f>
        <v>-1700644.40454555</v>
      </c>
      <c r="X31" s="23">
        <f t="shared" ca="1" si="1"/>
        <v>13436303.554287245</v>
      </c>
    </row>
    <row r="32" spans="1:24">
      <c r="A32" s="11">
        <f>'Monthly Data'!A32</f>
        <v>40725</v>
      </c>
      <c r="B32" s="6">
        <f t="shared" si="0"/>
        <v>2011</v>
      </c>
      <c r="C32" s="30">
        <f>'Monthly Data'!Q32</f>
        <v>15310374.188881215</v>
      </c>
      <c r="D32">
        <f t="shared" ca="1" si="3"/>
        <v>5.01</v>
      </c>
      <c r="E32">
        <f t="shared" ca="1" si="3"/>
        <v>96.909999999999982</v>
      </c>
      <c r="F32">
        <f>'Monthly Data'!X32</f>
        <v>31</v>
      </c>
      <c r="G32" s="30">
        <f>'Monthly Data'!Y32</f>
        <v>6755.3</v>
      </c>
      <c r="H32">
        <f>'Monthly Data'!AA32</f>
        <v>31</v>
      </c>
      <c r="I32" s="30">
        <f>'Monthly Data'!AM32</f>
        <v>0</v>
      </c>
      <c r="J32" s="4">
        <f>'Monthly Data'!AO32</f>
        <v>0</v>
      </c>
      <c r="K32" s="4">
        <f>'Monthly Data'!AP32</f>
        <v>0</v>
      </c>
      <c r="L32" s="4">
        <f>'Monthly Data'!AQ32</f>
        <v>1</v>
      </c>
      <c r="N32" s="23">
        <f>'LU OLS Model'!$B$5</f>
        <v>-37159358.269763596</v>
      </c>
      <c r="O32" s="23">
        <f ca="1">'LU OLS Model'!$B$6*D32</f>
        <v>-9729.8724247689515</v>
      </c>
      <c r="P32" s="23">
        <f ca="1">'LU OLS Model'!$B$7*E32</f>
        <v>1819593.2533264249</v>
      </c>
      <c r="Q32" s="23">
        <f>'LU OLS Model'!$B$8*F32</f>
        <v>10663463.283272332</v>
      </c>
      <c r="R32" s="23">
        <f>'LU OLS Model'!$B$9*G32</f>
        <v>42544767.762882262</v>
      </c>
      <c r="S32" s="23">
        <f>'LU OLS Model'!$B$10*H32</f>
        <v>-1049578.3745222166</v>
      </c>
      <c r="T32" s="23">
        <f>'LU OLS Model'!$B$11*I32</f>
        <v>0</v>
      </c>
      <c r="U32" s="23">
        <f>'LU OLS Model'!$B$12*J32</f>
        <v>0</v>
      </c>
      <c r="V32" s="23">
        <f>'LU OLS Model'!$B$13*K32</f>
        <v>0</v>
      </c>
      <c r="W32" s="23">
        <f>'LU OLS Model'!$B$14*L32</f>
        <v>-1700644.40454555</v>
      </c>
      <c r="X32" s="23">
        <f t="shared" ca="1" si="1"/>
        <v>15108513.378224891</v>
      </c>
    </row>
    <row r="33" spans="1:24">
      <c r="A33" s="11">
        <f>'Monthly Data'!A33</f>
        <v>40756</v>
      </c>
      <c r="B33" s="6">
        <f t="shared" si="0"/>
        <v>2011</v>
      </c>
      <c r="C33" s="30">
        <f>'Monthly Data'!Q33</f>
        <v>15010910.93713217</v>
      </c>
      <c r="D33">
        <f t="shared" ca="1" si="3"/>
        <v>12.719999999999999</v>
      </c>
      <c r="E33">
        <f t="shared" ca="1" si="3"/>
        <v>77.22999999999999</v>
      </c>
      <c r="F33">
        <f>'Monthly Data'!X33</f>
        <v>31</v>
      </c>
      <c r="G33" s="30">
        <f>'Monthly Data'!Y33</f>
        <v>6778</v>
      </c>
      <c r="H33">
        <f>'Monthly Data'!AA33</f>
        <v>32</v>
      </c>
      <c r="I33" s="30">
        <f>'Monthly Data'!AM33</f>
        <v>0</v>
      </c>
      <c r="J33" s="4">
        <f>'Monthly Data'!AO33</f>
        <v>0</v>
      </c>
      <c r="K33" s="4">
        <f>'Monthly Data'!AP33</f>
        <v>0</v>
      </c>
      <c r="L33" s="4">
        <f>'Monthly Data'!AQ33</f>
        <v>1</v>
      </c>
      <c r="N33" s="23">
        <f>'LU OLS Model'!$B$5</f>
        <v>-37159358.269763596</v>
      </c>
      <c r="O33" s="23">
        <f ca="1">'LU OLS Model'!$B$6*D33</f>
        <v>-24703.388671269669</v>
      </c>
      <c r="P33" s="23">
        <f ca="1">'LU OLS Model'!$B$7*E33</f>
        <v>1450079.3205489609</v>
      </c>
      <c r="Q33" s="23">
        <f>'LU OLS Model'!$B$8*F33</f>
        <v>10663463.283272332</v>
      </c>
      <c r="R33" s="23">
        <f>'LU OLS Model'!$B$9*G33</f>
        <v>42687731.987745322</v>
      </c>
      <c r="S33" s="23">
        <f>'LU OLS Model'!$B$10*H33</f>
        <v>-1083435.741442288</v>
      </c>
      <c r="T33" s="23">
        <f>'LU OLS Model'!$B$11*I33</f>
        <v>0</v>
      </c>
      <c r="U33" s="23">
        <f>'LU OLS Model'!$B$12*J33</f>
        <v>0</v>
      </c>
      <c r="V33" s="23">
        <f>'LU OLS Model'!$B$13*K33</f>
        <v>0</v>
      </c>
      <c r="W33" s="23">
        <f>'LU OLS Model'!$B$14*L33</f>
        <v>-1700644.40454555</v>
      </c>
      <c r="X33" s="23">
        <f t="shared" ca="1" si="1"/>
        <v>14833132.78714391</v>
      </c>
    </row>
    <row r="34" spans="1:24">
      <c r="A34" s="11">
        <f>'Monthly Data'!A34</f>
        <v>40787</v>
      </c>
      <c r="B34" s="6">
        <f t="shared" si="0"/>
        <v>2011</v>
      </c>
      <c r="C34" s="30">
        <f>'Monthly Data'!Q34</f>
        <v>14264567.369983125</v>
      </c>
      <c r="D34">
        <f t="shared" ca="1" si="3"/>
        <v>86.570000000000007</v>
      </c>
      <c r="E34">
        <f t="shared" ca="1" si="3"/>
        <v>19.899999999999999</v>
      </c>
      <c r="F34">
        <f>'Monthly Data'!X34</f>
        <v>30</v>
      </c>
      <c r="G34" s="30">
        <f>'Monthly Data'!Y34</f>
        <v>6734.6</v>
      </c>
      <c r="H34">
        <f>'Monthly Data'!AA34</f>
        <v>33</v>
      </c>
      <c r="I34" s="30">
        <f>'Monthly Data'!AM34</f>
        <v>1</v>
      </c>
      <c r="J34" s="4">
        <f>'Monthly Data'!AO34</f>
        <v>0</v>
      </c>
      <c r="K34" s="4">
        <f>'Monthly Data'!AP34</f>
        <v>0</v>
      </c>
      <c r="L34" s="4">
        <f>'Monthly Data'!AQ34</f>
        <v>0</v>
      </c>
      <c r="N34" s="23">
        <f>'LU OLS Model'!$B$5</f>
        <v>-37159358.269763596</v>
      </c>
      <c r="O34" s="23">
        <f ca="1">'LU OLS Model'!$B$6*D34</f>
        <v>-168126.75764715532</v>
      </c>
      <c r="P34" s="23">
        <f ca="1">'LU OLS Model'!$B$7*E34</f>
        <v>373644.67796095199</v>
      </c>
      <c r="Q34" s="23">
        <f>'LU OLS Model'!$B$8*F34</f>
        <v>10319480.59671516</v>
      </c>
      <c r="R34" s="23">
        <f>'LU OLS Model'!$B$9*G34</f>
        <v>42414399.504967488</v>
      </c>
      <c r="S34" s="23">
        <f>'LU OLS Model'!$B$10*H34</f>
        <v>-1117293.1083623595</v>
      </c>
      <c r="T34" s="23">
        <f>'LU OLS Model'!$B$11*I34</f>
        <v>-1059857.8947751301</v>
      </c>
      <c r="U34" s="23">
        <f>'LU OLS Model'!$B$12*J34</f>
        <v>0</v>
      </c>
      <c r="V34" s="23">
        <f>'LU OLS Model'!$B$13*K34</f>
        <v>0</v>
      </c>
      <c r="W34" s="23">
        <f>'LU OLS Model'!$B$14*L34</f>
        <v>0</v>
      </c>
      <c r="X34" s="23">
        <f t="shared" ca="1" si="1"/>
        <v>13602888.74909536</v>
      </c>
    </row>
    <row r="35" spans="1:24">
      <c r="A35" s="11">
        <f>'Monthly Data'!A35</f>
        <v>40817</v>
      </c>
      <c r="B35" s="6">
        <f t="shared" si="0"/>
        <v>2011</v>
      </c>
      <c r="C35" s="30">
        <f>'Monthly Data'!Q35</f>
        <v>12925769.505834082</v>
      </c>
      <c r="D35">
        <f t="shared" ca="1" si="3"/>
        <v>270.3</v>
      </c>
      <c r="E35">
        <f t="shared" ca="1" si="3"/>
        <v>1.21</v>
      </c>
      <c r="F35">
        <f>'Monthly Data'!X35</f>
        <v>31</v>
      </c>
      <c r="G35" s="30">
        <f>'Monthly Data'!Y35</f>
        <v>6702.2</v>
      </c>
      <c r="H35">
        <f>'Monthly Data'!AA35</f>
        <v>34</v>
      </c>
      <c r="I35" s="30">
        <f>'Monthly Data'!AM35</f>
        <v>1</v>
      </c>
      <c r="J35" s="4">
        <f>'Monthly Data'!AO35</f>
        <v>0</v>
      </c>
      <c r="K35" s="4">
        <f>'Monthly Data'!AP35</f>
        <v>0</v>
      </c>
      <c r="L35" s="4">
        <f>'Monthly Data'!AQ35</f>
        <v>0</v>
      </c>
      <c r="N35" s="23">
        <f>'LU OLS Model'!$B$5</f>
        <v>-37159358.269763596</v>
      </c>
      <c r="O35" s="23">
        <f ca="1">'LU OLS Model'!$B$6*D35</f>
        <v>-524947.00926448056</v>
      </c>
      <c r="P35" s="23">
        <f ca="1">'LU OLS Model'!$B$7*E35</f>
        <v>22719.098509183514</v>
      </c>
      <c r="Q35" s="23">
        <f>'LU OLS Model'!$B$8*F35</f>
        <v>10663463.283272332</v>
      </c>
      <c r="R35" s="23">
        <f>'LU OLS Model'!$B$9*G35</f>
        <v>42210344.840405233</v>
      </c>
      <c r="S35" s="23">
        <f>'LU OLS Model'!$B$10*H35</f>
        <v>-1151150.4752824311</v>
      </c>
      <c r="T35" s="23">
        <f>'LU OLS Model'!$B$11*I35</f>
        <v>-1059857.8947751301</v>
      </c>
      <c r="U35" s="23">
        <f>'LU OLS Model'!$B$12*J35</f>
        <v>0</v>
      </c>
      <c r="V35" s="23">
        <f>'LU OLS Model'!$B$13*K35</f>
        <v>0</v>
      </c>
      <c r="W35" s="23">
        <f>'LU OLS Model'!$B$14*L35</f>
        <v>0</v>
      </c>
      <c r="X35" s="23">
        <f t="shared" ca="1" si="1"/>
        <v>13001213.573101111</v>
      </c>
    </row>
    <row r="36" spans="1:24">
      <c r="A36" s="11">
        <f>'Monthly Data'!A36</f>
        <v>40848</v>
      </c>
      <c r="B36" s="6">
        <f t="shared" si="0"/>
        <v>2011</v>
      </c>
      <c r="C36" s="30">
        <f>'Monthly Data'!Q36</f>
        <v>12089342.293885039</v>
      </c>
      <c r="D36">
        <f t="shared" ca="1" si="3"/>
        <v>444.05</v>
      </c>
      <c r="E36">
        <f t="shared" ca="1" si="3"/>
        <v>0</v>
      </c>
      <c r="F36">
        <f>'Monthly Data'!X36</f>
        <v>30</v>
      </c>
      <c r="G36" s="30">
        <f>'Monthly Data'!Y36</f>
        <v>6669.4</v>
      </c>
      <c r="H36">
        <f>'Monthly Data'!AA36</f>
        <v>35</v>
      </c>
      <c r="I36" s="30">
        <f>'Monthly Data'!AM36</f>
        <v>1</v>
      </c>
      <c r="J36" s="4">
        <f>'Monthly Data'!AO36</f>
        <v>0</v>
      </c>
      <c r="K36" s="4">
        <f>'Monthly Data'!AP36</f>
        <v>0</v>
      </c>
      <c r="L36" s="4">
        <f>'Monthly Data'!AQ36</f>
        <v>0</v>
      </c>
      <c r="N36" s="23">
        <f>'LU OLS Model'!$B$5</f>
        <v>-37159358.269763596</v>
      </c>
      <c r="O36" s="23">
        <f ca="1">'LU OLS Model'!$B$6*D36</f>
        <v>-862385.19964444172</v>
      </c>
      <c r="P36" s="23">
        <f ca="1">'LU OLS Model'!$B$7*E36</f>
        <v>0</v>
      </c>
      <c r="Q36" s="23">
        <f>'LU OLS Model'!$B$8*F36</f>
        <v>10319480.59671516</v>
      </c>
      <c r="R36" s="23">
        <f>'LU OLS Model'!$B$9*G36</f>
        <v>42003770.982453324</v>
      </c>
      <c r="S36" s="23">
        <f>'LU OLS Model'!$B$10*H36</f>
        <v>-1185007.8422025025</v>
      </c>
      <c r="T36" s="23">
        <f>'LU OLS Model'!$B$11*I36</f>
        <v>-1059857.8947751301</v>
      </c>
      <c r="U36" s="23">
        <f>'LU OLS Model'!$B$12*J36</f>
        <v>0</v>
      </c>
      <c r="V36" s="23">
        <f>'LU OLS Model'!$B$13*K36</f>
        <v>0</v>
      </c>
      <c r="W36" s="23">
        <f>'LU OLS Model'!$B$14*L36</f>
        <v>0</v>
      </c>
      <c r="X36" s="23">
        <f t="shared" ca="1" si="1"/>
        <v>12056642.372782815</v>
      </c>
    </row>
    <row r="37" spans="1:24">
      <c r="A37" s="11">
        <f>'Monthly Data'!A37</f>
        <v>40878</v>
      </c>
      <c r="B37" s="6">
        <f t="shared" si="0"/>
        <v>2011</v>
      </c>
      <c r="C37" s="30">
        <f>'Monthly Data'!Q37</f>
        <v>12086426.369935995</v>
      </c>
      <c r="D37">
        <f t="shared" ca="1" si="3"/>
        <v>684.01</v>
      </c>
      <c r="E37">
        <f t="shared" ca="1" si="3"/>
        <v>0</v>
      </c>
      <c r="F37">
        <f>'Monthly Data'!X37</f>
        <v>31</v>
      </c>
      <c r="G37" s="30">
        <f>'Monthly Data'!Y37</f>
        <v>6668.3</v>
      </c>
      <c r="H37">
        <f>'Monthly Data'!AA37</f>
        <v>36</v>
      </c>
      <c r="I37" s="30">
        <f>'Monthly Data'!AM37</f>
        <v>0</v>
      </c>
      <c r="J37" s="4">
        <f>'Monthly Data'!AO37</f>
        <v>0</v>
      </c>
      <c r="K37" s="4">
        <f>'Monthly Data'!AP37</f>
        <v>1</v>
      </c>
      <c r="L37" s="4">
        <f>'Monthly Data'!AQ37</f>
        <v>0</v>
      </c>
      <c r="N37" s="23">
        <f>'LU OLS Model'!$B$5</f>
        <v>-37159358.269763596</v>
      </c>
      <c r="O37" s="23">
        <f ca="1">'LU OLS Model'!$B$6*D37</f>
        <v>-1328409.1890750919</v>
      </c>
      <c r="P37" s="23">
        <f ca="1">'LU OLS Model'!$B$7*E37</f>
        <v>0</v>
      </c>
      <c r="Q37" s="23">
        <f>'LU OLS Model'!$B$8*F37</f>
        <v>10663463.283272332</v>
      </c>
      <c r="R37" s="23">
        <f>'LU OLS Model'!$B$9*G37</f>
        <v>41996843.200631768</v>
      </c>
      <c r="S37" s="23">
        <f>'LU OLS Model'!$B$10*H37</f>
        <v>-1218865.209122574</v>
      </c>
      <c r="T37" s="23">
        <f>'LU OLS Model'!$B$11*I37</f>
        <v>0</v>
      </c>
      <c r="U37" s="23">
        <f>'LU OLS Model'!$B$12*J37</f>
        <v>0</v>
      </c>
      <c r="V37" s="23">
        <f>'LU OLS Model'!$B$13*K37</f>
        <v>-999570.07441694394</v>
      </c>
      <c r="W37" s="23">
        <f>'LU OLS Model'!$B$14*L37</f>
        <v>0</v>
      </c>
      <c r="X37" s="23">
        <f t="shared" ca="1" si="1"/>
        <v>11954103.741525896</v>
      </c>
    </row>
    <row r="38" spans="1:24">
      <c r="A38" s="11">
        <f>'Monthly Data'!A38</f>
        <v>40909</v>
      </c>
      <c r="B38" s="6">
        <f t="shared" si="0"/>
        <v>2012</v>
      </c>
      <c r="C38" s="30">
        <f>'Monthly Data'!Q38</f>
        <v>12687881.381740851</v>
      </c>
      <c r="D38">
        <f t="shared" ca="1" si="3"/>
        <v>784.29</v>
      </c>
      <c r="E38">
        <f t="shared" ca="1" si="3"/>
        <v>0</v>
      </c>
      <c r="F38">
        <f>'Monthly Data'!X38</f>
        <v>31</v>
      </c>
      <c r="G38" s="30">
        <f>'Monthly Data'!Y38</f>
        <v>6635.9</v>
      </c>
      <c r="H38">
        <f>'Monthly Data'!AA38</f>
        <v>37</v>
      </c>
      <c r="I38" s="30">
        <f>'Monthly Data'!AM38</f>
        <v>0</v>
      </c>
      <c r="J38" s="4">
        <f>'Monthly Data'!AO38</f>
        <v>0</v>
      </c>
      <c r="K38" s="4">
        <f>'Monthly Data'!AP38</f>
        <v>0</v>
      </c>
      <c r="L38" s="4">
        <f>'Monthly Data'!AQ38</f>
        <v>0</v>
      </c>
      <c r="N38" s="23">
        <f>'LU OLS Model'!$B$5</f>
        <v>-37159358.269763596</v>
      </c>
      <c r="O38" s="23">
        <f ca="1">'LU OLS Model'!$B$6*D38</f>
        <v>-1523162.0047948186</v>
      </c>
      <c r="P38" s="23">
        <f ca="1">'LU OLS Model'!$B$7*E38</f>
        <v>0</v>
      </c>
      <c r="Q38" s="23">
        <f>'LU OLS Model'!$B$8*F38</f>
        <v>10663463.283272332</v>
      </c>
      <c r="R38" s="23">
        <f>'LU OLS Model'!$B$9*G38</f>
        <v>41792788.536069512</v>
      </c>
      <c r="S38" s="23">
        <f>'LU OLS Model'!$B$10*H38</f>
        <v>-1252722.5760426456</v>
      </c>
      <c r="T38" s="23">
        <f>'LU OLS Model'!$B$11*I38</f>
        <v>0</v>
      </c>
      <c r="U38" s="23">
        <f>'LU OLS Model'!$B$12*J38</f>
        <v>0</v>
      </c>
      <c r="V38" s="23">
        <f>'LU OLS Model'!$B$13*K38</f>
        <v>0</v>
      </c>
      <c r="W38" s="23">
        <f>'LU OLS Model'!$B$14*L38</f>
        <v>0</v>
      </c>
      <c r="X38" s="23">
        <f t="shared" ca="1" si="1"/>
        <v>12521008.968740784</v>
      </c>
    </row>
    <row r="39" spans="1:24">
      <c r="A39" s="11">
        <f>'Monthly Data'!A39</f>
        <v>40940</v>
      </c>
      <c r="B39" s="6">
        <f t="shared" si="0"/>
        <v>2012</v>
      </c>
      <c r="C39" s="30">
        <f>'Monthly Data'!Q39</f>
        <v>11983197.462399608</v>
      </c>
      <c r="D39">
        <f t="shared" ca="1" si="3"/>
        <v>682.50999999999988</v>
      </c>
      <c r="E39">
        <f t="shared" ca="1" si="3"/>
        <v>0</v>
      </c>
      <c r="F39">
        <f>'Monthly Data'!X39</f>
        <v>29</v>
      </c>
      <c r="G39" s="30">
        <f>'Monthly Data'!Y39</f>
        <v>6598</v>
      </c>
      <c r="H39">
        <f>'Monthly Data'!AA39</f>
        <v>38</v>
      </c>
      <c r="I39" s="30">
        <f>'Monthly Data'!AM39</f>
        <v>0</v>
      </c>
      <c r="J39" s="4">
        <f>'Monthly Data'!AO39</f>
        <v>0</v>
      </c>
      <c r="K39" s="4">
        <f>'Monthly Data'!AP39</f>
        <v>0</v>
      </c>
      <c r="L39" s="4">
        <f>'Monthly Data'!AQ39</f>
        <v>0</v>
      </c>
      <c r="N39" s="23">
        <f>'LU OLS Model'!$B$5</f>
        <v>-37159358.269763596</v>
      </c>
      <c r="O39" s="23">
        <f ca="1">'LU OLS Model'!$B$6*D39</f>
        <v>-1325496.053618574</v>
      </c>
      <c r="P39" s="23">
        <f ca="1">'LU OLS Model'!$B$7*E39</f>
        <v>0</v>
      </c>
      <c r="Q39" s="23">
        <f>'LU OLS Model'!$B$8*F39</f>
        <v>9975497.9101579878</v>
      </c>
      <c r="R39" s="23">
        <f>'LU OLS Model'!$B$9*G39</f>
        <v>41554094.962399468</v>
      </c>
      <c r="S39" s="23">
        <f>'LU OLS Model'!$B$10*H39</f>
        <v>-1286579.942962717</v>
      </c>
      <c r="T39" s="23">
        <f>'LU OLS Model'!$B$11*I39</f>
        <v>0</v>
      </c>
      <c r="U39" s="23">
        <f>'LU OLS Model'!$B$12*J39</f>
        <v>0</v>
      </c>
      <c r="V39" s="23">
        <f>'LU OLS Model'!$B$13*K39</f>
        <v>0</v>
      </c>
      <c r="W39" s="23">
        <f>'LU OLS Model'!$B$14*L39</f>
        <v>0</v>
      </c>
      <c r="X39" s="23">
        <f t="shared" ca="1" si="1"/>
        <v>11758158.606212568</v>
      </c>
    </row>
    <row r="40" spans="1:24">
      <c r="A40" s="11">
        <f>'Monthly Data'!A40</f>
        <v>40969</v>
      </c>
      <c r="B40" s="6">
        <f t="shared" si="0"/>
        <v>2012</v>
      </c>
      <c r="C40" s="30">
        <f>'Monthly Data'!Q40</f>
        <v>12365654.656258361</v>
      </c>
      <c r="D40">
        <f t="shared" ca="1" si="3"/>
        <v>556.99</v>
      </c>
      <c r="E40">
        <f t="shared" ca="1" si="3"/>
        <v>0</v>
      </c>
      <c r="F40">
        <f>'Monthly Data'!X40</f>
        <v>31</v>
      </c>
      <c r="G40" s="30">
        <f>'Monthly Data'!Y40</f>
        <v>6569.8</v>
      </c>
      <c r="H40">
        <f>'Monthly Data'!AA40</f>
        <v>39</v>
      </c>
      <c r="I40" s="30">
        <f>'Monthly Data'!AM40</f>
        <v>0</v>
      </c>
      <c r="J40" s="4">
        <f>'Monthly Data'!AO40</f>
        <v>0</v>
      </c>
      <c r="K40" s="4">
        <f>'Monthly Data'!AP40</f>
        <v>0</v>
      </c>
      <c r="L40" s="4">
        <f>'Monthly Data'!AQ40</f>
        <v>0</v>
      </c>
      <c r="N40" s="23">
        <f>'LU OLS Model'!$B$5</f>
        <v>-37159358.269763596</v>
      </c>
      <c r="O40" s="23">
        <f ca="1">'LU OLS Model'!$B$6*D40</f>
        <v>-1081724.8786171773</v>
      </c>
      <c r="P40" s="23">
        <f ca="1">'LU OLS Model'!$B$7*E40</f>
        <v>0</v>
      </c>
      <c r="Q40" s="23">
        <f>'LU OLS Model'!$B$8*F40</f>
        <v>10663463.283272332</v>
      </c>
      <c r="R40" s="23">
        <f>'LU OLS Model'!$B$9*G40</f>
        <v>41376491.828428626</v>
      </c>
      <c r="S40" s="23">
        <f>'LU OLS Model'!$B$10*H40</f>
        <v>-1320437.3098827885</v>
      </c>
      <c r="T40" s="23">
        <f>'LU OLS Model'!$B$11*I40</f>
        <v>0</v>
      </c>
      <c r="U40" s="23">
        <f>'LU OLS Model'!$B$12*J40</f>
        <v>0</v>
      </c>
      <c r="V40" s="23">
        <f>'LU OLS Model'!$B$13*K40</f>
        <v>0</v>
      </c>
      <c r="W40" s="23">
        <f>'LU OLS Model'!$B$14*L40</f>
        <v>0</v>
      </c>
      <c r="X40" s="23">
        <f t="shared" ca="1" si="1"/>
        <v>12478434.6534374</v>
      </c>
    </row>
    <row r="41" spans="1:24">
      <c r="A41" s="11">
        <f>'Monthly Data'!A41</f>
        <v>41000</v>
      </c>
      <c r="B41" s="6">
        <f t="shared" si="0"/>
        <v>2012</v>
      </c>
      <c r="C41" s="30">
        <f>'Monthly Data'!Q41</f>
        <v>11808524.705317117</v>
      </c>
      <c r="D41">
        <f t="shared" ca="1" si="3"/>
        <v>326.58999999999997</v>
      </c>
      <c r="E41">
        <f t="shared" ca="1" si="3"/>
        <v>0.39</v>
      </c>
      <c r="F41">
        <f>'Monthly Data'!X41</f>
        <v>30</v>
      </c>
      <c r="G41" s="30">
        <f>'Monthly Data'!Y41</f>
        <v>6603.3</v>
      </c>
      <c r="H41">
        <f>'Monthly Data'!AA41</f>
        <v>40</v>
      </c>
      <c r="I41" s="30">
        <f>'Monthly Data'!AM41</f>
        <v>0</v>
      </c>
      <c r="J41" s="4">
        <f>'Monthly Data'!AO41</f>
        <v>1</v>
      </c>
      <c r="K41" s="4">
        <f>'Monthly Data'!AP41</f>
        <v>0</v>
      </c>
      <c r="L41" s="4">
        <f>'Monthly Data'!AQ41</f>
        <v>0</v>
      </c>
      <c r="N41" s="23">
        <f>'LU OLS Model'!$B$5</f>
        <v>-37159358.269763596</v>
      </c>
      <c r="O41" s="23">
        <f ca="1">'LU OLS Model'!$B$6*D41</f>
        <v>-634267.27249606617</v>
      </c>
      <c r="P41" s="23">
        <f ca="1">'LU OLS Model'!$B$7*E41</f>
        <v>7322.6846434558438</v>
      </c>
      <c r="Q41" s="23">
        <f>'LU OLS Model'!$B$8*F41</f>
        <v>10319480.59671516</v>
      </c>
      <c r="R41" s="23">
        <f>'LU OLS Model'!$B$9*G41</f>
        <v>41587474.27481243</v>
      </c>
      <c r="S41" s="23">
        <f>'LU OLS Model'!$B$10*H41</f>
        <v>-1354294.6768028601</v>
      </c>
      <c r="T41" s="23">
        <f>'LU OLS Model'!$B$11*I41</f>
        <v>0</v>
      </c>
      <c r="U41" s="23">
        <f>'LU OLS Model'!$B$12*J41</f>
        <v>-1039228.3455262</v>
      </c>
      <c r="V41" s="23">
        <f>'LU OLS Model'!$B$13*K41</f>
        <v>0</v>
      </c>
      <c r="W41" s="23">
        <f>'LU OLS Model'!$B$14*L41</f>
        <v>0</v>
      </c>
      <c r="X41" s="23">
        <f t="shared" ca="1" si="1"/>
        <v>11727128.991582321</v>
      </c>
    </row>
    <row r="42" spans="1:24">
      <c r="A42" s="11">
        <f>'Monthly Data'!A42</f>
        <v>41030</v>
      </c>
      <c r="B42" s="6">
        <f t="shared" si="0"/>
        <v>2012</v>
      </c>
      <c r="C42" s="30">
        <f>'Monthly Data'!Q42</f>
        <v>12602122.195275875</v>
      </c>
      <c r="D42">
        <f t="shared" ca="1" si="3"/>
        <v>144.96</v>
      </c>
      <c r="E42">
        <f t="shared" ca="1" si="3"/>
        <v>8.67</v>
      </c>
      <c r="F42">
        <f>'Monthly Data'!X42</f>
        <v>31</v>
      </c>
      <c r="G42" s="30">
        <f>'Monthly Data'!Y42</f>
        <v>6658.1</v>
      </c>
      <c r="H42">
        <f>'Monthly Data'!AA42</f>
        <v>41</v>
      </c>
      <c r="I42" s="30">
        <f>'Monthly Data'!AM42</f>
        <v>0</v>
      </c>
      <c r="J42" s="4">
        <f>'Monthly Data'!AO42</f>
        <v>0</v>
      </c>
      <c r="K42" s="4">
        <f>'Monthly Data'!AP42</f>
        <v>0</v>
      </c>
      <c r="L42" s="4">
        <f>'Monthly Data'!AQ42</f>
        <v>1</v>
      </c>
      <c r="N42" s="23">
        <f>'LU OLS Model'!$B$5</f>
        <v>-37159358.269763596</v>
      </c>
      <c r="O42" s="23">
        <f ca="1">'LU OLS Model'!$B$6*D42</f>
        <v>-281525.41051786573</v>
      </c>
      <c r="P42" s="23">
        <f ca="1">'LU OLS Model'!$B$7*E42</f>
        <v>162788.91245836453</v>
      </c>
      <c r="Q42" s="23">
        <f>'LU OLS Model'!$B$8*F42</f>
        <v>10663463.283272332</v>
      </c>
      <c r="R42" s="23">
        <f>'LU OLS Model'!$B$9*G42</f>
        <v>41932603.769195504</v>
      </c>
      <c r="S42" s="23">
        <f>'LU OLS Model'!$B$10*H42</f>
        <v>-1388152.0437229315</v>
      </c>
      <c r="T42" s="23">
        <f>'LU OLS Model'!$B$11*I42</f>
        <v>0</v>
      </c>
      <c r="U42" s="23">
        <f>'LU OLS Model'!$B$12*J42</f>
        <v>0</v>
      </c>
      <c r="V42" s="23">
        <f>'LU OLS Model'!$B$13*K42</f>
        <v>0</v>
      </c>
      <c r="W42" s="23">
        <f>'LU OLS Model'!$B$14*L42</f>
        <v>-1700644.40454555</v>
      </c>
      <c r="X42" s="23">
        <f t="shared" ca="1" si="1"/>
        <v>12229175.836376265</v>
      </c>
    </row>
    <row r="43" spans="1:24">
      <c r="A43" s="11">
        <f>'Monthly Data'!A43</f>
        <v>41061</v>
      </c>
      <c r="B43" s="6">
        <f t="shared" si="0"/>
        <v>2012</v>
      </c>
      <c r="C43" s="30">
        <f>'Monthly Data'!Q43</f>
        <v>13366894.89953463</v>
      </c>
      <c r="D43">
        <f t="shared" ca="1" si="3"/>
        <v>41.510000000000005</v>
      </c>
      <c r="E43">
        <f t="shared" ca="1" si="3"/>
        <v>44.41</v>
      </c>
      <c r="F43">
        <f>'Monthly Data'!X43</f>
        <v>30</v>
      </c>
      <c r="G43" s="30">
        <f>'Monthly Data'!Y43</f>
        <v>6737.2</v>
      </c>
      <c r="H43">
        <f>'Monthly Data'!AA43</f>
        <v>42</v>
      </c>
      <c r="I43" s="30">
        <f>'Monthly Data'!AM43</f>
        <v>0</v>
      </c>
      <c r="J43" s="4">
        <f>'Monthly Data'!AO43</f>
        <v>0</v>
      </c>
      <c r="K43" s="4">
        <f>'Monthly Data'!AP43</f>
        <v>0</v>
      </c>
      <c r="L43" s="4">
        <f>'Monthly Data'!AQ43</f>
        <v>1</v>
      </c>
      <c r="N43" s="23">
        <f>'LU OLS Model'!$B$5</f>
        <v>-37159358.269763596</v>
      </c>
      <c r="O43" s="23">
        <f ca="1">'LU OLS Model'!$B$6*D43</f>
        <v>-80616.168533365111</v>
      </c>
      <c r="P43" s="23">
        <f ca="1">'LU OLS Model'!$B$7*E43</f>
        <v>833847.24363044614</v>
      </c>
      <c r="Q43" s="23">
        <f>'LU OLS Model'!$B$8*F43</f>
        <v>10319480.59671516</v>
      </c>
      <c r="R43" s="23">
        <f>'LU OLS Model'!$B$9*G43</f>
        <v>42430774.262000263</v>
      </c>
      <c r="S43" s="23">
        <f>'LU OLS Model'!$B$10*H43</f>
        <v>-1422009.4106430029</v>
      </c>
      <c r="T43" s="23">
        <f>'LU OLS Model'!$B$11*I43</f>
        <v>0</v>
      </c>
      <c r="U43" s="23">
        <f>'LU OLS Model'!$B$12*J43</f>
        <v>0</v>
      </c>
      <c r="V43" s="23">
        <f>'LU OLS Model'!$B$13*K43</f>
        <v>0</v>
      </c>
      <c r="W43" s="23">
        <f>'LU OLS Model'!$B$14*L43</f>
        <v>-1700644.40454555</v>
      </c>
      <c r="X43" s="23">
        <f t="shared" ca="1" si="1"/>
        <v>13221473.848860357</v>
      </c>
    </row>
    <row r="44" spans="1:24">
      <c r="A44" s="11">
        <f>'Monthly Data'!A44</f>
        <v>41091</v>
      </c>
      <c r="B44" s="6">
        <f t="shared" si="0"/>
        <v>2012</v>
      </c>
      <c r="C44" s="30">
        <f>'Monthly Data'!Q44</f>
        <v>15543673.288693383</v>
      </c>
      <c r="D44">
        <f t="shared" ca="1" si="3"/>
        <v>5.01</v>
      </c>
      <c r="E44">
        <f t="shared" ca="1" si="3"/>
        <v>96.909999999999982</v>
      </c>
      <c r="F44">
        <f>'Monthly Data'!X44</f>
        <v>31</v>
      </c>
      <c r="G44" s="30">
        <f>'Monthly Data'!Y44</f>
        <v>6778.6</v>
      </c>
      <c r="H44">
        <f>'Monthly Data'!AA44</f>
        <v>43</v>
      </c>
      <c r="I44" s="30">
        <f>'Monthly Data'!AM44</f>
        <v>0</v>
      </c>
      <c r="J44" s="4">
        <f>'Monthly Data'!AO44</f>
        <v>0</v>
      </c>
      <c r="K44" s="4">
        <f>'Monthly Data'!AP44</f>
        <v>0</v>
      </c>
      <c r="L44" s="4">
        <f>'Monthly Data'!AQ44</f>
        <v>1</v>
      </c>
      <c r="N44" s="23">
        <f>'LU OLS Model'!$B$5</f>
        <v>-37159358.269763596</v>
      </c>
      <c r="O44" s="23">
        <f ca="1">'LU OLS Model'!$B$6*D44</f>
        <v>-9729.8724247689515</v>
      </c>
      <c r="P44" s="23">
        <f ca="1">'LU OLS Model'!$B$7*E44</f>
        <v>1819593.2533264249</v>
      </c>
      <c r="Q44" s="23">
        <f>'LU OLS Model'!$B$8*F44</f>
        <v>10663463.283272332</v>
      </c>
      <c r="R44" s="23">
        <f>'LU OLS Model'!$B$9*G44</f>
        <v>42691510.777829811</v>
      </c>
      <c r="S44" s="23">
        <f>'LU OLS Model'!$B$10*H44</f>
        <v>-1455866.7775630746</v>
      </c>
      <c r="T44" s="23">
        <f>'LU OLS Model'!$B$11*I44</f>
        <v>0</v>
      </c>
      <c r="U44" s="23">
        <f>'LU OLS Model'!$B$12*J44</f>
        <v>0</v>
      </c>
      <c r="V44" s="23">
        <f>'LU OLS Model'!$B$13*K44</f>
        <v>0</v>
      </c>
      <c r="W44" s="23">
        <f>'LU OLS Model'!$B$14*L44</f>
        <v>-1700644.40454555</v>
      </c>
      <c r="X44" s="23">
        <f t="shared" ca="1" si="1"/>
        <v>14848967.990131581</v>
      </c>
    </row>
    <row r="45" spans="1:24">
      <c r="A45" s="11">
        <f>'Monthly Data'!A45</f>
        <v>41122</v>
      </c>
      <c r="B45" s="6">
        <f t="shared" si="0"/>
        <v>2012</v>
      </c>
      <c r="C45" s="30">
        <f>'Monthly Data'!Q45</f>
        <v>15448054.65755214</v>
      </c>
      <c r="D45">
        <f t="shared" ca="1" si="3"/>
        <v>12.719999999999999</v>
      </c>
      <c r="E45">
        <f t="shared" ca="1" si="3"/>
        <v>77.22999999999999</v>
      </c>
      <c r="F45">
        <f>'Monthly Data'!X45</f>
        <v>31</v>
      </c>
      <c r="G45" s="30">
        <f>'Monthly Data'!Y45</f>
        <v>6797.9</v>
      </c>
      <c r="H45">
        <f>'Monthly Data'!AA45</f>
        <v>44</v>
      </c>
      <c r="I45" s="30">
        <f>'Monthly Data'!AM45</f>
        <v>0</v>
      </c>
      <c r="J45" s="4">
        <f>'Monthly Data'!AO45</f>
        <v>0</v>
      </c>
      <c r="K45" s="4">
        <f>'Monthly Data'!AP45</f>
        <v>0</v>
      </c>
      <c r="L45" s="4">
        <f>'Monthly Data'!AQ45</f>
        <v>1</v>
      </c>
      <c r="N45" s="23">
        <f>'LU OLS Model'!$B$5</f>
        <v>-37159358.269763596</v>
      </c>
      <c r="O45" s="23">
        <f ca="1">'LU OLS Model'!$B$6*D45</f>
        <v>-24703.388671269669</v>
      </c>
      <c r="P45" s="23">
        <f ca="1">'LU OLS Model'!$B$7*E45</f>
        <v>1450079.3205489609</v>
      </c>
      <c r="Q45" s="23">
        <f>'LU OLS Model'!$B$8*F45</f>
        <v>10663463.283272332</v>
      </c>
      <c r="R45" s="23">
        <f>'LU OLS Model'!$B$9*G45</f>
        <v>42813061.858880773</v>
      </c>
      <c r="S45" s="23">
        <f>'LU OLS Model'!$B$10*H45</f>
        <v>-1489724.144483146</v>
      </c>
      <c r="T45" s="23">
        <f>'LU OLS Model'!$B$11*I45</f>
        <v>0</v>
      </c>
      <c r="U45" s="23">
        <f>'LU OLS Model'!$B$12*J45</f>
        <v>0</v>
      </c>
      <c r="V45" s="23">
        <f>'LU OLS Model'!$B$13*K45</f>
        <v>0</v>
      </c>
      <c r="W45" s="23">
        <f>'LU OLS Model'!$B$14*L45</f>
        <v>-1700644.40454555</v>
      </c>
      <c r="X45" s="23">
        <f t="shared" ca="1" si="1"/>
        <v>14552174.255238503</v>
      </c>
    </row>
    <row r="46" spans="1:24">
      <c r="A46" s="11">
        <f>'Monthly Data'!A46</f>
        <v>41153</v>
      </c>
      <c r="B46" s="6">
        <f t="shared" si="0"/>
        <v>2012</v>
      </c>
      <c r="C46" s="30">
        <f>'Monthly Data'!Q46</f>
        <v>13925687.582410896</v>
      </c>
      <c r="D46">
        <f t="shared" ca="1" si="3"/>
        <v>86.570000000000007</v>
      </c>
      <c r="E46">
        <f t="shared" ca="1" si="3"/>
        <v>19.899999999999999</v>
      </c>
      <c r="F46">
        <f>'Monthly Data'!X46</f>
        <v>30</v>
      </c>
      <c r="G46" s="30">
        <f>'Monthly Data'!Y46</f>
        <v>6763.1</v>
      </c>
      <c r="H46">
        <f>'Monthly Data'!AA46</f>
        <v>45</v>
      </c>
      <c r="I46" s="30">
        <f>'Monthly Data'!AM46</f>
        <v>1</v>
      </c>
      <c r="J46" s="4">
        <f>'Monthly Data'!AO46</f>
        <v>0</v>
      </c>
      <c r="K46" s="4">
        <f>'Monthly Data'!AP46</f>
        <v>0</v>
      </c>
      <c r="L46" s="4">
        <f>'Monthly Data'!AQ46</f>
        <v>0</v>
      </c>
      <c r="N46" s="23">
        <f>'LU OLS Model'!$B$5</f>
        <v>-37159358.269763596</v>
      </c>
      <c r="O46" s="23">
        <f ca="1">'LU OLS Model'!$B$6*D46</f>
        <v>-168126.75764715532</v>
      </c>
      <c r="P46" s="23">
        <f ca="1">'LU OLS Model'!$B$7*E46</f>
        <v>373644.67796095199</v>
      </c>
      <c r="Q46" s="23">
        <f>'LU OLS Model'!$B$8*F46</f>
        <v>10319480.59671516</v>
      </c>
      <c r="R46" s="23">
        <f>'LU OLS Model'!$B$9*G46</f>
        <v>42593892.033980586</v>
      </c>
      <c r="S46" s="23">
        <f>'LU OLS Model'!$B$10*H46</f>
        <v>-1523581.5114032174</v>
      </c>
      <c r="T46" s="23">
        <f>'LU OLS Model'!$B$11*I46</f>
        <v>-1059857.8947751301</v>
      </c>
      <c r="U46" s="23">
        <f>'LU OLS Model'!$B$12*J46</f>
        <v>0</v>
      </c>
      <c r="V46" s="23">
        <f>'LU OLS Model'!$B$13*K46</f>
        <v>0</v>
      </c>
      <c r="W46" s="23">
        <f>'LU OLS Model'!$B$14*L46</f>
        <v>0</v>
      </c>
      <c r="X46" s="23">
        <f t="shared" ca="1" si="1"/>
        <v>13376092.875067599</v>
      </c>
    </row>
    <row r="47" spans="1:24">
      <c r="A47" s="11">
        <f>'Monthly Data'!A47</f>
        <v>41183</v>
      </c>
      <c r="B47" s="6">
        <f t="shared" si="0"/>
        <v>2012</v>
      </c>
      <c r="C47" s="30">
        <f>'Monthly Data'!Q47</f>
        <v>13003928.864269651</v>
      </c>
      <c r="D47">
        <f t="shared" ref="D47:E62" ca="1" si="4">D35</f>
        <v>270.3</v>
      </c>
      <c r="E47">
        <f t="shared" ca="1" si="4"/>
        <v>1.21</v>
      </c>
      <c r="F47">
        <f>'Monthly Data'!X47</f>
        <v>31</v>
      </c>
      <c r="G47" s="30">
        <f>'Monthly Data'!Y47</f>
        <v>6740.9</v>
      </c>
      <c r="H47">
        <f>'Monthly Data'!AA47</f>
        <v>46</v>
      </c>
      <c r="I47" s="30">
        <f>'Monthly Data'!AM47</f>
        <v>1</v>
      </c>
      <c r="J47" s="4">
        <f>'Monthly Data'!AO47</f>
        <v>0</v>
      </c>
      <c r="K47" s="4">
        <f>'Monthly Data'!AP47</f>
        <v>0</v>
      </c>
      <c r="L47" s="4">
        <f>'Monthly Data'!AQ47</f>
        <v>0</v>
      </c>
      <c r="N47" s="23">
        <f>'LU OLS Model'!$B$5</f>
        <v>-37159358.269763596</v>
      </c>
      <c r="O47" s="23">
        <f ca="1">'LU OLS Model'!$B$6*D47</f>
        <v>-524947.00926448056</v>
      </c>
      <c r="P47" s="23">
        <f ca="1">'LU OLS Model'!$B$7*E47</f>
        <v>22719.098509183514</v>
      </c>
      <c r="Q47" s="23">
        <f>'LU OLS Model'!$B$8*F47</f>
        <v>10663463.283272332</v>
      </c>
      <c r="R47" s="23">
        <f>'LU OLS Model'!$B$9*G47</f>
        <v>42454076.800854586</v>
      </c>
      <c r="S47" s="23">
        <f>'LU OLS Model'!$B$10*H47</f>
        <v>-1557438.8783232891</v>
      </c>
      <c r="T47" s="23">
        <f>'LU OLS Model'!$B$11*I47</f>
        <v>-1059857.8947751301</v>
      </c>
      <c r="U47" s="23">
        <f>'LU OLS Model'!$B$12*J47</f>
        <v>0</v>
      </c>
      <c r="V47" s="23">
        <f>'LU OLS Model'!$B$13*K47</f>
        <v>0</v>
      </c>
      <c r="W47" s="23">
        <f>'LU OLS Model'!$B$14*L47</f>
        <v>0</v>
      </c>
      <c r="X47" s="23">
        <f t="shared" ca="1" si="1"/>
        <v>12838657.130509606</v>
      </c>
    </row>
    <row r="48" spans="1:24">
      <c r="A48" s="11">
        <f>'Monthly Data'!A48</f>
        <v>41214</v>
      </c>
      <c r="B48" s="6">
        <f t="shared" si="0"/>
        <v>2012</v>
      </c>
      <c r="C48" s="30">
        <f>'Monthly Data'!Q48</f>
        <v>12248431.335128408</v>
      </c>
      <c r="D48">
        <f t="shared" ca="1" si="4"/>
        <v>444.05</v>
      </c>
      <c r="E48">
        <f t="shared" ca="1" si="4"/>
        <v>0</v>
      </c>
      <c r="F48">
        <f>'Monthly Data'!X48</f>
        <v>30</v>
      </c>
      <c r="G48" s="30">
        <f>'Monthly Data'!Y48</f>
        <v>6727.4</v>
      </c>
      <c r="H48">
        <f>'Monthly Data'!AA48</f>
        <v>47</v>
      </c>
      <c r="I48" s="30">
        <f>'Monthly Data'!AM48</f>
        <v>1</v>
      </c>
      <c r="J48" s="4">
        <f>'Monthly Data'!AO48</f>
        <v>0</v>
      </c>
      <c r="K48" s="4">
        <f>'Monthly Data'!AP48</f>
        <v>0</v>
      </c>
      <c r="L48" s="4">
        <f>'Monthly Data'!AQ48</f>
        <v>0</v>
      </c>
      <c r="N48" s="23">
        <f>'LU OLS Model'!$B$5</f>
        <v>-37159358.269763596</v>
      </c>
      <c r="O48" s="23">
        <f ca="1">'LU OLS Model'!$B$6*D48</f>
        <v>-862385.19964444172</v>
      </c>
      <c r="P48" s="23">
        <f ca="1">'LU OLS Model'!$B$7*E48</f>
        <v>0</v>
      </c>
      <c r="Q48" s="23">
        <f>'LU OLS Model'!$B$8*F48</f>
        <v>10319480.59671516</v>
      </c>
      <c r="R48" s="23">
        <f>'LU OLS Model'!$B$9*G48</f>
        <v>42369054.023953654</v>
      </c>
      <c r="S48" s="23">
        <f>'LU OLS Model'!$B$10*H48</f>
        <v>-1591296.2452433605</v>
      </c>
      <c r="T48" s="23">
        <f>'LU OLS Model'!$B$11*I48</f>
        <v>-1059857.8947751301</v>
      </c>
      <c r="U48" s="23">
        <f>'LU OLS Model'!$B$12*J48</f>
        <v>0</v>
      </c>
      <c r="V48" s="23">
        <f>'LU OLS Model'!$B$13*K48</f>
        <v>0</v>
      </c>
      <c r="W48" s="23">
        <f>'LU OLS Model'!$B$14*L48</f>
        <v>0</v>
      </c>
      <c r="X48" s="23">
        <f t="shared" ca="1" si="1"/>
        <v>12015637.011242287</v>
      </c>
    </row>
    <row r="49" spans="1:24">
      <c r="A49" s="11">
        <f>'Monthly Data'!A49</f>
        <v>41244</v>
      </c>
      <c r="B49" s="6">
        <f t="shared" si="0"/>
        <v>2012</v>
      </c>
      <c r="C49" s="30">
        <f>'Monthly Data'!Q49</f>
        <v>12006009.248987164</v>
      </c>
      <c r="D49">
        <f t="shared" ca="1" si="4"/>
        <v>684.01</v>
      </c>
      <c r="E49">
        <f t="shared" ca="1" si="4"/>
        <v>0</v>
      </c>
      <c r="F49">
        <f>'Monthly Data'!X49</f>
        <v>31</v>
      </c>
      <c r="G49" s="30">
        <f>'Monthly Data'!Y49</f>
        <v>6740.2</v>
      </c>
      <c r="H49">
        <f>'Monthly Data'!AA49</f>
        <v>48</v>
      </c>
      <c r="I49" s="30">
        <f>'Monthly Data'!AM49</f>
        <v>0</v>
      </c>
      <c r="J49" s="4">
        <f>'Monthly Data'!AO49</f>
        <v>0</v>
      </c>
      <c r="K49" s="4">
        <f>'Monthly Data'!AP49</f>
        <v>1</v>
      </c>
      <c r="L49" s="4">
        <f>'Monthly Data'!AQ49</f>
        <v>0</v>
      </c>
      <c r="N49" s="23">
        <f>'LU OLS Model'!$B$5</f>
        <v>-37159358.269763596</v>
      </c>
      <c r="O49" s="23">
        <f ca="1">'LU OLS Model'!$B$6*D49</f>
        <v>-1328409.1890750919</v>
      </c>
      <c r="P49" s="23">
        <f ca="1">'LU OLS Model'!$B$7*E49</f>
        <v>0</v>
      </c>
      <c r="Q49" s="23">
        <f>'LU OLS Model'!$B$8*F49</f>
        <v>10663463.283272332</v>
      </c>
      <c r="R49" s="23">
        <f>'LU OLS Model'!$B$9*G49</f>
        <v>42449668.212422691</v>
      </c>
      <c r="S49" s="23">
        <f>'LU OLS Model'!$B$10*H49</f>
        <v>-1625153.6121634319</v>
      </c>
      <c r="T49" s="23">
        <f>'LU OLS Model'!$B$11*I49</f>
        <v>0</v>
      </c>
      <c r="U49" s="23">
        <f>'LU OLS Model'!$B$12*J49</f>
        <v>0</v>
      </c>
      <c r="V49" s="23">
        <f>'LU OLS Model'!$B$13*K49</f>
        <v>-999570.07441694394</v>
      </c>
      <c r="W49" s="23">
        <f>'LU OLS Model'!$B$14*L49</f>
        <v>0</v>
      </c>
      <c r="X49" s="23">
        <f t="shared" ca="1" si="1"/>
        <v>12000640.350275962</v>
      </c>
    </row>
    <row r="50" spans="1:24">
      <c r="A50" s="11">
        <f>'Monthly Data'!A50</f>
        <v>41275</v>
      </c>
      <c r="B50" s="6">
        <f t="shared" si="0"/>
        <v>2013</v>
      </c>
      <c r="C50" s="30">
        <f>'Monthly Data'!Q50</f>
        <v>12946169.933968732</v>
      </c>
      <c r="D50">
        <f t="shared" ca="1" si="4"/>
        <v>784.29</v>
      </c>
      <c r="E50">
        <f t="shared" ca="1" si="4"/>
        <v>0</v>
      </c>
      <c r="F50">
        <f>'Monthly Data'!X50</f>
        <v>31</v>
      </c>
      <c r="G50" s="30">
        <f>'Monthly Data'!Y50</f>
        <v>6721.7</v>
      </c>
      <c r="H50">
        <f>'Monthly Data'!AA50</f>
        <v>49</v>
      </c>
      <c r="I50" s="30">
        <f>'Monthly Data'!AM50</f>
        <v>0</v>
      </c>
      <c r="J50" s="4">
        <f>'Monthly Data'!AO50</f>
        <v>0</v>
      </c>
      <c r="K50" s="4">
        <f>'Monthly Data'!AP50</f>
        <v>0</v>
      </c>
      <c r="L50" s="4">
        <f>'Monthly Data'!AQ50</f>
        <v>0</v>
      </c>
      <c r="N50" s="23">
        <f>'LU OLS Model'!$B$5</f>
        <v>-37159358.269763596</v>
      </c>
      <c r="O50" s="23">
        <f ca="1">'LU OLS Model'!$B$6*D50</f>
        <v>-1523162.0047948186</v>
      </c>
      <c r="P50" s="23">
        <f ca="1">'LU OLS Model'!$B$7*E50</f>
        <v>0</v>
      </c>
      <c r="Q50" s="23">
        <f>'LU OLS Model'!$B$8*F50</f>
        <v>10663463.283272332</v>
      </c>
      <c r="R50" s="23">
        <f>'LU OLS Model'!$B$9*G50</f>
        <v>42333155.51815103</v>
      </c>
      <c r="S50" s="23">
        <f>'LU OLS Model'!$B$10*H50</f>
        <v>-1659010.9790835036</v>
      </c>
      <c r="T50" s="23">
        <f>'LU OLS Model'!$B$11*I50</f>
        <v>0</v>
      </c>
      <c r="U50" s="23">
        <f>'LU OLS Model'!$B$12*J50</f>
        <v>0</v>
      </c>
      <c r="V50" s="23">
        <f>'LU OLS Model'!$B$13*K50</f>
        <v>0</v>
      </c>
      <c r="W50" s="23">
        <f>'LU OLS Model'!$B$14*L50</f>
        <v>0</v>
      </c>
      <c r="X50" s="23">
        <f t="shared" ca="1" si="1"/>
        <v>12655087.547781441</v>
      </c>
    </row>
    <row r="51" spans="1:24">
      <c r="A51" s="11">
        <f>'Monthly Data'!A51</f>
        <v>41306</v>
      </c>
      <c r="B51" s="6">
        <f t="shared" si="0"/>
        <v>2013</v>
      </c>
      <c r="C51" s="30">
        <f>'Monthly Data'!Q51</f>
        <v>11918008.924639778</v>
      </c>
      <c r="D51">
        <f t="shared" ca="1" si="4"/>
        <v>682.50999999999988</v>
      </c>
      <c r="E51">
        <f t="shared" ca="1" si="4"/>
        <v>0</v>
      </c>
      <c r="F51">
        <f>'Monthly Data'!X51</f>
        <v>28</v>
      </c>
      <c r="G51" s="30">
        <f>'Monthly Data'!Y51</f>
        <v>6702</v>
      </c>
      <c r="H51">
        <f>'Monthly Data'!AA51</f>
        <v>50</v>
      </c>
      <c r="I51" s="30">
        <f>'Monthly Data'!AM51</f>
        <v>0</v>
      </c>
      <c r="J51" s="4">
        <f>'Monthly Data'!AO51</f>
        <v>0</v>
      </c>
      <c r="K51" s="4">
        <f>'Monthly Data'!AP51</f>
        <v>0</v>
      </c>
      <c r="L51" s="4">
        <f>'Monthly Data'!AQ51</f>
        <v>0</v>
      </c>
      <c r="N51" s="23">
        <f>'LU OLS Model'!$B$5</f>
        <v>-37159358.269763596</v>
      </c>
      <c r="O51" s="23">
        <f ca="1">'LU OLS Model'!$B$6*D51</f>
        <v>-1325496.053618574</v>
      </c>
      <c r="P51" s="23">
        <f ca="1">'LU OLS Model'!$B$7*E51</f>
        <v>0</v>
      </c>
      <c r="Q51" s="23">
        <f>'LU OLS Model'!$B$8*F51</f>
        <v>9631515.223600816</v>
      </c>
      <c r="R51" s="23">
        <f>'LU OLS Model'!$B$9*G51</f>
        <v>42209085.243710406</v>
      </c>
      <c r="S51" s="23">
        <f>'LU OLS Model'!$B$10*H51</f>
        <v>-1692868.346003575</v>
      </c>
      <c r="T51" s="23">
        <f>'LU OLS Model'!$B$11*I51</f>
        <v>0</v>
      </c>
      <c r="U51" s="23">
        <f>'LU OLS Model'!$B$12*J51</f>
        <v>0</v>
      </c>
      <c r="V51" s="23">
        <f>'LU OLS Model'!$B$13*K51</f>
        <v>0</v>
      </c>
      <c r="W51" s="23">
        <f>'LU OLS Model'!$B$14*L51</f>
        <v>0</v>
      </c>
      <c r="X51" s="23">
        <f t="shared" ca="1" si="1"/>
        <v>11662877.797925478</v>
      </c>
    </row>
    <row r="52" spans="1:24">
      <c r="A52" s="11">
        <f>'Monthly Data'!A52</f>
        <v>41334</v>
      </c>
      <c r="B52" s="6">
        <f t="shared" si="0"/>
        <v>2013</v>
      </c>
      <c r="C52" s="30">
        <f>'Monthly Data'!Q52</f>
        <v>12785963.206510823</v>
      </c>
      <c r="D52">
        <f t="shared" ca="1" si="4"/>
        <v>556.99</v>
      </c>
      <c r="E52">
        <f t="shared" ca="1" si="4"/>
        <v>0</v>
      </c>
      <c r="F52">
        <f>'Monthly Data'!X52</f>
        <v>31</v>
      </c>
      <c r="G52" s="30">
        <f>'Monthly Data'!Y52</f>
        <v>6675.8</v>
      </c>
      <c r="H52">
        <f>'Monthly Data'!AA52</f>
        <v>51</v>
      </c>
      <c r="I52" s="30">
        <f>'Monthly Data'!AM52</f>
        <v>0</v>
      </c>
      <c r="J52" s="4">
        <f>'Monthly Data'!AO52</f>
        <v>0</v>
      </c>
      <c r="K52" s="4">
        <f>'Monthly Data'!AP52</f>
        <v>0</v>
      </c>
      <c r="L52" s="4">
        <f>'Monthly Data'!AQ52</f>
        <v>0</v>
      </c>
      <c r="N52" s="23">
        <f>'LU OLS Model'!$B$5</f>
        <v>-37159358.269763596</v>
      </c>
      <c r="O52" s="23">
        <f ca="1">'LU OLS Model'!$B$6*D52</f>
        <v>-1081724.8786171773</v>
      </c>
      <c r="P52" s="23">
        <f ca="1">'LU OLS Model'!$B$7*E52</f>
        <v>0</v>
      </c>
      <c r="Q52" s="23">
        <f>'LU OLS Model'!$B$8*F52</f>
        <v>10663463.283272332</v>
      </c>
      <c r="R52" s="23">
        <f>'LU OLS Model'!$B$9*G52</f>
        <v>42044078.076687843</v>
      </c>
      <c r="S52" s="23">
        <f>'LU OLS Model'!$B$10*H52</f>
        <v>-1726725.7129236467</v>
      </c>
      <c r="T52" s="23">
        <f>'LU OLS Model'!$B$11*I52</f>
        <v>0</v>
      </c>
      <c r="U52" s="23">
        <f>'LU OLS Model'!$B$12*J52</f>
        <v>0</v>
      </c>
      <c r="V52" s="23">
        <f>'LU OLS Model'!$B$13*K52</f>
        <v>0</v>
      </c>
      <c r="W52" s="23">
        <f>'LU OLS Model'!$B$14*L52</f>
        <v>0</v>
      </c>
      <c r="X52" s="23">
        <f t="shared" ca="1" si="1"/>
        <v>12739732.498655759</v>
      </c>
    </row>
    <row r="53" spans="1:24">
      <c r="A53" s="11">
        <f>'Monthly Data'!A53</f>
        <v>41365</v>
      </c>
      <c r="B53" s="6">
        <f t="shared" si="0"/>
        <v>2013</v>
      </c>
      <c r="C53" s="30">
        <f>'Monthly Data'!Q53</f>
        <v>12157037.078981869</v>
      </c>
      <c r="D53">
        <f t="shared" ca="1" si="4"/>
        <v>326.58999999999997</v>
      </c>
      <c r="E53">
        <f t="shared" ca="1" si="4"/>
        <v>0.39</v>
      </c>
      <c r="F53">
        <f>'Monthly Data'!X53</f>
        <v>30</v>
      </c>
      <c r="G53" s="30">
        <f>'Monthly Data'!Y53</f>
        <v>6703.7</v>
      </c>
      <c r="H53">
        <f>'Monthly Data'!AA53</f>
        <v>52</v>
      </c>
      <c r="I53" s="30">
        <f>'Monthly Data'!AM53</f>
        <v>0</v>
      </c>
      <c r="J53" s="4">
        <f>'Monthly Data'!AO53</f>
        <v>1</v>
      </c>
      <c r="K53" s="4">
        <f>'Monthly Data'!AP53</f>
        <v>0</v>
      </c>
      <c r="L53" s="4">
        <f>'Monthly Data'!AQ53</f>
        <v>0</v>
      </c>
      <c r="N53" s="23">
        <f>'LU OLS Model'!$B$5</f>
        <v>-37159358.269763596</v>
      </c>
      <c r="O53" s="23">
        <f ca="1">'LU OLS Model'!$B$6*D53</f>
        <v>-634267.27249606617</v>
      </c>
      <c r="P53" s="23">
        <f ca="1">'LU OLS Model'!$B$7*E53</f>
        <v>7322.6846434558438</v>
      </c>
      <c r="Q53" s="23">
        <f>'LU OLS Model'!$B$8*F53</f>
        <v>10319480.59671516</v>
      </c>
      <c r="R53" s="23">
        <f>'LU OLS Model'!$B$9*G53</f>
        <v>42219791.815616451</v>
      </c>
      <c r="S53" s="23">
        <f>'LU OLS Model'!$B$10*H53</f>
        <v>-1760583.0798437181</v>
      </c>
      <c r="T53" s="23">
        <f>'LU OLS Model'!$B$11*I53</f>
        <v>0</v>
      </c>
      <c r="U53" s="23">
        <f>'LU OLS Model'!$B$12*J53</f>
        <v>-1039228.3455262</v>
      </c>
      <c r="V53" s="23">
        <f>'LU OLS Model'!$B$13*K53</f>
        <v>0</v>
      </c>
      <c r="W53" s="23">
        <f>'LU OLS Model'!$B$14*L53</f>
        <v>0</v>
      </c>
      <c r="X53" s="23">
        <f t="shared" ca="1" si="1"/>
        <v>11953158.129345484</v>
      </c>
    </row>
    <row r="54" spans="1:24">
      <c r="A54" s="11">
        <f>'Monthly Data'!A54</f>
        <v>41395</v>
      </c>
      <c r="B54" s="6">
        <f t="shared" si="0"/>
        <v>2013</v>
      </c>
      <c r="C54" s="30">
        <f>'Monthly Data'!Q54</f>
        <v>12523396.567452911</v>
      </c>
      <c r="D54">
        <f t="shared" ca="1" si="4"/>
        <v>144.96</v>
      </c>
      <c r="E54">
        <f t="shared" ca="1" si="4"/>
        <v>8.67</v>
      </c>
      <c r="F54">
        <f>'Monthly Data'!X54</f>
        <v>31</v>
      </c>
      <c r="G54" s="30">
        <f>'Monthly Data'!Y54</f>
        <v>6770.3</v>
      </c>
      <c r="H54">
        <f>'Monthly Data'!AA54</f>
        <v>53</v>
      </c>
      <c r="I54" s="30">
        <f>'Monthly Data'!AM54</f>
        <v>0</v>
      </c>
      <c r="J54" s="4">
        <f>'Monthly Data'!AO54</f>
        <v>0</v>
      </c>
      <c r="K54" s="4">
        <f>'Monthly Data'!AP54</f>
        <v>0</v>
      </c>
      <c r="L54" s="4">
        <f>'Monthly Data'!AQ54</f>
        <v>1</v>
      </c>
      <c r="N54" s="23">
        <f>'LU OLS Model'!$B$5</f>
        <v>-37159358.269763596</v>
      </c>
      <c r="O54" s="23">
        <f ca="1">'LU OLS Model'!$B$6*D54</f>
        <v>-281525.41051786573</v>
      </c>
      <c r="P54" s="23">
        <f ca="1">'LU OLS Model'!$B$7*E54</f>
        <v>162788.91245836453</v>
      </c>
      <c r="Q54" s="23">
        <f>'LU OLS Model'!$B$8*F54</f>
        <v>10663463.283272332</v>
      </c>
      <c r="R54" s="23">
        <f>'LU OLS Model'!$B$9*G54</f>
        <v>42639237.514994413</v>
      </c>
      <c r="S54" s="23">
        <f>'LU OLS Model'!$B$10*H54</f>
        <v>-1794440.4467637895</v>
      </c>
      <c r="T54" s="23">
        <f>'LU OLS Model'!$B$11*I54</f>
        <v>0</v>
      </c>
      <c r="U54" s="23">
        <f>'LU OLS Model'!$B$12*J54</f>
        <v>0</v>
      </c>
      <c r="V54" s="23">
        <f>'LU OLS Model'!$B$13*K54</f>
        <v>0</v>
      </c>
      <c r="W54" s="23">
        <f>'LU OLS Model'!$B$14*L54</f>
        <v>-1700644.40454555</v>
      </c>
      <c r="X54" s="23">
        <f t="shared" ca="1" si="1"/>
        <v>12529521.179134315</v>
      </c>
    </row>
    <row r="55" spans="1:24">
      <c r="A55" s="11">
        <f>'Monthly Data'!A55</f>
        <v>41426</v>
      </c>
      <c r="B55" s="6">
        <f t="shared" si="0"/>
        <v>2013</v>
      </c>
      <c r="C55" s="30">
        <f>'Monthly Data'!Q55</f>
        <v>12722039.760923959</v>
      </c>
      <c r="D55">
        <f t="shared" ca="1" si="4"/>
        <v>41.510000000000005</v>
      </c>
      <c r="E55">
        <f t="shared" ca="1" si="4"/>
        <v>44.41</v>
      </c>
      <c r="F55">
        <f>'Monthly Data'!X55</f>
        <v>30</v>
      </c>
      <c r="G55" s="30">
        <f>'Monthly Data'!Y55</f>
        <v>6861.8</v>
      </c>
      <c r="H55">
        <f>'Monthly Data'!AA55</f>
        <v>54</v>
      </c>
      <c r="I55" s="30">
        <f>'Monthly Data'!AM55</f>
        <v>0</v>
      </c>
      <c r="J55" s="4">
        <f>'Monthly Data'!AO55</f>
        <v>0</v>
      </c>
      <c r="K55" s="4">
        <f>'Monthly Data'!AP55</f>
        <v>0</v>
      </c>
      <c r="L55" s="4">
        <f>'Monthly Data'!AQ55</f>
        <v>1</v>
      </c>
      <c r="N55" s="23">
        <f>'LU OLS Model'!$B$5</f>
        <v>-37159358.269763596</v>
      </c>
      <c r="O55" s="23">
        <f ca="1">'LU OLS Model'!$B$6*D55</f>
        <v>-80616.168533365111</v>
      </c>
      <c r="P55" s="23">
        <f ca="1">'LU OLS Model'!$B$7*E55</f>
        <v>833847.24363044614</v>
      </c>
      <c r="Q55" s="23">
        <f>'LU OLS Model'!$B$8*F55</f>
        <v>10319480.59671516</v>
      </c>
      <c r="R55" s="23">
        <f>'LU OLS Model'!$B$9*G55</f>
        <v>43215503.002878554</v>
      </c>
      <c r="S55" s="23">
        <f>'LU OLS Model'!$B$10*H55</f>
        <v>-1828297.8136838612</v>
      </c>
      <c r="T55" s="23">
        <f>'LU OLS Model'!$B$11*I55</f>
        <v>0</v>
      </c>
      <c r="U55" s="23">
        <f>'LU OLS Model'!$B$12*J55</f>
        <v>0</v>
      </c>
      <c r="V55" s="23">
        <f>'LU OLS Model'!$B$13*K55</f>
        <v>0</v>
      </c>
      <c r="W55" s="23">
        <f>'LU OLS Model'!$B$14*L55</f>
        <v>-1700644.40454555</v>
      </c>
      <c r="X55" s="23">
        <f t="shared" ca="1" si="1"/>
        <v>13599914.18669779</v>
      </c>
    </row>
    <row r="56" spans="1:24">
      <c r="A56" s="11">
        <f>'Monthly Data'!A56</f>
        <v>41456</v>
      </c>
      <c r="B56" s="6">
        <f t="shared" si="0"/>
        <v>2013</v>
      </c>
      <c r="C56" s="30">
        <f>'Monthly Data'!Q56</f>
        <v>15454178.324395005</v>
      </c>
      <c r="D56">
        <f t="shared" ca="1" si="4"/>
        <v>5.01</v>
      </c>
      <c r="E56">
        <f t="shared" ca="1" si="4"/>
        <v>96.909999999999982</v>
      </c>
      <c r="F56">
        <f>'Monthly Data'!X56</f>
        <v>31</v>
      </c>
      <c r="G56" s="30">
        <f>'Monthly Data'!Y56</f>
        <v>6917.1</v>
      </c>
      <c r="H56">
        <f>'Monthly Data'!AA56</f>
        <v>55</v>
      </c>
      <c r="I56" s="30">
        <f>'Monthly Data'!AM56</f>
        <v>0</v>
      </c>
      <c r="J56" s="4">
        <f>'Monthly Data'!AO56</f>
        <v>0</v>
      </c>
      <c r="K56" s="4">
        <f>'Monthly Data'!AP56</f>
        <v>0</v>
      </c>
      <c r="L56" s="4">
        <f>'Monthly Data'!AQ56</f>
        <v>1</v>
      </c>
      <c r="N56" s="23">
        <f>'LU OLS Model'!$B$5</f>
        <v>-37159358.269763596</v>
      </c>
      <c r="O56" s="23">
        <f ca="1">'LU OLS Model'!$B$6*D56</f>
        <v>-9729.8724247689515</v>
      </c>
      <c r="P56" s="23">
        <f ca="1">'LU OLS Model'!$B$7*E56</f>
        <v>1819593.2533264249</v>
      </c>
      <c r="Q56" s="23">
        <f>'LU OLS Model'!$B$8*F56</f>
        <v>10663463.283272332</v>
      </c>
      <c r="R56" s="23">
        <f>'LU OLS Model'!$B$9*G56</f>
        <v>43563781.488998696</v>
      </c>
      <c r="S56" s="23">
        <f>'LU OLS Model'!$B$10*H56</f>
        <v>-1862155.1806039326</v>
      </c>
      <c r="T56" s="23">
        <f>'LU OLS Model'!$B$11*I56</f>
        <v>0</v>
      </c>
      <c r="U56" s="23">
        <f>'LU OLS Model'!$B$12*J56</f>
        <v>0</v>
      </c>
      <c r="V56" s="23">
        <f>'LU OLS Model'!$B$13*K56</f>
        <v>0</v>
      </c>
      <c r="W56" s="23">
        <f>'LU OLS Model'!$B$14*L56</f>
        <v>-1700644.40454555</v>
      </c>
      <c r="X56" s="23">
        <f t="shared" ca="1" si="1"/>
        <v>15314950.298259608</v>
      </c>
    </row>
    <row r="57" spans="1:24">
      <c r="A57" s="11">
        <f>'Monthly Data'!A57</f>
        <v>41487</v>
      </c>
      <c r="B57" s="6">
        <f t="shared" si="0"/>
        <v>2013</v>
      </c>
      <c r="C57" s="30">
        <f>'Monthly Data'!Q57</f>
        <v>14808216.64886605</v>
      </c>
      <c r="D57">
        <f t="shared" ca="1" si="4"/>
        <v>12.719999999999999</v>
      </c>
      <c r="E57">
        <f t="shared" ca="1" si="4"/>
        <v>77.22999999999999</v>
      </c>
      <c r="F57">
        <f>'Monthly Data'!X57</f>
        <v>31</v>
      </c>
      <c r="G57" s="30">
        <f>'Monthly Data'!Y57</f>
        <v>6934.7</v>
      </c>
      <c r="H57">
        <f>'Monthly Data'!AA57</f>
        <v>56</v>
      </c>
      <c r="I57" s="30">
        <f>'Monthly Data'!AM57</f>
        <v>0</v>
      </c>
      <c r="J57" s="4">
        <f>'Monthly Data'!AO57</f>
        <v>0</v>
      </c>
      <c r="K57" s="4">
        <f>'Monthly Data'!AP57</f>
        <v>0</v>
      </c>
      <c r="L57" s="4">
        <f>'Monthly Data'!AQ57</f>
        <v>1</v>
      </c>
      <c r="N57" s="23">
        <f>'LU OLS Model'!$B$5</f>
        <v>-37159358.269763596</v>
      </c>
      <c r="O57" s="23">
        <f ca="1">'LU OLS Model'!$B$6*D57</f>
        <v>-24703.388671269669</v>
      </c>
      <c r="P57" s="23">
        <f ca="1">'LU OLS Model'!$B$7*E57</f>
        <v>1450079.3205489609</v>
      </c>
      <c r="Q57" s="23">
        <f>'LU OLS Model'!$B$8*F57</f>
        <v>10663463.283272332</v>
      </c>
      <c r="R57" s="23">
        <f>'LU OLS Model'!$B$9*G57</f>
        <v>43674625.998143621</v>
      </c>
      <c r="S57" s="23">
        <f>'LU OLS Model'!$B$10*H57</f>
        <v>-1896012.547524004</v>
      </c>
      <c r="T57" s="23">
        <f>'LU OLS Model'!$B$11*I57</f>
        <v>0</v>
      </c>
      <c r="U57" s="23">
        <f>'LU OLS Model'!$B$12*J57</f>
        <v>0</v>
      </c>
      <c r="V57" s="23">
        <f>'LU OLS Model'!$B$13*K57</f>
        <v>0</v>
      </c>
      <c r="W57" s="23">
        <f>'LU OLS Model'!$B$14*L57</f>
        <v>-1700644.40454555</v>
      </c>
      <c r="X57" s="23">
        <f t="shared" ca="1" si="1"/>
        <v>15007449.991460493</v>
      </c>
    </row>
    <row r="58" spans="1:24">
      <c r="A58" s="11">
        <f>'Monthly Data'!A58</f>
        <v>41518</v>
      </c>
      <c r="B58" s="6">
        <f t="shared" si="0"/>
        <v>2013</v>
      </c>
      <c r="C58" s="30">
        <f>'Monthly Data'!Q58</f>
        <v>13501871.533337096</v>
      </c>
      <c r="D58">
        <f t="shared" ca="1" si="4"/>
        <v>86.570000000000007</v>
      </c>
      <c r="E58">
        <f t="shared" ca="1" si="4"/>
        <v>19.899999999999999</v>
      </c>
      <c r="F58">
        <f>'Monthly Data'!X58</f>
        <v>30</v>
      </c>
      <c r="G58" s="30">
        <f>'Monthly Data'!Y58</f>
        <v>6906.9</v>
      </c>
      <c r="H58">
        <f>'Monthly Data'!AA58</f>
        <v>57</v>
      </c>
      <c r="I58" s="30">
        <f>'Monthly Data'!AM58</f>
        <v>1</v>
      </c>
      <c r="J58" s="4">
        <f>'Monthly Data'!AO58</f>
        <v>0</v>
      </c>
      <c r="K58" s="4">
        <f>'Monthly Data'!AP58</f>
        <v>0</v>
      </c>
      <c r="L58" s="4">
        <f>'Monthly Data'!AQ58</f>
        <v>0</v>
      </c>
      <c r="N58" s="23">
        <f>'LU OLS Model'!$B$5</f>
        <v>-37159358.269763596</v>
      </c>
      <c r="O58" s="23">
        <f ca="1">'LU OLS Model'!$B$6*D58</f>
        <v>-168126.75764715532</v>
      </c>
      <c r="P58" s="23">
        <f ca="1">'LU OLS Model'!$B$7*E58</f>
        <v>373644.67796095199</v>
      </c>
      <c r="Q58" s="23">
        <f>'LU OLS Model'!$B$8*F58</f>
        <v>10319480.59671516</v>
      </c>
      <c r="R58" s="23">
        <f>'LU OLS Model'!$B$9*G58</f>
        <v>43499542.057562426</v>
      </c>
      <c r="S58" s="23">
        <f>'LU OLS Model'!$B$10*H58</f>
        <v>-1929869.9144440757</v>
      </c>
      <c r="T58" s="23">
        <f>'LU OLS Model'!$B$11*I58</f>
        <v>-1059857.8947751301</v>
      </c>
      <c r="U58" s="23">
        <f>'LU OLS Model'!$B$12*J58</f>
        <v>0</v>
      </c>
      <c r="V58" s="23">
        <f>'LU OLS Model'!$B$13*K58</f>
        <v>0</v>
      </c>
      <c r="W58" s="23">
        <f>'LU OLS Model'!$B$14*L58</f>
        <v>0</v>
      </c>
      <c r="X58" s="23">
        <f t="shared" ca="1" si="1"/>
        <v>13875454.495608581</v>
      </c>
    </row>
    <row r="59" spans="1:24">
      <c r="A59" s="11">
        <f>'Monthly Data'!A59</f>
        <v>41548</v>
      </c>
      <c r="B59" s="6">
        <f t="shared" si="0"/>
        <v>2013</v>
      </c>
      <c r="C59" s="30">
        <f>'Monthly Data'!Q59</f>
        <v>13230473.214808144</v>
      </c>
      <c r="D59">
        <f t="shared" ca="1" si="4"/>
        <v>270.3</v>
      </c>
      <c r="E59">
        <f t="shared" ca="1" si="4"/>
        <v>1.21</v>
      </c>
      <c r="F59">
        <f>'Monthly Data'!X59</f>
        <v>31</v>
      </c>
      <c r="G59" s="30">
        <f>'Monthly Data'!Y59</f>
        <v>6889</v>
      </c>
      <c r="H59">
        <f>'Monthly Data'!AA59</f>
        <v>58</v>
      </c>
      <c r="I59" s="30">
        <f>'Monthly Data'!AM59</f>
        <v>1</v>
      </c>
      <c r="J59" s="4">
        <f>'Monthly Data'!AO59</f>
        <v>0</v>
      </c>
      <c r="K59" s="4">
        <f>'Monthly Data'!AP59</f>
        <v>0</v>
      </c>
      <c r="L59" s="4">
        <f>'Monthly Data'!AQ59</f>
        <v>0</v>
      </c>
      <c r="N59" s="23">
        <f>'LU OLS Model'!$B$5</f>
        <v>-37159358.269763596</v>
      </c>
      <c r="O59" s="23">
        <f ca="1">'LU OLS Model'!$B$6*D59</f>
        <v>-524947.00926448056</v>
      </c>
      <c r="P59" s="23">
        <f ca="1">'LU OLS Model'!$B$7*E59</f>
        <v>22719.098509183514</v>
      </c>
      <c r="Q59" s="23">
        <f>'LU OLS Model'!$B$8*F59</f>
        <v>10663463.283272332</v>
      </c>
      <c r="R59" s="23">
        <f>'LU OLS Model'!$B$9*G59</f>
        <v>43386808.153375261</v>
      </c>
      <c r="S59" s="23">
        <f>'LU OLS Model'!$B$10*H59</f>
        <v>-1963727.2813641471</v>
      </c>
      <c r="T59" s="23">
        <f>'LU OLS Model'!$B$11*I59</f>
        <v>-1059857.8947751301</v>
      </c>
      <c r="U59" s="23">
        <f>'LU OLS Model'!$B$12*J59</f>
        <v>0</v>
      </c>
      <c r="V59" s="23">
        <f>'LU OLS Model'!$B$13*K59</f>
        <v>0</v>
      </c>
      <c r="W59" s="23">
        <f>'LU OLS Model'!$B$14*L59</f>
        <v>0</v>
      </c>
      <c r="X59" s="23">
        <f t="shared" ca="1" si="1"/>
        <v>13365100.079989422</v>
      </c>
    </row>
    <row r="60" spans="1:24">
      <c r="A60" s="11">
        <f>'Monthly Data'!A60</f>
        <v>41579</v>
      </c>
      <c r="B60" s="6">
        <f t="shared" si="0"/>
        <v>2013</v>
      </c>
      <c r="C60" s="30">
        <f>'Monthly Data'!Q60</f>
        <v>12253923.650279187</v>
      </c>
      <c r="D60">
        <f t="shared" ca="1" si="4"/>
        <v>444.05</v>
      </c>
      <c r="E60">
        <f t="shared" ca="1" si="4"/>
        <v>0</v>
      </c>
      <c r="F60">
        <f>'Monthly Data'!X60</f>
        <v>30</v>
      </c>
      <c r="G60" s="30">
        <f>'Monthly Data'!Y60</f>
        <v>6863.8</v>
      </c>
      <c r="H60">
        <f>'Monthly Data'!AA60</f>
        <v>59</v>
      </c>
      <c r="I60" s="30">
        <f>'Monthly Data'!AM60</f>
        <v>1</v>
      </c>
      <c r="J60" s="4">
        <f>'Monthly Data'!AO60</f>
        <v>0</v>
      </c>
      <c r="K60" s="4">
        <f>'Monthly Data'!AP60</f>
        <v>0</v>
      </c>
      <c r="L60" s="4">
        <f>'Monthly Data'!AQ60</f>
        <v>0</v>
      </c>
      <c r="N60" s="23">
        <f>'LU OLS Model'!$B$5</f>
        <v>-37159358.269763596</v>
      </c>
      <c r="O60" s="23">
        <f ca="1">'LU OLS Model'!$B$6*D60</f>
        <v>-862385.19964444172</v>
      </c>
      <c r="P60" s="23">
        <f ca="1">'LU OLS Model'!$B$7*E60</f>
        <v>0</v>
      </c>
      <c r="Q60" s="23">
        <f>'LU OLS Model'!$B$8*F60</f>
        <v>10319480.59671516</v>
      </c>
      <c r="R60" s="23">
        <f>'LU OLS Model'!$B$9*G60</f>
        <v>43228098.96982684</v>
      </c>
      <c r="S60" s="23">
        <f>'LU OLS Model'!$B$10*H60</f>
        <v>-1997584.6482842185</v>
      </c>
      <c r="T60" s="23">
        <f>'LU OLS Model'!$B$11*I60</f>
        <v>-1059857.8947751301</v>
      </c>
      <c r="U60" s="23">
        <f>'LU OLS Model'!$B$12*J60</f>
        <v>0</v>
      </c>
      <c r="V60" s="23">
        <f>'LU OLS Model'!$B$13*K60</f>
        <v>0</v>
      </c>
      <c r="W60" s="23">
        <f>'LU OLS Model'!$B$14*L60</f>
        <v>0</v>
      </c>
      <c r="X60" s="23">
        <f t="shared" ca="1" si="1"/>
        <v>12468393.554074615</v>
      </c>
    </row>
    <row r="61" spans="1:24">
      <c r="A61" s="11">
        <f>'Monthly Data'!A61</f>
        <v>41609</v>
      </c>
      <c r="B61" s="6">
        <f t="shared" si="0"/>
        <v>2013</v>
      </c>
      <c r="C61" s="30">
        <f>'Monthly Data'!Q61</f>
        <v>12130628.233750233</v>
      </c>
      <c r="D61">
        <f t="shared" ca="1" si="4"/>
        <v>684.01</v>
      </c>
      <c r="E61">
        <f t="shared" ca="1" si="4"/>
        <v>0</v>
      </c>
      <c r="F61">
        <f>'Monthly Data'!X61</f>
        <v>31</v>
      </c>
      <c r="G61" s="30">
        <f>'Monthly Data'!Y61</f>
        <v>6849.3</v>
      </c>
      <c r="H61">
        <f>'Monthly Data'!AA61</f>
        <v>60</v>
      </c>
      <c r="I61" s="30">
        <f>'Monthly Data'!AM61</f>
        <v>0</v>
      </c>
      <c r="J61" s="4">
        <f>'Monthly Data'!AO61</f>
        <v>0</v>
      </c>
      <c r="K61" s="4">
        <f>'Monthly Data'!AP61</f>
        <v>1</v>
      </c>
      <c r="L61" s="4">
        <f>'Monthly Data'!AQ61</f>
        <v>0</v>
      </c>
      <c r="N61" s="23">
        <f>'LU OLS Model'!$B$5</f>
        <v>-37159358.269763596</v>
      </c>
      <c r="O61" s="23">
        <f ca="1">'LU OLS Model'!$B$6*D61</f>
        <v>-1328409.1890750919</v>
      </c>
      <c r="P61" s="23">
        <f ca="1">'LU OLS Model'!$B$7*E61</f>
        <v>0</v>
      </c>
      <c r="Q61" s="23">
        <f>'LU OLS Model'!$B$8*F61</f>
        <v>10663463.283272332</v>
      </c>
      <c r="R61" s="23">
        <f>'LU OLS Model'!$B$9*G61</f>
        <v>43136778.209451757</v>
      </c>
      <c r="S61" s="23">
        <f>'LU OLS Model'!$B$10*H61</f>
        <v>-2031442.0152042902</v>
      </c>
      <c r="T61" s="23">
        <f>'LU OLS Model'!$B$11*I61</f>
        <v>0</v>
      </c>
      <c r="U61" s="23">
        <f>'LU OLS Model'!$B$12*J61</f>
        <v>0</v>
      </c>
      <c r="V61" s="23">
        <f>'LU OLS Model'!$B$13*K61</f>
        <v>-999570.07441694394</v>
      </c>
      <c r="W61" s="23">
        <f>'LU OLS Model'!$B$14*L61</f>
        <v>0</v>
      </c>
      <c r="X61" s="23">
        <f t="shared" ca="1" si="1"/>
        <v>12281461.94426417</v>
      </c>
    </row>
    <row r="62" spans="1:24">
      <c r="A62" s="11">
        <v>41640</v>
      </c>
      <c r="B62" s="6">
        <f t="shared" si="0"/>
        <v>2014</v>
      </c>
      <c r="C62" s="30">
        <f>'Monthly Data'!Q62</f>
        <v>13033973.56868916</v>
      </c>
      <c r="D62">
        <f t="shared" ca="1" si="4"/>
        <v>784.29</v>
      </c>
      <c r="E62">
        <f t="shared" ca="1" si="4"/>
        <v>0</v>
      </c>
      <c r="F62">
        <f>F50</f>
        <v>31</v>
      </c>
      <c r="G62" s="30">
        <f>'Monthly Data'!Y62</f>
        <v>6806.1</v>
      </c>
      <c r="H62">
        <f>H61+1</f>
        <v>61</v>
      </c>
      <c r="I62" s="30">
        <f>'Monthly Data'!AM62</f>
        <v>0</v>
      </c>
      <c r="J62">
        <f t="shared" ref="I62:L77" si="5">J50</f>
        <v>0</v>
      </c>
      <c r="K62">
        <f t="shared" si="5"/>
        <v>0</v>
      </c>
      <c r="L62">
        <f t="shared" si="5"/>
        <v>0</v>
      </c>
      <c r="N62" s="23">
        <f>'LU OLS Model'!$B$5</f>
        <v>-37159358.269763596</v>
      </c>
      <c r="O62" s="23">
        <f ca="1">'LU OLS Model'!$B$6*D62</f>
        <v>-1523162.0047948186</v>
      </c>
      <c r="P62" s="23">
        <f ca="1">'LU OLS Model'!$B$7*E62</f>
        <v>0</v>
      </c>
      <c r="Q62" s="23">
        <f>'LU OLS Model'!$B$8*F62</f>
        <v>10663463.283272332</v>
      </c>
      <c r="R62" s="23">
        <f>'LU OLS Model'!$B$9*G62</f>
        <v>42864705.323368758</v>
      </c>
      <c r="S62" s="23">
        <f>'LU OLS Model'!$B$10*H62</f>
        <v>-2065299.3821243616</v>
      </c>
      <c r="T62" s="23">
        <f>'LU OLS Model'!$B$11*I62</f>
        <v>0</v>
      </c>
      <c r="U62" s="23">
        <f>'LU OLS Model'!$B$12*J62</f>
        <v>0</v>
      </c>
      <c r="V62" s="23">
        <f>'LU OLS Model'!$B$13*K62</f>
        <v>0</v>
      </c>
      <c r="W62" s="23">
        <f>'LU OLS Model'!$B$14*L62</f>
        <v>0</v>
      </c>
      <c r="X62" s="23">
        <f t="shared" ca="1" si="1"/>
        <v>12780348.949958313</v>
      </c>
    </row>
    <row r="63" spans="1:24">
      <c r="A63" s="11">
        <v>41671</v>
      </c>
      <c r="B63" s="6">
        <f t="shared" si="0"/>
        <v>2014</v>
      </c>
      <c r="C63" s="30">
        <f>'Monthly Data'!Q63</f>
        <v>11848081.274361238</v>
      </c>
      <c r="D63">
        <f t="shared" ref="D63:F78" ca="1" si="6">D51</f>
        <v>682.50999999999988</v>
      </c>
      <c r="E63">
        <f t="shared" ca="1" si="6"/>
        <v>0</v>
      </c>
      <c r="F63">
        <f t="shared" si="6"/>
        <v>28</v>
      </c>
      <c r="G63" s="30">
        <f>'Monthly Data'!Y63</f>
        <v>6772.3</v>
      </c>
      <c r="H63">
        <f t="shared" ref="H63:H126" si="7">H62+1</f>
        <v>62</v>
      </c>
      <c r="I63" s="30">
        <f>'Monthly Data'!AM63</f>
        <v>0</v>
      </c>
      <c r="J63">
        <f t="shared" si="5"/>
        <v>0</v>
      </c>
      <c r="K63">
        <f t="shared" si="5"/>
        <v>0</v>
      </c>
      <c r="L63">
        <f t="shared" ref="L63:L77" si="8">L51</f>
        <v>0</v>
      </c>
      <c r="N63" s="23">
        <f>'LU OLS Model'!$B$5</f>
        <v>-37159358.269763596</v>
      </c>
      <c r="O63" s="23">
        <f ca="1">'LU OLS Model'!$B$6*D63</f>
        <v>-1325496.053618574</v>
      </c>
      <c r="P63" s="23">
        <f ca="1">'LU OLS Model'!$B$7*E63</f>
        <v>0</v>
      </c>
      <c r="Q63" s="23">
        <f>'LU OLS Model'!$B$8*F63</f>
        <v>9631515.223600816</v>
      </c>
      <c r="R63" s="23">
        <f>'LU OLS Model'!$B$9*G63</f>
        <v>42651833.481942698</v>
      </c>
      <c r="S63" s="23">
        <f>'LU OLS Model'!$B$10*H63</f>
        <v>-2099156.7490444332</v>
      </c>
      <c r="T63" s="23">
        <f>'LU OLS Model'!$B$11*I63</f>
        <v>0</v>
      </c>
      <c r="U63" s="23">
        <f>'LU OLS Model'!$B$12*J63</f>
        <v>0</v>
      </c>
      <c r="V63" s="23">
        <f>'LU OLS Model'!$B$13*K63</f>
        <v>0</v>
      </c>
      <c r="W63" s="23">
        <f>'LU OLS Model'!$B$14*L63</f>
        <v>0</v>
      </c>
      <c r="X63" s="23">
        <f t="shared" ca="1" si="1"/>
        <v>11699337.633116912</v>
      </c>
    </row>
    <row r="64" spans="1:24">
      <c r="A64" s="11">
        <v>41699</v>
      </c>
      <c r="B64" s="6">
        <f t="shared" si="0"/>
        <v>2014</v>
      </c>
      <c r="C64" s="30">
        <f>'Monthly Data'!Q64</f>
        <v>12980706.140033314</v>
      </c>
      <c r="D64">
        <f t="shared" ca="1" si="6"/>
        <v>556.99</v>
      </c>
      <c r="E64">
        <f t="shared" ca="1" si="6"/>
        <v>0</v>
      </c>
      <c r="F64">
        <f t="shared" si="6"/>
        <v>31</v>
      </c>
      <c r="G64" s="30">
        <f>'Monthly Data'!Y64</f>
        <v>6751.3</v>
      </c>
      <c r="H64">
        <f t="shared" si="7"/>
        <v>63</v>
      </c>
      <c r="I64" s="30">
        <f>'Monthly Data'!AM64</f>
        <v>0</v>
      </c>
      <c r="J64">
        <f t="shared" si="5"/>
        <v>0</v>
      </c>
      <c r="K64">
        <f t="shared" si="5"/>
        <v>0</v>
      </c>
      <c r="L64">
        <f t="shared" si="8"/>
        <v>0</v>
      </c>
      <c r="N64" s="23">
        <f>'LU OLS Model'!$B$5</f>
        <v>-37159358.269763596</v>
      </c>
      <c r="O64" s="23">
        <f ca="1">'LU OLS Model'!$B$6*D64</f>
        <v>-1081724.8786171773</v>
      </c>
      <c r="P64" s="23">
        <f ca="1">'LU OLS Model'!$B$7*E64</f>
        <v>0</v>
      </c>
      <c r="Q64" s="23">
        <f>'LU OLS Model'!$B$8*F64</f>
        <v>10663463.283272332</v>
      </c>
      <c r="R64" s="23">
        <f>'LU OLS Model'!$B$9*G64</f>
        <v>42519575.828985684</v>
      </c>
      <c r="S64" s="23">
        <f>'LU OLS Model'!$B$10*H64</f>
        <v>-2133014.1159645044</v>
      </c>
      <c r="T64" s="23">
        <f>'LU OLS Model'!$B$11*I64</f>
        <v>0</v>
      </c>
      <c r="U64" s="23">
        <f>'LU OLS Model'!$B$12*J64</f>
        <v>0</v>
      </c>
      <c r="V64" s="23">
        <f>'LU OLS Model'!$B$13*K64</f>
        <v>0</v>
      </c>
      <c r="W64" s="23">
        <f>'LU OLS Model'!$B$14*L64</f>
        <v>0</v>
      </c>
      <c r="X64" s="23">
        <f t="shared" ca="1" si="1"/>
        <v>12808941.847912742</v>
      </c>
    </row>
    <row r="65" spans="1:24">
      <c r="A65" s="11">
        <v>41730</v>
      </c>
      <c r="B65" s="6">
        <f t="shared" si="0"/>
        <v>2014</v>
      </c>
      <c r="C65" s="30">
        <f>'Monthly Data'!Q65</f>
        <v>11758120.119705392</v>
      </c>
      <c r="D65">
        <f t="shared" ca="1" si="6"/>
        <v>326.58999999999997</v>
      </c>
      <c r="E65">
        <f t="shared" ca="1" si="6"/>
        <v>0.39</v>
      </c>
      <c r="F65">
        <f t="shared" si="6"/>
        <v>30</v>
      </c>
      <c r="G65" s="30">
        <f>'Monthly Data'!Y65</f>
        <v>6785</v>
      </c>
      <c r="H65">
        <f t="shared" si="7"/>
        <v>64</v>
      </c>
      <c r="I65" s="30">
        <f>'Monthly Data'!AM65</f>
        <v>0</v>
      </c>
      <c r="J65">
        <f t="shared" si="5"/>
        <v>1</v>
      </c>
      <c r="K65">
        <f t="shared" si="5"/>
        <v>0</v>
      </c>
      <c r="L65">
        <f t="shared" si="8"/>
        <v>0</v>
      </c>
      <c r="N65" s="23">
        <f>'LU OLS Model'!$B$5</f>
        <v>-37159358.269763596</v>
      </c>
      <c r="O65" s="23">
        <f ca="1">'LU OLS Model'!$B$6*D65</f>
        <v>-634267.27249606617</v>
      </c>
      <c r="P65" s="23">
        <f ca="1">'LU OLS Model'!$B$7*E65</f>
        <v>7322.6846434558438</v>
      </c>
      <c r="Q65" s="23">
        <f>'LU OLS Model'!$B$8*F65</f>
        <v>10319480.59671516</v>
      </c>
      <c r="R65" s="23">
        <f>'LU OLS Model'!$B$9*G65</f>
        <v>42731817.872064322</v>
      </c>
      <c r="S65" s="23">
        <f>'LU OLS Model'!$B$10*H65</f>
        <v>-2166871.4828845761</v>
      </c>
      <c r="T65" s="23">
        <f>'LU OLS Model'!$B$11*I65</f>
        <v>0</v>
      </c>
      <c r="U65" s="23">
        <f>'LU OLS Model'!$B$12*J65</f>
        <v>-1039228.3455262</v>
      </c>
      <c r="V65" s="23">
        <f>'LU OLS Model'!$B$13*K65</f>
        <v>0</v>
      </c>
      <c r="W65" s="23">
        <f>'LU OLS Model'!$B$14*L65</f>
        <v>0</v>
      </c>
      <c r="X65" s="23">
        <f t="shared" ca="1" si="1"/>
        <v>12058895.782752497</v>
      </c>
    </row>
    <row r="66" spans="1:24">
      <c r="A66" s="11">
        <v>41760</v>
      </c>
      <c r="B66" s="6">
        <f t="shared" si="0"/>
        <v>2014</v>
      </c>
      <c r="C66" s="30">
        <f>'Monthly Data'!Q66</f>
        <v>12122237.938377466</v>
      </c>
      <c r="D66">
        <f t="shared" ca="1" si="6"/>
        <v>144.96</v>
      </c>
      <c r="E66">
        <f t="shared" ca="1" si="6"/>
        <v>8.67</v>
      </c>
      <c r="F66">
        <f t="shared" si="6"/>
        <v>31</v>
      </c>
      <c r="G66" s="30">
        <f>'Monthly Data'!Y66</f>
        <v>6842.6</v>
      </c>
      <c r="H66">
        <f t="shared" si="7"/>
        <v>65</v>
      </c>
      <c r="I66" s="30">
        <f>'Monthly Data'!AM66</f>
        <v>0</v>
      </c>
      <c r="J66">
        <f t="shared" si="5"/>
        <v>0</v>
      </c>
      <c r="K66">
        <f t="shared" si="5"/>
        <v>0</v>
      </c>
      <c r="L66">
        <f t="shared" si="8"/>
        <v>1</v>
      </c>
      <c r="N66" s="23">
        <f>'LU OLS Model'!$B$5</f>
        <v>-37159358.269763596</v>
      </c>
      <c r="O66" s="23">
        <f ca="1">'LU OLS Model'!$B$6*D66</f>
        <v>-281525.41051786573</v>
      </c>
      <c r="P66" s="23">
        <f ca="1">'LU OLS Model'!$B$7*E66</f>
        <v>162788.91245836453</v>
      </c>
      <c r="Q66" s="23">
        <f>'LU OLS Model'!$B$8*F66</f>
        <v>10663463.283272332</v>
      </c>
      <c r="R66" s="23">
        <f>'LU OLS Model'!$B$9*G66</f>
        <v>43094581.720174998</v>
      </c>
      <c r="S66" s="23">
        <f>'LU OLS Model'!$B$10*H66</f>
        <v>-2200728.8498046477</v>
      </c>
      <c r="T66" s="23">
        <f>'LU OLS Model'!$B$11*I66</f>
        <v>0</v>
      </c>
      <c r="U66" s="23">
        <f>'LU OLS Model'!$B$12*J66</f>
        <v>0</v>
      </c>
      <c r="V66" s="23">
        <f>'LU OLS Model'!$B$13*K66</f>
        <v>0</v>
      </c>
      <c r="W66" s="23">
        <f>'LU OLS Model'!$B$14*L66</f>
        <v>-1700644.40454555</v>
      </c>
      <c r="X66" s="23">
        <f t="shared" ca="1" si="1"/>
        <v>12578576.981274042</v>
      </c>
    </row>
    <row r="67" spans="1:24">
      <c r="A67" s="11">
        <v>41791</v>
      </c>
      <c r="B67" s="6">
        <f t="shared" ref="B67:B97" si="9">YEAR(A67)</f>
        <v>2014</v>
      </c>
      <c r="C67" s="30">
        <f>'Monthly Data'!Q67</f>
        <v>13083864.686049545</v>
      </c>
      <c r="D67">
        <f t="shared" ca="1" si="6"/>
        <v>41.510000000000005</v>
      </c>
      <c r="E67">
        <f t="shared" ca="1" si="6"/>
        <v>44.41</v>
      </c>
      <c r="F67">
        <f t="shared" si="6"/>
        <v>30</v>
      </c>
      <c r="G67" s="30">
        <f>'Monthly Data'!Y67</f>
        <v>6912.9</v>
      </c>
      <c r="H67">
        <f t="shared" si="7"/>
        <v>66</v>
      </c>
      <c r="I67" s="30">
        <f>'Monthly Data'!AM67</f>
        <v>0</v>
      </c>
      <c r="J67">
        <f t="shared" si="5"/>
        <v>0</v>
      </c>
      <c r="K67">
        <f t="shared" si="5"/>
        <v>0</v>
      </c>
      <c r="L67">
        <f t="shared" si="8"/>
        <v>1</v>
      </c>
      <c r="N67" s="23">
        <f>'LU OLS Model'!$B$5</f>
        <v>-37159358.269763596</v>
      </c>
      <c r="O67" s="23">
        <f ca="1">'LU OLS Model'!$B$6*D67</f>
        <v>-80616.168533365111</v>
      </c>
      <c r="P67" s="23">
        <f ca="1">'LU OLS Model'!$B$7*E67</f>
        <v>833847.24363044614</v>
      </c>
      <c r="Q67" s="23">
        <f>'LU OLS Model'!$B$8*F67</f>
        <v>10319480.59671516</v>
      </c>
      <c r="R67" s="23">
        <f>'LU OLS Model'!$B$9*G67</f>
        <v>43537329.95840729</v>
      </c>
      <c r="S67" s="23">
        <f>'LU OLS Model'!$B$10*H67</f>
        <v>-2234586.2167247189</v>
      </c>
      <c r="T67" s="23">
        <f>'LU OLS Model'!$B$11*I67</f>
        <v>0</v>
      </c>
      <c r="U67" s="23">
        <f>'LU OLS Model'!$B$12*J67</f>
        <v>0</v>
      </c>
      <c r="V67" s="23">
        <f>'LU OLS Model'!$B$13*K67</f>
        <v>0</v>
      </c>
      <c r="W67" s="23">
        <f>'LU OLS Model'!$B$14*L67</f>
        <v>-1700644.40454555</v>
      </c>
      <c r="X67" s="23">
        <f t="shared" ref="X67:X97" ca="1" si="10">SUM(N67:W67)</f>
        <v>13515452.739185669</v>
      </c>
    </row>
    <row r="68" spans="1:24">
      <c r="A68" s="11">
        <v>41821</v>
      </c>
      <c r="B68" s="6">
        <f t="shared" si="9"/>
        <v>2014</v>
      </c>
      <c r="C68" s="30">
        <f>'Monthly Data'!Q68</f>
        <v>14274331.698721621</v>
      </c>
      <c r="D68">
        <f t="shared" ca="1" si="6"/>
        <v>5.01</v>
      </c>
      <c r="E68">
        <f t="shared" ca="1" si="6"/>
        <v>96.909999999999982</v>
      </c>
      <c r="F68">
        <f t="shared" si="6"/>
        <v>31</v>
      </c>
      <c r="G68" s="30">
        <f>'Monthly Data'!Y68</f>
        <v>6957.8</v>
      </c>
      <c r="H68">
        <f t="shared" si="7"/>
        <v>67</v>
      </c>
      <c r="I68" s="30">
        <f>'Monthly Data'!AM68</f>
        <v>0</v>
      </c>
      <c r="J68">
        <f t="shared" si="5"/>
        <v>0</v>
      </c>
      <c r="K68">
        <f t="shared" si="5"/>
        <v>0</v>
      </c>
      <c r="L68">
        <f t="shared" si="8"/>
        <v>1</v>
      </c>
      <c r="N68" s="23">
        <f>'LU OLS Model'!$B$5</f>
        <v>-37159358.269763596</v>
      </c>
      <c r="O68" s="23">
        <f ca="1">'LU OLS Model'!$B$6*D68</f>
        <v>-9729.8724247689515</v>
      </c>
      <c r="P68" s="23">
        <f ca="1">'LU OLS Model'!$B$7*E68</f>
        <v>1819593.2533264249</v>
      </c>
      <c r="Q68" s="23">
        <f>'LU OLS Model'!$B$8*F68</f>
        <v>10663463.283272332</v>
      </c>
      <c r="R68" s="23">
        <f>'LU OLS Model'!$B$9*G68</f>
        <v>43820109.416396342</v>
      </c>
      <c r="S68" s="23">
        <f>'LU OLS Model'!$B$10*H68</f>
        <v>-2268443.5836447906</v>
      </c>
      <c r="T68" s="23">
        <f>'LU OLS Model'!$B$11*I68</f>
        <v>0</v>
      </c>
      <c r="U68" s="23">
        <f>'LU OLS Model'!$B$12*J68</f>
        <v>0</v>
      </c>
      <c r="V68" s="23">
        <f>'LU OLS Model'!$B$13*K68</f>
        <v>0</v>
      </c>
      <c r="W68" s="23">
        <f>'LU OLS Model'!$B$14*L68</f>
        <v>-1700644.40454555</v>
      </c>
      <c r="X68" s="23">
        <f t="shared" ca="1" si="10"/>
        <v>15164989.822616395</v>
      </c>
    </row>
    <row r="69" spans="1:24">
      <c r="A69" s="11">
        <v>41852</v>
      </c>
      <c r="B69" s="6">
        <f t="shared" si="9"/>
        <v>2014</v>
      </c>
      <c r="C69" s="30">
        <f>'Monthly Data'!Q69</f>
        <v>14357715.618393699</v>
      </c>
      <c r="D69">
        <f t="shared" ca="1" si="6"/>
        <v>12.719999999999999</v>
      </c>
      <c r="E69">
        <f t="shared" ca="1" si="6"/>
        <v>77.22999999999999</v>
      </c>
      <c r="F69">
        <f t="shared" si="6"/>
        <v>31</v>
      </c>
      <c r="G69" s="30">
        <f>'Monthly Data'!Y69</f>
        <v>6969.7</v>
      </c>
      <c r="H69">
        <f t="shared" si="7"/>
        <v>68</v>
      </c>
      <c r="I69" s="30">
        <f>'Monthly Data'!AM69</f>
        <v>0</v>
      </c>
      <c r="J69">
        <f t="shared" si="5"/>
        <v>0</v>
      </c>
      <c r="K69">
        <f t="shared" si="5"/>
        <v>0</v>
      </c>
      <c r="L69">
        <f t="shared" si="8"/>
        <v>1</v>
      </c>
      <c r="N69" s="23">
        <f>'LU OLS Model'!$B$5</f>
        <v>-37159358.269763596</v>
      </c>
      <c r="O69" s="23">
        <f ca="1">'LU OLS Model'!$B$6*D69</f>
        <v>-24703.388671269669</v>
      </c>
      <c r="P69" s="23">
        <f ca="1">'LU OLS Model'!$B$7*E69</f>
        <v>1450079.3205489609</v>
      </c>
      <c r="Q69" s="23">
        <f>'LU OLS Model'!$B$8*F69</f>
        <v>10663463.283272332</v>
      </c>
      <c r="R69" s="23">
        <f>'LU OLS Model'!$B$9*G69</f>
        <v>43895055.419738643</v>
      </c>
      <c r="S69" s="23">
        <f>'LU OLS Model'!$B$10*H69</f>
        <v>-2302300.9505648622</v>
      </c>
      <c r="T69" s="23">
        <f>'LU OLS Model'!$B$11*I69</f>
        <v>0</v>
      </c>
      <c r="U69" s="23">
        <f>'LU OLS Model'!$B$12*J69</f>
        <v>0</v>
      </c>
      <c r="V69" s="23">
        <f>'LU OLS Model'!$B$13*K69</f>
        <v>0</v>
      </c>
      <c r="W69" s="23">
        <f>'LU OLS Model'!$B$14*L69</f>
        <v>-1700644.40454555</v>
      </c>
      <c r="X69" s="23">
        <f t="shared" ca="1" si="10"/>
        <v>14821591.010014657</v>
      </c>
    </row>
    <row r="70" spans="1:24">
      <c r="A70" s="11">
        <v>41883</v>
      </c>
      <c r="B70" s="6">
        <f t="shared" si="9"/>
        <v>2014</v>
      </c>
      <c r="C70" s="30">
        <f>'Monthly Data'!Q70</f>
        <v>13829170.520065775</v>
      </c>
      <c r="D70">
        <f t="shared" ca="1" si="6"/>
        <v>86.570000000000007</v>
      </c>
      <c r="E70">
        <f t="shared" ca="1" si="6"/>
        <v>19.899999999999999</v>
      </c>
      <c r="F70">
        <f t="shared" si="6"/>
        <v>30</v>
      </c>
      <c r="G70" s="30">
        <f>'Monthly Data'!Y70</f>
        <v>6944.1</v>
      </c>
      <c r="H70">
        <f t="shared" si="7"/>
        <v>69</v>
      </c>
      <c r="I70" s="30">
        <f>'Monthly Data'!AM70</f>
        <v>1</v>
      </c>
      <c r="J70">
        <f t="shared" si="5"/>
        <v>0</v>
      </c>
      <c r="K70">
        <f t="shared" si="5"/>
        <v>0</v>
      </c>
      <c r="L70">
        <f t="shared" si="8"/>
        <v>0</v>
      </c>
      <c r="N70" s="23">
        <f>'LU OLS Model'!$B$5</f>
        <v>-37159358.269763596</v>
      </c>
      <c r="O70" s="23">
        <f ca="1">'LU OLS Model'!$B$6*D70</f>
        <v>-168126.75764715532</v>
      </c>
      <c r="P70" s="23">
        <f ca="1">'LU OLS Model'!$B$7*E70</f>
        <v>373644.67796095199</v>
      </c>
      <c r="Q70" s="23">
        <f>'LU OLS Model'!$B$8*F70</f>
        <v>10319480.59671516</v>
      </c>
      <c r="R70" s="23">
        <f>'LU OLS Model'!$B$9*G70</f>
        <v>43733827.042800575</v>
      </c>
      <c r="S70" s="23">
        <f>'LU OLS Model'!$B$10*H70</f>
        <v>-2336158.3174849334</v>
      </c>
      <c r="T70" s="23">
        <f>'LU OLS Model'!$B$11*I70</f>
        <v>-1059857.8947751301</v>
      </c>
      <c r="U70" s="23">
        <f>'LU OLS Model'!$B$12*J70</f>
        <v>0</v>
      </c>
      <c r="V70" s="23">
        <f>'LU OLS Model'!$B$13*K70</f>
        <v>0</v>
      </c>
      <c r="W70" s="23">
        <f>'LU OLS Model'!$B$14*L70</f>
        <v>0</v>
      </c>
      <c r="X70" s="23">
        <f t="shared" ca="1" si="10"/>
        <v>13703451.077805873</v>
      </c>
    </row>
    <row r="71" spans="1:24">
      <c r="A71" s="11">
        <v>41913</v>
      </c>
      <c r="B71" s="6">
        <f t="shared" si="9"/>
        <v>2014</v>
      </c>
      <c r="C71" s="30">
        <f>'Monthly Data'!Q71</f>
        <v>13041002.974737853</v>
      </c>
      <c r="D71">
        <f t="shared" ca="1" si="6"/>
        <v>270.3</v>
      </c>
      <c r="E71">
        <f t="shared" ca="1" si="6"/>
        <v>1.21</v>
      </c>
      <c r="F71">
        <f t="shared" si="6"/>
        <v>31</v>
      </c>
      <c r="G71" s="30">
        <f>'Monthly Data'!Y71</f>
        <v>6936.6</v>
      </c>
      <c r="H71">
        <f t="shared" si="7"/>
        <v>70</v>
      </c>
      <c r="I71" s="30">
        <f>'Monthly Data'!AM71</f>
        <v>1</v>
      </c>
      <c r="J71">
        <f t="shared" si="5"/>
        <v>0</v>
      </c>
      <c r="K71">
        <f t="shared" si="5"/>
        <v>0</v>
      </c>
      <c r="L71">
        <f t="shared" si="8"/>
        <v>0</v>
      </c>
      <c r="N71" s="23">
        <f>'LU OLS Model'!$B$5</f>
        <v>-37159358.269763596</v>
      </c>
      <c r="O71" s="23">
        <f ca="1">'LU OLS Model'!$B$6*D71</f>
        <v>-524947.00926448056</v>
      </c>
      <c r="P71" s="23">
        <f ca="1">'LU OLS Model'!$B$7*E71</f>
        <v>22719.098509183514</v>
      </c>
      <c r="Q71" s="23">
        <f>'LU OLS Model'!$B$8*F71</f>
        <v>10663463.283272332</v>
      </c>
      <c r="R71" s="23">
        <f>'LU OLS Model'!$B$9*G71</f>
        <v>43686592.166744493</v>
      </c>
      <c r="S71" s="23">
        <f>'LU OLS Model'!$B$10*H71</f>
        <v>-2370015.6844050051</v>
      </c>
      <c r="T71" s="23">
        <f>'LU OLS Model'!$B$11*I71</f>
        <v>-1059857.8947751301</v>
      </c>
      <c r="U71" s="23">
        <f>'LU OLS Model'!$B$12*J71</f>
        <v>0</v>
      </c>
      <c r="V71" s="23">
        <f>'LU OLS Model'!$B$13*K71</f>
        <v>0</v>
      </c>
      <c r="W71" s="23">
        <f>'LU OLS Model'!$B$14*L71</f>
        <v>0</v>
      </c>
      <c r="X71" s="23">
        <f t="shared" ca="1" si="10"/>
        <v>13258595.690317797</v>
      </c>
    </row>
    <row r="72" spans="1:24">
      <c r="A72" s="11">
        <v>41944</v>
      </c>
      <c r="B72" s="6">
        <f t="shared" si="9"/>
        <v>2014</v>
      </c>
      <c r="C72" s="30">
        <f>'Monthly Data'!Q72</f>
        <v>12172721.066409929</v>
      </c>
      <c r="D72">
        <f t="shared" ca="1" si="6"/>
        <v>444.05</v>
      </c>
      <c r="E72">
        <f t="shared" ca="1" si="6"/>
        <v>0</v>
      </c>
      <c r="F72">
        <f t="shared" si="6"/>
        <v>30</v>
      </c>
      <c r="G72" s="30">
        <f>'Monthly Data'!Y72</f>
        <v>6914.3</v>
      </c>
      <c r="H72">
        <f t="shared" si="7"/>
        <v>71</v>
      </c>
      <c r="I72" s="30">
        <f>'Monthly Data'!AM72</f>
        <v>1</v>
      </c>
      <c r="J72">
        <f t="shared" si="5"/>
        <v>0</v>
      </c>
      <c r="K72">
        <f t="shared" si="5"/>
        <v>0</v>
      </c>
      <c r="L72">
        <f t="shared" si="8"/>
        <v>0</v>
      </c>
      <c r="N72" s="23">
        <f>'LU OLS Model'!$B$5</f>
        <v>-37159358.269763596</v>
      </c>
      <c r="O72" s="23">
        <f ca="1">'LU OLS Model'!$B$6*D72</f>
        <v>-862385.19964444172</v>
      </c>
      <c r="P72" s="23">
        <f ca="1">'LU OLS Model'!$B$7*E72</f>
        <v>0</v>
      </c>
      <c r="Q72" s="23">
        <f>'LU OLS Model'!$B$8*F72</f>
        <v>10319480.59671516</v>
      </c>
      <c r="R72" s="23">
        <f>'LU OLS Model'!$B$9*G72</f>
        <v>43546147.135271095</v>
      </c>
      <c r="S72" s="23">
        <f>'LU OLS Model'!$B$10*H72</f>
        <v>-2403873.0513250767</v>
      </c>
      <c r="T72" s="23">
        <f>'LU OLS Model'!$B$11*I72</f>
        <v>-1059857.8947751301</v>
      </c>
      <c r="U72" s="23">
        <f>'LU OLS Model'!$B$12*J72</f>
        <v>0</v>
      </c>
      <c r="V72" s="23">
        <f>'LU OLS Model'!$B$13*K72</f>
        <v>0</v>
      </c>
      <c r="W72" s="23">
        <f>'LU OLS Model'!$B$14*L72</f>
        <v>0</v>
      </c>
      <c r="X72" s="23">
        <f t="shared" ca="1" si="10"/>
        <v>12380153.316478012</v>
      </c>
    </row>
    <row r="73" spans="1:24">
      <c r="A73" s="11">
        <v>41974</v>
      </c>
      <c r="B73" s="6">
        <f t="shared" si="9"/>
        <v>2014</v>
      </c>
      <c r="C73" s="30">
        <f>'Monthly Data'!Q73</f>
        <v>12198057.892082004</v>
      </c>
      <c r="D73">
        <f t="shared" ca="1" si="6"/>
        <v>684.01</v>
      </c>
      <c r="E73">
        <f t="shared" ca="1" si="6"/>
        <v>0</v>
      </c>
      <c r="F73">
        <f t="shared" si="6"/>
        <v>31</v>
      </c>
      <c r="G73" s="30">
        <f>'Monthly Data'!Y73</f>
        <v>6903.2</v>
      </c>
      <c r="H73">
        <f t="shared" si="7"/>
        <v>72</v>
      </c>
      <c r="I73" s="30">
        <f>'Monthly Data'!AM73</f>
        <v>0</v>
      </c>
      <c r="J73">
        <f t="shared" si="5"/>
        <v>0</v>
      </c>
      <c r="K73">
        <f t="shared" si="5"/>
        <v>1</v>
      </c>
      <c r="L73">
        <f t="shared" si="8"/>
        <v>0</v>
      </c>
      <c r="N73" s="23">
        <f>'LU OLS Model'!$B$5</f>
        <v>-37159358.269763596</v>
      </c>
      <c r="O73" s="23">
        <f ca="1">'LU OLS Model'!$B$6*D73</f>
        <v>-1328409.1890750919</v>
      </c>
      <c r="P73" s="23">
        <f ca="1">'LU OLS Model'!$B$7*E73</f>
        <v>0</v>
      </c>
      <c r="Q73" s="23">
        <f>'LU OLS Model'!$B$8*F73</f>
        <v>10663463.283272332</v>
      </c>
      <c r="R73" s="23">
        <f>'LU OLS Model'!$B$9*G73</f>
        <v>43476239.518708095</v>
      </c>
      <c r="S73" s="23">
        <f>'LU OLS Model'!$B$10*H73</f>
        <v>-2437730.4182451479</v>
      </c>
      <c r="T73" s="23">
        <f>'LU OLS Model'!$B$11*I73</f>
        <v>0</v>
      </c>
      <c r="U73" s="23">
        <f>'LU OLS Model'!$B$12*J73</f>
        <v>0</v>
      </c>
      <c r="V73" s="23">
        <f>'LU OLS Model'!$B$13*K73</f>
        <v>-999570.07441694394</v>
      </c>
      <c r="W73" s="23">
        <f>'LU OLS Model'!$B$14*L73</f>
        <v>0</v>
      </c>
      <c r="X73" s="23">
        <f t="shared" ca="1" si="10"/>
        <v>12214634.850479649</v>
      </c>
    </row>
    <row r="74" spans="1:24">
      <c r="A74" s="11">
        <v>42005</v>
      </c>
      <c r="B74" s="6">
        <f t="shared" si="9"/>
        <v>2015</v>
      </c>
      <c r="D74">
        <f t="shared" ca="1" si="6"/>
        <v>784.29</v>
      </c>
      <c r="E74">
        <f t="shared" ca="1" si="6"/>
        <v>0</v>
      </c>
      <c r="F74">
        <f t="shared" si="6"/>
        <v>31</v>
      </c>
      <c r="G74" s="30">
        <f>G62*(1+SUMIF('Ontario Employment Growth'!B:B,B74,'Ontario Employment Growth'!G:G))</f>
        <v>6880.9670999999998</v>
      </c>
      <c r="H74">
        <f t="shared" si="7"/>
        <v>73</v>
      </c>
      <c r="I74">
        <f t="shared" si="5"/>
        <v>0</v>
      </c>
      <c r="J74">
        <f t="shared" si="5"/>
        <v>0</v>
      </c>
      <c r="K74">
        <f t="shared" si="5"/>
        <v>0</v>
      </c>
      <c r="L74">
        <f t="shared" si="8"/>
        <v>0</v>
      </c>
      <c r="N74" s="23">
        <f>'LU OLS Model'!$B$5</f>
        <v>-37159358.269763596</v>
      </c>
      <c r="O74" s="23">
        <f ca="1">'LU OLS Model'!$B$6*D74</f>
        <v>-1523162.0047948186</v>
      </c>
      <c r="P74" s="23">
        <f ca="1">'LU OLS Model'!$B$7*E74</f>
        <v>0</v>
      </c>
      <c r="Q74" s="23">
        <f>'LU OLS Model'!$B$8*F74</f>
        <v>10663463.283272332</v>
      </c>
      <c r="R74" s="23">
        <f>'LU OLS Model'!$B$9*G74</f>
        <v>43336217.081925809</v>
      </c>
      <c r="S74" s="23">
        <f>'LU OLS Model'!$B$10*H74</f>
        <v>-2471587.7851652196</v>
      </c>
      <c r="T74" s="23">
        <f>'LU OLS Model'!$B$11*I74</f>
        <v>0</v>
      </c>
      <c r="U74" s="23">
        <f>'LU OLS Model'!$B$12*J74</f>
        <v>0</v>
      </c>
      <c r="V74" s="23">
        <f>'LU OLS Model'!$B$13*K74</f>
        <v>0</v>
      </c>
      <c r="W74" s="23">
        <f>'LU OLS Model'!$B$14*L74</f>
        <v>0</v>
      </c>
      <c r="X74" s="23">
        <f t="shared" ca="1" si="10"/>
        <v>12845572.305474505</v>
      </c>
    </row>
    <row r="75" spans="1:24">
      <c r="A75" s="11">
        <v>42036</v>
      </c>
      <c r="B75" s="6">
        <f t="shared" si="9"/>
        <v>2015</v>
      </c>
      <c r="D75">
        <f t="shared" ca="1" si="6"/>
        <v>682.50999999999988</v>
      </c>
      <c r="E75">
        <f t="shared" ca="1" si="6"/>
        <v>0</v>
      </c>
      <c r="F75">
        <f t="shared" si="6"/>
        <v>28</v>
      </c>
      <c r="G75" s="30">
        <f>G63*(1+SUMIF('Ontario Employment Growth'!B:B,B75,'Ontario Employment Growth'!G:G))</f>
        <v>6846.7952999999998</v>
      </c>
      <c r="H75">
        <f t="shared" si="7"/>
        <v>74</v>
      </c>
      <c r="I75">
        <f t="shared" si="5"/>
        <v>0</v>
      </c>
      <c r="J75">
        <f t="shared" si="5"/>
        <v>0</v>
      </c>
      <c r="K75">
        <f t="shared" si="5"/>
        <v>0</v>
      </c>
      <c r="L75">
        <f t="shared" si="8"/>
        <v>0</v>
      </c>
      <c r="N75" s="23">
        <f>'LU OLS Model'!$B$5</f>
        <v>-37159358.269763596</v>
      </c>
      <c r="O75" s="23">
        <f ca="1">'LU OLS Model'!$B$6*D75</f>
        <v>-1325496.053618574</v>
      </c>
      <c r="P75" s="23">
        <f ca="1">'LU OLS Model'!$B$7*E75</f>
        <v>0</v>
      </c>
      <c r="Q75" s="23">
        <f>'LU OLS Model'!$B$8*F75</f>
        <v>9631515.223600816</v>
      </c>
      <c r="R75" s="23">
        <f>'LU OLS Model'!$B$9*G75</f>
        <v>43121003.650244072</v>
      </c>
      <c r="S75" s="23">
        <f>'LU OLS Model'!$B$10*H75</f>
        <v>-2505445.1520852912</v>
      </c>
      <c r="T75" s="23">
        <f>'LU OLS Model'!$B$11*I75</f>
        <v>0</v>
      </c>
      <c r="U75" s="23">
        <f>'LU OLS Model'!$B$12*J75</f>
        <v>0</v>
      </c>
      <c r="V75" s="23">
        <f>'LU OLS Model'!$B$13*K75</f>
        <v>0</v>
      </c>
      <c r="W75" s="23">
        <f>'LU OLS Model'!$B$14*L75</f>
        <v>0</v>
      </c>
      <c r="X75" s="23">
        <f t="shared" ca="1" si="10"/>
        <v>11762219.398377428</v>
      </c>
    </row>
    <row r="76" spans="1:24">
      <c r="A76" s="11">
        <v>42064</v>
      </c>
      <c r="B76" s="6">
        <f t="shared" si="9"/>
        <v>2015</v>
      </c>
      <c r="D76">
        <f t="shared" ca="1" si="6"/>
        <v>556.99</v>
      </c>
      <c r="E76">
        <f t="shared" ca="1" si="6"/>
        <v>0</v>
      </c>
      <c r="F76">
        <f t="shared" si="6"/>
        <v>31</v>
      </c>
      <c r="G76" s="30">
        <f>G64*(1+SUMIF('Ontario Employment Growth'!B:B,B76,'Ontario Employment Growth'!G:G))</f>
        <v>6825.5642999999991</v>
      </c>
      <c r="H76">
        <f t="shared" si="7"/>
        <v>75</v>
      </c>
      <c r="I76">
        <f t="shared" si="5"/>
        <v>0</v>
      </c>
      <c r="J76">
        <f t="shared" si="5"/>
        <v>0</v>
      </c>
      <c r="K76">
        <f t="shared" si="5"/>
        <v>0</v>
      </c>
      <c r="L76">
        <f t="shared" si="8"/>
        <v>0</v>
      </c>
      <c r="N76" s="23">
        <f>'LU OLS Model'!$B$5</f>
        <v>-37159358.269763596</v>
      </c>
      <c r="O76" s="23">
        <f ca="1">'LU OLS Model'!$B$6*D76</f>
        <v>-1081724.8786171773</v>
      </c>
      <c r="P76" s="23">
        <f ca="1">'LU OLS Model'!$B$7*E76</f>
        <v>0</v>
      </c>
      <c r="Q76" s="23">
        <f>'LU OLS Model'!$B$8*F76</f>
        <v>10663463.283272332</v>
      </c>
      <c r="R76" s="23">
        <f>'LU OLS Model'!$B$9*G76</f>
        <v>42987291.163104519</v>
      </c>
      <c r="S76" s="23">
        <f>'LU OLS Model'!$B$10*H76</f>
        <v>-2539302.5190053624</v>
      </c>
      <c r="T76" s="23">
        <f>'LU OLS Model'!$B$11*I76</f>
        <v>0</v>
      </c>
      <c r="U76" s="23">
        <f>'LU OLS Model'!$B$12*J76</f>
        <v>0</v>
      </c>
      <c r="V76" s="23">
        <f>'LU OLS Model'!$B$13*K76</f>
        <v>0</v>
      </c>
      <c r="W76" s="23">
        <f>'LU OLS Model'!$B$14*L76</f>
        <v>0</v>
      </c>
      <c r="X76" s="23">
        <f t="shared" ca="1" si="10"/>
        <v>12870368.778990719</v>
      </c>
    </row>
    <row r="77" spans="1:24">
      <c r="A77" s="11">
        <v>42095</v>
      </c>
      <c r="B77" s="6">
        <f t="shared" si="9"/>
        <v>2015</v>
      </c>
      <c r="D77">
        <f t="shared" ca="1" si="6"/>
        <v>326.58999999999997</v>
      </c>
      <c r="E77">
        <f t="shared" ca="1" si="6"/>
        <v>0.39</v>
      </c>
      <c r="F77">
        <f t="shared" si="6"/>
        <v>30</v>
      </c>
      <c r="G77" s="30">
        <f>G65*(1+SUMIF('Ontario Employment Growth'!B:B,B77,'Ontario Employment Growth'!G:G))</f>
        <v>6859.6349999999993</v>
      </c>
      <c r="H77">
        <f t="shared" si="7"/>
        <v>76</v>
      </c>
      <c r="I77">
        <f t="shared" si="5"/>
        <v>0</v>
      </c>
      <c r="J77">
        <f t="shared" si="5"/>
        <v>1</v>
      </c>
      <c r="K77">
        <f t="shared" si="5"/>
        <v>0</v>
      </c>
      <c r="L77">
        <f t="shared" si="8"/>
        <v>0</v>
      </c>
      <c r="N77" s="23">
        <f>'LU OLS Model'!$B$5</f>
        <v>-37159358.269763596</v>
      </c>
      <c r="O77" s="23">
        <f ca="1">'LU OLS Model'!$B$6*D77</f>
        <v>-634267.27249606617</v>
      </c>
      <c r="P77" s="23">
        <f ca="1">'LU OLS Model'!$B$7*E77</f>
        <v>7322.6846434558438</v>
      </c>
      <c r="Q77" s="23">
        <f>'LU OLS Model'!$B$8*F77</f>
        <v>10319480.59671516</v>
      </c>
      <c r="R77" s="23">
        <f>'LU OLS Model'!$B$9*G77</f>
        <v>43201867.86865703</v>
      </c>
      <c r="S77" s="23">
        <f>'LU OLS Model'!$B$10*H77</f>
        <v>-2573159.8859254341</v>
      </c>
      <c r="T77" s="23">
        <f>'LU OLS Model'!$B$11*I77</f>
        <v>0</v>
      </c>
      <c r="U77" s="23">
        <f>'LU OLS Model'!$B$12*J77</f>
        <v>-1039228.3455262</v>
      </c>
      <c r="V77" s="23">
        <f>'LU OLS Model'!$B$13*K77</f>
        <v>0</v>
      </c>
      <c r="W77" s="23">
        <f>'LU OLS Model'!$B$14*L77</f>
        <v>0</v>
      </c>
      <c r="X77" s="23">
        <f t="shared" ca="1" si="10"/>
        <v>12122657.376304347</v>
      </c>
    </row>
    <row r="78" spans="1:24">
      <c r="A78" s="11">
        <v>42125</v>
      </c>
      <c r="B78" s="6">
        <f t="shared" si="9"/>
        <v>2015</v>
      </c>
      <c r="D78">
        <f t="shared" ca="1" si="6"/>
        <v>144.96</v>
      </c>
      <c r="E78">
        <f t="shared" ca="1" si="6"/>
        <v>8.67</v>
      </c>
      <c r="F78">
        <f t="shared" si="6"/>
        <v>31</v>
      </c>
      <c r="G78" s="30">
        <f>G66*(1+SUMIF('Ontario Employment Growth'!B:B,B78,'Ontario Employment Growth'!G:G))</f>
        <v>6917.8685999999998</v>
      </c>
      <c r="H78">
        <f t="shared" si="7"/>
        <v>77</v>
      </c>
      <c r="I78">
        <f t="shared" ref="I78:L93" si="11">I66</f>
        <v>0</v>
      </c>
      <c r="J78">
        <f t="shared" si="11"/>
        <v>0</v>
      </c>
      <c r="K78">
        <f t="shared" si="11"/>
        <v>0</v>
      </c>
      <c r="L78">
        <f t="shared" si="11"/>
        <v>1</v>
      </c>
      <c r="N78" s="23">
        <f>'LU OLS Model'!$B$5</f>
        <v>-37159358.269763596</v>
      </c>
      <c r="O78" s="23">
        <f ca="1">'LU OLS Model'!$B$6*D78</f>
        <v>-281525.41051786573</v>
      </c>
      <c r="P78" s="23">
        <f ca="1">'LU OLS Model'!$B$7*E78</f>
        <v>162788.91245836453</v>
      </c>
      <c r="Q78" s="23">
        <f>'LU OLS Model'!$B$8*F78</f>
        <v>10663463.283272332</v>
      </c>
      <c r="R78" s="23">
        <f>'LU OLS Model'!$B$9*G78</f>
        <v>43568622.11909692</v>
      </c>
      <c r="S78" s="23">
        <f>'LU OLS Model'!$B$10*H78</f>
        <v>-2607017.2528455057</v>
      </c>
      <c r="T78" s="23">
        <f>'LU OLS Model'!$B$11*I78</f>
        <v>0</v>
      </c>
      <c r="U78" s="23">
        <f>'LU OLS Model'!$B$12*J78</f>
        <v>0</v>
      </c>
      <c r="V78" s="23">
        <f>'LU OLS Model'!$B$13*K78</f>
        <v>0</v>
      </c>
      <c r="W78" s="23">
        <f>'LU OLS Model'!$B$14*L78</f>
        <v>-1700644.40454555</v>
      </c>
      <c r="X78" s="23">
        <f t="shared" ca="1" si="10"/>
        <v>12646328.977155106</v>
      </c>
    </row>
    <row r="79" spans="1:24">
      <c r="A79" s="11">
        <v>42156</v>
      </c>
      <c r="B79" s="6">
        <f t="shared" si="9"/>
        <v>2015</v>
      </c>
      <c r="D79">
        <f t="shared" ref="D79:F94" ca="1" si="12">D67</f>
        <v>41.510000000000005</v>
      </c>
      <c r="E79">
        <f t="shared" ca="1" si="12"/>
        <v>44.41</v>
      </c>
      <c r="F79">
        <f t="shared" si="12"/>
        <v>30</v>
      </c>
      <c r="G79" s="30">
        <f>G67*(1+SUMIF('Ontario Employment Growth'!B:B,B79,'Ontario Employment Growth'!G:G))</f>
        <v>6988.9418999999989</v>
      </c>
      <c r="H79">
        <f t="shared" si="7"/>
        <v>78</v>
      </c>
      <c r="I79">
        <f t="shared" si="11"/>
        <v>0</v>
      </c>
      <c r="J79">
        <f t="shared" si="11"/>
        <v>0</v>
      </c>
      <c r="K79">
        <f t="shared" si="11"/>
        <v>0</v>
      </c>
      <c r="L79">
        <f t="shared" si="11"/>
        <v>1</v>
      </c>
      <c r="N79" s="23">
        <f>'LU OLS Model'!$B$5</f>
        <v>-37159358.269763596</v>
      </c>
      <c r="O79" s="23">
        <f ca="1">'LU OLS Model'!$B$6*D79</f>
        <v>-80616.168533365111</v>
      </c>
      <c r="P79" s="23">
        <f ca="1">'LU OLS Model'!$B$7*E79</f>
        <v>833847.24363044614</v>
      </c>
      <c r="Q79" s="23">
        <f>'LU OLS Model'!$B$8*F79</f>
        <v>10319480.59671516</v>
      </c>
      <c r="R79" s="23">
        <f>'LU OLS Model'!$B$9*G79</f>
        <v>44016240.587949768</v>
      </c>
      <c r="S79" s="23">
        <f>'LU OLS Model'!$B$10*H79</f>
        <v>-2640874.6197655769</v>
      </c>
      <c r="T79" s="23">
        <f>'LU OLS Model'!$B$11*I79</f>
        <v>0</v>
      </c>
      <c r="U79" s="23">
        <f>'LU OLS Model'!$B$12*J79</f>
        <v>0</v>
      </c>
      <c r="V79" s="23">
        <f>'LU OLS Model'!$B$13*K79</f>
        <v>0</v>
      </c>
      <c r="W79" s="23">
        <f>'LU OLS Model'!$B$14*L79</f>
        <v>-1700644.40454555</v>
      </c>
      <c r="X79" s="23">
        <f t="shared" ca="1" si="10"/>
        <v>13588074.96568729</v>
      </c>
    </row>
    <row r="80" spans="1:24">
      <c r="A80" s="11">
        <v>42186</v>
      </c>
      <c r="B80" s="6">
        <f t="shared" si="9"/>
        <v>2015</v>
      </c>
      <c r="D80">
        <f t="shared" ca="1" si="12"/>
        <v>5.01</v>
      </c>
      <c r="E80">
        <f t="shared" ca="1" si="12"/>
        <v>96.909999999999982</v>
      </c>
      <c r="F80">
        <f t="shared" si="12"/>
        <v>31</v>
      </c>
      <c r="G80" s="30">
        <f>G68*(1+SUMIF('Ontario Employment Growth'!B:B,B80,'Ontario Employment Growth'!G:G))</f>
        <v>7034.3357999999998</v>
      </c>
      <c r="H80">
        <f t="shared" si="7"/>
        <v>79</v>
      </c>
      <c r="I80">
        <f t="shared" si="11"/>
        <v>0</v>
      </c>
      <c r="J80">
        <f t="shared" si="11"/>
        <v>0</v>
      </c>
      <c r="K80">
        <f t="shared" si="11"/>
        <v>0</v>
      </c>
      <c r="L80">
        <f t="shared" si="11"/>
        <v>1</v>
      </c>
      <c r="N80" s="23">
        <f>'LU OLS Model'!$B$5</f>
        <v>-37159358.269763596</v>
      </c>
      <c r="O80" s="23">
        <f ca="1">'LU OLS Model'!$B$6*D80</f>
        <v>-9729.8724247689515</v>
      </c>
      <c r="P80" s="23">
        <f ca="1">'LU OLS Model'!$B$7*E80</f>
        <v>1819593.2533264249</v>
      </c>
      <c r="Q80" s="23">
        <f>'LU OLS Model'!$B$8*F80</f>
        <v>10663463.283272332</v>
      </c>
      <c r="R80" s="23">
        <f>'LU OLS Model'!$B$9*G80</f>
        <v>44302130.619976699</v>
      </c>
      <c r="S80" s="23">
        <f>'LU OLS Model'!$B$10*H80</f>
        <v>-2674731.9866856486</v>
      </c>
      <c r="T80" s="23">
        <f>'LU OLS Model'!$B$11*I80</f>
        <v>0</v>
      </c>
      <c r="U80" s="23">
        <f>'LU OLS Model'!$B$12*J80</f>
        <v>0</v>
      </c>
      <c r="V80" s="23">
        <f>'LU OLS Model'!$B$13*K80</f>
        <v>0</v>
      </c>
      <c r="W80" s="23">
        <f>'LU OLS Model'!$B$14*L80</f>
        <v>-1700644.40454555</v>
      </c>
      <c r="X80" s="23">
        <f t="shared" ca="1" si="10"/>
        <v>15240722.623155896</v>
      </c>
    </row>
    <row r="81" spans="1:24">
      <c r="A81" s="11">
        <v>42217</v>
      </c>
      <c r="B81" s="6">
        <f t="shared" si="9"/>
        <v>2015</v>
      </c>
      <c r="D81">
        <f t="shared" ca="1" si="12"/>
        <v>12.719999999999999</v>
      </c>
      <c r="E81">
        <f t="shared" ca="1" si="12"/>
        <v>77.22999999999999</v>
      </c>
      <c r="F81">
        <f t="shared" si="12"/>
        <v>31</v>
      </c>
      <c r="G81" s="30">
        <f>G69*(1+SUMIF('Ontario Employment Growth'!B:B,B81,'Ontario Employment Growth'!G:G))</f>
        <v>7046.3666999999987</v>
      </c>
      <c r="H81">
        <f t="shared" si="7"/>
        <v>80</v>
      </c>
      <c r="I81">
        <f t="shared" si="11"/>
        <v>0</v>
      </c>
      <c r="J81">
        <f t="shared" si="11"/>
        <v>0</v>
      </c>
      <c r="K81">
        <f t="shared" si="11"/>
        <v>0</v>
      </c>
      <c r="L81">
        <f t="shared" si="11"/>
        <v>1</v>
      </c>
      <c r="N81" s="23">
        <f>'LU OLS Model'!$B$5</f>
        <v>-37159358.269763596</v>
      </c>
      <c r="O81" s="23">
        <f ca="1">'LU OLS Model'!$B$6*D81</f>
        <v>-24703.388671269669</v>
      </c>
      <c r="P81" s="23">
        <f ca="1">'LU OLS Model'!$B$7*E81</f>
        <v>1450079.3205489609</v>
      </c>
      <c r="Q81" s="23">
        <f>'LU OLS Model'!$B$8*F81</f>
        <v>10663463.283272332</v>
      </c>
      <c r="R81" s="23">
        <f>'LU OLS Model'!$B$9*G81</f>
        <v>44377901.029355764</v>
      </c>
      <c r="S81" s="23">
        <f>'LU OLS Model'!$B$10*H81</f>
        <v>-2708589.3536057202</v>
      </c>
      <c r="T81" s="23">
        <f>'LU OLS Model'!$B$11*I81</f>
        <v>0</v>
      </c>
      <c r="U81" s="23">
        <f>'LU OLS Model'!$B$12*J81</f>
        <v>0</v>
      </c>
      <c r="V81" s="23">
        <f>'LU OLS Model'!$B$13*K81</f>
        <v>0</v>
      </c>
      <c r="W81" s="23">
        <f>'LU OLS Model'!$B$14*L81</f>
        <v>-1700644.40454555</v>
      </c>
      <c r="X81" s="23">
        <f t="shared" ca="1" si="10"/>
        <v>14898148.216590919</v>
      </c>
    </row>
    <row r="82" spans="1:24">
      <c r="A82" s="11">
        <v>42248</v>
      </c>
      <c r="B82" s="6">
        <f t="shared" si="9"/>
        <v>2015</v>
      </c>
      <c r="D82">
        <f t="shared" ca="1" si="12"/>
        <v>86.570000000000007</v>
      </c>
      <c r="E82">
        <f t="shared" ca="1" si="12"/>
        <v>19.899999999999999</v>
      </c>
      <c r="F82">
        <f t="shared" si="12"/>
        <v>30</v>
      </c>
      <c r="G82" s="30">
        <f>G70*(1+SUMIF('Ontario Employment Growth'!B:B,B82,'Ontario Employment Growth'!G:G))</f>
        <v>7020.4850999999999</v>
      </c>
      <c r="H82">
        <f t="shared" si="7"/>
        <v>81</v>
      </c>
      <c r="I82">
        <f t="shared" si="11"/>
        <v>1</v>
      </c>
      <c r="J82">
        <f t="shared" si="11"/>
        <v>0</v>
      </c>
      <c r="K82">
        <f t="shared" si="11"/>
        <v>0</v>
      </c>
      <c r="L82">
        <f t="shared" si="11"/>
        <v>0</v>
      </c>
      <c r="N82" s="23">
        <f>'LU OLS Model'!$B$5</f>
        <v>-37159358.269763596</v>
      </c>
      <c r="O82" s="23">
        <f ca="1">'LU OLS Model'!$B$6*D82</f>
        <v>-168126.75764715532</v>
      </c>
      <c r="P82" s="23">
        <f ca="1">'LU OLS Model'!$B$7*E82</f>
        <v>373644.67796095199</v>
      </c>
      <c r="Q82" s="23">
        <f>'LU OLS Model'!$B$8*F82</f>
        <v>10319480.59671516</v>
      </c>
      <c r="R82" s="23">
        <f>'LU OLS Model'!$B$9*G82</f>
        <v>44214899.140271373</v>
      </c>
      <c r="S82" s="23">
        <f>'LU OLS Model'!$B$10*H82</f>
        <v>-2742446.7205257914</v>
      </c>
      <c r="T82" s="23">
        <f>'LU OLS Model'!$B$11*I82</f>
        <v>-1059857.8947751301</v>
      </c>
      <c r="U82" s="23">
        <f>'LU OLS Model'!$B$12*J82</f>
        <v>0</v>
      </c>
      <c r="V82" s="23">
        <f>'LU OLS Model'!$B$13*K82</f>
        <v>0</v>
      </c>
      <c r="W82" s="23">
        <f>'LU OLS Model'!$B$14*L82</f>
        <v>0</v>
      </c>
      <c r="X82" s="23">
        <f t="shared" ca="1" si="10"/>
        <v>13778234.772235813</v>
      </c>
    </row>
    <row r="83" spans="1:24">
      <c r="A83" s="11">
        <v>42278</v>
      </c>
      <c r="B83" s="6">
        <f t="shared" si="9"/>
        <v>2015</v>
      </c>
      <c r="D83">
        <f t="shared" ca="1" si="12"/>
        <v>270.3</v>
      </c>
      <c r="E83">
        <f t="shared" ca="1" si="12"/>
        <v>1.21</v>
      </c>
      <c r="F83">
        <f t="shared" si="12"/>
        <v>31</v>
      </c>
      <c r="G83" s="30">
        <f>G71*(1+SUMIF('Ontario Employment Growth'!B:B,B83,'Ontario Employment Growth'!G:G))</f>
        <v>7012.9025999999994</v>
      </c>
      <c r="H83">
        <f t="shared" si="7"/>
        <v>82</v>
      </c>
      <c r="I83">
        <f t="shared" si="11"/>
        <v>1</v>
      </c>
      <c r="J83">
        <f t="shared" si="11"/>
        <v>0</v>
      </c>
      <c r="K83">
        <f t="shared" si="11"/>
        <v>0</v>
      </c>
      <c r="L83">
        <f t="shared" si="11"/>
        <v>0</v>
      </c>
      <c r="N83" s="23">
        <f>'LU OLS Model'!$B$5</f>
        <v>-37159358.269763596</v>
      </c>
      <c r="O83" s="23">
        <f ca="1">'LU OLS Model'!$B$6*D83</f>
        <v>-524947.00926448056</v>
      </c>
      <c r="P83" s="23">
        <f ca="1">'LU OLS Model'!$B$7*E83</f>
        <v>22719.098509183514</v>
      </c>
      <c r="Q83" s="23">
        <f>'LU OLS Model'!$B$8*F83</f>
        <v>10663463.283272332</v>
      </c>
      <c r="R83" s="23">
        <f>'LU OLS Model'!$B$9*G83</f>
        <v>44167144.680578679</v>
      </c>
      <c r="S83" s="23">
        <f>'LU OLS Model'!$B$10*H83</f>
        <v>-2776304.0874458631</v>
      </c>
      <c r="T83" s="23">
        <f>'LU OLS Model'!$B$11*I83</f>
        <v>-1059857.8947751301</v>
      </c>
      <c r="U83" s="23">
        <f>'LU OLS Model'!$B$12*J83</f>
        <v>0</v>
      </c>
      <c r="V83" s="23">
        <f>'LU OLS Model'!$B$13*K83</f>
        <v>0</v>
      </c>
      <c r="W83" s="23">
        <f>'LU OLS Model'!$B$14*L83</f>
        <v>0</v>
      </c>
      <c r="X83" s="23">
        <f t="shared" ca="1" si="10"/>
        <v>13332859.801111124</v>
      </c>
    </row>
    <row r="84" spans="1:24">
      <c r="A84" s="11">
        <v>42309</v>
      </c>
      <c r="B84" s="6">
        <f t="shared" si="9"/>
        <v>2015</v>
      </c>
      <c r="D84">
        <f t="shared" ca="1" si="12"/>
        <v>444.05</v>
      </c>
      <c r="E84">
        <f t="shared" ca="1" si="12"/>
        <v>0</v>
      </c>
      <c r="F84">
        <f t="shared" si="12"/>
        <v>30</v>
      </c>
      <c r="G84" s="30">
        <f>G72*(1+SUMIF('Ontario Employment Growth'!B:B,B84,'Ontario Employment Growth'!G:G))</f>
        <v>6990.3572999999997</v>
      </c>
      <c r="H84">
        <f t="shared" si="7"/>
        <v>83</v>
      </c>
      <c r="I84">
        <f t="shared" si="11"/>
        <v>1</v>
      </c>
      <c r="J84">
        <f t="shared" si="11"/>
        <v>0</v>
      </c>
      <c r="K84">
        <f t="shared" si="11"/>
        <v>0</v>
      </c>
      <c r="L84">
        <f t="shared" si="11"/>
        <v>0</v>
      </c>
      <c r="N84" s="23">
        <f>'LU OLS Model'!$B$5</f>
        <v>-37159358.269763596</v>
      </c>
      <c r="O84" s="23">
        <f ca="1">'LU OLS Model'!$B$6*D84</f>
        <v>-862385.19964444172</v>
      </c>
      <c r="P84" s="23">
        <f ca="1">'LU OLS Model'!$B$7*E84</f>
        <v>0</v>
      </c>
      <c r="Q84" s="23">
        <f>'LU OLS Model'!$B$8*F84</f>
        <v>10319480.59671516</v>
      </c>
      <c r="R84" s="23">
        <f>'LU OLS Model'!$B$9*G84</f>
        <v>44025154.753759071</v>
      </c>
      <c r="S84" s="23">
        <f>'LU OLS Model'!$B$10*H84</f>
        <v>-2810161.4543659347</v>
      </c>
      <c r="T84" s="23">
        <f>'LU OLS Model'!$B$11*I84</f>
        <v>-1059857.8947751301</v>
      </c>
      <c r="U84" s="23">
        <f>'LU OLS Model'!$B$12*J84</f>
        <v>0</v>
      </c>
      <c r="V84" s="23">
        <f>'LU OLS Model'!$B$13*K84</f>
        <v>0</v>
      </c>
      <c r="W84" s="23">
        <f>'LU OLS Model'!$B$14*L84</f>
        <v>0</v>
      </c>
      <c r="X84" s="23">
        <f t="shared" ca="1" si="10"/>
        <v>12452872.531925131</v>
      </c>
    </row>
    <row r="85" spans="1:24">
      <c r="A85" s="11">
        <v>42339</v>
      </c>
      <c r="B85" s="6">
        <f t="shared" si="9"/>
        <v>2015</v>
      </c>
      <c r="D85">
        <f t="shared" ca="1" si="12"/>
        <v>684.01</v>
      </c>
      <c r="E85">
        <f t="shared" ca="1" si="12"/>
        <v>0</v>
      </c>
      <c r="F85">
        <f t="shared" si="12"/>
        <v>31</v>
      </c>
      <c r="G85" s="30">
        <f>G73*(1+SUMIF('Ontario Employment Growth'!B:B,B85,'Ontario Employment Growth'!G:G))</f>
        <v>6979.1351999999988</v>
      </c>
      <c r="H85">
        <f t="shared" si="7"/>
        <v>84</v>
      </c>
      <c r="I85">
        <f t="shared" si="11"/>
        <v>0</v>
      </c>
      <c r="J85">
        <f t="shared" si="11"/>
        <v>0</v>
      </c>
      <c r="K85">
        <f t="shared" si="11"/>
        <v>1</v>
      </c>
      <c r="L85">
        <f t="shared" si="11"/>
        <v>0</v>
      </c>
      <c r="N85" s="23">
        <f>'LU OLS Model'!$B$5</f>
        <v>-37159358.269763596</v>
      </c>
      <c r="O85" s="23">
        <f ca="1">'LU OLS Model'!$B$6*D85</f>
        <v>-1328409.1890750919</v>
      </c>
      <c r="P85" s="23">
        <f ca="1">'LU OLS Model'!$B$7*E85</f>
        <v>0</v>
      </c>
      <c r="Q85" s="23">
        <f>'LU OLS Model'!$B$8*F85</f>
        <v>10663463.283272332</v>
      </c>
      <c r="R85" s="23">
        <f>'LU OLS Model'!$B$9*G85</f>
        <v>43954478.153413877</v>
      </c>
      <c r="S85" s="23">
        <f>'LU OLS Model'!$B$10*H85</f>
        <v>-2844018.8212860059</v>
      </c>
      <c r="T85" s="23">
        <f>'LU OLS Model'!$B$11*I85</f>
        <v>0</v>
      </c>
      <c r="U85" s="23">
        <f>'LU OLS Model'!$B$12*J85</f>
        <v>0</v>
      </c>
      <c r="V85" s="23">
        <f>'LU OLS Model'!$B$13*K85</f>
        <v>-999570.07441694394</v>
      </c>
      <c r="W85" s="23">
        <f>'LU OLS Model'!$B$14*L85</f>
        <v>0</v>
      </c>
      <c r="X85" s="23">
        <f t="shared" ca="1" si="10"/>
        <v>12286585.082144573</v>
      </c>
    </row>
    <row r="86" spans="1:24">
      <c r="A86" s="11">
        <v>42370</v>
      </c>
      <c r="B86" s="6">
        <f t="shared" si="9"/>
        <v>2016</v>
      </c>
      <c r="D86">
        <f t="shared" ca="1" si="12"/>
        <v>784.29</v>
      </c>
      <c r="E86">
        <f t="shared" ca="1" si="12"/>
        <v>0</v>
      </c>
      <c r="F86">
        <f t="shared" si="12"/>
        <v>31</v>
      </c>
      <c r="G86" s="30">
        <f>G74*(1+SUMIF('Ontario Employment Growth'!B:B,B86,'Ontario Employment Growth'!G:G))</f>
        <v>6970.4196722999995</v>
      </c>
      <c r="H86">
        <f t="shared" si="7"/>
        <v>85</v>
      </c>
      <c r="I86">
        <f t="shared" si="11"/>
        <v>0</v>
      </c>
      <c r="J86">
        <f t="shared" si="11"/>
        <v>0</v>
      </c>
      <c r="K86">
        <f t="shared" si="11"/>
        <v>0</v>
      </c>
      <c r="L86">
        <f t="shared" si="11"/>
        <v>0</v>
      </c>
      <c r="N86" s="23">
        <f>'LU OLS Model'!$B$5</f>
        <v>-37159358.269763596</v>
      </c>
      <c r="O86" s="23">
        <f ca="1">'LU OLS Model'!$B$6*D86</f>
        <v>-1523162.0047948186</v>
      </c>
      <c r="P86" s="23">
        <f ca="1">'LU OLS Model'!$B$7*E86</f>
        <v>0</v>
      </c>
      <c r="Q86" s="23">
        <f>'LU OLS Model'!$B$8*F86</f>
        <v>10663463.283272332</v>
      </c>
      <c r="R86" s="23">
        <f>'LU OLS Model'!$B$9*G86</f>
        <v>43899587.903990842</v>
      </c>
      <c r="S86" s="23">
        <f>'LU OLS Model'!$B$10*H86</f>
        <v>-2877876.1882060776</v>
      </c>
      <c r="T86" s="23">
        <f>'LU OLS Model'!$B$11*I86</f>
        <v>0</v>
      </c>
      <c r="U86" s="23">
        <f>'LU OLS Model'!$B$12*J86</f>
        <v>0</v>
      </c>
      <c r="V86" s="23">
        <f>'LU OLS Model'!$B$13*K86</f>
        <v>0</v>
      </c>
      <c r="W86" s="23">
        <f>'LU OLS Model'!$B$14*L86</f>
        <v>0</v>
      </c>
      <c r="X86" s="23">
        <f t="shared" ca="1" si="10"/>
        <v>13002654.724498682</v>
      </c>
    </row>
    <row r="87" spans="1:24">
      <c r="A87" s="11">
        <v>42401</v>
      </c>
      <c r="B87" s="6">
        <f t="shared" si="9"/>
        <v>2016</v>
      </c>
      <c r="D87">
        <f t="shared" ca="1" si="12"/>
        <v>682.50999999999988</v>
      </c>
      <c r="E87">
        <f t="shared" ca="1" si="12"/>
        <v>0</v>
      </c>
      <c r="F87">
        <v>29</v>
      </c>
      <c r="G87" s="30">
        <f>G75*(1+SUMIF('Ontario Employment Growth'!B:B,B87,'Ontario Employment Growth'!G:G))</f>
        <v>6935.803638899999</v>
      </c>
      <c r="H87">
        <f t="shared" si="7"/>
        <v>86</v>
      </c>
      <c r="I87">
        <f t="shared" si="11"/>
        <v>0</v>
      </c>
      <c r="J87">
        <f t="shared" si="11"/>
        <v>0</v>
      </c>
      <c r="K87">
        <f t="shared" si="11"/>
        <v>0</v>
      </c>
      <c r="L87">
        <f t="shared" si="11"/>
        <v>0</v>
      </c>
      <c r="N87" s="23">
        <f>'LU OLS Model'!$B$5</f>
        <v>-37159358.269763596</v>
      </c>
      <c r="O87" s="23">
        <f ca="1">'LU OLS Model'!$B$6*D87</f>
        <v>-1325496.053618574</v>
      </c>
      <c r="P87" s="23">
        <f ca="1">'LU OLS Model'!$B$7*E87</f>
        <v>0</v>
      </c>
      <c r="Q87" s="23">
        <f>'LU OLS Model'!$B$8*F87</f>
        <v>9975497.9101579878</v>
      </c>
      <c r="R87" s="23">
        <f>'LU OLS Model'!$B$9*G87</f>
        <v>43681576.697697237</v>
      </c>
      <c r="S87" s="23">
        <f>'LU OLS Model'!$B$10*H87</f>
        <v>-2911733.5551261492</v>
      </c>
      <c r="T87" s="23">
        <f>'LU OLS Model'!$B$11*I87</f>
        <v>0</v>
      </c>
      <c r="U87" s="23">
        <f>'LU OLS Model'!$B$12*J87</f>
        <v>0</v>
      </c>
      <c r="V87" s="23">
        <f>'LU OLS Model'!$B$13*K87</f>
        <v>0</v>
      </c>
      <c r="W87" s="23">
        <f>'LU OLS Model'!$B$14*L87</f>
        <v>0</v>
      </c>
      <c r="X87" s="23">
        <f t="shared" ca="1" si="10"/>
        <v>12260486.729346905</v>
      </c>
    </row>
    <row r="88" spans="1:24">
      <c r="A88" s="11">
        <v>42430</v>
      </c>
      <c r="B88" s="6">
        <f t="shared" si="9"/>
        <v>2016</v>
      </c>
      <c r="D88">
        <f t="shared" ca="1" si="12"/>
        <v>556.99</v>
      </c>
      <c r="E88">
        <f t="shared" ca="1" si="12"/>
        <v>0</v>
      </c>
      <c r="F88">
        <f t="shared" si="12"/>
        <v>31</v>
      </c>
      <c r="G88" s="30">
        <f>G76*(1+SUMIF('Ontario Employment Growth'!B:B,B88,'Ontario Employment Growth'!G:G))</f>
        <v>6914.2966358999984</v>
      </c>
      <c r="H88">
        <f t="shared" si="7"/>
        <v>87</v>
      </c>
      <c r="I88">
        <f t="shared" si="11"/>
        <v>0</v>
      </c>
      <c r="J88">
        <f t="shared" si="11"/>
        <v>0</v>
      </c>
      <c r="K88">
        <f t="shared" si="11"/>
        <v>0</v>
      </c>
      <c r="L88">
        <f t="shared" si="11"/>
        <v>0</v>
      </c>
      <c r="N88" s="23">
        <f>'LU OLS Model'!$B$5</f>
        <v>-37159358.269763596</v>
      </c>
      <c r="O88" s="23">
        <f ca="1">'LU OLS Model'!$B$6*D88</f>
        <v>-1081724.8786171773</v>
      </c>
      <c r="P88" s="23">
        <f ca="1">'LU OLS Model'!$B$7*E88</f>
        <v>0</v>
      </c>
      <c r="Q88" s="23">
        <f>'LU OLS Model'!$B$8*F88</f>
        <v>10663463.283272332</v>
      </c>
      <c r="R88" s="23">
        <f>'LU OLS Model'!$B$9*G88</f>
        <v>43546125.94822488</v>
      </c>
      <c r="S88" s="23">
        <f>'LU OLS Model'!$B$10*H88</f>
        <v>-2945590.9220462204</v>
      </c>
      <c r="T88" s="23">
        <f>'LU OLS Model'!$B$11*I88</f>
        <v>0</v>
      </c>
      <c r="U88" s="23">
        <f>'LU OLS Model'!$B$12*J88</f>
        <v>0</v>
      </c>
      <c r="V88" s="23">
        <f>'LU OLS Model'!$B$13*K88</f>
        <v>0</v>
      </c>
      <c r="W88" s="23">
        <f>'LU OLS Model'!$B$14*L88</f>
        <v>0</v>
      </c>
      <c r="X88" s="23">
        <f t="shared" ca="1" si="10"/>
        <v>13022915.161070222</v>
      </c>
    </row>
    <row r="89" spans="1:24">
      <c r="A89" s="11">
        <v>42461</v>
      </c>
      <c r="B89" s="6">
        <f t="shared" si="9"/>
        <v>2016</v>
      </c>
      <c r="D89">
        <f t="shared" ca="1" si="12"/>
        <v>326.58999999999997</v>
      </c>
      <c r="E89">
        <f t="shared" ca="1" si="12"/>
        <v>0.39</v>
      </c>
      <c r="F89">
        <f t="shared" si="12"/>
        <v>30</v>
      </c>
      <c r="G89" s="30">
        <f>G77*(1+SUMIF('Ontario Employment Growth'!B:B,B89,'Ontario Employment Growth'!G:G))</f>
        <v>6948.8102549999985</v>
      </c>
      <c r="H89">
        <f t="shared" si="7"/>
        <v>88</v>
      </c>
      <c r="I89">
        <f t="shared" si="11"/>
        <v>0</v>
      </c>
      <c r="J89">
        <f t="shared" si="11"/>
        <v>1</v>
      </c>
      <c r="K89">
        <f t="shared" si="11"/>
        <v>0</v>
      </c>
      <c r="L89">
        <f t="shared" si="11"/>
        <v>0</v>
      </c>
      <c r="N89" s="23">
        <f>'LU OLS Model'!$B$5</f>
        <v>-37159358.269763596</v>
      </c>
      <c r="O89" s="23">
        <f ca="1">'LU OLS Model'!$B$6*D89</f>
        <v>-634267.27249606617</v>
      </c>
      <c r="P89" s="23">
        <f ca="1">'LU OLS Model'!$B$7*E89</f>
        <v>7322.6846434558438</v>
      </c>
      <c r="Q89" s="23">
        <f>'LU OLS Model'!$B$8*F89</f>
        <v>10319480.59671516</v>
      </c>
      <c r="R89" s="23">
        <f>'LU OLS Model'!$B$9*G89</f>
        <v>43763492.150949568</v>
      </c>
      <c r="S89" s="23">
        <f>'LU OLS Model'!$B$10*H89</f>
        <v>-2979448.288966292</v>
      </c>
      <c r="T89" s="23">
        <f>'LU OLS Model'!$B$11*I89</f>
        <v>0</v>
      </c>
      <c r="U89" s="23">
        <f>'LU OLS Model'!$B$12*J89</f>
        <v>-1039228.3455262</v>
      </c>
      <c r="V89" s="23">
        <f>'LU OLS Model'!$B$13*K89</f>
        <v>0</v>
      </c>
      <c r="W89" s="23">
        <f>'LU OLS Model'!$B$14*L89</f>
        <v>0</v>
      </c>
      <c r="X89" s="23">
        <f t="shared" ca="1" si="10"/>
        <v>12277993.255556026</v>
      </c>
    </row>
    <row r="90" spans="1:24">
      <c r="A90" s="11">
        <v>42491</v>
      </c>
      <c r="B90" s="6">
        <f t="shared" si="9"/>
        <v>2016</v>
      </c>
      <c r="D90">
        <f t="shared" ca="1" si="12"/>
        <v>144.96</v>
      </c>
      <c r="E90">
        <f t="shared" ca="1" si="12"/>
        <v>8.67</v>
      </c>
      <c r="F90">
        <f t="shared" si="12"/>
        <v>31</v>
      </c>
      <c r="G90" s="30">
        <f>G78*(1+SUMIF('Ontario Employment Growth'!B:B,B90,'Ontario Employment Growth'!G:G))</f>
        <v>7007.8008917999987</v>
      </c>
      <c r="H90">
        <f t="shared" si="7"/>
        <v>89</v>
      </c>
      <c r="I90">
        <f t="shared" si="11"/>
        <v>0</v>
      </c>
      <c r="J90">
        <f t="shared" si="11"/>
        <v>0</v>
      </c>
      <c r="K90">
        <f t="shared" si="11"/>
        <v>0</v>
      </c>
      <c r="L90">
        <f t="shared" si="11"/>
        <v>1</v>
      </c>
      <c r="N90" s="23">
        <f>'LU OLS Model'!$B$5</f>
        <v>-37159358.269763596</v>
      </c>
      <c r="O90" s="23">
        <f ca="1">'LU OLS Model'!$B$6*D90</f>
        <v>-281525.41051786573</v>
      </c>
      <c r="P90" s="23">
        <f ca="1">'LU OLS Model'!$B$7*E90</f>
        <v>162788.91245836453</v>
      </c>
      <c r="Q90" s="23">
        <f>'LU OLS Model'!$B$8*F90</f>
        <v>10663463.283272332</v>
      </c>
      <c r="R90" s="23">
        <f>'LU OLS Model'!$B$9*G90</f>
        <v>44135014.206645176</v>
      </c>
      <c r="S90" s="23">
        <f>'LU OLS Model'!$B$10*H90</f>
        <v>-3013305.6558863637</v>
      </c>
      <c r="T90" s="23">
        <f>'LU OLS Model'!$B$11*I90</f>
        <v>0</v>
      </c>
      <c r="U90" s="23">
        <f>'LU OLS Model'!$B$12*J90</f>
        <v>0</v>
      </c>
      <c r="V90" s="23">
        <f>'LU OLS Model'!$B$13*K90</f>
        <v>0</v>
      </c>
      <c r="W90" s="23">
        <f>'LU OLS Model'!$B$14*L90</f>
        <v>-1700644.40454555</v>
      </c>
      <c r="X90" s="23">
        <f t="shared" ca="1" si="10"/>
        <v>12806432.661662504</v>
      </c>
    </row>
    <row r="91" spans="1:24">
      <c r="A91" s="11">
        <v>42522</v>
      </c>
      <c r="B91" s="6">
        <f t="shared" si="9"/>
        <v>2016</v>
      </c>
      <c r="D91">
        <f t="shared" ca="1" si="12"/>
        <v>41.510000000000005</v>
      </c>
      <c r="E91">
        <f t="shared" ca="1" si="12"/>
        <v>44.41</v>
      </c>
      <c r="F91">
        <f t="shared" si="12"/>
        <v>30</v>
      </c>
      <c r="G91" s="30">
        <f>G79*(1+SUMIF('Ontario Employment Growth'!B:B,B91,'Ontario Employment Growth'!G:G))</f>
        <v>7079.7981446999984</v>
      </c>
      <c r="H91">
        <f t="shared" si="7"/>
        <v>90</v>
      </c>
      <c r="I91">
        <f t="shared" si="11"/>
        <v>0</v>
      </c>
      <c r="J91">
        <f t="shared" si="11"/>
        <v>0</v>
      </c>
      <c r="K91">
        <f t="shared" si="11"/>
        <v>0</v>
      </c>
      <c r="L91">
        <f t="shared" si="11"/>
        <v>1</v>
      </c>
      <c r="N91" s="23">
        <f>'LU OLS Model'!$B$5</f>
        <v>-37159358.269763596</v>
      </c>
      <c r="O91" s="23">
        <f ca="1">'LU OLS Model'!$B$6*D91</f>
        <v>-80616.168533365111</v>
      </c>
      <c r="P91" s="23">
        <f ca="1">'LU OLS Model'!$B$7*E91</f>
        <v>833847.24363044614</v>
      </c>
      <c r="Q91" s="23">
        <f>'LU OLS Model'!$B$8*F91</f>
        <v>10319480.59671516</v>
      </c>
      <c r="R91" s="23">
        <f>'LU OLS Model'!$B$9*G91</f>
        <v>44588451.715593107</v>
      </c>
      <c r="S91" s="23">
        <f>'LU OLS Model'!$B$10*H91</f>
        <v>-3047163.0228064349</v>
      </c>
      <c r="T91" s="23">
        <f>'LU OLS Model'!$B$11*I91</f>
        <v>0</v>
      </c>
      <c r="U91" s="23">
        <f>'LU OLS Model'!$B$12*J91</f>
        <v>0</v>
      </c>
      <c r="V91" s="23">
        <f>'LU OLS Model'!$B$13*K91</f>
        <v>0</v>
      </c>
      <c r="W91" s="23">
        <f>'LU OLS Model'!$B$14*L91</f>
        <v>-1700644.40454555</v>
      </c>
      <c r="X91" s="23">
        <f t="shared" ca="1" si="10"/>
        <v>13753997.690289769</v>
      </c>
    </row>
    <row r="92" spans="1:24">
      <c r="A92" s="11">
        <v>42552</v>
      </c>
      <c r="B92" s="6">
        <f t="shared" si="9"/>
        <v>2016</v>
      </c>
      <c r="D92">
        <f t="shared" ca="1" si="12"/>
        <v>5.01</v>
      </c>
      <c r="E92">
        <f t="shared" ca="1" si="12"/>
        <v>96.909999999999982</v>
      </c>
      <c r="F92">
        <f t="shared" si="12"/>
        <v>31</v>
      </c>
      <c r="G92" s="30">
        <f>G80*(1+SUMIF('Ontario Employment Growth'!B:B,B92,'Ontario Employment Growth'!G:G))</f>
        <v>7125.782165399999</v>
      </c>
      <c r="H92">
        <f t="shared" si="7"/>
        <v>91</v>
      </c>
      <c r="I92">
        <f t="shared" si="11"/>
        <v>0</v>
      </c>
      <c r="J92">
        <f t="shared" si="11"/>
        <v>0</v>
      </c>
      <c r="K92">
        <f t="shared" si="11"/>
        <v>0</v>
      </c>
      <c r="L92">
        <f t="shared" si="11"/>
        <v>1</v>
      </c>
      <c r="N92" s="23">
        <f>'LU OLS Model'!$B$5</f>
        <v>-37159358.269763596</v>
      </c>
      <c r="O92" s="23">
        <f ca="1">'LU OLS Model'!$B$6*D92</f>
        <v>-9729.8724247689515</v>
      </c>
      <c r="P92" s="23">
        <f ca="1">'LU OLS Model'!$B$7*E92</f>
        <v>1819593.2533264249</v>
      </c>
      <c r="Q92" s="23">
        <f>'LU OLS Model'!$B$8*F92</f>
        <v>10663463.283272332</v>
      </c>
      <c r="R92" s="23">
        <f>'LU OLS Model'!$B$9*G92</f>
        <v>44878058.318036392</v>
      </c>
      <c r="S92" s="23">
        <f>'LU OLS Model'!$B$10*H92</f>
        <v>-3081020.3897265065</v>
      </c>
      <c r="T92" s="23">
        <f>'LU OLS Model'!$B$11*I92</f>
        <v>0</v>
      </c>
      <c r="U92" s="23">
        <f>'LU OLS Model'!$B$12*J92</f>
        <v>0</v>
      </c>
      <c r="V92" s="23">
        <f>'LU OLS Model'!$B$13*K92</f>
        <v>0</v>
      </c>
      <c r="W92" s="23">
        <f>'LU OLS Model'!$B$14*L92</f>
        <v>-1700644.40454555</v>
      </c>
      <c r="X92" s="23">
        <f t="shared" ca="1" si="10"/>
        <v>15410361.918174732</v>
      </c>
    </row>
    <row r="93" spans="1:24">
      <c r="A93" s="11">
        <v>42583</v>
      </c>
      <c r="B93" s="6">
        <f t="shared" si="9"/>
        <v>2016</v>
      </c>
      <c r="D93">
        <f t="shared" ca="1" si="12"/>
        <v>12.719999999999999</v>
      </c>
      <c r="E93">
        <f t="shared" ca="1" si="12"/>
        <v>77.22999999999999</v>
      </c>
      <c r="F93">
        <f t="shared" si="12"/>
        <v>31</v>
      </c>
      <c r="G93" s="30">
        <f>G81*(1+SUMIF('Ontario Employment Growth'!B:B,B93,'Ontario Employment Growth'!G:G))</f>
        <v>7137.9694670999979</v>
      </c>
      <c r="H93">
        <f t="shared" si="7"/>
        <v>92</v>
      </c>
      <c r="I93">
        <f t="shared" si="11"/>
        <v>0</v>
      </c>
      <c r="J93">
        <f t="shared" si="11"/>
        <v>0</v>
      </c>
      <c r="K93">
        <f t="shared" si="11"/>
        <v>0</v>
      </c>
      <c r="L93">
        <f t="shared" si="11"/>
        <v>1</v>
      </c>
      <c r="N93" s="23">
        <f>'LU OLS Model'!$B$5</f>
        <v>-37159358.269763596</v>
      </c>
      <c r="O93" s="23">
        <f ca="1">'LU OLS Model'!$B$6*D93</f>
        <v>-24703.388671269669</v>
      </c>
      <c r="P93" s="23">
        <f ca="1">'LU OLS Model'!$B$7*E93</f>
        <v>1450079.3205489609</v>
      </c>
      <c r="Q93" s="23">
        <f>'LU OLS Model'!$B$8*F93</f>
        <v>10663463.283272332</v>
      </c>
      <c r="R93" s="23">
        <f>'LU OLS Model'!$B$9*G93</f>
        <v>44954813.742737383</v>
      </c>
      <c r="S93" s="23">
        <f>'LU OLS Model'!$B$10*H93</f>
        <v>-3114877.7566465782</v>
      </c>
      <c r="T93" s="23">
        <f>'LU OLS Model'!$B$11*I93</f>
        <v>0</v>
      </c>
      <c r="U93" s="23">
        <f>'LU OLS Model'!$B$12*J93</f>
        <v>0</v>
      </c>
      <c r="V93" s="23">
        <f>'LU OLS Model'!$B$13*K93</f>
        <v>0</v>
      </c>
      <c r="W93" s="23">
        <f>'LU OLS Model'!$B$14*L93</f>
        <v>-1700644.40454555</v>
      </c>
      <c r="X93" s="23">
        <f t="shared" ca="1" si="10"/>
        <v>15068772.526931681</v>
      </c>
    </row>
    <row r="94" spans="1:24">
      <c r="A94" s="11">
        <v>42614</v>
      </c>
      <c r="B94" s="6">
        <f t="shared" si="9"/>
        <v>2016</v>
      </c>
      <c r="D94">
        <f t="shared" ca="1" si="12"/>
        <v>86.570000000000007</v>
      </c>
      <c r="E94">
        <f t="shared" ca="1" si="12"/>
        <v>19.899999999999999</v>
      </c>
      <c r="F94">
        <f t="shared" si="12"/>
        <v>30</v>
      </c>
      <c r="G94" s="30">
        <f>G82*(1+SUMIF('Ontario Employment Growth'!B:B,B94,'Ontario Employment Growth'!G:G))</f>
        <v>7111.751406299999</v>
      </c>
      <c r="H94">
        <f t="shared" si="7"/>
        <v>93</v>
      </c>
      <c r="I94">
        <f t="shared" ref="I94:L97" si="13">I82</f>
        <v>1</v>
      </c>
      <c r="J94">
        <f t="shared" si="13"/>
        <v>0</v>
      </c>
      <c r="K94">
        <f t="shared" si="13"/>
        <v>0</v>
      </c>
      <c r="L94">
        <f t="shared" si="13"/>
        <v>0</v>
      </c>
      <c r="N94" s="23">
        <f>'LU OLS Model'!$B$5</f>
        <v>-37159358.269763596</v>
      </c>
      <c r="O94" s="23">
        <f ca="1">'LU OLS Model'!$B$6*D94</f>
        <v>-168126.75764715532</v>
      </c>
      <c r="P94" s="23">
        <f ca="1">'LU OLS Model'!$B$7*E94</f>
        <v>373644.67796095199</v>
      </c>
      <c r="Q94" s="23">
        <f>'LU OLS Model'!$B$8*F94</f>
        <v>10319480.59671516</v>
      </c>
      <c r="R94" s="23">
        <f>'LU OLS Model'!$B$9*G94</f>
        <v>44789692.829094902</v>
      </c>
      <c r="S94" s="23">
        <f>'LU OLS Model'!$B$10*H94</f>
        <v>-3148735.1235666494</v>
      </c>
      <c r="T94" s="23">
        <f>'LU OLS Model'!$B$11*I94</f>
        <v>-1059857.8947751301</v>
      </c>
      <c r="U94" s="23">
        <f>'LU OLS Model'!$B$12*J94</f>
        <v>0</v>
      </c>
      <c r="V94" s="23">
        <f>'LU OLS Model'!$B$13*K94</f>
        <v>0</v>
      </c>
      <c r="W94" s="23">
        <f>'LU OLS Model'!$B$14*L94</f>
        <v>0</v>
      </c>
      <c r="X94" s="23">
        <f t="shared" ca="1" si="10"/>
        <v>13946740.058018483</v>
      </c>
    </row>
    <row r="95" spans="1:24">
      <c r="A95" s="11">
        <v>42644</v>
      </c>
      <c r="B95" s="6">
        <f t="shared" si="9"/>
        <v>2016</v>
      </c>
      <c r="D95">
        <f t="shared" ref="D95:F97" ca="1" si="14">D83</f>
        <v>270.3</v>
      </c>
      <c r="E95">
        <f t="shared" ca="1" si="14"/>
        <v>1.21</v>
      </c>
      <c r="F95">
        <f t="shared" si="14"/>
        <v>31</v>
      </c>
      <c r="G95" s="30">
        <f>G83*(1+SUMIF('Ontario Employment Growth'!B:B,B95,'Ontario Employment Growth'!G:G))</f>
        <v>7104.0703337999985</v>
      </c>
      <c r="H95">
        <f t="shared" si="7"/>
        <v>94</v>
      </c>
      <c r="I95">
        <f t="shared" si="13"/>
        <v>1</v>
      </c>
      <c r="J95">
        <f t="shared" si="13"/>
        <v>0</v>
      </c>
      <c r="K95">
        <f t="shared" si="13"/>
        <v>0</v>
      </c>
      <c r="L95">
        <f t="shared" si="13"/>
        <v>0</v>
      </c>
      <c r="N95" s="23">
        <f>'LU OLS Model'!$B$5</f>
        <v>-37159358.269763596</v>
      </c>
      <c r="O95" s="23">
        <f ca="1">'LU OLS Model'!$B$6*D95</f>
        <v>-524947.00926448056</v>
      </c>
      <c r="P95" s="23">
        <f ca="1">'LU OLS Model'!$B$7*E95</f>
        <v>22719.098509183514</v>
      </c>
      <c r="Q95" s="23">
        <f>'LU OLS Model'!$B$8*F95</f>
        <v>10663463.283272332</v>
      </c>
      <c r="R95" s="23">
        <f>'LU OLS Model'!$B$9*G95</f>
        <v>44741317.5614262</v>
      </c>
      <c r="S95" s="23">
        <f>'LU OLS Model'!$B$10*H95</f>
        <v>-3182592.490486721</v>
      </c>
      <c r="T95" s="23">
        <f>'LU OLS Model'!$B$11*I95</f>
        <v>-1059857.8947751301</v>
      </c>
      <c r="U95" s="23">
        <f>'LU OLS Model'!$B$12*J95</f>
        <v>0</v>
      </c>
      <c r="V95" s="23">
        <f>'LU OLS Model'!$B$13*K95</f>
        <v>0</v>
      </c>
      <c r="W95" s="23">
        <f>'LU OLS Model'!$B$14*L95</f>
        <v>0</v>
      </c>
      <c r="X95" s="23">
        <f t="shared" ca="1" si="10"/>
        <v>13500744.278917788</v>
      </c>
    </row>
    <row r="96" spans="1:24">
      <c r="A96" s="11">
        <v>42675</v>
      </c>
      <c r="B96" s="6">
        <f t="shared" si="9"/>
        <v>2016</v>
      </c>
      <c r="D96">
        <f t="shared" ca="1" si="14"/>
        <v>444.05</v>
      </c>
      <c r="E96">
        <f t="shared" ca="1" si="14"/>
        <v>0</v>
      </c>
      <c r="F96">
        <f t="shared" si="14"/>
        <v>30</v>
      </c>
      <c r="G96" s="30">
        <f>G84*(1+SUMIF('Ontario Employment Growth'!B:B,B96,'Ontario Employment Growth'!G:G))</f>
        <v>7081.2319448999988</v>
      </c>
      <c r="H96">
        <f t="shared" si="7"/>
        <v>95</v>
      </c>
      <c r="I96">
        <f t="shared" si="13"/>
        <v>1</v>
      </c>
      <c r="J96">
        <f t="shared" si="13"/>
        <v>0</v>
      </c>
      <c r="K96">
        <f t="shared" si="13"/>
        <v>0</v>
      </c>
      <c r="L96">
        <f t="shared" si="13"/>
        <v>0</v>
      </c>
      <c r="N96" s="23">
        <f>'LU OLS Model'!$B$5</f>
        <v>-37159358.269763596</v>
      </c>
      <c r="O96" s="23">
        <f ca="1">'LU OLS Model'!$B$6*D96</f>
        <v>-862385.19964444172</v>
      </c>
      <c r="P96" s="23">
        <f ca="1">'LU OLS Model'!$B$7*E96</f>
        <v>0</v>
      </c>
      <c r="Q96" s="23">
        <f>'LU OLS Model'!$B$8*F96</f>
        <v>10319480.59671516</v>
      </c>
      <c r="R96" s="23">
        <f>'LU OLS Model'!$B$9*G96</f>
        <v>44597481.765557937</v>
      </c>
      <c r="S96" s="23">
        <f>'LU OLS Model'!$B$10*H96</f>
        <v>-3216449.8574067927</v>
      </c>
      <c r="T96" s="23">
        <f>'LU OLS Model'!$B$11*I96</f>
        <v>-1059857.8947751301</v>
      </c>
      <c r="U96" s="23">
        <f>'LU OLS Model'!$B$12*J96</f>
        <v>0</v>
      </c>
      <c r="V96" s="23">
        <f>'LU OLS Model'!$B$13*K96</f>
        <v>0</v>
      </c>
      <c r="W96" s="23">
        <f>'LU OLS Model'!$B$14*L96</f>
        <v>0</v>
      </c>
      <c r="X96" s="23">
        <f t="shared" ca="1" si="10"/>
        <v>12618911.140683139</v>
      </c>
    </row>
    <row r="97" spans="1:24">
      <c r="A97" s="11">
        <v>42705</v>
      </c>
      <c r="B97" s="6">
        <f t="shared" si="9"/>
        <v>2016</v>
      </c>
      <c r="D97">
        <f t="shared" ca="1" si="14"/>
        <v>684.01</v>
      </c>
      <c r="E97">
        <f t="shared" ca="1" si="14"/>
        <v>0</v>
      </c>
      <c r="F97">
        <f t="shared" si="14"/>
        <v>31</v>
      </c>
      <c r="G97" s="30">
        <f>G85*(1+SUMIF('Ontario Employment Growth'!B:B,B97,'Ontario Employment Growth'!G:G))</f>
        <v>7069.8639575999978</v>
      </c>
      <c r="H97">
        <f t="shared" si="7"/>
        <v>96</v>
      </c>
      <c r="I97">
        <f t="shared" si="13"/>
        <v>0</v>
      </c>
      <c r="J97">
        <f t="shared" si="13"/>
        <v>0</v>
      </c>
      <c r="K97">
        <f t="shared" si="13"/>
        <v>1</v>
      </c>
      <c r="L97">
        <f t="shared" si="13"/>
        <v>0</v>
      </c>
      <c r="N97" s="23">
        <f>'LU OLS Model'!$B$5</f>
        <v>-37159358.269763596</v>
      </c>
      <c r="O97" s="23">
        <f ca="1">'LU OLS Model'!$B$6*D97</f>
        <v>-1328409.1890750919</v>
      </c>
      <c r="P97" s="23">
        <f ca="1">'LU OLS Model'!$B$7*E97</f>
        <v>0</v>
      </c>
      <c r="Q97" s="23">
        <f>'LU OLS Model'!$B$8*F97</f>
        <v>10663463.283272332</v>
      </c>
      <c r="R97" s="23">
        <f>'LU OLS Model'!$B$9*G97</f>
        <v>44525886.369408257</v>
      </c>
      <c r="S97" s="23">
        <f>'LU OLS Model'!$B$10*H97</f>
        <v>-3250307.2243268639</v>
      </c>
      <c r="T97" s="23">
        <f>'LU OLS Model'!$B$11*I97</f>
        <v>0</v>
      </c>
      <c r="U97" s="23">
        <f>'LU OLS Model'!$B$12*J97</f>
        <v>0</v>
      </c>
      <c r="V97" s="23">
        <f>'LU OLS Model'!$B$13*K97</f>
        <v>-999570.07441694394</v>
      </c>
      <c r="W97" s="23">
        <f>'LU OLS Model'!$B$14*L97</f>
        <v>0</v>
      </c>
      <c r="X97" s="23">
        <f t="shared" ca="1" si="10"/>
        <v>12451704.895098096</v>
      </c>
    </row>
    <row r="98" spans="1:24">
      <c r="A98" s="11">
        <v>42736</v>
      </c>
      <c r="B98" s="6">
        <f t="shared" ref="B98:B145" si="15">YEAR(A98)</f>
        <v>2017</v>
      </c>
      <c r="D98">
        <f t="shared" ref="D98:F117" ca="1" si="16">D86</f>
        <v>784.29</v>
      </c>
      <c r="E98">
        <f t="shared" ca="1" si="16"/>
        <v>0</v>
      </c>
      <c r="F98">
        <f t="shared" si="16"/>
        <v>31</v>
      </c>
      <c r="G98" s="30">
        <f>G86*(1+SUMIF('Ontario Employment Growth'!B:B,B98,'Ontario Employment Growth'!G:G))</f>
        <v>7068.0055477121996</v>
      </c>
      <c r="H98">
        <f t="shared" si="7"/>
        <v>97</v>
      </c>
      <c r="I98">
        <f t="shared" ref="I98:L117" si="17">I86</f>
        <v>0</v>
      </c>
      <c r="J98">
        <f t="shared" si="17"/>
        <v>0</v>
      </c>
      <c r="K98">
        <f t="shared" si="17"/>
        <v>0</v>
      </c>
      <c r="L98">
        <f t="shared" si="17"/>
        <v>0</v>
      </c>
      <c r="N98" s="23">
        <f>'LU OLS Model'!$B$5</f>
        <v>-37159358.269763596</v>
      </c>
      <c r="O98" s="23">
        <f ca="1">'LU OLS Model'!$B$6*D98</f>
        <v>-1523162.0047948186</v>
      </c>
      <c r="P98" s="23">
        <f ca="1">'LU OLS Model'!$B$7*E98</f>
        <v>0</v>
      </c>
      <c r="Q98" s="23">
        <f>'LU OLS Model'!$B$8*F98</f>
        <v>10663463.283272332</v>
      </c>
      <c r="R98" s="23">
        <f>'LU OLS Model'!$B$9*G98</f>
        <v>44514182.134646714</v>
      </c>
      <c r="S98" s="23">
        <f>'LU OLS Model'!$B$10*H98</f>
        <v>-3284164.5912469355</v>
      </c>
      <c r="T98" s="23">
        <f>'LU OLS Model'!$B$11*I98</f>
        <v>0</v>
      </c>
      <c r="U98" s="23">
        <f>'LU OLS Model'!$B$12*J98</f>
        <v>0</v>
      </c>
      <c r="V98" s="23">
        <f>'LU OLS Model'!$B$13*K98</f>
        <v>0</v>
      </c>
      <c r="W98" s="23">
        <f>'LU OLS Model'!$B$14*L98</f>
        <v>0</v>
      </c>
      <c r="X98" s="23">
        <f t="shared" ref="X98:X145" ca="1" si="18">SUM(N98:W98)</f>
        <v>13210960.552113693</v>
      </c>
    </row>
    <row r="99" spans="1:24">
      <c r="A99" s="11">
        <v>42767</v>
      </c>
      <c r="B99" s="6">
        <f t="shared" si="15"/>
        <v>2017</v>
      </c>
      <c r="D99">
        <f t="shared" ca="1" si="16"/>
        <v>682.50999999999988</v>
      </c>
      <c r="E99">
        <f t="shared" ca="1" si="16"/>
        <v>0</v>
      </c>
      <c r="F99">
        <f t="shared" si="16"/>
        <v>29</v>
      </c>
      <c r="G99" s="30">
        <f>G87*(1+SUMIF('Ontario Employment Growth'!B:B,B99,'Ontario Employment Growth'!G:G))</f>
        <v>7032.904889844599</v>
      </c>
      <c r="H99">
        <f t="shared" si="7"/>
        <v>98</v>
      </c>
      <c r="I99">
        <f t="shared" si="17"/>
        <v>0</v>
      </c>
      <c r="J99">
        <f t="shared" si="17"/>
        <v>0</v>
      </c>
      <c r="K99">
        <f t="shared" si="17"/>
        <v>0</v>
      </c>
      <c r="L99">
        <f t="shared" si="17"/>
        <v>0</v>
      </c>
      <c r="N99" s="23">
        <f>'LU OLS Model'!$B$5</f>
        <v>-37159358.269763596</v>
      </c>
      <c r="O99" s="23">
        <f ca="1">'LU OLS Model'!$B$6*D99</f>
        <v>-1325496.053618574</v>
      </c>
      <c r="P99" s="23">
        <f ca="1">'LU OLS Model'!$B$7*E99</f>
        <v>0</v>
      </c>
      <c r="Q99" s="23">
        <f>'LU OLS Model'!$B$8*F99</f>
        <v>9975497.9101579878</v>
      </c>
      <c r="R99" s="23">
        <f>'LU OLS Model'!$B$9*G99</f>
        <v>44293118.771464996</v>
      </c>
      <c r="S99" s="23">
        <f>'LU OLS Model'!$B$10*H99</f>
        <v>-3318021.9581670072</v>
      </c>
      <c r="T99" s="23">
        <f>'LU OLS Model'!$B$11*I99</f>
        <v>0</v>
      </c>
      <c r="U99" s="23">
        <f>'LU OLS Model'!$B$12*J99</f>
        <v>0</v>
      </c>
      <c r="V99" s="23">
        <f>'LU OLS Model'!$B$13*K99</f>
        <v>0</v>
      </c>
      <c r="W99" s="23">
        <f>'LU OLS Model'!$B$14*L99</f>
        <v>0</v>
      </c>
      <c r="X99" s="23">
        <f t="shared" ca="1" si="18"/>
        <v>12465740.400073806</v>
      </c>
    </row>
    <row r="100" spans="1:24">
      <c r="A100" s="11">
        <v>42795</v>
      </c>
      <c r="B100" s="6">
        <f t="shared" si="15"/>
        <v>2017</v>
      </c>
      <c r="D100">
        <f t="shared" ca="1" si="16"/>
        <v>556.99</v>
      </c>
      <c r="E100">
        <f t="shared" ca="1" si="16"/>
        <v>0</v>
      </c>
      <c r="F100">
        <f t="shared" si="16"/>
        <v>31</v>
      </c>
      <c r="G100" s="30">
        <f>G88*(1+SUMIF('Ontario Employment Growth'!B:B,B100,'Ontario Employment Growth'!G:G))</f>
        <v>7011.096788802598</v>
      </c>
      <c r="H100">
        <f t="shared" si="7"/>
        <v>99</v>
      </c>
      <c r="I100">
        <f t="shared" si="17"/>
        <v>0</v>
      </c>
      <c r="J100">
        <f t="shared" si="17"/>
        <v>0</v>
      </c>
      <c r="K100">
        <f t="shared" si="17"/>
        <v>0</v>
      </c>
      <c r="L100">
        <f t="shared" si="17"/>
        <v>0</v>
      </c>
      <c r="N100" s="23">
        <f>'LU OLS Model'!$B$5</f>
        <v>-37159358.269763596</v>
      </c>
      <c r="O100" s="23">
        <f ca="1">'LU OLS Model'!$B$6*D100</f>
        <v>-1081724.8786171773</v>
      </c>
      <c r="P100" s="23">
        <f ca="1">'LU OLS Model'!$B$7*E100</f>
        <v>0</v>
      </c>
      <c r="Q100" s="23">
        <f>'LU OLS Model'!$B$8*F100</f>
        <v>10663463.283272332</v>
      </c>
      <c r="R100" s="23">
        <f>'LU OLS Model'!$B$9*G100</f>
        <v>44155771.711500019</v>
      </c>
      <c r="S100" s="23">
        <f>'LU OLS Model'!$B$10*H100</f>
        <v>-3351879.3250870788</v>
      </c>
      <c r="T100" s="23">
        <f>'LU OLS Model'!$B$11*I100</f>
        <v>0</v>
      </c>
      <c r="U100" s="23">
        <f>'LU OLS Model'!$B$12*J100</f>
        <v>0</v>
      </c>
      <c r="V100" s="23">
        <f>'LU OLS Model'!$B$13*K100</f>
        <v>0</v>
      </c>
      <c r="W100" s="23">
        <f>'LU OLS Model'!$B$14*L100</f>
        <v>0</v>
      </c>
      <c r="X100" s="23">
        <f t="shared" ca="1" si="18"/>
        <v>13226272.521304503</v>
      </c>
    </row>
    <row r="101" spans="1:24">
      <c r="A101" s="11">
        <v>42826</v>
      </c>
      <c r="B101" s="6">
        <f t="shared" si="15"/>
        <v>2017</v>
      </c>
      <c r="D101">
        <f t="shared" ca="1" si="16"/>
        <v>326.58999999999997</v>
      </c>
      <c r="E101">
        <f t="shared" ca="1" si="16"/>
        <v>0.39</v>
      </c>
      <c r="F101">
        <f t="shared" si="16"/>
        <v>30</v>
      </c>
      <c r="G101" s="30">
        <f>G89*(1+SUMIF('Ontario Employment Growth'!B:B,B101,'Ontario Employment Growth'!G:G))</f>
        <v>7046.0935985699989</v>
      </c>
      <c r="H101">
        <f t="shared" si="7"/>
        <v>100</v>
      </c>
      <c r="I101">
        <f t="shared" si="17"/>
        <v>0</v>
      </c>
      <c r="J101">
        <f t="shared" si="17"/>
        <v>1</v>
      </c>
      <c r="K101">
        <f t="shared" si="17"/>
        <v>0</v>
      </c>
      <c r="L101">
        <f t="shared" si="17"/>
        <v>0</v>
      </c>
      <c r="N101" s="23">
        <f>'LU OLS Model'!$B$5</f>
        <v>-37159358.269763596</v>
      </c>
      <c r="O101" s="23">
        <f ca="1">'LU OLS Model'!$B$6*D101</f>
        <v>-634267.27249606617</v>
      </c>
      <c r="P101" s="23">
        <f ca="1">'LU OLS Model'!$B$7*E101</f>
        <v>7322.6846434558438</v>
      </c>
      <c r="Q101" s="23">
        <f>'LU OLS Model'!$B$8*F101</f>
        <v>10319480.59671516</v>
      </c>
      <c r="R101" s="23">
        <f>'LU OLS Model'!$B$9*G101</f>
        <v>44376181.041062862</v>
      </c>
      <c r="S101" s="23">
        <f>'LU OLS Model'!$B$10*H101</f>
        <v>-3385736.69200715</v>
      </c>
      <c r="T101" s="23">
        <f>'LU OLS Model'!$B$11*I101</f>
        <v>0</v>
      </c>
      <c r="U101" s="23">
        <f>'LU OLS Model'!$B$12*J101</f>
        <v>-1039228.3455262</v>
      </c>
      <c r="V101" s="23">
        <f>'LU OLS Model'!$B$13*K101</f>
        <v>0</v>
      </c>
      <c r="W101" s="23">
        <f>'LU OLS Model'!$B$14*L101</f>
        <v>0</v>
      </c>
      <c r="X101" s="23">
        <f t="shared" ca="1" si="18"/>
        <v>12484393.742628463</v>
      </c>
    </row>
    <row r="102" spans="1:24">
      <c r="A102" s="11">
        <v>42856</v>
      </c>
      <c r="B102" s="6">
        <f t="shared" si="15"/>
        <v>2017</v>
      </c>
      <c r="D102">
        <f t="shared" ca="1" si="16"/>
        <v>144.96</v>
      </c>
      <c r="E102">
        <f t="shared" ca="1" si="16"/>
        <v>8.67</v>
      </c>
      <c r="F102">
        <f t="shared" si="16"/>
        <v>31</v>
      </c>
      <c r="G102" s="30">
        <f>G90*(1+SUMIF('Ontario Employment Growth'!B:B,B102,'Ontario Employment Growth'!G:G))</f>
        <v>7105.9101042851989</v>
      </c>
      <c r="H102">
        <f t="shared" si="7"/>
        <v>101</v>
      </c>
      <c r="I102">
        <f t="shared" si="17"/>
        <v>0</v>
      </c>
      <c r="J102">
        <f t="shared" si="17"/>
        <v>0</v>
      </c>
      <c r="K102">
        <f t="shared" si="17"/>
        <v>0</v>
      </c>
      <c r="L102">
        <f t="shared" si="17"/>
        <v>1</v>
      </c>
      <c r="N102" s="23">
        <f>'LU OLS Model'!$B$5</f>
        <v>-37159358.269763596</v>
      </c>
      <c r="O102" s="23">
        <f ca="1">'LU OLS Model'!$B$6*D102</f>
        <v>-281525.41051786573</v>
      </c>
      <c r="P102" s="23">
        <f ca="1">'LU OLS Model'!$B$7*E102</f>
        <v>162788.91245836453</v>
      </c>
      <c r="Q102" s="23">
        <f>'LU OLS Model'!$B$8*F102</f>
        <v>10663463.283272332</v>
      </c>
      <c r="R102" s="23">
        <f>'LU OLS Model'!$B$9*G102</f>
        <v>44752904.405538209</v>
      </c>
      <c r="S102" s="23">
        <f>'LU OLS Model'!$B$10*H102</f>
        <v>-3419594.0589272217</v>
      </c>
      <c r="T102" s="23">
        <f>'LU OLS Model'!$B$11*I102</f>
        <v>0</v>
      </c>
      <c r="U102" s="23">
        <f>'LU OLS Model'!$B$12*J102</f>
        <v>0</v>
      </c>
      <c r="V102" s="23">
        <f>'LU OLS Model'!$B$13*K102</f>
        <v>0</v>
      </c>
      <c r="W102" s="23">
        <f>'LU OLS Model'!$B$14*L102</f>
        <v>-1700644.40454555</v>
      </c>
      <c r="X102" s="23">
        <f t="shared" ca="1" si="18"/>
        <v>13018034.457514679</v>
      </c>
    </row>
    <row r="103" spans="1:24">
      <c r="A103" s="11">
        <v>42887</v>
      </c>
      <c r="B103" s="6">
        <f t="shared" si="15"/>
        <v>2017</v>
      </c>
      <c r="D103">
        <f t="shared" ca="1" si="16"/>
        <v>41.510000000000005</v>
      </c>
      <c r="E103">
        <f t="shared" ca="1" si="16"/>
        <v>44.41</v>
      </c>
      <c r="F103">
        <f t="shared" si="16"/>
        <v>30</v>
      </c>
      <c r="G103" s="30">
        <f>G91*(1+SUMIF('Ontario Employment Growth'!B:B,B103,'Ontario Employment Growth'!G:G))</f>
        <v>7178.915318725798</v>
      </c>
      <c r="H103">
        <f t="shared" si="7"/>
        <v>102</v>
      </c>
      <c r="I103">
        <f t="shared" si="17"/>
        <v>0</v>
      </c>
      <c r="J103">
        <f t="shared" si="17"/>
        <v>0</v>
      </c>
      <c r="K103">
        <f t="shared" si="17"/>
        <v>0</v>
      </c>
      <c r="L103">
        <f t="shared" si="17"/>
        <v>1</v>
      </c>
      <c r="N103" s="23">
        <f>'LU OLS Model'!$B$5</f>
        <v>-37159358.269763596</v>
      </c>
      <c r="O103" s="23">
        <f ca="1">'LU OLS Model'!$B$6*D103</f>
        <v>-80616.168533365111</v>
      </c>
      <c r="P103" s="23">
        <f ca="1">'LU OLS Model'!$B$7*E103</f>
        <v>833847.24363044614</v>
      </c>
      <c r="Q103" s="23">
        <f>'LU OLS Model'!$B$8*F103</f>
        <v>10319480.59671516</v>
      </c>
      <c r="R103" s="23">
        <f>'LU OLS Model'!$B$9*G103</f>
        <v>45212690.039611407</v>
      </c>
      <c r="S103" s="23">
        <f>'LU OLS Model'!$B$10*H103</f>
        <v>-3453451.4258472933</v>
      </c>
      <c r="T103" s="23">
        <f>'LU OLS Model'!$B$11*I103</f>
        <v>0</v>
      </c>
      <c r="U103" s="23">
        <f>'LU OLS Model'!$B$12*J103</f>
        <v>0</v>
      </c>
      <c r="V103" s="23">
        <f>'LU OLS Model'!$B$13*K103</f>
        <v>0</v>
      </c>
      <c r="W103" s="23">
        <f>'LU OLS Model'!$B$14*L103</f>
        <v>-1700644.40454555</v>
      </c>
      <c r="X103" s="23">
        <f t="shared" ca="1" si="18"/>
        <v>13971947.611267211</v>
      </c>
    </row>
    <row r="104" spans="1:24">
      <c r="A104" s="11">
        <v>42917</v>
      </c>
      <c r="B104" s="6">
        <f t="shared" si="15"/>
        <v>2017</v>
      </c>
      <c r="D104">
        <f t="shared" ca="1" si="16"/>
        <v>5.01</v>
      </c>
      <c r="E104">
        <f t="shared" ca="1" si="16"/>
        <v>96.909999999999982</v>
      </c>
      <c r="F104">
        <f t="shared" si="16"/>
        <v>31</v>
      </c>
      <c r="G104" s="30">
        <f>G92*(1+SUMIF('Ontario Employment Growth'!B:B,B104,'Ontario Employment Growth'!G:G))</f>
        <v>7225.543115715599</v>
      </c>
      <c r="H104">
        <f t="shared" si="7"/>
        <v>103</v>
      </c>
      <c r="I104">
        <f t="shared" si="17"/>
        <v>0</v>
      </c>
      <c r="J104">
        <f t="shared" si="17"/>
        <v>0</v>
      </c>
      <c r="K104">
        <f t="shared" si="17"/>
        <v>0</v>
      </c>
      <c r="L104">
        <f t="shared" si="17"/>
        <v>1</v>
      </c>
      <c r="N104" s="23">
        <f>'LU OLS Model'!$B$5</f>
        <v>-37159358.269763596</v>
      </c>
      <c r="O104" s="23">
        <f ca="1">'LU OLS Model'!$B$6*D104</f>
        <v>-9729.8724247689515</v>
      </c>
      <c r="P104" s="23">
        <f ca="1">'LU OLS Model'!$B$7*E104</f>
        <v>1819593.2533264249</v>
      </c>
      <c r="Q104" s="23">
        <f>'LU OLS Model'!$B$8*F104</f>
        <v>10663463.283272332</v>
      </c>
      <c r="R104" s="23">
        <f>'LU OLS Model'!$B$9*G104</f>
        <v>45506351.134488896</v>
      </c>
      <c r="S104" s="23">
        <f>'LU OLS Model'!$B$10*H104</f>
        <v>-3487308.7927673645</v>
      </c>
      <c r="T104" s="23">
        <f>'LU OLS Model'!$B$11*I104</f>
        <v>0</v>
      </c>
      <c r="U104" s="23">
        <f>'LU OLS Model'!$B$12*J104</f>
        <v>0</v>
      </c>
      <c r="V104" s="23">
        <f>'LU OLS Model'!$B$13*K104</f>
        <v>0</v>
      </c>
      <c r="W104" s="23">
        <f>'LU OLS Model'!$B$14*L104</f>
        <v>-1700644.40454555</v>
      </c>
      <c r="X104" s="23">
        <f t="shared" ca="1" si="18"/>
        <v>15632366.331586376</v>
      </c>
    </row>
    <row r="105" spans="1:24">
      <c r="A105" s="11">
        <v>42948</v>
      </c>
      <c r="B105" s="6">
        <f t="shared" si="15"/>
        <v>2017</v>
      </c>
      <c r="D105">
        <f t="shared" ca="1" si="16"/>
        <v>12.719999999999999</v>
      </c>
      <c r="E105">
        <f t="shared" ca="1" si="16"/>
        <v>77.22999999999999</v>
      </c>
      <c r="F105">
        <f t="shared" si="16"/>
        <v>31</v>
      </c>
      <c r="G105" s="30">
        <f>G93*(1+SUMIF('Ontario Employment Growth'!B:B,B105,'Ontario Employment Growth'!G:G))</f>
        <v>7237.9010396393978</v>
      </c>
      <c r="H105">
        <f t="shared" si="7"/>
        <v>104</v>
      </c>
      <c r="I105">
        <f t="shared" si="17"/>
        <v>0</v>
      </c>
      <c r="J105">
        <f t="shared" si="17"/>
        <v>0</v>
      </c>
      <c r="K105">
        <f t="shared" si="17"/>
        <v>0</v>
      </c>
      <c r="L105">
        <f t="shared" si="17"/>
        <v>1</v>
      </c>
      <c r="N105" s="23">
        <f>'LU OLS Model'!$B$5</f>
        <v>-37159358.269763596</v>
      </c>
      <c r="O105" s="23">
        <f ca="1">'LU OLS Model'!$B$6*D105</f>
        <v>-24703.388671269669</v>
      </c>
      <c r="P105" s="23">
        <f ca="1">'LU OLS Model'!$B$7*E105</f>
        <v>1450079.3205489609</v>
      </c>
      <c r="Q105" s="23">
        <f>'LU OLS Model'!$B$8*F105</f>
        <v>10663463.283272332</v>
      </c>
      <c r="R105" s="23">
        <f>'LU OLS Model'!$B$9*G105</f>
        <v>45584181.13513571</v>
      </c>
      <c r="S105" s="23">
        <f>'LU OLS Model'!$B$10*H105</f>
        <v>-3521166.1596874362</v>
      </c>
      <c r="T105" s="23">
        <f>'LU OLS Model'!$B$11*I105</f>
        <v>0</v>
      </c>
      <c r="U105" s="23">
        <f>'LU OLS Model'!$B$12*J105</f>
        <v>0</v>
      </c>
      <c r="V105" s="23">
        <f>'LU OLS Model'!$B$13*K105</f>
        <v>0</v>
      </c>
      <c r="W105" s="23">
        <f>'LU OLS Model'!$B$14*L105</f>
        <v>-1700644.40454555</v>
      </c>
      <c r="X105" s="23">
        <f t="shared" ca="1" si="18"/>
        <v>15291851.516289148</v>
      </c>
    </row>
    <row r="106" spans="1:24">
      <c r="A106" s="11">
        <v>42979</v>
      </c>
      <c r="B106" s="6">
        <f t="shared" si="15"/>
        <v>2017</v>
      </c>
      <c r="D106">
        <f t="shared" ca="1" si="16"/>
        <v>86.570000000000007</v>
      </c>
      <c r="E106">
        <f t="shared" ca="1" si="16"/>
        <v>19.899999999999999</v>
      </c>
      <c r="F106">
        <f t="shared" si="16"/>
        <v>30</v>
      </c>
      <c r="G106" s="30">
        <f>G94*(1+SUMIF('Ontario Employment Growth'!B:B,B106,'Ontario Employment Growth'!G:G))</f>
        <v>7211.3159259881986</v>
      </c>
      <c r="H106">
        <f t="shared" si="7"/>
        <v>105</v>
      </c>
      <c r="I106">
        <f t="shared" si="17"/>
        <v>1</v>
      </c>
      <c r="J106">
        <f t="shared" si="17"/>
        <v>0</v>
      </c>
      <c r="K106">
        <f t="shared" si="17"/>
        <v>0</v>
      </c>
      <c r="L106">
        <f t="shared" si="17"/>
        <v>0</v>
      </c>
      <c r="N106" s="23">
        <f>'LU OLS Model'!$B$5</f>
        <v>-37159358.269763596</v>
      </c>
      <c r="O106" s="23">
        <f ca="1">'LU OLS Model'!$B$6*D106</f>
        <v>-168126.75764715532</v>
      </c>
      <c r="P106" s="23">
        <f ca="1">'LU OLS Model'!$B$7*E106</f>
        <v>373644.67796095199</v>
      </c>
      <c r="Q106" s="23">
        <f>'LU OLS Model'!$B$8*F106</f>
        <v>10319480.59671516</v>
      </c>
      <c r="R106" s="23">
        <f>'LU OLS Model'!$B$9*G106</f>
        <v>45416748.528702222</v>
      </c>
      <c r="S106" s="23">
        <f>'LU OLS Model'!$B$10*H106</f>
        <v>-3555023.5266075078</v>
      </c>
      <c r="T106" s="23">
        <f>'LU OLS Model'!$B$11*I106</f>
        <v>-1059857.8947751301</v>
      </c>
      <c r="U106" s="23">
        <f>'LU OLS Model'!$B$12*J106</f>
        <v>0</v>
      </c>
      <c r="V106" s="23">
        <f>'LU OLS Model'!$B$13*K106</f>
        <v>0</v>
      </c>
      <c r="W106" s="23">
        <f>'LU OLS Model'!$B$14*L106</f>
        <v>0</v>
      </c>
      <c r="X106" s="23">
        <f t="shared" ca="1" si="18"/>
        <v>14167507.354584945</v>
      </c>
    </row>
    <row r="107" spans="1:24">
      <c r="A107" s="11">
        <v>43009</v>
      </c>
      <c r="B107" s="6">
        <f t="shared" si="15"/>
        <v>2017</v>
      </c>
      <c r="D107">
        <f t="shared" ca="1" si="16"/>
        <v>270.3</v>
      </c>
      <c r="E107">
        <f t="shared" ca="1" si="16"/>
        <v>1.21</v>
      </c>
      <c r="F107">
        <f t="shared" si="16"/>
        <v>31</v>
      </c>
      <c r="G107" s="30">
        <f>G95*(1+SUMIF('Ontario Employment Growth'!B:B,B107,'Ontario Employment Growth'!G:G))</f>
        <v>7203.5273184731986</v>
      </c>
      <c r="H107">
        <f t="shared" si="7"/>
        <v>106</v>
      </c>
      <c r="I107">
        <f t="shared" si="17"/>
        <v>1</v>
      </c>
      <c r="J107">
        <f t="shared" si="17"/>
        <v>0</v>
      </c>
      <c r="K107">
        <f t="shared" si="17"/>
        <v>0</v>
      </c>
      <c r="L107">
        <f t="shared" si="17"/>
        <v>0</v>
      </c>
      <c r="N107" s="23">
        <f>'LU OLS Model'!$B$5</f>
        <v>-37159358.269763596</v>
      </c>
      <c r="O107" s="23">
        <f ca="1">'LU OLS Model'!$B$6*D107</f>
        <v>-524947.00926448056</v>
      </c>
      <c r="P107" s="23">
        <f ca="1">'LU OLS Model'!$B$7*E107</f>
        <v>22719.098509183514</v>
      </c>
      <c r="Q107" s="23">
        <f>'LU OLS Model'!$B$8*F107</f>
        <v>10663463.283272332</v>
      </c>
      <c r="R107" s="23">
        <f>'LU OLS Model'!$B$9*G107</f>
        <v>45367696.007286169</v>
      </c>
      <c r="S107" s="23">
        <f>'LU OLS Model'!$B$10*H107</f>
        <v>-3588880.893527579</v>
      </c>
      <c r="T107" s="23">
        <f>'LU OLS Model'!$B$11*I107</f>
        <v>-1059857.8947751301</v>
      </c>
      <c r="U107" s="23">
        <f>'LU OLS Model'!$B$12*J107</f>
        <v>0</v>
      </c>
      <c r="V107" s="23">
        <f>'LU OLS Model'!$B$13*K107</f>
        <v>0</v>
      </c>
      <c r="W107" s="23">
        <f>'LU OLS Model'!$B$14*L107</f>
        <v>0</v>
      </c>
      <c r="X107" s="23">
        <f t="shared" ca="1" si="18"/>
        <v>13720834.321736898</v>
      </c>
    </row>
    <row r="108" spans="1:24">
      <c r="A108" s="11">
        <v>43040</v>
      </c>
      <c r="B108" s="6">
        <f t="shared" si="15"/>
        <v>2017</v>
      </c>
      <c r="D108">
        <f t="shared" ca="1" si="16"/>
        <v>444.05</v>
      </c>
      <c r="E108">
        <f t="shared" ca="1" si="16"/>
        <v>0</v>
      </c>
      <c r="F108">
        <f t="shared" si="16"/>
        <v>30</v>
      </c>
      <c r="G108" s="30">
        <f>G96*(1+SUMIF('Ontario Employment Growth'!B:B,B108,'Ontario Employment Growth'!G:G))</f>
        <v>7180.369192128599</v>
      </c>
      <c r="H108">
        <f t="shared" si="7"/>
        <v>107</v>
      </c>
      <c r="I108">
        <f t="shared" si="17"/>
        <v>1</v>
      </c>
      <c r="J108">
        <f t="shared" si="17"/>
        <v>0</v>
      </c>
      <c r="K108">
        <f t="shared" si="17"/>
        <v>0</v>
      </c>
      <c r="L108">
        <f t="shared" si="17"/>
        <v>0</v>
      </c>
      <c r="N108" s="23">
        <f>'LU OLS Model'!$B$5</f>
        <v>-37159358.269763596</v>
      </c>
      <c r="O108" s="23">
        <f ca="1">'LU OLS Model'!$B$6*D108</f>
        <v>-862385.19964444172</v>
      </c>
      <c r="P108" s="23">
        <f ca="1">'LU OLS Model'!$B$7*E108</f>
        <v>0</v>
      </c>
      <c r="Q108" s="23">
        <f>'LU OLS Model'!$B$8*F108</f>
        <v>10319480.59671516</v>
      </c>
      <c r="R108" s="23">
        <f>'LU OLS Model'!$B$9*G108</f>
        <v>45221846.510275744</v>
      </c>
      <c r="S108" s="23">
        <f>'LU OLS Model'!$B$10*H108</f>
        <v>-3622738.2604476507</v>
      </c>
      <c r="T108" s="23">
        <f>'LU OLS Model'!$B$11*I108</f>
        <v>-1059857.8947751301</v>
      </c>
      <c r="U108" s="23">
        <f>'LU OLS Model'!$B$12*J108</f>
        <v>0</v>
      </c>
      <c r="V108" s="23">
        <f>'LU OLS Model'!$B$13*K108</f>
        <v>0</v>
      </c>
      <c r="W108" s="23">
        <f>'LU OLS Model'!$B$14*L108</f>
        <v>0</v>
      </c>
      <c r="X108" s="23">
        <f t="shared" ca="1" si="18"/>
        <v>12836987.482360087</v>
      </c>
    </row>
    <row r="109" spans="1:24">
      <c r="A109" s="11">
        <v>43070</v>
      </c>
      <c r="B109" s="6">
        <f t="shared" si="15"/>
        <v>2017</v>
      </c>
      <c r="D109">
        <f t="shared" ca="1" si="16"/>
        <v>684.01</v>
      </c>
      <c r="E109">
        <f t="shared" ca="1" si="16"/>
        <v>0</v>
      </c>
      <c r="F109">
        <f t="shared" si="16"/>
        <v>31</v>
      </c>
      <c r="G109" s="30">
        <f>G97*(1+SUMIF('Ontario Employment Growth'!B:B,B109,'Ontario Employment Growth'!G:G))</f>
        <v>7168.8420530063977</v>
      </c>
      <c r="H109">
        <f t="shared" si="7"/>
        <v>108</v>
      </c>
      <c r="I109">
        <f t="shared" si="17"/>
        <v>0</v>
      </c>
      <c r="J109">
        <f t="shared" si="17"/>
        <v>0</v>
      </c>
      <c r="K109">
        <f t="shared" si="17"/>
        <v>1</v>
      </c>
      <c r="L109">
        <f t="shared" si="17"/>
        <v>0</v>
      </c>
      <c r="N109" s="23">
        <f>'LU OLS Model'!$B$5</f>
        <v>-37159358.269763596</v>
      </c>
      <c r="O109" s="23">
        <f ca="1">'LU OLS Model'!$B$6*D109</f>
        <v>-1328409.1890750919</v>
      </c>
      <c r="P109" s="23">
        <f ca="1">'LU OLS Model'!$B$7*E109</f>
        <v>0</v>
      </c>
      <c r="Q109" s="23">
        <f>'LU OLS Model'!$B$8*F109</f>
        <v>10663463.283272332</v>
      </c>
      <c r="R109" s="23">
        <f>'LU OLS Model'!$B$9*G109</f>
        <v>45149248.778579965</v>
      </c>
      <c r="S109" s="23">
        <f>'LU OLS Model'!$B$10*H109</f>
        <v>-3656595.6273677223</v>
      </c>
      <c r="T109" s="23">
        <f>'LU OLS Model'!$B$11*I109</f>
        <v>0</v>
      </c>
      <c r="U109" s="23">
        <f>'LU OLS Model'!$B$12*J109</f>
        <v>0</v>
      </c>
      <c r="V109" s="23">
        <f>'LU OLS Model'!$B$13*K109</f>
        <v>-999570.07441694394</v>
      </c>
      <c r="W109" s="23">
        <f>'LU OLS Model'!$B$14*L109</f>
        <v>0</v>
      </c>
      <c r="X109" s="23">
        <f t="shared" ca="1" si="18"/>
        <v>12668778.901228946</v>
      </c>
    </row>
    <row r="110" spans="1:24">
      <c r="A110" s="11">
        <v>43101</v>
      </c>
      <c r="B110" s="6">
        <f t="shared" si="15"/>
        <v>2018</v>
      </c>
      <c r="D110">
        <f t="shared" ca="1" si="16"/>
        <v>784.29</v>
      </c>
      <c r="E110">
        <f t="shared" ca="1" si="16"/>
        <v>0</v>
      </c>
      <c r="F110">
        <f t="shared" si="16"/>
        <v>31</v>
      </c>
      <c r="G110" s="30">
        <f>G98*(1+SUMIF('Ontario Employment Growth'!B:B,B110,'Ontario Employment Growth'!G:G))</f>
        <v>7159.8896198324574</v>
      </c>
      <c r="H110">
        <f t="shared" si="7"/>
        <v>109</v>
      </c>
      <c r="I110">
        <f t="shared" si="17"/>
        <v>0</v>
      </c>
      <c r="J110">
        <f t="shared" si="17"/>
        <v>0</v>
      </c>
      <c r="K110">
        <f t="shared" si="17"/>
        <v>0</v>
      </c>
      <c r="L110">
        <f t="shared" si="17"/>
        <v>0</v>
      </c>
      <c r="N110" s="23">
        <f>'LU OLS Model'!$B$5</f>
        <v>-37159358.269763596</v>
      </c>
      <c r="O110" s="23">
        <f ca="1">'LU OLS Model'!$B$6*D110</f>
        <v>-1523162.0047948186</v>
      </c>
      <c r="P110" s="23">
        <f ca="1">'LU OLS Model'!$B$7*E110</f>
        <v>0</v>
      </c>
      <c r="Q110" s="23">
        <f>'LU OLS Model'!$B$8*F110</f>
        <v>10663463.283272332</v>
      </c>
      <c r="R110" s="23">
        <f>'LU OLS Model'!$B$9*G110</f>
        <v>45092866.50239712</v>
      </c>
      <c r="S110" s="23">
        <f>'LU OLS Model'!$B$10*H110</f>
        <v>-3690452.9942877935</v>
      </c>
      <c r="T110" s="23">
        <f>'LU OLS Model'!$B$11*I110</f>
        <v>0</v>
      </c>
      <c r="U110" s="23">
        <f>'LU OLS Model'!$B$12*J110</f>
        <v>0</v>
      </c>
      <c r="V110" s="23">
        <f>'LU OLS Model'!$B$13*K110</f>
        <v>0</v>
      </c>
      <c r="W110" s="23">
        <f>'LU OLS Model'!$B$14*L110</f>
        <v>0</v>
      </c>
      <c r="X110" s="23">
        <f t="shared" ca="1" si="18"/>
        <v>13383356.516823243</v>
      </c>
    </row>
    <row r="111" spans="1:24">
      <c r="A111" s="11">
        <v>43132</v>
      </c>
      <c r="B111" s="6">
        <f t="shared" si="15"/>
        <v>2018</v>
      </c>
      <c r="D111">
        <f t="shared" ca="1" si="16"/>
        <v>682.50999999999988</v>
      </c>
      <c r="E111">
        <f t="shared" ca="1" si="16"/>
        <v>0</v>
      </c>
      <c r="F111">
        <f t="shared" si="16"/>
        <v>29</v>
      </c>
      <c r="G111" s="30">
        <f>G99*(1+SUMIF('Ontario Employment Growth'!B:B,B111,'Ontario Employment Growth'!G:G))</f>
        <v>7124.3326534125781</v>
      </c>
      <c r="H111">
        <f t="shared" si="7"/>
        <v>110</v>
      </c>
      <c r="I111">
        <f t="shared" si="17"/>
        <v>0</v>
      </c>
      <c r="J111">
        <f t="shared" si="17"/>
        <v>0</v>
      </c>
      <c r="K111">
        <f t="shared" si="17"/>
        <v>0</v>
      </c>
      <c r="L111">
        <f t="shared" si="17"/>
        <v>0</v>
      </c>
      <c r="N111" s="23">
        <f>'LU OLS Model'!$B$5</f>
        <v>-37159358.269763596</v>
      </c>
      <c r="O111" s="23">
        <f ca="1">'LU OLS Model'!$B$6*D111</f>
        <v>-1325496.053618574</v>
      </c>
      <c r="P111" s="23">
        <f ca="1">'LU OLS Model'!$B$7*E111</f>
        <v>0</v>
      </c>
      <c r="Q111" s="23">
        <f>'LU OLS Model'!$B$8*F111</f>
        <v>9975497.9101579878</v>
      </c>
      <c r="R111" s="23">
        <f>'LU OLS Model'!$B$9*G111</f>
        <v>44868929.315494038</v>
      </c>
      <c r="S111" s="23">
        <f>'LU OLS Model'!$B$10*H111</f>
        <v>-3724310.3612078652</v>
      </c>
      <c r="T111" s="23">
        <f>'LU OLS Model'!$B$11*I111</f>
        <v>0</v>
      </c>
      <c r="U111" s="23">
        <f>'LU OLS Model'!$B$12*J111</f>
        <v>0</v>
      </c>
      <c r="V111" s="23">
        <f>'LU OLS Model'!$B$13*K111</f>
        <v>0</v>
      </c>
      <c r="W111" s="23">
        <f>'LU OLS Model'!$B$14*L111</f>
        <v>0</v>
      </c>
      <c r="X111" s="23">
        <f t="shared" ca="1" si="18"/>
        <v>12635262.54106199</v>
      </c>
    </row>
    <row r="112" spans="1:24">
      <c r="A112" s="11">
        <v>43160</v>
      </c>
      <c r="B112" s="6">
        <f t="shared" si="15"/>
        <v>2018</v>
      </c>
      <c r="D112">
        <f t="shared" ca="1" si="16"/>
        <v>556.99</v>
      </c>
      <c r="E112">
        <f t="shared" ca="1" si="16"/>
        <v>0</v>
      </c>
      <c r="F112">
        <f t="shared" si="16"/>
        <v>31</v>
      </c>
      <c r="G112" s="30">
        <f>G100*(1+SUMIF('Ontario Employment Growth'!B:B,B112,'Ontario Employment Growth'!G:G))</f>
        <v>7102.2410470570312</v>
      </c>
      <c r="H112">
        <f t="shared" si="7"/>
        <v>111</v>
      </c>
      <c r="I112">
        <f t="shared" si="17"/>
        <v>0</v>
      </c>
      <c r="J112">
        <f t="shared" si="17"/>
        <v>0</v>
      </c>
      <c r="K112">
        <f t="shared" si="17"/>
        <v>0</v>
      </c>
      <c r="L112">
        <f t="shared" si="17"/>
        <v>0</v>
      </c>
      <c r="N112" s="23">
        <f>'LU OLS Model'!$B$5</f>
        <v>-37159358.269763596</v>
      </c>
      <c r="O112" s="23">
        <f ca="1">'LU OLS Model'!$B$6*D112</f>
        <v>-1081724.8786171773</v>
      </c>
      <c r="P112" s="23">
        <f ca="1">'LU OLS Model'!$B$7*E112</f>
        <v>0</v>
      </c>
      <c r="Q112" s="23">
        <f>'LU OLS Model'!$B$8*F112</f>
        <v>10663463.283272332</v>
      </c>
      <c r="R112" s="23">
        <f>'LU OLS Model'!$B$9*G112</f>
        <v>44729796.743749522</v>
      </c>
      <c r="S112" s="23">
        <f>'LU OLS Model'!$B$10*H112</f>
        <v>-3758167.7281279368</v>
      </c>
      <c r="T112" s="23">
        <f>'LU OLS Model'!$B$11*I112</f>
        <v>0</v>
      </c>
      <c r="U112" s="23">
        <f>'LU OLS Model'!$B$12*J112</f>
        <v>0</v>
      </c>
      <c r="V112" s="23">
        <f>'LU OLS Model'!$B$13*K112</f>
        <v>0</v>
      </c>
      <c r="W112" s="23">
        <f>'LU OLS Model'!$B$14*L112</f>
        <v>0</v>
      </c>
      <c r="X112" s="23">
        <f t="shared" ca="1" si="18"/>
        <v>13394009.150513146</v>
      </c>
    </row>
    <row r="113" spans="1:24">
      <c r="A113" s="11">
        <v>43191</v>
      </c>
      <c r="B113" s="6">
        <f t="shared" si="15"/>
        <v>2018</v>
      </c>
      <c r="D113">
        <f t="shared" ca="1" si="16"/>
        <v>326.58999999999997</v>
      </c>
      <c r="E113">
        <f t="shared" ca="1" si="16"/>
        <v>0.39</v>
      </c>
      <c r="F113">
        <f t="shared" si="16"/>
        <v>30</v>
      </c>
      <c r="G113" s="30">
        <f>G101*(1+SUMIF('Ontario Employment Growth'!B:B,B113,'Ontario Employment Growth'!G:G))</f>
        <v>7137.6928153514082</v>
      </c>
      <c r="H113">
        <f t="shared" si="7"/>
        <v>112</v>
      </c>
      <c r="I113">
        <f t="shared" si="17"/>
        <v>0</v>
      </c>
      <c r="J113">
        <f t="shared" si="17"/>
        <v>1</v>
      </c>
      <c r="K113">
        <f t="shared" si="17"/>
        <v>0</v>
      </c>
      <c r="L113">
        <f t="shared" si="17"/>
        <v>0</v>
      </c>
      <c r="N113" s="23">
        <f>'LU OLS Model'!$B$5</f>
        <v>-37159358.269763596</v>
      </c>
      <c r="O113" s="23">
        <f ca="1">'LU OLS Model'!$B$6*D113</f>
        <v>-634267.27249606617</v>
      </c>
      <c r="P113" s="23">
        <f ca="1">'LU OLS Model'!$B$7*E113</f>
        <v>7322.6846434558438</v>
      </c>
      <c r="Q113" s="23">
        <f>'LU OLS Model'!$B$8*F113</f>
        <v>10319480.59671516</v>
      </c>
      <c r="R113" s="23">
        <f>'LU OLS Model'!$B$9*G113</f>
        <v>44953071.394596674</v>
      </c>
      <c r="S113" s="23">
        <f>'LU OLS Model'!$B$10*H113</f>
        <v>-3792025.095048008</v>
      </c>
      <c r="T113" s="23">
        <f>'LU OLS Model'!$B$11*I113</f>
        <v>0</v>
      </c>
      <c r="U113" s="23">
        <f>'LU OLS Model'!$B$12*J113</f>
        <v>-1039228.3455262</v>
      </c>
      <c r="V113" s="23">
        <f>'LU OLS Model'!$B$13*K113</f>
        <v>0</v>
      </c>
      <c r="W113" s="23">
        <f>'LU OLS Model'!$B$14*L113</f>
        <v>0</v>
      </c>
      <c r="X113" s="23">
        <f t="shared" ca="1" si="18"/>
        <v>12654995.693121416</v>
      </c>
    </row>
    <row r="114" spans="1:24">
      <c r="A114" s="11">
        <v>43221</v>
      </c>
      <c r="B114" s="6">
        <f t="shared" si="15"/>
        <v>2018</v>
      </c>
      <c r="D114">
        <f t="shared" ca="1" si="16"/>
        <v>144.96</v>
      </c>
      <c r="E114">
        <f t="shared" ca="1" si="16"/>
        <v>8.67</v>
      </c>
      <c r="F114">
        <f t="shared" si="16"/>
        <v>31</v>
      </c>
      <c r="G114" s="30">
        <f>G102*(1+SUMIF('Ontario Employment Growth'!B:B,B114,'Ontario Employment Growth'!G:G))</f>
        <v>7198.2869356409055</v>
      </c>
      <c r="H114">
        <f t="shared" si="7"/>
        <v>113</v>
      </c>
      <c r="I114">
        <f t="shared" si="17"/>
        <v>0</v>
      </c>
      <c r="J114">
        <f t="shared" si="17"/>
        <v>0</v>
      </c>
      <c r="K114">
        <f t="shared" si="17"/>
        <v>0</v>
      </c>
      <c r="L114">
        <f t="shared" si="17"/>
        <v>1</v>
      </c>
      <c r="N114" s="23">
        <f>'LU OLS Model'!$B$5</f>
        <v>-37159358.269763596</v>
      </c>
      <c r="O114" s="23">
        <f ca="1">'LU OLS Model'!$B$6*D114</f>
        <v>-281525.41051786573</v>
      </c>
      <c r="P114" s="23">
        <f ca="1">'LU OLS Model'!$B$7*E114</f>
        <v>162788.91245836453</v>
      </c>
      <c r="Q114" s="23">
        <f>'LU OLS Model'!$B$8*F114</f>
        <v>10663463.283272332</v>
      </c>
      <c r="R114" s="23">
        <f>'LU OLS Model'!$B$9*G114</f>
        <v>45334692.162810199</v>
      </c>
      <c r="S114" s="23">
        <f>'LU OLS Model'!$B$10*H114</f>
        <v>-3825882.4619680797</v>
      </c>
      <c r="T114" s="23">
        <f>'LU OLS Model'!$B$11*I114</f>
        <v>0</v>
      </c>
      <c r="U114" s="23">
        <f>'LU OLS Model'!$B$12*J114</f>
        <v>0</v>
      </c>
      <c r="V114" s="23">
        <f>'LU OLS Model'!$B$13*K114</f>
        <v>0</v>
      </c>
      <c r="W114" s="23">
        <f>'LU OLS Model'!$B$14*L114</f>
        <v>-1700644.40454555</v>
      </c>
      <c r="X114" s="23">
        <f t="shared" ca="1" si="18"/>
        <v>13193533.811745811</v>
      </c>
    </row>
    <row r="115" spans="1:24">
      <c r="A115" s="11">
        <v>43252</v>
      </c>
      <c r="B115" s="6">
        <f t="shared" si="15"/>
        <v>2018</v>
      </c>
      <c r="D115">
        <f t="shared" ca="1" si="16"/>
        <v>41.510000000000005</v>
      </c>
      <c r="E115">
        <f t="shared" ca="1" si="16"/>
        <v>44.41</v>
      </c>
      <c r="F115">
        <f t="shared" si="16"/>
        <v>30</v>
      </c>
      <c r="G115" s="30">
        <f>G103*(1+SUMIF('Ontario Employment Growth'!B:B,B115,'Ontario Employment Growth'!G:G))</f>
        <v>7272.241217869233</v>
      </c>
      <c r="H115">
        <f t="shared" si="7"/>
        <v>114</v>
      </c>
      <c r="I115">
        <f t="shared" si="17"/>
        <v>0</v>
      </c>
      <c r="J115">
        <f t="shared" si="17"/>
        <v>0</v>
      </c>
      <c r="K115">
        <f t="shared" si="17"/>
        <v>0</v>
      </c>
      <c r="L115">
        <f t="shared" si="17"/>
        <v>1</v>
      </c>
      <c r="N115" s="23">
        <f>'LU OLS Model'!$B$5</f>
        <v>-37159358.269763596</v>
      </c>
      <c r="O115" s="23">
        <f ca="1">'LU OLS Model'!$B$6*D115</f>
        <v>-80616.168533365111</v>
      </c>
      <c r="P115" s="23">
        <f ca="1">'LU OLS Model'!$B$7*E115</f>
        <v>833847.24363044614</v>
      </c>
      <c r="Q115" s="23">
        <f>'LU OLS Model'!$B$8*F115</f>
        <v>10319480.59671516</v>
      </c>
      <c r="R115" s="23">
        <f>'LU OLS Model'!$B$9*G115</f>
        <v>45800455.010126352</v>
      </c>
      <c r="S115" s="23">
        <f>'LU OLS Model'!$B$10*H115</f>
        <v>-3859739.8288881513</v>
      </c>
      <c r="T115" s="23">
        <f>'LU OLS Model'!$B$11*I115</f>
        <v>0</v>
      </c>
      <c r="U115" s="23">
        <f>'LU OLS Model'!$B$12*J115</f>
        <v>0</v>
      </c>
      <c r="V115" s="23">
        <f>'LU OLS Model'!$B$13*K115</f>
        <v>0</v>
      </c>
      <c r="W115" s="23">
        <f>'LU OLS Model'!$B$14*L115</f>
        <v>-1700644.40454555</v>
      </c>
      <c r="X115" s="23">
        <f t="shared" ca="1" si="18"/>
        <v>14153424.178741299</v>
      </c>
    </row>
    <row r="116" spans="1:24">
      <c r="A116" s="11">
        <v>43282</v>
      </c>
      <c r="B116" s="6">
        <f t="shared" si="15"/>
        <v>2018</v>
      </c>
      <c r="D116">
        <f t="shared" ca="1" si="16"/>
        <v>5.01</v>
      </c>
      <c r="E116">
        <f t="shared" ca="1" si="16"/>
        <v>96.909999999999982</v>
      </c>
      <c r="F116">
        <f t="shared" si="16"/>
        <v>31</v>
      </c>
      <c r="G116" s="30">
        <f>G104*(1+SUMIF('Ontario Employment Growth'!B:B,B116,'Ontario Employment Growth'!G:G))</f>
        <v>7319.4751762199012</v>
      </c>
      <c r="H116">
        <f t="shared" si="7"/>
        <v>115</v>
      </c>
      <c r="I116">
        <f t="shared" si="17"/>
        <v>0</v>
      </c>
      <c r="J116">
        <f t="shared" si="17"/>
        <v>0</v>
      </c>
      <c r="K116">
        <f t="shared" si="17"/>
        <v>0</v>
      </c>
      <c r="L116">
        <f t="shared" si="17"/>
        <v>1</v>
      </c>
      <c r="N116" s="23">
        <f>'LU OLS Model'!$B$5</f>
        <v>-37159358.269763596</v>
      </c>
      <c r="O116" s="23">
        <f ca="1">'LU OLS Model'!$B$6*D116</f>
        <v>-9729.8724247689515</v>
      </c>
      <c r="P116" s="23">
        <f ca="1">'LU OLS Model'!$B$7*E116</f>
        <v>1819593.2533264249</v>
      </c>
      <c r="Q116" s="23">
        <f>'LU OLS Model'!$B$8*F116</f>
        <v>10663463.283272332</v>
      </c>
      <c r="R116" s="23">
        <f>'LU OLS Model'!$B$9*G116</f>
        <v>46097933.69923725</v>
      </c>
      <c r="S116" s="23">
        <f>'LU OLS Model'!$B$10*H116</f>
        <v>-3893597.1958082225</v>
      </c>
      <c r="T116" s="23">
        <f>'LU OLS Model'!$B$11*I116</f>
        <v>0</v>
      </c>
      <c r="U116" s="23">
        <f>'LU OLS Model'!$B$12*J116</f>
        <v>0</v>
      </c>
      <c r="V116" s="23">
        <f>'LU OLS Model'!$B$13*K116</f>
        <v>0</v>
      </c>
      <c r="W116" s="23">
        <f>'LU OLS Model'!$B$14*L116</f>
        <v>-1700644.40454555</v>
      </c>
      <c r="X116" s="23">
        <f t="shared" ca="1" si="18"/>
        <v>15817660.49329387</v>
      </c>
    </row>
    <row r="117" spans="1:24">
      <c r="A117" s="11">
        <v>43313</v>
      </c>
      <c r="B117" s="6">
        <f t="shared" si="15"/>
        <v>2018</v>
      </c>
      <c r="D117">
        <f t="shared" ca="1" si="16"/>
        <v>12.719999999999999</v>
      </c>
      <c r="E117">
        <f t="shared" ca="1" si="16"/>
        <v>77.22999999999999</v>
      </c>
      <c r="F117">
        <f t="shared" si="16"/>
        <v>31</v>
      </c>
      <c r="G117" s="30">
        <f>G105*(1+SUMIF('Ontario Employment Growth'!B:B,B117,'Ontario Employment Growth'!G:G))</f>
        <v>7331.9937531547093</v>
      </c>
      <c r="H117">
        <f t="shared" si="7"/>
        <v>116</v>
      </c>
      <c r="I117">
        <f t="shared" si="17"/>
        <v>0</v>
      </c>
      <c r="J117">
        <f t="shared" si="17"/>
        <v>0</v>
      </c>
      <c r="K117">
        <f t="shared" si="17"/>
        <v>0</v>
      </c>
      <c r="L117">
        <f t="shared" si="17"/>
        <v>1</v>
      </c>
      <c r="N117" s="23">
        <f>'LU OLS Model'!$B$5</f>
        <v>-37159358.269763596</v>
      </c>
      <c r="O117" s="23">
        <f ca="1">'LU OLS Model'!$B$6*D117</f>
        <v>-24703.388671269669</v>
      </c>
      <c r="P117" s="23">
        <f ca="1">'LU OLS Model'!$B$7*E117</f>
        <v>1450079.3205489609</v>
      </c>
      <c r="Q117" s="23">
        <f>'LU OLS Model'!$B$8*F117</f>
        <v>10663463.283272332</v>
      </c>
      <c r="R117" s="23">
        <f>'LU OLS Model'!$B$9*G117</f>
        <v>46176775.489892468</v>
      </c>
      <c r="S117" s="23">
        <f>'LU OLS Model'!$B$10*H117</f>
        <v>-3927454.5627282942</v>
      </c>
      <c r="T117" s="23">
        <f>'LU OLS Model'!$B$11*I117</f>
        <v>0</v>
      </c>
      <c r="U117" s="23">
        <f>'LU OLS Model'!$B$12*J117</f>
        <v>0</v>
      </c>
      <c r="V117" s="23">
        <f>'LU OLS Model'!$B$13*K117</f>
        <v>0</v>
      </c>
      <c r="W117" s="23">
        <f>'LU OLS Model'!$B$14*L117</f>
        <v>-1700644.40454555</v>
      </c>
      <c r="X117" s="23">
        <f t="shared" ca="1" si="18"/>
        <v>15478157.46800505</v>
      </c>
    </row>
    <row r="118" spans="1:24">
      <c r="A118" s="11">
        <v>43344</v>
      </c>
      <c r="B118" s="6">
        <f t="shared" si="15"/>
        <v>2018</v>
      </c>
      <c r="D118">
        <f t="shared" ref="D118:F137" ca="1" si="19">D106</f>
        <v>86.570000000000007</v>
      </c>
      <c r="E118">
        <f t="shared" ca="1" si="19"/>
        <v>19.899999999999999</v>
      </c>
      <c r="F118">
        <f t="shared" si="19"/>
        <v>30</v>
      </c>
      <c r="G118" s="30">
        <f>G106*(1+SUMIF('Ontario Employment Growth'!B:B,B118,'Ontario Employment Growth'!G:G))</f>
        <v>7305.0630330260446</v>
      </c>
      <c r="H118">
        <f t="shared" si="7"/>
        <v>117</v>
      </c>
      <c r="I118">
        <f t="shared" ref="I118:L137" si="20">I106</f>
        <v>1</v>
      </c>
      <c r="J118">
        <f t="shared" si="20"/>
        <v>0</v>
      </c>
      <c r="K118">
        <f t="shared" si="20"/>
        <v>0</v>
      </c>
      <c r="L118">
        <f t="shared" si="20"/>
        <v>0</v>
      </c>
      <c r="N118" s="23">
        <f>'LU OLS Model'!$B$5</f>
        <v>-37159358.269763596</v>
      </c>
      <c r="O118" s="23">
        <f ca="1">'LU OLS Model'!$B$6*D118</f>
        <v>-168126.75764715532</v>
      </c>
      <c r="P118" s="23">
        <f ca="1">'LU OLS Model'!$B$7*E118</f>
        <v>373644.67796095199</v>
      </c>
      <c r="Q118" s="23">
        <f>'LU OLS Model'!$B$8*F118</f>
        <v>10319480.59671516</v>
      </c>
      <c r="R118" s="23">
        <f>'LU OLS Model'!$B$9*G118</f>
        <v>46007166.259575352</v>
      </c>
      <c r="S118" s="23">
        <f>'LU OLS Model'!$B$10*H118</f>
        <v>-3961311.9296483658</v>
      </c>
      <c r="T118" s="23">
        <f>'LU OLS Model'!$B$11*I118</f>
        <v>-1059857.8947751301</v>
      </c>
      <c r="U118" s="23">
        <f>'LU OLS Model'!$B$12*J118</f>
        <v>0</v>
      </c>
      <c r="V118" s="23">
        <f>'LU OLS Model'!$B$13*K118</f>
        <v>0</v>
      </c>
      <c r="W118" s="23">
        <f>'LU OLS Model'!$B$14*L118</f>
        <v>0</v>
      </c>
      <c r="X118" s="23">
        <f t="shared" ca="1" si="18"/>
        <v>14351636.682417218</v>
      </c>
    </row>
    <row r="119" spans="1:24">
      <c r="A119" s="11">
        <v>43374</v>
      </c>
      <c r="B119" s="6">
        <f t="shared" si="15"/>
        <v>2018</v>
      </c>
      <c r="D119">
        <f t="shared" ca="1" si="19"/>
        <v>270.3</v>
      </c>
      <c r="E119">
        <f t="shared" ca="1" si="19"/>
        <v>1.21</v>
      </c>
      <c r="F119">
        <f t="shared" si="19"/>
        <v>31</v>
      </c>
      <c r="G119" s="30">
        <f>G107*(1+SUMIF('Ontario Employment Growth'!B:B,B119,'Ontario Employment Growth'!G:G))</f>
        <v>7297.1731736133497</v>
      </c>
      <c r="H119">
        <f t="shared" si="7"/>
        <v>118</v>
      </c>
      <c r="I119">
        <f t="shared" si="20"/>
        <v>1</v>
      </c>
      <c r="J119">
        <f t="shared" si="20"/>
        <v>0</v>
      </c>
      <c r="K119">
        <f t="shared" si="20"/>
        <v>0</v>
      </c>
      <c r="L119">
        <f t="shared" si="20"/>
        <v>0</v>
      </c>
      <c r="N119" s="23">
        <f>'LU OLS Model'!$B$5</f>
        <v>-37159358.269763596</v>
      </c>
      <c r="O119" s="23">
        <f ca="1">'LU OLS Model'!$B$6*D119</f>
        <v>-524947.00926448056</v>
      </c>
      <c r="P119" s="23">
        <f ca="1">'LU OLS Model'!$B$7*E119</f>
        <v>22719.098509183514</v>
      </c>
      <c r="Q119" s="23">
        <f>'LU OLS Model'!$B$8*F119</f>
        <v>10663463.283272332</v>
      </c>
      <c r="R119" s="23">
        <f>'LU OLS Model'!$B$9*G119</f>
        <v>45957476.055380881</v>
      </c>
      <c r="S119" s="23">
        <f>'LU OLS Model'!$B$10*H119</f>
        <v>-3995169.296568437</v>
      </c>
      <c r="T119" s="23">
        <f>'LU OLS Model'!$B$11*I119</f>
        <v>-1059857.8947751301</v>
      </c>
      <c r="U119" s="23">
        <f>'LU OLS Model'!$B$12*J119</f>
        <v>0</v>
      </c>
      <c r="V119" s="23">
        <f>'LU OLS Model'!$B$13*K119</f>
        <v>0</v>
      </c>
      <c r="W119" s="23">
        <f>'LU OLS Model'!$B$14*L119</f>
        <v>0</v>
      </c>
      <c r="X119" s="23">
        <f t="shared" ca="1" si="18"/>
        <v>13904325.966790752</v>
      </c>
    </row>
    <row r="120" spans="1:24">
      <c r="A120" s="11">
        <v>43405</v>
      </c>
      <c r="B120" s="6">
        <f t="shared" si="15"/>
        <v>2018</v>
      </c>
      <c r="D120">
        <f t="shared" ca="1" si="19"/>
        <v>444.05</v>
      </c>
      <c r="E120">
        <f t="shared" ca="1" si="19"/>
        <v>0</v>
      </c>
      <c r="F120">
        <f t="shared" si="19"/>
        <v>30</v>
      </c>
      <c r="G120" s="30">
        <f>G108*(1+SUMIF('Ontario Employment Growth'!B:B,B120,'Ontario Employment Growth'!G:G))</f>
        <v>7273.7139916262704</v>
      </c>
      <c r="H120">
        <f t="shared" si="7"/>
        <v>119</v>
      </c>
      <c r="I120">
        <f t="shared" si="20"/>
        <v>1</v>
      </c>
      <c r="J120">
        <f t="shared" si="20"/>
        <v>0</v>
      </c>
      <c r="K120">
        <f t="shared" si="20"/>
        <v>0</v>
      </c>
      <c r="L120">
        <f t="shared" si="20"/>
        <v>0</v>
      </c>
      <c r="N120" s="23">
        <f>'LU OLS Model'!$B$5</f>
        <v>-37159358.269763596</v>
      </c>
      <c r="O120" s="23">
        <f ca="1">'LU OLS Model'!$B$6*D120</f>
        <v>-862385.19964444172</v>
      </c>
      <c r="P120" s="23">
        <f ca="1">'LU OLS Model'!$B$7*E120</f>
        <v>0</v>
      </c>
      <c r="Q120" s="23">
        <f>'LU OLS Model'!$B$8*F120</f>
        <v>10319480.59671516</v>
      </c>
      <c r="R120" s="23">
        <f>'LU OLS Model'!$B$9*G120</f>
        <v>45809730.514909327</v>
      </c>
      <c r="S120" s="23">
        <f>'LU OLS Model'!$B$10*H120</f>
        <v>-4029026.6634885087</v>
      </c>
      <c r="T120" s="23">
        <f>'LU OLS Model'!$B$11*I120</f>
        <v>-1059857.8947751301</v>
      </c>
      <c r="U120" s="23">
        <f>'LU OLS Model'!$B$12*J120</f>
        <v>0</v>
      </c>
      <c r="V120" s="23">
        <f>'LU OLS Model'!$B$13*K120</f>
        <v>0</v>
      </c>
      <c r="W120" s="23">
        <f>'LU OLS Model'!$B$14*L120</f>
        <v>0</v>
      </c>
      <c r="X120" s="23">
        <f t="shared" ca="1" si="18"/>
        <v>13018583.083952812</v>
      </c>
    </row>
    <row r="121" spans="1:24">
      <c r="A121" s="11">
        <v>43435</v>
      </c>
      <c r="B121" s="6">
        <f t="shared" si="15"/>
        <v>2018</v>
      </c>
      <c r="D121">
        <f t="shared" ca="1" si="19"/>
        <v>684.01</v>
      </c>
      <c r="E121">
        <f t="shared" ca="1" si="19"/>
        <v>0</v>
      </c>
      <c r="F121">
        <f t="shared" si="19"/>
        <v>31</v>
      </c>
      <c r="G121" s="30">
        <f>G109*(1+SUMIF('Ontario Employment Growth'!B:B,B121,'Ontario Employment Growth'!G:G))</f>
        <v>7262.0369996954805</v>
      </c>
      <c r="H121">
        <f t="shared" si="7"/>
        <v>120</v>
      </c>
      <c r="I121">
        <f t="shared" si="20"/>
        <v>0</v>
      </c>
      <c r="J121">
        <f t="shared" si="20"/>
        <v>0</v>
      </c>
      <c r="K121">
        <f t="shared" si="20"/>
        <v>1</v>
      </c>
      <c r="L121">
        <f t="shared" si="20"/>
        <v>0</v>
      </c>
      <c r="N121" s="23">
        <f>'LU OLS Model'!$B$5</f>
        <v>-37159358.269763596</v>
      </c>
      <c r="O121" s="23">
        <f ca="1">'LU OLS Model'!$B$6*D121</f>
        <v>-1328409.1890750919</v>
      </c>
      <c r="P121" s="23">
        <f ca="1">'LU OLS Model'!$B$7*E121</f>
        <v>0</v>
      </c>
      <c r="Q121" s="23">
        <f>'LU OLS Model'!$B$8*F121</f>
        <v>10663463.283272332</v>
      </c>
      <c r="R121" s="23">
        <f>'LU OLS Model'!$B$9*G121</f>
        <v>45736189.012701504</v>
      </c>
      <c r="S121" s="23">
        <f>'LU OLS Model'!$B$10*H121</f>
        <v>-4062884.0304085803</v>
      </c>
      <c r="T121" s="23">
        <f>'LU OLS Model'!$B$11*I121</f>
        <v>0</v>
      </c>
      <c r="U121" s="23">
        <f>'LU OLS Model'!$B$12*J121</f>
        <v>0</v>
      </c>
      <c r="V121" s="23">
        <f>'LU OLS Model'!$B$13*K121</f>
        <v>-999570.07441694394</v>
      </c>
      <c r="W121" s="23">
        <f>'LU OLS Model'!$B$14*L121</f>
        <v>0</v>
      </c>
      <c r="X121" s="23">
        <f t="shared" ca="1" si="18"/>
        <v>12849430.732309626</v>
      </c>
    </row>
    <row r="122" spans="1:24">
      <c r="A122" s="11">
        <v>43466</v>
      </c>
      <c r="B122" s="6">
        <f t="shared" si="15"/>
        <v>2019</v>
      </c>
      <c r="D122">
        <f t="shared" ca="1" si="19"/>
        <v>784.29</v>
      </c>
      <c r="E122">
        <f t="shared" ca="1" si="19"/>
        <v>0</v>
      </c>
      <c r="F122">
        <f t="shared" si="19"/>
        <v>31</v>
      </c>
      <c r="G122" s="30">
        <f>G110*(1+SUMIF('Ontario Employment Growth'!B:B,B122,'Ontario Employment Growth'!G:G))</f>
        <v>7252.9681848902783</v>
      </c>
      <c r="H122">
        <f t="shared" si="7"/>
        <v>121</v>
      </c>
      <c r="I122">
        <f t="shared" si="20"/>
        <v>0</v>
      </c>
      <c r="J122">
        <f t="shared" si="20"/>
        <v>0</v>
      </c>
      <c r="K122">
        <f t="shared" si="20"/>
        <v>0</v>
      </c>
      <c r="L122">
        <f t="shared" si="20"/>
        <v>0</v>
      </c>
      <c r="N122" s="23">
        <f>'LU OLS Model'!$B$5</f>
        <v>-37159358.269763596</v>
      </c>
      <c r="O122" s="23">
        <f ca="1">'LU OLS Model'!$B$6*D122</f>
        <v>-1523162.0047948186</v>
      </c>
      <c r="P122" s="23">
        <f ca="1">'LU OLS Model'!$B$7*E122</f>
        <v>0</v>
      </c>
      <c r="Q122" s="23">
        <f>'LU OLS Model'!$B$8*F122</f>
        <v>10663463.283272332</v>
      </c>
      <c r="R122" s="23">
        <f>'LU OLS Model'!$B$9*G122</f>
        <v>45679073.76692827</v>
      </c>
      <c r="S122" s="23">
        <f>'LU OLS Model'!$B$10*H122</f>
        <v>-4096741.3973286515</v>
      </c>
      <c r="T122" s="23">
        <f>'LU OLS Model'!$B$11*I122</f>
        <v>0</v>
      </c>
      <c r="U122" s="23">
        <f>'LU OLS Model'!$B$12*J122</f>
        <v>0</v>
      </c>
      <c r="V122" s="23">
        <f>'LU OLS Model'!$B$13*K122</f>
        <v>0</v>
      </c>
      <c r="W122" s="23">
        <f>'LU OLS Model'!$B$14*L122</f>
        <v>0</v>
      </c>
      <c r="X122" s="23">
        <f t="shared" ca="1" si="18"/>
        <v>13563275.378313534</v>
      </c>
    </row>
    <row r="123" spans="1:24">
      <c r="A123" s="11">
        <v>43497</v>
      </c>
      <c r="B123" s="6">
        <f t="shared" si="15"/>
        <v>2019</v>
      </c>
      <c r="D123">
        <f t="shared" ca="1" si="19"/>
        <v>682.50999999999988</v>
      </c>
      <c r="E123">
        <f t="shared" ca="1" si="19"/>
        <v>0</v>
      </c>
      <c r="F123">
        <f t="shared" si="19"/>
        <v>29</v>
      </c>
      <c r="G123" s="30">
        <f>G111*(1+SUMIF('Ontario Employment Growth'!B:B,B123,'Ontario Employment Growth'!G:G))</f>
        <v>7216.9489779069409</v>
      </c>
      <c r="H123">
        <f t="shared" si="7"/>
        <v>122</v>
      </c>
      <c r="I123">
        <f t="shared" si="20"/>
        <v>0</v>
      </c>
      <c r="J123">
        <f t="shared" si="20"/>
        <v>0</v>
      </c>
      <c r="K123">
        <f t="shared" si="20"/>
        <v>0</v>
      </c>
      <c r="L123">
        <f t="shared" si="20"/>
        <v>0</v>
      </c>
      <c r="N123" s="23">
        <f>'LU OLS Model'!$B$5</f>
        <v>-37159358.269763596</v>
      </c>
      <c r="O123" s="23">
        <f ca="1">'LU OLS Model'!$B$6*D123</f>
        <v>-1325496.053618574</v>
      </c>
      <c r="P123" s="23">
        <f ca="1">'LU OLS Model'!$B$7*E123</f>
        <v>0</v>
      </c>
      <c r="Q123" s="23">
        <f>'LU OLS Model'!$B$8*F123</f>
        <v>9975497.9101579878</v>
      </c>
      <c r="R123" s="23">
        <f>'LU OLS Model'!$B$9*G123</f>
        <v>45452225.396595456</v>
      </c>
      <c r="S123" s="23">
        <f>'LU OLS Model'!$B$10*H123</f>
        <v>-4130598.7642487232</v>
      </c>
      <c r="T123" s="23">
        <f>'LU OLS Model'!$B$11*I123</f>
        <v>0</v>
      </c>
      <c r="U123" s="23">
        <f>'LU OLS Model'!$B$12*J123</f>
        <v>0</v>
      </c>
      <c r="V123" s="23">
        <f>'LU OLS Model'!$B$13*K123</f>
        <v>0</v>
      </c>
      <c r="W123" s="23">
        <f>'LU OLS Model'!$B$14*L123</f>
        <v>0</v>
      </c>
      <c r="X123" s="23">
        <f t="shared" ca="1" si="18"/>
        <v>12812270.21912255</v>
      </c>
    </row>
    <row r="124" spans="1:24">
      <c r="A124" s="11">
        <v>43525</v>
      </c>
      <c r="B124" s="6">
        <f t="shared" si="15"/>
        <v>2019</v>
      </c>
      <c r="D124">
        <f t="shared" ca="1" si="19"/>
        <v>556.99</v>
      </c>
      <c r="E124">
        <f t="shared" ca="1" si="19"/>
        <v>0</v>
      </c>
      <c r="F124">
        <f t="shared" si="19"/>
        <v>31</v>
      </c>
      <c r="G124" s="30">
        <f>G112*(1+SUMIF('Ontario Employment Growth'!B:B,B124,'Ontario Employment Growth'!G:G))</f>
        <v>7194.5701806687721</v>
      </c>
      <c r="H124">
        <f t="shared" si="7"/>
        <v>123</v>
      </c>
      <c r="I124">
        <f t="shared" si="20"/>
        <v>0</v>
      </c>
      <c r="J124">
        <f t="shared" si="20"/>
        <v>0</v>
      </c>
      <c r="K124">
        <f t="shared" si="20"/>
        <v>0</v>
      </c>
      <c r="L124">
        <f t="shared" si="20"/>
        <v>0</v>
      </c>
      <c r="N124" s="23">
        <f>'LU OLS Model'!$B$5</f>
        <v>-37159358.269763596</v>
      </c>
      <c r="O124" s="23">
        <f ca="1">'LU OLS Model'!$B$6*D124</f>
        <v>-1081724.8786171773</v>
      </c>
      <c r="P124" s="23">
        <f ca="1">'LU OLS Model'!$B$7*E124</f>
        <v>0</v>
      </c>
      <c r="Q124" s="23">
        <f>'LU OLS Model'!$B$8*F124</f>
        <v>10663463.283272332</v>
      </c>
      <c r="R124" s="23">
        <f>'LU OLS Model'!$B$9*G124</f>
        <v>45311284.101418257</v>
      </c>
      <c r="S124" s="23">
        <f>'LU OLS Model'!$B$10*H124</f>
        <v>-4164456.1311687948</v>
      </c>
      <c r="T124" s="23">
        <f>'LU OLS Model'!$B$11*I124</f>
        <v>0</v>
      </c>
      <c r="U124" s="23">
        <f>'LU OLS Model'!$B$12*J124</f>
        <v>0</v>
      </c>
      <c r="V124" s="23">
        <f>'LU OLS Model'!$B$13*K124</f>
        <v>0</v>
      </c>
      <c r="W124" s="23">
        <f>'LU OLS Model'!$B$14*L124</f>
        <v>0</v>
      </c>
      <c r="X124" s="23">
        <f t="shared" ca="1" si="18"/>
        <v>13569208.105141025</v>
      </c>
    </row>
    <row r="125" spans="1:24">
      <c r="A125" s="11">
        <v>43556</v>
      </c>
      <c r="B125" s="6">
        <f t="shared" si="15"/>
        <v>2019</v>
      </c>
      <c r="D125">
        <f t="shared" ca="1" si="19"/>
        <v>326.58999999999997</v>
      </c>
      <c r="E125">
        <f t="shared" ca="1" si="19"/>
        <v>0.39</v>
      </c>
      <c r="F125">
        <f t="shared" si="19"/>
        <v>30</v>
      </c>
      <c r="G125" s="30">
        <f>G113*(1+SUMIF('Ontario Employment Growth'!B:B,B125,'Ontario Employment Growth'!G:G))</f>
        <v>7230.4828219509754</v>
      </c>
      <c r="H125">
        <f t="shared" si="7"/>
        <v>124</v>
      </c>
      <c r="I125">
        <f t="shared" si="20"/>
        <v>0</v>
      </c>
      <c r="J125">
        <f t="shared" si="20"/>
        <v>1</v>
      </c>
      <c r="K125">
        <f t="shared" si="20"/>
        <v>0</v>
      </c>
      <c r="L125">
        <f t="shared" si="20"/>
        <v>0</v>
      </c>
      <c r="N125" s="23">
        <f>'LU OLS Model'!$B$5</f>
        <v>-37159358.269763596</v>
      </c>
      <c r="O125" s="23">
        <f ca="1">'LU OLS Model'!$B$6*D125</f>
        <v>-634267.27249606617</v>
      </c>
      <c r="P125" s="23">
        <f ca="1">'LU OLS Model'!$B$7*E125</f>
        <v>7322.6846434558438</v>
      </c>
      <c r="Q125" s="23">
        <f>'LU OLS Model'!$B$8*F125</f>
        <v>10319480.59671516</v>
      </c>
      <c r="R125" s="23">
        <f>'LU OLS Model'!$B$9*G125</f>
        <v>45537461.322726421</v>
      </c>
      <c r="S125" s="23">
        <f>'LU OLS Model'!$B$10*H125</f>
        <v>-4198313.4980888665</v>
      </c>
      <c r="T125" s="23">
        <f>'LU OLS Model'!$B$11*I125</f>
        <v>0</v>
      </c>
      <c r="U125" s="23">
        <f>'LU OLS Model'!$B$12*J125</f>
        <v>-1039228.3455262</v>
      </c>
      <c r="V125" s="23">
        <f>'LU OLS Model'!$B$13*K125</f>
        <v>0</v>
      </c>
      <c r="W125" s="23">
        <f>'LU OLS Model'!$B$14*L125</f>
        <v>0</v>
      </c>
      <c r="X125" s="23">
        <f t="shared" ca="1" si="18"/>
        <v>12833097.218210306</v>
      </c>
    </row>
    <row r="126" spans="1:24">
      <c r="A126" s="11">
        <v>43586</v>
      </c>
      <c r="B126" s="6">
        <f t="shared" si="15"/>
        <v>2019</v>
      </c>
      <c r="D126">
        <f t="shared" ca="1" si="19"/>
        <v>144.96</v>
      </c>
      <c r="E126">
        <f t="shared" ca="1" si="19"/>
        <v>8.67</v>
      </c>
      <c r="F126">
        <f t="shared" si="19"/>
        <v>31</v>
      </c>
      <c r="G126" s="30">
        <f>G114*(1+SUMIF('Ontario Employment Growth'!B:B,B126,'Ontario Employment Growth'!G:G))</f>
        <v>7291.8646658042362</v>
      </c>
      <c r="H126">
        <f t="shared" si="7"/>
        <v>125</v>
      </c>
      <c r="I126">
        <f t="shared" si="20"/>
        <v>0</v>
      </c>
      <c r="J126">
        <f t="shared" si="20"/>
        <v>0</v>
      </c>
      <c r="K126">
        <f t="shared" si="20"/>
        <v>0</v>
      </c>
      <c r="L126">
        <f t="shared" si="20"/>
        <v>1</v>
      </c>
      <c r="N126" s="23">
        <f>'LU OLS Model'!$B$5</f>
        <v>-37159358.269763596</v>
      </c>
      <c r="O126" s="23">
        <f ca="1">'LU OLS Model'!$B$6*D126</f>
        <v>-281525.41051786573</v>
      </c>
      <c r="P126" s="23">
        <f ca="1">'LU OLS Model'!$B$7*E126</f>
        <v>162788.91245836453</v>
      </c>
      <c r="Q126" s="23">
        <f>'LU OLS Model'!$B$8*F126</f>
        <v>10663463.283272332</v>
      </c>
      <c r="R126" s="23">
        <f>'LU OLS Model'!$B$9*G126</f>
        <v>45924043.160926722</v>
      </c>
      <c r="S126" s="23">
        <f>'LU OLS Model'!$B$10*H126</f>
        <v>-4232170.8650089372</v>
      </c>
      <c r="T126" s="23">
        <f>'LU OLS Model'!$B$11*I126</f>
        <v>0</v>
      </c>
      <c r="U126" s="23">
        <f>'LU OLS Model'!$B$12*J126</f>
        <v>0</v>
      </c>
      <c r="V126" s="23">
        <f>'LU OLS Model'!$B$13*K126</f>
        <v>0</v>
      </c>
      <c r="W126" s="23">
        <f>'LU OLS Model'!$B$14*L126</f>
        <v>-1700644.40454555</v>
      </c>
      <c r="X126" s="23">
        <f t="shared" ca="1" si="18"/>
        <v>13376596.406821476</v>
      </c>
    </row>
    <row r="127" spans="1:24">
      <c r="A127" s="11">
        <v>43617</v>
      </c>
      <c r="B127" s="6">
        <f t="shared" si="15"/>
        <v>2019</v>
      </c>
      <c r="D127">
        <f t="shared" ca="1" si="19"/>
        <v>41.510000000000005</v>
      </c>
      <c r="E127">
        <f t="shared" ca="1" si="19"/>
        <v>44.41</v>
      </c>
      <c r="F127">
        <f t="shared" si="19"/>
        <v>30</v>
      </c>
      <c r="G127" s="30">
        <f>G115*(1+SUMIF('Ontario Employment Growth'!B:B,B127,'Ontario Employment Growth'!G:G))</f>
        <v>7366.7803537015325</v>
      </c>
      <c r="H127">
        <f t="shared" ref="H127:H145" si="21">H126+1</f>
        <v>126</v>
      </c>
      <c r="I127">
        <f t="shared" si="20"/>
        <v>0</v>
      </c>
      <c r="J127">
        <f t="shared" si="20"/>
        <v>0</v>
      </c>
      <c r="K127">
        <f t="shared" si="20"/>
        <v>0</v>
      </c>
      <c r="L127">
        <f t="shared" si="20"/>
        <v>1</v>
      </c>
      <c r="N127" s="23">
        <f>'LU OLS Model'!$B$5</f>
        <v>-37159358.269763596</v>
      </c>
      <c r="O127" s="23">
        <f ca="1">'LU OLS Model'!$B$6*D127</f>
        <v>-80616.168533365111</v>
      </c>
      <c r="P127" s="23">
        <f ca="1">'LU OLS Model'!$B$7*E127</f>
        <v>833847.24363044614</v>
      </c>
      <c r="Q127" s="23">
        <f>'LU OLS Model'!$B$8*F127</f>
        <v>10319480.59671516</v>
      </c>
      <c r="R127" s="23">
        <f>'LU OLS Model'!$B$9*G127</f>
        <v>46395860.925257996</v>
      </c>
      <c r="S127" s="23">
        <f>'LU OLS Model'!$B$10*H127</f>
        <v>-4266028.2319290088</v>
      </c>
      <c r="T127" s="23">
        <f>'LU OLS Model'!$B$11*I127</f>
        <v>0</v>
      </c>
      <c r="U127" s="23">
        <f>'LU OLS Model'!$B$12*J127</f>
        <v>0</v>
      </c>
      <c r="V127" s="23">
        <f>'LU OLS Model'!$B$13*K127</f>
        <v>0</v>
      </c>
      <c r="W127" s="23">
        <f>'LU OLS Model'!$B$14*L127</f>
        <v>-1700644.40454555</v>
      </c>
      <c r="X127" s="23">
        <f t="shared" ca="1" si="18"/>
        <v>14342541.690832086</v>
      </c>
    </row>
    <row r="128" spans="1:24">
      <c r="A128" s="11">
        <v>43647</v>
      </c>
      <c r="B128" s="6">
        <f t="shared" si="15"/>
        <v>2019</v>
      </c>
      <c r="D128">
        <f t="shared" ca="1" si="19"/>
        <v>5.01</v>
      </c>
      <c r="E128">
        <f t="shared" ca="1" si="19"/>
        <v>96.909999999999982</v>
      </c>
      <c r="F128">
        <f t="shared" si="19"/>
        <v>31</v>
      </c>
      <c r="G128" s="30">
        <f>G116*(1+SUMIF('Ontario Employment Growth'!B:B,B128,'Ontario Employment Growth'!G:G))</f>
        <v>7414.6283535107596</v>
      </c>
      <c r="H128">
        <f t="shared" si="21"/>
        <v>127</v>
      </c>
      <c r="I128">
        <f t="shared" si="20"/>
        <v>0</v>
      </c>
      <c r="J128">
        <f t="shared" si="20"/>
        <v>0</v>
      </c>
      <c r="K128">
        <f t="shared" si="20"/>
        <v>0</v>
      </c>
      <c r="L128">
        <f t="shared" si="20"/>
        <v>1</v>
      </c>
      <c r="N128" s="23">
        <f>'LU OLS Model'!$B$5</f>
        <v>-37159358.269763596</v>
      </c>
      <c r="O128" s="23">
        <f ca="1">'LU OLS Model'!$B$6*D128</f>
        <v>-9729.8724247689515</v>
      </c>
      <c r="P128" s="23">
        <f ca="1">'LU OLS Model'!$B$7*E128</f>
        <v>1819593.2533264249</v>
      </c>
      <c r="Q128" s="23">
        <f>'LU OLS Model'!$B$8*F128</f>
        <v>10663463.283272332</v>
      </c>
      <c r="R128" s="23">
        <f>'LU OLS Model'!$B$9*G128</f>
        <v>46697206.837327331</v>
      </c>
      <c r="S128" s="23">
        <f>'LU OLS Model'!$B$10*H128</f>
        <v>-4299885.5988490805</v>
      </c>
      <c r="T128" s="23">
        <f>'LU OLS Model'!$B$11*I128</f>
        <v>0</v>
      </c>
      <c r="U128" s="23">
        <f>'LU OLS Model'!$B$12*J128</f>
        <v>0</v>
      </c>
      <c r="V128" s="23">
        <f>'LU OLS Model'!$B$13*K128</f>
        <v>0</v>
      </c>
      <c r="W128" s="23">
        <f>'LU OLS Model'!$B$14*L128</f>
        <v>-1700644.40454555</v>
      </c>
      <c r="X128" s="23">
        <f t="shared" ca="1" si="18"/>
        <v>16010645.228343096</v>
      </c>
    </row>
    <row r="129" spans="1:24">
      <c r="A129" s="11">
        <v>43678</v>
      </c>
      <c r="B129" s="6">
        <f t="shared" si="15"/>
        <v>2019</v>
      </c>
      <c r="D129">
        <f t="shared" ca="1" si="19"/>
        <v>12.719999999999999</v>
      </c>
      <c r="E129">
        <f t="shared" ca="1" si="19"/>
        <v>77.22999999999999</v>
      </c>
      <c r="F129">
        <f t="shared" si="19"/>
        <v>31</v>
      </c>
      <c r="G129" s="30">
        <f>G117*(1+SUMIF('Ontario Employment Growth'!B:B,B129,'Ontario Employment Growth'!G:G))</f>
        <v>7427.3096719457199</v>
      </c>
      <c r="H129">
        <f t="shared" si="21"/>
        <v>128</v>
      </c>
      <c r="I129">
        <f t="shared" si="20"/>
        <v>0</v>
      </c>
      <c r="J129">
        <f t="shared" si="20"/>
        <v>0</v>
      </c>
      <c r="K129">
        <f t="shared" si="20"/>
        <v>0</v>
      </c>
      <c r="L129">
        <f t="shared" si="20"/>
        <v>1</v>
      </c>
      <c r="N129" s="23">
        <f>'LU OLS Model'!$B$5</f>
        <v>-37159358.269763596</v>
      </c>
      <c r="O129" s="23">
        <f ca="1">'LU OLS Model'!$B$6*D129</f>
        <v>-24703.388671269669</v>
      </c>
      <c r="P129" s="23">
        <f ca="1">'LU OLS Model'!$B$7*E129</f>
        <v>1450079.3205489609</v>
      </c>
      <c r="Q129" s="23">
        <f>'LU OLS Model'!$B$8*F129</f>
        <v>10663463.283272332</v>
      </c>
      <c r="R129" s="23">
        <f>'LU OLS Model'!$B$9*G129</f>
        <v>46777073.571261063</v>
      </c>
      <c r="S129" s="23">
        <f>'LU OLS Model'!$B$10*H129</f>
        <v>-4333742.9657691522</v>
      </c>
      <c r="T129" s="23">
        <f>'LU OLS Model'!$B$11*I129</f>
        <v>0</v>
      </c>
      <c r="U129" s="23">
        <f>'LU OLS Model'!$B$12*J129</f>
        <v>0</v>
      </c>
      <c r="V129" s="23">
        <f>'LU OLS Model'!$B$13*K129</f>
        <v>0</v>
      </c>
      <c r="W129" s="23">
        <f>'LU OLS Model'!$B$14*L129</f>
        <v>-1700644.40454555</v>
      </c>
      <c r="X129" s="23">
        <f t="shared" ca="1" si="18"/>
        <v>15672167.146332785</v>
      </c>
    </row>
    <row r="130" spans="1:24">
      <c r="A130" s="11">
        <v>43709</v>
      </c>
      <c r="B130" s="6">
        <f t="shared" si="15"/>
        <v>2019</v>
      </c>
      <c r="D130">
        <f t="shared" ca="1" si="19"/>
        <v>86.570000000000007</v>
      </c>
      <c r="E130">
        <f t="shared" ca="1" si="19"/>
        <v>19.899999999999999</v>
      </c>
      <c r="F130">
        <f t="shared" si="19"/>
        <v>30</v>
      </c>
      <c r="G130" s="30">
        <f>G118*(1+SUMIF('Ontario Employment Growth'!B:B,B130,'Ontario Employment Growth'!G:G))</f>
        <v>7400.0288524553825</v>
      </c>
      <c r="H130">
        <f t="shared" si="21"/>
        <v>129</v>
      </c>
      <c r="I130">
        <f t="shared" si="20"/>
        <v>1</v>
      </c>
      <c r="J130">
        <f t="shared" si="20"/>
        <v>0</v>
      </c>
      <c r="K130">
        <f t="shared" si="20"/>
        <v>0</v>
      </c>
      <c r="L130">
        <f t="shared" si="20"/>
        <v>0</v>
      </c>
      <c r="N130" s="23">
        <f>'LU OLS Model'!$B$5</f>
        <v>-37159358.269763596</v>
      </c>
      <c r="O130" s="23">
        <f ca="1">'LU OLS Model'!$B$6*D130</f>
        <v>-168126.75764715532</v>
      </c>
      <c r="P130" s="23">
        <f ca="1">'LU OLS Model'!$B$7*E130</f>
        <v>373644.67796095199</v>
      </c>
      <c r="Q130" s="23">
        <f>'LU OLS Model'!$B$8*F130</f>
        <v>10319480.59671516</v>
      </c>
      <c r="R130" s="23">
        <f>'LU OLS Model'!$B$9*G130</f>
        <v>46605259.420949824</v>
      </c>
      <c r="S130" s="23">
        <f>'LU OLS Model'!$B$10*H130</f>
        <v>-4367600.3326892238</v>
      </c>
      <c r="T130" s="23">
        <f>'LU OLS Model'!$B$11*I130</f>
        <v>-1059857.8947751301</v>
      </c>
      <c r="U130" s="23">
        <f>'LU OLS Model'!$B$12*J130</f>
        <v>0</v>
      </c>
      <c r="V130" s="23">
        <f>'LU OLS Model'!$B$13*K130</f>
        <v>0</v>
      </c>
      <c r="W130" s="23">
        <f>'LU OLS Model'!$B$14*L130</f>
        <v>0</v>
      </c>
      <c r="X130" s="23">
        <f t="shared" ca="1" si="18"/>
        <v>14543441.440750832</v>
      </c>
    </row>
    <row r="131" spans="1:24">
      <c r="A131" s="11">
        <v>43739</v>
      </c>
      <c r="B131" s="6">
        <f t="shared" si="15"/>
        <v>2019</v>
      </c>
      <c r="D131">
        <f t="shared" ca="1" si="19"/>
        <v>270.3</v>
      </c>
      <c r="E131">
        <f t="shared" ca="1" si="19"/>
        <v>1.21</v>
      </c>
      <c r="F131">
        <f t="shared" si="19"/>
        <v>31</v>
      </c>
      <c r="G131" s="30">
        <f>G119*(1+SUMIF('Ontario Employment Growth'!B:B,B131,'Ontario Employment Growth'!G:G))</f>
        <v>7392.0364248703227</v>
      </c>
      <c r="H131">
        <f t="shared" si="21"/>
        <v>130</v>
      </c>
      <c r="I131">
        <f t="shared" si="20"/>
        <v>1</v>
      </c>
      <c r="J131">
        <f t="shared" si="20"/>
        <v>0</v>
      </c>
      <c r="K131">
        <f t="shared" si="20"/>
        <v>0</v>
      </c>
      <c r="L131">
        <f t="shared" si="20"/>
        <v>0</v>
      </c>
      <c r="N131" s="23">
        <f>'LU OLS Model'!$B$5</f>
        <v>-37159358.269763596</v>
      </c>
      <c r="O131" s="23">
        <f ca="1">'LU OLS Model'!$B$6*D131</f>
        <v>-524947.00926448056</v>
      </c>
      <c r="P131" s="23">
        <f ca="1">'LU OLS Model'!$B$7*E131</f>
        <v>22719.098509183514</v>
      </c>
      <c r="Q131" s="23">
        <f>'LU OLS Model'!$B$8*F131</f>
        <v>10663463.283272332</v>
      </c>
      <c r="R131" s="23">
        <f>'LU OLS Model'!$B$9*G131</f>
        <v>46554923.244100831</v>
      </c>
      <c r="S131" s="23">
        <f>'LU OLS Model'!$B$10*H131</f>
        <v>-4401457.6996092955</v>
      </c>
      <c r="T131" s="23">
        <f>'LU OLS Model'!$B$11*I131</f>
        <v>-1059857.8947751301</v>
      </c>
      <c r="U131" s="23">
        <f>'LU OLS Model'!$B$12*J131</f>
        <v>0</v>
      </c>
      <c r="V131" s="23">
        <f>'LU OLS Model'!$B$13*K131</f>
        <v>0</v>
      </c>
      <c r="W131" s="23">
        <f>'LU OLS Model'!$B$14*L131</f>
        <v>0</v>
      </c>
      <c r="X131" s="23">
        <f t="shared" ca="1" si="18"/>
        <v>14095484.752469845</v>
      </c>
    </row>
    <row r="132" spans="1:24">
      <c r="A132" s="11">
        <v>43770</v>
      </c>
      <c r="B132" s="6">
        <f t="shared" si="15"/>
        <v>2019</v>
      </c>
      <c r="D132">
        <f t="shared" ca="1" si="19"/>
        <v>444.05</v>
      </c>
      <c r="E132">
        <f t="shared" ca="1" si="19"/>
        <v>0</v>
      </c>
      <c r="F132">
        <f t="shared" si="19"/>
        <v>30</v>
      </c>
      <c r="G132" s="30">
        <f>G120*(1+SUMIF('Ontario Employment Growth'!B:B,B132,'Ontario Employment Growth'!G:G))</f>
        <v>7368.2722735174111</v>
      </c>
      <c r="H132">
        <f t="shared" si="21"/>
        <v>131</v>
      </c>
      <c r="I132">
        <f t="shared" si="20"/>
        <v>1</v>
      </c>
      <c r="J132">
        <f t="shared" si="20"/>
        <v>0</v>
      </c>
      <c r="K132">
        <f t="shared" si="20"/>
        <v>0</v>
      </c>
      <c r="L132">
        <f t="shared" si="20"/>
        <v>0</v>
      </c>
      <c r="N132" s="23">
        <f>'LU OLS Model'!$B$5</f>
        <v>-37159358.269763596</v>
      </c>
      <c r="O132" s="23">
        <f ca="1">'LU OLS Model'!$B$6*D132</f>
        <v>-862385.19964444172</v>
      </c>
      <c r="P132" s="23">
        <f ca="1">'LU OLS Model'!$B$7*E132</f>
        <v>0</v>
      </c>
      <c r="Q132" s="23">
        <f>'LU OLS Model'!$B$8*F132</f>
        <v>10319480.59671516</v>
      </c>
      <c r="R132" s="23">
        <f>'LU OLS Model'!$B$9*G132</f>
        <v>46405257.011603147</v>
      </c>
      <c r="S132" s="23">
        <f>'LU OLS Model'!$B$10*H132</f>
        <v>-4435315.0665293671</v>
      </c>
      <c r="T132" s="23">
        <f>'LU OLS Model'!$B$11*I132</f>
        <v>-1059857.8947751301</v>
      </c>
      <c r="U132" s="23">
        <f>'LU OLS Model'!$B$12*J132</f>
        <v>0</v>
      </c>
      <c r="V132" s="23">
        <f>'LU OLS Model'!$B$13*K132</f>
        <v>0</v>
      </c>
      <c r="W132" s="23">
        <f>'LU OLS Model'!$B$14*L132</f>
        <v>0</v>
      </c>
      <c r="X132" s="23">
        <f t="shared" ca="1" si="18"/>
        <v>13207821.177605774</v>
      </c>
    </row>
    <row r="133" spans="1:24">
      <c r="A133" s="11">
        <v>43800</v>
      </c>
      <c r="B133" s="6">
        <f t="shared" si="15"/>
        <v>2019</v>
      </c>
      <c r="D133">
        <f t="shared" ca="1" si="19"/>
        <v>684.01</v>
      </c>
      <c r="E133">
        <f t="shared" ca="1" si="19"/>
        <v>0</v>
      </c>
      <c r="F133">
        <f t="shared" si="19"/>
        <v>31</v>
      </c>
      <c r="G133" s="30">
        <f>G121*(1+SUMIF('Ontario Employment Growth'!B:B,B133,'Ontario Employment Growth'!G:G))</f>
        <v>7356.4434806915215</v>
      </c>
      <c r="H133">
        <f t="shared" si="21"/>
        <v>132</v>
      </c>
      <c r="I133">
        <f t="shared" si="20"/>
        <v>0</v>
      </c>
      <c r="J133">
        <f t="shared" si="20"/>
        <v>0</v>
      </c>
      <c r="K133">
        <f t="shared" si="20"/>
        <v>1</v>
      </c>
      <c r="L133">
        <f t="shared" si="20"/>
        <v>0</v>
      </c>
      <c r="N133" s="23">
        <f>'LU OLS Model'!$B$5</f>
        <v>-37159358.269763596</v>
      </c>
      <c r="O133" s="23">
        <f ca="1">'LU OLS Model'!$B$6*D133</f>
        <v>-1328409.1890750919</v>
      </c>
      <c r="P133" s="23">
        <f ca="1">'LU OLS Model'!$B$7*E133</f>
        <v>0</v>
      </c>
      <c r="Q133" s="23">
        <f>'LU OLS Model'!$B$8*F133</f>
        <v>10663463.283272332</v>
      </c>
      <c r="R133" s="23">
        <f>'LU OLS Model'!$B$9*G133</f>
        <v>46330759.469866626</v>
      </c>
      <c r="S133" s="23">
        <f>'LU OLS Model'!$B$10*H133</f>
        <v>-4469172.4334494378</v>
      </c>
      <c r="T133" s="23">
        <f>'LU OLS Model'!$B$11*I133</f>
        <v>0</v>
      </c>
      <c r="U133" s="23">
        <f>'LU OLS Model'!$B$12*J133</f>
        <v>0</v>
      </c>
      <c r="V133" s="23">
        <f>'LU OLS Model'!$B$13*K133</f>
        <v>-999570.07441694394</v>
      </c>
      <c r="W133" s="23">
        <f>'LU OLS Model'!$B$14*L133</f>
        <v>0</v>
      </c>
      <c r="X133" s="23">
        <f t="shared" ca="1" si="18"/>
        <v>13037712.78643389</v>
      </c>
    </row>
    <row r="134" spans="1:24">
      <c r="A134" s="11">
        <v>43831</v>
      </c>
      <c r="B134" s="6">
        <f t="shared" si="15"/>
        <v>2020</v>
      </c>
      <c r="D134">
        <f t="shared" ca="1" si="19"/>
        <v>784.29</v>
      </c>
      <c r="E134">
        <f t="shared" ca="1" si="19"/>
        <v>0</v>
      </c>
      <c r="F134">
        <f t="shared" si="19"/>
        <v>31</v>
      </c>
      <c r="G134" s="30">
        <f>G122*(1+SUMIF('Ontario Employment Growth'!B:B,B134,'Ontario Employment Growth'!G:G))</f>
        <v>7347.2567712938508</v>
      </c>
      <c r="H134">
        <f t="shared" si="21"/>
        <v>133</v>
      </c>
      <c r="I134">
        <f t="shared" si="20"/>
        <v>0</v>
      </c>
      <c r="J134">
        <f t="shared" si="20"/>
        <v>0</v>
      </c>
      <c r="K134">
        <f t="shared" si="20"/>
        <v>0</v>
      </c>
      <c r="L134">
        <f t="shared" si="20"/>
        <v>0</v>
      </c>
      <c r="N134" s="23">
        <f>'LU OLS Model'!$B$5</f>
        <v>-37159358.269763596</v>
      </c>
      <c r="O134" s="23">
        <f ca="1">'LU OLS Model'!$B$6*D134</f>
        <v>-1523162.0047948186</v>
      </c>
      <c r="P134" s="23">
        <f ca="1">'LU OLS Model'!$B$7*E134</f>
        <v>0</v>
      </c>
      <c r="Q134" s="23">
        <f>'LU OLS Model'!$B$8*F134</f>
        <v>10663463.283272332</v>
      </c>
      <c r="R134" s="23">
        <f>'LU OLS Model'!$B$9*G134</f>
        <v>46272901.725898333</v>
      </c>
      <c r="S134" s="23">
        <f>'LU OLS Model'!$B$10*H134</f>
        <v>-4503029.8003695095</v>
      </c>
      <c r="T134" s="23">
        <f>'LU OLS Model'!$B$11*I134</f>
        <v>0</v>
      </c>
      <c r="U134" s="23">
        <f>'LU OLS Model'!$B$12*J134</f>
        <v>0</v>
      </c>
      <c r="V134" s="23">
        <f>'LU OLS Model'!$B$13*K134</f>
        <v>0</v>
      </c>
      <c r="W134" s="23">
        <f>'LU OLS Model'!$B$14*L134</f>
        <v>0</v>
      </c>
      <c r="X134" s="23">
        <f t="shared" ca="1" si="18"/>
        <v>13750814.93424274</v>
      </c>
    </row>
    <row r="135" spans="1:24">
      <c r="A135" s="11">
        <v>43862</v>
      </c>
      <c r="B135" s="6">
        <f t="shared" si="15"/>
        <v>2020</v>
      </c>
      <c r="D135">
        <f t="shared" ca="1" si="19"/>
        <v>682.50999999999988</v>
      </c>
      <c r="E135">
        <f t="shared" ca="1" si="19"/>
        <v>0</v>
      </c>
      <c r="F135">
        <f t="shared" si="19"/>
        <v>29</v>
      </c>
      <c r="G135" s="30">
        <f>G123*(1+SUMIF('Ontario Employment Growth'!B:B,B135,'Ontario Employment Growth'!G:G))</f>
        <v>7310.7693146197307</v>
      </c>
      <c r="H135">
        <f t="shared" si="21"/>
        <v>134</v>
      </c>
      <c r="I135">
        <f t="shared" si="20"/>
        <v>0</v>
      </c>
      <c r="J135">
        <f t="shared" si="20"/>
        <v>0</v>
      </c>
      <c r="K135">
        <f t="shared" si="20"/>
        <v>0</v>
      </c>
      <c r="L135">
        <f t="shared" si="20"/>
        <v>0</v>
      </c>
      <c r="N135" s="23">
        <f>'LU OLS Model'!$B$5</f>
        <v>-37159358.269763596</v>
      </c>
      <c r="O135" s="23">
        <f ca="1">'LU OLS Model'!$B$6*D135</f>
        <v>-1325496.053618574</v>
      </c>
      <c r="P135" s="23">
        <f ca="1">'LU OLS Model'!$B$7*E135</f>
        <v>0</v>
      </c>
      <c r="Q135" s="23">
        <f>'LU OLS Model'!$B$8*F135</f>
        <v>9975497.9101579878</v>
      </c>
      <c r="R135" s="23">
        <f>'LU OLS Model'!$B$9*G135</f>
        <v>46043104.326751195</v>
      </c>
      <c r="S135" s="23">
        <f>'LU OLS Model'!$B$10*H135</f>
        <v>-4536887.1672895811</v>
      </c>
      <c r="T135" s="23">
        <f>'LU OLS Model'!$B$11*I135</f>
        <v>0</v>
      </c>
      <c r="U135" s="23">
        <f>'LU OLS Model'!$B$12*J135</f>
        <v>0</v>
      </c>
      <c r="V135" s="23">
        <f>'LU OLS Model'!$B$13*K135</f>
        <v>0</v>
      </c>
      <c r="W135" s="23">
        <f>'LU OLS Model'!$B$14*L135</f>
        <v>0</v>
      </c>
      <c r="X135" s="23">
        <f t="shared" ca="1" si="18"/>
        <v>12996860.746237431</v>
      </c>
    </row>
    <row r="136" spans="1:24">
      <c r="A136" s="11">
        <v>43891</v>
      </c>
      <c r="B136" s="6">
        <f t="shared" si="15"/>
        <v>2020</v>
      </c>
      <c r="D136">
        <f t="shared" ca="1" si="19"/>
        <v>556.99</v>
      </c>
      <c r="E136">
        <f t="shared" ca="1" si="19"/>
        <v>0</v>
      </c>
      <c r="F136">
        <f t="shared" si="19"/>
        <v>31</v>
      </c>
      <c r="G136" s="30">
        <f>G124*(1+SUMIF('Ontario Employment Growth'!B:B,B136,'Ontario Employment Growth'!G:G))</f>
        <v>7288.0995930174658</v>
      </c>
      <c r="H136">
        <f t="shared" si="21"/>
        <v>135</v>
      </c>
      <c r="I136">
        <f t="shared" si="20"/>
        <v>0</v>
      </c>
      <c r="J136">
        <f t="shared" si="20"/>
        <v>0</v>
      </c>
      <c r="K136">
        <f t="shared" si="20"/>
        <v>0</v>
      </c>
      <c r="L136">
        <f t="shared" si="20"/>
        <v>0</v>
      </c>
      <c r="N136" s="23">
        <f>'LU OLS Model'!$B$5</f>
        <v>-37159358.269763596</v>
      </c>
      <c r="O136" s="23">
        <f ca="1">'LU OLS Model'!$B$6*D136</f>
        <v>-1081724.8786171773</v>
      </c>
      <c r="P136" s="23">
        <f ca="1">'LU OLS Model'!$B$7*E136</f>
        <v>0</v>
      </c>
      <c r="Q136" s="23">
        <f>'LU OLS Model'!$B$8*F136</f>
        <v>10663463.283272332</v>
      </c>
      <c r="R136" s="23">
        <f>'LU OLS Model'!$B$9*G136</f>
        <v>45900330.794736698</v>
      </c>
      <c r="S136" s="23">
        <f>'LU OLS Model'!$B$10*H136</f>
        <v>-4570744.5342096528</v>
      </c>
      <c r="T136" s="23">
        <f>'LU OLS Model'!$B$11*I136</f>
        <v>0</v>
      </c>
      <c r="U136" s="23">
        <f>'LU OLS Model'!$B$12*J136</f>
        <v>0</v>
      </c>
      <c r="V136" s="23">
        <f>'LU OLS Model'!$B$13*K136</f>
        <v>0</v>
      </c>
      <c r="W136" s="23">
        <f>'LU OLS Model'!$B$14*L136</f>
        <v>0</v>
      </c>
      <c r="X136" s="23">
        <f t="shared" ca="1" si="18"/>
        <v>13751966.395418607</v>
      </c>
    </row>
    <row r="137" spans="1:24">
      <c r="A137" s="11">
        <v>43922</v>
      </c>
      <c r="B137" s="6">
        <f t="shared" si="15"/>
        <v>2020</v>
      </c>
      <c r="D137">
        <f t="shared" ca="1" si="19"/>
        <v>326.58999999999997</v>
      </c>
      <c r="E137">
        <f t="shared" ca="1" si="19"/>
        <v>0.39</v>
      </c>
      <c r="F137">
        <f t="shared" si="19"/>
        <v>30</v>
      </c>
      <c r="G137" s="30">
        <f>G125*(1+SUMIF('Ontario Employment Growth'!B:B,B137,'Ontario Employment Growth'!G:G))</f>
        <v>7324.4790986363378</v>
      </c>
      <c r="H137">
        <f t="shared" si="21"/>
        <v>136</v>
      </c>
      <c r="I137">
        <f t="shared" si="20"/>
        <v>0</v>
      </c>
      <c r="J137">
        <f t="shared" si="20"/>
        <v>1</v>
      </c>
      <c r="K137">
        <f t="shared" si="20"/>
        <v>0</v>
      </c>
      <c r="L137">
        <f t="shared" si="20"/>
        <v>0</v>
      </c>
      <c r="N137" s="23">
        <f>'LU OLS Model'!$B$5</f>
        <v>-37159358.269763596</v>
      </c>
      <c r="O137" s="23">
        <f ca="1">'LU OLS Model'!$B$6*D137</f>
        <v>-634267.27249606617</v>
      </c>
      <c r="P137" s="23">
        <f ca="1">'LU OLS Model'!$B$7*E137</f>
        <v>7322.6846434558438</v>
      </c>
      <c r="Q137" s="23">
        <f>'LU OLS Model'!$B$8*F137</f>
        <v>10319480.59671516</v>
      </c>
      <c r="R137" s="23">
        <f>'LU OLS Model'!$B$9*G137</f>
        <v>46129448.319921866</v>
      </c>
      <c r="S137" s="23">
        <f>'LU OLS Model'!$B$10*H137</f>
        <v>-4604601.9011297245</v>
      </c>
      <c r="T137" s="23">
        <f>'LU OLS Model'!$B$11*I137</f>
        <v>0</v>
      </c>
      <c r="U137" s="23">
        <f>'LU OLS Model'!$B$12*J137</f>
        <v>-1039228.3455262</v>
      </c>
      <c r="V137" s="23">
        <f>'LU OLS Model'!$B$13*K137</f>
        <v>0</v>
      </c>
      <c r="W137" s="23">
        <f>'LU OLS Model'!$B$14*L137</f>
        <v>0</v>
      </c>
      <c r="X137" s="23">
        <f t="shared" ca="1" si="18"/>
        <v>13018795.812364893</v>
      </c>
    </row>
    <row r="138" spans="1:24">
      <c r="A138" s="11">
        <v>43952</v>
      </c>
      <c r="B138" s="6">
        <f t="shared" si="15"/>
        <v>2020</v>
      </c>
      <c r="D138">
        <f t="shared" ref="D138:F145" ca="1" si="22">D126</f>
        <v>144.96</v>
      </c>
      <c r="E138">
        <f t="shared" ca="1" si="22"/>
        <v>8.67</v>
      </c>
      <c r="F138">
        <f t="shared" si="22"/>
        <v>31</v>
      </c>
      <c r="G138" s="30">
        <f>G126*(1+SUMIF('Ontario Employment Growth'!B:B,B138,'Ontario Employment Growth'!G:G))</f>
        <v>7386.6589064596901</v>
      </c>
      <c r="H138">
        <f t="shared" si="21"/>
        <v>137</v>
      </c>
      <c r="I138">
        <f t="shared" ref="I138:L145" si="23">I126</f>
        <v>0</v>
      </c>
      <c r="J138">
        <f t="shared" si="23"/>
        <v>0</v>
      </c>
      <c r="K138">
        <f t="shared" si="23"/>
        <v>0</v>
      </c>
      <c r="L138">
        <f t="shared" si="23"/>
        <v>1</v>
      </c>
      <c r="N138" s="23">
        <f>'LU OLS Model'!$B$5</f>
        <v>-37159358.269763596</v>
      </c>
      <c r="O138" s="23">
        <f ca="1">'LU OLS Model'!$B$6*D138</f>
        <v>-281525.41051786573</v>
      </c>
      <c r="P138" s="23">
        <f ca="1">'LU OLS Model'!$B$7*E138</f>
        <v>162788.91245836453</v>
      </c>
      <c r="Q138" s="23">
        <f>'LU OLS Model'!$B$8*F138</f>
        <v>10663463.283272332</v>
      </c>
      <c r="R138" s="23">
        <f>'LU OLS Model'!$B$9*G138</f>
        <v>46521055.722018763</v>
      </c>
      <c r="S138" s="23">
        <f>'LU OLS Model'!$B$10*H138</f>
        <v>-4638459.2680497961</v>
      </c>
      <c r="T138" s="23">
        <f>'LU OLS Model'!$B$11*I138</f>
        <v>0</v>
      </c>
      <c r="U138" s="23">
        <f>'LU OLS Model'!$B$12*J138</f>
        <v>0</v>
      </c>
      <c r="V138" s="23">
        <f>'LU OLS Model'!$B$13*K138</f>
        <v>0</v>
      </c>
      <c r="W138" s="23">
        <f>'LU OLS Model'!$B$14*L138</f>
        <v>-1700644.40454555</v>
      </c>
      <c r="X138" s="23">
        <f t="shared" ca="1" si="18"/>
        <v>13567320.56487266</v>
      </c>
    </row>
    <row r="139" spans="1:24">
      <c r="A139" s="11">
        <v>43983</v>
      </c>
      <c r="B139" s="6">
        <f t="shared" si="15"/>
        <v>2020</v>
      </c>
      <c r="D139">
        <f t="shared" ca="1" si="22"/>
        <v>41.510000000000005</v>
      </c>
      <c r="E139">
        <f t="shared" ca="1" si="22"/>
        <v>44.41</v>
      </c>
      <c r="F139">
        <f t="shared" si="22"/>
        <v>30</v>
      </c>
      <c r="G139" s="30">
        <f>G127*(1+SUMIF('Ontario Employment Growth'!B:B,B139,'Ontario Employment Growth'!G:G))</f>
        <v>7462.5484982996513</v>
      </c>
      <c r="H139">
        <f t="shared" si="21"/>
        <v>138</v>
      </c>
      <c r="I139">
        <f t="shared" si="23"/>
        <v>0</v>
      </c>
      <c r="J139">
        <f t="shared" si="23"/>
        <v>0</v>
      </c>
      <c r="K139">
        <f t="shared" si="23"/>
        <v>0</v>
      </c>
      <c r="L139">
        <f t="shared" si="23"/>
        <v>1</v>
      </c>
      <c r="N139" s="23">
        <f>'LU OLS Model'!$B$5</f>
        <v>-37159358.269763596</v>
      </c>
      <c r="O139" s="23">
        <f ca="1">'LU OLS Model'!$B$6*D139</f>
        <v>-80616.168533365111</v>
      </c>
      <c r="P139" s="23">
        <f ca="1">'LU OLS Model'!$B$7*E139</f>
        <v>833847.24363044614</v>
      </c>
      <c r="Q139" s="23">
        <f>'LU OLS Model'!$B$8*F139</f>
        <v>10319480.59671516</v>
      </c>
      <c r="R139" s="23">
        <f>'LU OLS Model'!$B$9*G139</f>
        <v>46999007.117286339</v>
      </c>
      <c r="S139" s="23">
        <f>'LU OLS Model'!$B$10*H139</f>
        <v>-4672316.6349698668</v>
      </c>
      <c r="T139" s="23">
        <f>'LU OLS Model'!$B$11*I139</f>
        <v>0</v>
      </c>
      <c r="U139" s="23">
        <f>'LU OLS Model'!$B$12*J139</f>
        <v>0</v>
      </c>
      <c r="V139" s="23">
        <f>'LU OLS Model'!$B$13*K139</f>
        <v>0</v>
      </c>
      <c r="W139" s="23">
        <f>'LU OLS Model'!$B$14*L139</f>
        <v>-1700644.40454555</v>
      </c>
      <c r="X139" s="23">
        <f t="shared" ca="1" si="18"/>
        <v>14539399.47981957</v>
      </c>
    </row>
    <row r="140" spans="1:24">
      <c r="A140" s="11">
        <v>44013</v>
      </c>
      <c r="B140" s="6">
        <f t="shared" si="15"/>
        <v>2020</v>
      </c>
      <c r="D140">
        <f t="shared" ca="1" si="22"/>
        <v>5.01</v>
      </c>
      <c r="E140">
        <f t="shared" ca="1" si="22"/>
        <v>96.909999999999982</v>
      </c>
      <c r="F140">
        <f t="shared" si="22"/>
        <v>31</v>
      </c>
      <c r="G140" s="30">
        <f>G128*(1+SUMIF('Ontario Employment Growth'!B:B,B140,'Ontario Employment Growth'!G:G))</f>
        <v>7511.0185221063984</v>
      </c>
      <c r="H140">
        <f t="shared" si="21"/>
        <v>139</v>
      </c>
      <c r="I140">
        <f t="shared" si="23"/>
        <v>0</v>
      </c>
      <c r="J140">
        <f t="shared" si="23"/>
        <v>0</v>
      </c>
      <c r="K140">
        <f t="shared" si="23"/>
        <v>0</v>
      </c>
      <c r="L140">
        <f t="shared" si="23"/>
        <v>1</v>
      </c>
      <c r="N140" s="23">
        <f>'LU OLS Model'!$B$5</f>
        <v>-37159358.269763596</v>
      </c>
      <c r="O140" s="23">
        <f ca="1">'LU OLS Model'!$B$6*D140</f>
        <v>-9729.8724247689515</v>
      </c>
      <c r="P140" s="23">
        <f ca="1">'LU OLS Model'!$B$7*E140</f>
        <v>1819593.2533264249</v>
      </c>
      <c r="Q140" s="23">
        <f>'LU OLS Model'!$B$8*F140</f>
        <v>10663463.283272332</v>
      </c>
      <c r="R140" s="23">
        <f>'LU OLS Model'!$B$9*G140</f>
        <v>47304270.526212581</v>
      </c>
      <c r="S140" s="23">
        <f>'LU OLS Model'!$B$10*H140</f>
        <v>-4706174.0018899385</v>
      </c>
      <c r="T140" s="23">
        <f>'LU OLS Model'!$B$11*I140</f>
        <v>0</v>
      </c>
      <c r="U140" s="23">
        <f>'LU OLS Model'!$B$12*J140</f>
        <v>0</v>
      </c>
      <c r="V140" s="23">
        <f>'LU OLS Model'!$B$13*K140</f>
        <v>0</v>
      </c>
      <c r="W140" s="23">
        <f>'LU OLS Model'!$B$14*L140</f>
        <v>-1700644.40454555</v>
      </c>
      <c r="X140" s="23">
        <f t="shared" ca="1" si="18"/>
        <v>16211420.514187489</v>
      </c>
    </row>
    <row r="141" spans="1:24">
      <c r="A141" s="11">
        <v>44044</v>
      </c>
      <c r="B141" s="6">
        <f t="shared" si="15"/>
        <v>2020</v>
      </c>
      <c r="D141">
        <f t="shared" ca="1" si="22"/>
        <v>12.719999999999999</v>
      </c>
      <c r="E141">
        <f t="shared" ca="1" si="22"/>
        <v>77.22999999999999</v>
      </c>
      <c r="F141">
        <f t="shared" si="22"/>
        <v>31</v>
      </c>
      <c r="G141" s="30">
        <f>G129*(1+SUMIF('Ontario Employment Growth'!B:B,B141,'Ontario Employment Growth'!G:G))</f>
        <v>7523.8646976810132</v>
      </c>
      <c r="H141">
        <f t="shared" si="21"/>
        <v>140</v>
      </c>
      <c r="I141">
        <f t="shared" si="23"/>
        <v>0</v>
      </c>
      <c r="J141">
        <f t="shared" si="23"/>
        <v>0</v>
      </c>
      <c r="K141">
        <f t="shared" si="23"/>
        <v>0</v>
      </c>
      <c r="L141">
        <f t="shared" si="23"/>
        <v>1</v>
      </c>
      <c r="N141" s="23">
        <f>'LU OLS Model'!$B$5</f>
        <v>-37159358.269763596</v>
      </c>
      <c r="O141" s="23">
        <f ca="1">'LU OLS Model'!$B$6*D141</f>
        <v>-24703.388671269669</v>
      </c>
      <c r="P141" s="23">
        <f ca="1">'LU OLS Model'!$B$7*E141</f>
        <v>1450079.3205489609</v>
      </c>
      <c r="Q141" s="23">
        <f>'LU OLS Model'!$B$8*F141</f>
        <v>10663463.283272332</v>
      </c>
      <c r="R141" s="23">
        <f>'LU OLS Model'!$B$9*G141</f>
        <v>47385175.527687453</v>
      </c>
      <c r="S141" s="23">
        <f>'LU OLS Model'!$B$10*H141</f>
        <v>-4740031.3688100101</v>
      </c>
      <c r="T141" s="23">
        <f>'LU OLS Model'!$B$11*I141</f>
        <v>0</v>
      </c>
      <c r="U141" s="23">
        <f>'LU OLS Model'!$B$12*J141</f>
        <v>0</v>
      </c>
      <c r="V141" s="23">
        <f>'LU OLS Model'!$B$13*K141</f>
        <v>0</v>
      </c>
      <c r="W141" s="23">
        <f>'LU OLS Model'!$B$14*L141</f>
        <v>-1700644.40454555</v>
      </c>
      <c r="X141" s="23">
        <f t="shared" ca="1" si="18"/>
        <v>15873980.699718319</v>
      </c>
    </row>
    <row r="142" spans="1:24">
      <c r="A142" s="11">
        <v>44075</v>
      </c>
      <c r="B142" s="6">
        <f t="shared" si="15"/>
        <v>2020</v>
      </c>
      <c r="D142">
        <f t="shared" ca="1" si="22"/>
        <v>86.570000000000007</v>
      </c>
      <c r="E142">
        <f t="shared" ca="1" si="22"/>
        <v>19.899999999999999</v>
      </c>
      <c r="F142">
        <f t="shared" si="22"/>
        <v>30</v>
      </c>
      <c r="G142" s="30">
        <f>G130*(1+SUMIF('Ontario Employment Growth'!B:B,B142,'Ontario Employment Growth'!G:G))</f>
        <v>7496.229227537302</v>
      </c>
      <c r="H142">
        <f t="shared" si="21"/>
        <v>141</v>
      </c>
      <c r="I142">
        <f t="shared" si="23"/>
        <v>1</v>
      </c>
      <c r="J142">
        <f t="shared" si="23"/>
        <v>0</v>
      </c>
      <c r="K142">
        <f t="shared" si="23"/>
        <v>0</v>
      </c>
      <c r="L142">
        <f t="shared" si="23"/>
        <v>0</v>
      </c>
      <c r="N142" s="23">
        <f>'LU OLS Model'!$B$5</f>
        <v>-37159358.269763596</v>
      </c>
      <c r="O142" s="23">
        <f ca="1">'LU OLS Model'!$B$6*D142</f>
        <v>-168126.75764715532</v>
      </c>
      <c r="P142" s="23">
        <f ca="1">'LU OLS Model'!$B$7*E142</f>
        <v>373644.67796095199</v>
      </c>
      <c r="Q142" s="23">
        <f>'LU OLS Model'!$B$8*F142</f>
        <v>10319480.59671516</v>
      </c>
      <c r="R142" s="23">
        <f>'LU OLS Model'!$B$9*G142</f>
        <v>47211127.79342217</v>
      </c>
      <c r="S142" s="23">
        <f>'LU OLS Model'!$B$10*H142</f>
        <v>-4773888.7357300818</v>
      </c>
      <c r="T142" s="23">
        <f>'LU OLS Model'!$B$11*I142</f>
        <v>-1059857.8947751301</v>
      </c>
      <c r="U142" s="23">
        <f>'LU OLS Model'!$B$12*J142</f>
        <v>0</v>
      </c>
      <c r="V142" s="23">
        <f>'LU OLS Model'!$B$13*K142</f>
        <v>0</v>
      </c>
      <c r="W142" s="23">
        <f>'LU OLS Model'!$B$14*L142</f>
        <v>0</v>
      </c>
      <c r="X142" s="23">
        <f t="shared" ca="1" si="18"/>
        <v>14743021.41018232</v>
      </c>
    </row>
    <row r="143" spans="1:24">
      <c r="A143" s="11">
        <v>44105</v>
      </c>
      <c r="B143" s="6">
        <f t="shared" si="15"/>
        <v>2020</v>
      </c>
      <c r="D143">
        <f t="shared" ca="1" si="22"/>
        <v>270.3</v>
      </c>
      <c r="E143">
        <f t="shared" ca="1" si="22"/>
        <v>1.21</v>
      </c>
      <c r="F143">
        <f t="shared" si="22"/>
        <v>31</v>
      </c>
      <c r="G143" s="30">
        <f>G131*(1+SUMIF('Ontario Employment Growth'!B:B,B143,'Ontario Employment Growth'!G:G))</f>
        <v>7488.1328983936364</v>
      </c>
      <c r="H143">
        <f t="shared" si="21"/>
        <v>142</v>
      </c>
      <c r="I143">
        <f t="shared" si="23"/>
        <v>1</v>
      </c>
      <c r="J143">
        <f t="shared" si="23"/>
        <v>0</v>
      </c>
      <c r="K143">
        <f t="shared" si="23"/>
        <v>0</v>
      </c>
      <c r="L143">
        <f t="shared" si="23"/>
        <v>0</v>
      </c>
      <c r="N143" s="23">
        <f>'LU OLS Model'!$B$5</f>
        <v>-37159358.269763596</v>
      </c>
      <c r="O143" s="23">
        <f ca="1">'LU OLS Model'!$B$6*D143</f>
        <v>-524947.00926448056</v>
      </c>
      <c r="P143" s="23">
        <f ca="1">'LU OLS Model'!$B$7*E143</f>
        <v>22719.098509183514</v>
      </c>
      <c r="Q143" s="23">
        <f>'LU OLS Model'!$B$8*F143</f>
        <v>10663463.283272332</v>
      </c>
      <c r="R143" s="23">
        <f>'LU OLS Model'!$B$9*G143</f>
        <v>47160137.246274136</v>
      </c>
      <c r="S143" s="23">
        <f>'LU OLS Model'!$B$10*H143</f>
        <v>-4807746.1026501535</v>
      </c>
      <c r="T143" s="23">
        <f>'LU OLS Model'!$B$11*I143</f>
        <v>-1059857.8947751301</v>
      </c>
      <c r="U143" s="23">
        <f>'LU OLS Model'!$B$12*J143</f>
        <v>0</v>
      </c>
      <c r="V143" s="23">
        <f>'LU OLS Model'!$B$13*K143</f>
        <v>0</v>
      </c>
      <c r="W143" s="23">
        <f>'LU OLS Model'!$B$14*L143</f>
        <v>0</v>
      </c>
      <c r="X143" s="23">
        <f t="shared" ca="1" si="18"/>
        <v>14294410.35160229</v>
      </c>
    </row>
    <row r="144" spans="1:24">
      <c r="A144" s="11">
        <v>44136</v>
      </c>
      <c r="B144" s="6">
        <f t="shared" si="15"/>
        <v>2020</v>
      </c>
      <c r="D144">
        <f t="shared" ca="1" si="22"/>
        <v>444.05</v>
      </c>
      <c r="E144">
        <f t="shared" ca="1" si="22"/>
        <v>0</v>
      </c>
      <c r="F144">
        <f t="shared" si="22"/>
        <v>30</v>
      </c>
      <c r="G144" s="30">
        <f>G132*(1+SUMIF('Ontario Employment Growth'!B:B,B144,'Ontario Employment Growth'!G:G))</f>
        <v>7464.0598130731369</v>
      </c>
      <c r="H144">
        <f t="shared" si="21"/>
        <v>143</v>
      </c>
      <c r="I144">
        <f t="shared" si="23"/>
        <v>1</v>
      </c>
      <c r="J144">
        <f t="shared" si="23"/>
        <v>0</v>
      </c>
      <c r="K144">
        <f t="shared" si="23"/>
        <v>0</v>
      </c>
      <c r="L144">
        <f t="shared" si="23"/>
        <v>0</v>
      </c>
      <c r="N144" s="23">
        <f>'LU OLS Model'!$B$5</f>
        <v>-37159358.269763596</v>
      </c>
      <c r="O144" s="23">
        <f ca="1">'LU OLS Model'!$B$6*D144</f>
        <v>-862385.19964444172</v>
      </c>
      <c r="P144" s="23">
        <f ca="1">'LU OLS Model'!$B$7*E144</f>
        <v>0</v>
      </c>
      <c r="Q144" s="23">
        <f>'LU OLS Model'!$B$8*F144</f>
        <v>10319480.59671516</v>
      </c>
      <c r="R144" s="23">
        <f>'LU OLS Model'!$B$9*G144</f>
        <v>47008525.352753982</v>
      </c>
      <c r="S144" s="23">
        <f>'LU OLS Model'!$B$10*H144</f>
        <v>-4841603.4695702251</v>
      </c>
      <c r="T144" s="23">
        <f>'LU OLS Model'!$B$11*I144</f>
        <v>-1059857.8947751301</v>
      </c>
      <c r="U144" s="23">
        <f>'LU OLS Model'!$B$12*J144</f>
        <v>0</v>
      </c>
      <c r="V144" s="23">
        <f>'LU OLS Model'!$B$13*K144</f>
        <v>0</v>
      </c>
      <c r="W144" s="23">
        <f>'LU OLS Model'!$B$14*L144</f>
        <v>0</v>
      </c>
      <c r="X144" s="23">
        <f t="shared" ca="1" si="18"/>
        <v>13404801.115715751</v>
      </c>
    </row>
    <row r="145" spans="1:24">
      <c r="A145" s="11">
        <v>44166</v>
      </c>
      <c r="B145" s="6">
        <f t="shared" si="15"/>
        <v>2020</v>
      </c>
      <c r="D145">
        <f t="shared" ca="1" si="22"/>
        <v>684.01</v>
      </c>
      <c r="E145">
        <f t="shared" ca="1" si="22"/>
        <v>0</v>
      </c>
      <c r="F145">
        <f t="shared" si="22"/>
        <v>31</v>
      </c>
      <c r="G145" s="30">
        <f>G133*(1+SUMIF('Ontario Employment Growth'!B:B,B145,'Ontario Employment Growth'!G:G))</f>
        <v>7452.0772459405107</v>
      </c>
      <c r="H145">
        <f t="shared" si="21"/>
        <v>144</v>
      </c>
      <c r="I145">
        <f t="shared" si="23"/>
        <v>0</v>
      </c>
      <c r="J145">
        <f t="shared" si="23"/>
        <v>0</v>
      </c>
      <c r="K145">
        <f t="shared" si="23"/>
        <v>1</v>
      </c>
      <c r="L145">
        <f t="shared" si="23"/>
        <v>0</v>
      </c>
      <c r="N145" s="23">
        <f>'LU OLS Model'!$B$5</f>
        <v>-37159358.269763596</v>
      </c>
      <c r="O145" s="23">
        <f ca="1">'LU OLS Model'!$B$6*D145</f>
        <v>-1328409.1890750919</v>
      </c>
      <c r="P145" s="23">
        <f ca="1">'LU OLS Model'!$B$7*E145</f>
        <v>0</v>
      </c>
      <c r="Q145" s="23">
        <f>'LU OLS Model'!$B$8*F145</f>
        <v>10663463.283272332</v>
      </c>
      <c r="R145" s="23">
        <f>'LU OLS Model'!$B$9*G145</f>
        <v>46933059.342974886</v>
      </c>
      <c r="S145" s="23">
        <f>'LU OLS Model'!$B$10*H145</f>
        <v>-4875460.8364902958</v>
      </c>
      <c r="T145" s="23">
        <f>'LU OLS Model'!$B$11*I145</f>
        <v>0</v>
      </c>
      <c r="U145" s="23">
        <f>'LU OLS Model'!$B$12*J145</f>
        <v>0</v>
      </c>
      <c r="V145" s="23">
        <f>'LU OLS Model'!$B$13*K145</f>
        <v>-999570.07441694394</v>
      </c>
      <c r="W145" s="23">
        <f>'LU OLS Model'!$B$14*L145</f>
        <v>0</v>
      </c>
      <c r="X145" s="23">
        <f t="shared" ca="1" si="18"/>
        <v>13233724.256501293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2"/>
  <sheetViews>
    <sheetView workbookViewId="0"/>
  </sheetViews>
  <sheetFormatPr defaultRowHeight="12.75"/>
  <cols>
    <col min="1" max="1" width="3" customWidth="1"/>
    <col min="2" max="2" width="5" bestFit="1" customWidth="1"/>
    <col min="3" max="3" width="10" bestFit="1" customWidth="1"/>
    <col min="4" max="4" width="7.28515625" customWidth="1"/>
    <col min="5" max="5" width="12" hidden="1" customWidth="1"/>
    <col min="6" max="6" width="3" customWidth="1"/>
    <col min="7" max="7" width="5" bestFit="1" customWidth="1"/>
    <col min="8" max="8" width="10" bestFit="1" customWidth="1"/>
    <col min="9" max="9" width="7.28515625" customWidth="1"/>
    <col min="10" max="10" width="12" hidden="1" customWidth="1"/>
    <col min="11" max="11" width="3" customWidth="1"/>
    <col min="12" max="12" width="5" bestFit="1" customWidth="1"/>
    <col min="13" max="13" width="10" bestFit="1" customWidth="1"/>
    <col min="14" max="14" width="8.140625" customWidth="1"/>
    <col min="15" max="15" width="12" hidden="1" customWidth="1"/>
    <col min="16" max="16" width="3" customWidth="1"/>
    <col min="17" max="17" width="5" bestFit="1" customWidth="1"/>
    <col min="18" max="18" width="10" bestFit="1" customWidth="1"/>
    <col min="19" max="19" width="7.28515625" customWidth="1"/>
    <col min="20" max="20" width="3" customWidth="1"/>
    <col min="21" max="21" width="6.7109375" customWidth="1"/>
    <col min="22" max="22" width="9.140625" customWidth="1"/>
    <col min="23" max="23" width="7.28515625" customWidth="1"/>
    <col min="24" max="24" width="12" hidden="1" customWidth="1"/>
    <col min="25" max="25" width="3" customWidth="1"/>
    <col min="26" max="26" width="5" bestFit="1" customWidth="1"/>
    <col min="27" max="27" width="11.28515625" bestFit="1" customWidth="1"/>
    <col min="28" max="28" width="7.28515625" customWidth="1"/>
    <col min="29" max="29" width="12" hidden="1" customWidth="1"/>
  </cols>
  <sheetData>
    <row r="1" spans="2:30">
      <c r="U1" s="110" t="s">
        <v>89</v>
      </c>
    </row>
    <row r="2" spans="2:30">
      <c r="B2" s="111" t="s">
        <v>96</v>
      </c>
      <c r="C2" s="111"/>
      <c r="D2" s="110" t="s">
        <v>75</v>
      </c>
      <c r="G2" s="111" t="s">
        <v>97</v>
      </c>
      <c r="H2" s="111"/>
      <c r="I2" s="110" t="s">
        <v>75</v>
      </c>
      <c r="L2" s="111" t="s">
        <v>98</v>
      </c>
      <c r="M2" s="111"/>
      <c r="N2" s="110" t="s">
        <v>75</v>
      </c>
      <c r="Q2" s="111" t="s">
        <v>88</v>
      </c>
      <c r="R2" s="111"/>
      <c r="S2" s="110" t="s">
        <v>75</v>
      </c>
      <c r="U2" s="110"/>
      <c r="V2" s="110" t="s">
        <v>103</v>
      </c>
      <c r="W2" s="110" t="s">
        <v>75</v>
      </c>
      <c r="Z2" t="s">
        <v>95</v>
      </c>
      <c r="AA2" s="2"/>
      <c r="AB2" s="110" t="s">
        <v>75</v>
      </c>
    </row>
    <row r="3" spans="2:30">
      <c r="B3" s="2" t="s">
        <v>33</v>
      </c>
      <c r="C3" s="2" t="s">
        <v>102</v>
      </c>
      <c r="D3" s="110"/>
      <c r="G3" s="2" t="s">
        <v>33</v>
      </c>
      <c r="H3" s="2" t="s">
        <v>102</v>
      </c>
      <c r="I3" s="110"/>
      <c r="L3" s="2" t="s">
        <v>33</v>
      </c>
      <c r="M3" s="2" t="s">
        <v>102</v>
      </c>
      <c r="N3" s="110"/>
      <c r="Q3" s="2" t="s">
        <v>33</v>
      </c>
      <c r="R3" s="2" t="s">
        <v>102</v>
      </c>
      <c r="S3" s="110"/>
      <c r="U3" s="2" t="s">
        <v>33</v>
      </c>
      <c r="V3" s="110"/>
      <c r="W3" s="110"/>
      <c r="Z3" s="2" t="s">
        <v>33</v>
      </c>
      <c r="AA3" s="2" t="s">
        <v>104</v>
      </c>
      <c r="AB3" s="110"/>
    </row>
    <row r="4" spans="2:30">
      <c r="B4">
        <v>2009</v>
      </c>
      <c r="C4" s="4">
        <f>SUMIF('Monthly Data'!$B$2:$B$97,B4,'Monthly Data'!AB$2:AB$97)/12</f>
        <v>23107.416666666668</v>
      </c>
      <c r="D4" s="8"/>
      <c r="G4">
        <v>2009</v>
      </c>
      <c r="H4" s="4">
        <f>SUMIF('Monthly Data'!$B$2:$B$97,G4,'Monthly Data'!AC$2:AC$97)/12+53</f>
        <v>3319.4166666666665</v>
      </c>
      <c r="I4" s="13"/>
      <c r="L4">
        <v>2009</v>
      </c>
      <c r="M4" s="4">
        <f>SUMIF('Monthly Data'!$B$2:$B$97,L4,'Monthly Data'!AF$2:AF$97)/12-53</f>
        <v>295.16666666666669</v>
      </c>
      <c r="N4" s="13"/>
      <c r="Q4">
        <v>2009</v>
      </c>
      <c r="R4" s="4">
        <f>SUMIF('Monthly Data'!$B$2:$B$97,Q4,'Monthly Data'!AH$2:AH$97)/12</f>
        <v>3</v>
      </c>
      <c r="S4" s="8"/>
      <c r="U4">
        <v>2009</v>
      </c>
      <c r="V4" s="4">
        <f>SUMIF('Monthly Data'!$B$2:$B$97,U4,'Monthly Data'!AI$2:AI$97)/12</f>
        <v>5114</v>
      </c>
      <c r="W4" s="13"/>
      <c r="Z4">
        <v>2009</v>
      </c>
      <c r="AA4" s="4">
        <f>SUMIF('Monthly Data'!$B$2:$B$97,Z4,'Monthly Data'!AJ$2:AJ$97)/12</f>
        <v>162.58333333333334</v>
      </c>
      <c r="AB4" s="13"/>
    </row>
    <row r="5" spans="2:30">
      <c r="B5">
        <v>2010</v>
      </c>
      <c r="C5" s="4">
        <f>SUMIF('Monthly Data'!$B$2:$B$97,B5,'Monthly Data'!AB$2:AB$97)/12</f>
        <v>23163.416666666668</v>
      </c>
      <c r="D5" s="13">
        <f>(C5-C4)/C4</f>
        <v>2.4234643278312519E-3</v>
      </c>
      <c r="E5" s="10">
        <f>D5+1</f>
        <v>1.0024234643278314</v>
      </c>
      <c r="F5" s="10"/>
      <c r="G5">
        <v>2010</v>
      </c>
      <c r="H5" s="4">
        <f>SUMIF('Monthly Data'!$B$2:$B$97,G5,'Monthly Data'!AC$2:AC$97)/12+53</f>
        <v>3300</v>
      </c>
      <c r="I5" s="13">
        <f>(H5-H4)/H4</f>
        <v>-5.849421334069696E-3</v>
      </c>
      <c r="J5" s="10">
        <f>I5+1</f>
        <v>0.99415057866593026</v>
      </c>
      <c r="K5" s="10"/>
      <c r="L5">
        <v>2010</v>
      </c>
      <c r="M5" s="4">
        <f>SUMIF('Monthly Data'!$B$2:$B$97,L5,'Monthly Data'!AF$2:AF$97)/12-53</f>
        <v>293.83333333333331</v>
      </c>
      <c r="N5" s="13">
        <f>(M5-M4)/M4</f>
        <v>-4.5172219085263844E-3</v>
      </c>
      <c r="O5" s="10">
        <f>N5+1</f>
        <v>0.99548277809147356</v>
      </c>
      <c r="P5" s="10"/>
      <c r="Q5">
        <v>2010</v>
      </c>
      <c r="R5" s="4">
        <f>SUMIF('Monthly Data'!$B$2:$B$97,Q5,'Monthly Data'!AH$2:AH$97)/12</f>
        <v>3</v>
      </c>
      <c r="S5" s="8">
        <f>(R5-R4)/R4</f>
        <v>0</v>
      </c>
      <c r="U5">
        <v>2010</v>
      </c>
      <c r="V5" s="4">
        <f>SUMIF('Monthly Data'!$B$2:$B$97,U5,'Monthly Data'!AI$2:AI$97)/12</f>
        <v>5117.25</v>
      </c>
      <c r="W5" s="13">
        <f>(V5-V4)/V4</f>
        <v>6.3551036370746968E-4</v>
      </c>
      <c r="X5" s="10">
        <f>W5+1</f>
        <v>1.0006355103637075</v>
      </c>
      <c r="Y5" s="10"/>
      <c r="Z5">
        <v>2010</v>
      </c>
      <c r="AA5" s="4">
        <f>SUMIF('Monthly Data'!$B$2:$B$97,Z5,'Monthly Data'!AJ$2:AJ$97)/12</f>
        <v>158.25</v>
      </c>
      <c r="AB5" s="13">
        <f>(AA5-AA4)/AA4</f>
        <v>-2.665299846232707E-2</v>
      </c>
      <c r="AC5" s="10">
        <f>AB5+1</f>
        <v>0.97334700153767295</v>
      </c>
    </row>
    <row r="6" spans="2:30">
      <c r="B6">
        <v>2011</v>
      </c>
      <c r="C6" s="4">
        <f>SUMIF('Monthly Data'!$B$2:$B$97,B6,'Monthly Data'!AB$2:AB$97)/12</f>
        <v>23212.083333333332</v>
      </c>
      <c r="D6" s="13">
        <f>(C6-C5)/C5</f>
        <v>2.1010141710526686E-3</v>
      </c>
      <c r="E6" s="10">
        <f>D6+1</f>
        <v>1.0021010141710527</v>
      </c>
      <c r="F6" s="10"/>
      <c r="G6">
        <v>2011</v>
      </c>
      <c r="H6" s="4">
        <f>SUMIF('Monthly Data'!$B$2:$B$97,G6,'Monthly Data'!AC$2:AC$97)/12+53</f>
        <v>3297.75</v>
      </c>
      <c r="I6" s="13">
        <f>(H6-H5)/H5</f>
        <v>-6.8181818181818187E-4</v>
      </c>
      <c r="J6" s="10">
        <f>I6+1</f>
        <v>0.99931818181818177</v>
      </c>
      <c r="K6" s="10"/>
      <c r="L6">
        <v>2011</v>
      </c>
      <c r="M6" s="4">
        <f>SUMIF('Monthly Data'!$B$2:$B$97,L6,'Monthly Data'!AF$2:AF$97)/12-53</f>
        <v>291.08333333333331</v>
      </c>
      <c r="N6" s="13">
        <f>(M6-M5)/M5</f>
        <v>-9.3590470788428824E-3</v>
      </c>
      <c r="O6" s="10">
        <f>N6+1</f>
        <v>0.99064095292115717</v>
      </c>
      <c r="P6" s="10"/>
      <c r="Q6">
        <v>2011</v>
      </c>
      <c r="R6" s="4">
        <f>SUMIF('Monthly Data'!$B$2:$B$97,Q6,'Monthly Data'!AH$2:AH$97)/12</f>
        <v>3</v>
      </c>
      <c r="S6" s="8">
        <f>(R6-R5)/R5</f>
        <v>0</v>
      </c>
      <c r="U6">
        <v>2011</v>
      </c>
      <c r="V6" s="4">
        <f>SUMIF('Monthly Data'!$B$2:$B$97,U6,'Monthly Data'!AI$2:AI$97)/12</f>
        <v>5119.583333333333</v>
      </c>
      <c r="W6" s="13">
        <f>(V6-V5)/V5</f>
        <v>4.5597407461684113E-4</v>
      </c>
      <c r="X6" s="10">
        <f>W6+1</f>
        <v>1.0004559740746168</v>
      </c>
      <c r="Y6" s="10"/>
      <c r="Z6">
        <v>2011</v>
      </c>
      <c r="AA6" s="4">
        <f>SUMIF('Monthly Data'!$B$2:$B$97,Z6,'Monthly Data'!AJ$2:AJ$97)/12</f>
        <v>155.5</v>
      </c>
      <c r="AB6" s="13">
        <f>(AA6-AA5)/AA5</f>
        <v>-1.7377567140600316E-2</v>
      </c>
      <c r="AC6" s="10">
        <f>AB6+1</f>
        <v>0.98262243285939965</v>
      </c>
    </row>
    <row r="7" spans="2:30">
      <c r="B7" s="9">
        <v>2012</v>
      </c>
      <c r="C7" s="4">
        <f>SUMIF('Monthly Data'!$B$2:$B$97,B7,'Monthly Data'!AB$2:AB$97)/12</f>
        <v>23192.5</v>
      </c>
      <c r="D7" s="13">
        <f>(C7-C6)/C6</f>
        <v>-8.4366978405638396E-4</v>
      </c>
      <c r="E7" s="10">
        <f>D7+1</f>
        <v>0.99915633021594363</v>
      </c>
      <c r="F7" s="10"/>
      <c r="G7" s="9">
        <v>2012</v>
      </c>
      <c r="H7" s="4">
        <f>SUMIF('Monthly Data'!$B$2:$B$97,G7,'Monthly Data'!AC$2:AC$97)/12+53</f>
        <v>3249.8333333333335</v>
      </c>
      <c r="I7" s="13">
        <f>(H7-H6)/H6</f>
        <v>-1.4530108912642413E-2</v>
      </c>
      <c r="J7" s="10">
        <f>I7+1</f>
        <v>0.98546989108735761</v>
      </c>
      <c r="K7" s="10"/>
      <c r="L7" s="9">
        <v>2012</v>
      </c>
      <c r="M7" s="4">
        <f>SUMIF('Monthly Data'!$B$2:$B$97,L7,'Monthly Data'!AF$2:AF$97)/12-53</f>
        <v>306.58333333333331</v>
      </c>
      <c r="N7" s="13">
        <f>(M7-M6)/M6</f>
        <v>5.3249355854566277E-2</v>
      </c>
      <c r="O7" s="10">
        <f>N7+1</f>
        <v>1.0532493558545664</v>
      </c>
      <c r="P7" s="10"/>
      <c r="Q7" s="9">
        <v>2012</v>
      </c>
      <c r="R7" s="4">
        <f>SUMIF('Monthly Data'!$B$2:$B$97,Q7,'Monthly Data'!AH$2:AH$97)/12</f>
        <v>3</v>
      </c>
      <c r="S7" s="8">
        <f>(R7-R6)/R6</f>
        <v>0</v>
      </c>
      <c r="U7" s="9">
        <v>2012</v>
      </c>
      <c r="V7" s="4">
        <f>SUMIF('Monthly Data'!$B$2:$B$97,U7,'Monthly Data'!AI$2:AI$97)/12</f>
        <v>5126</v>
      </c>
      <c r="W7" s="13">
        <f>(V7-V6)/V6</f>
        <v>1.2533572068039985E-3</v>
      </c>
      <c r="X7" s="10">
        <f>W7+1</f>
        <v>1.0012533572068041</v>
      </c>
      <c r="Y7" s="10"/>
      <c r="Z7" s="9">
        <v>2012</v>
      </c>
      <c r="AA7" s="4">
        <f>SUMIF('Monthly Data'!$B$2:$B$97,Z7,'Monthly Data'!AJ$2:AJ$97)/12</f>
        <v>152</v>
      </c>
      <c r="AB7" s="13">
        <f>(AA7-AA6)/AA6</f>
        <v>-2.2508038585209004E-2</v>
      </c>
      <c r="AC7" s="10">
        <f>AB7+1</f>
        <v>0.977491961414791</v>
      </c>
    </row>
    <row r="8" spans="2:30">
      <c r="B8">
        <v>2013</v>
      </c>
      <c r="C8" s="4">
        <f>SUMIF('Monthly Data'!$B$2:$B$97,B8,'Monthly Data'!AB$2:AB$97)/12</f>
        <v>23467.5</v>
      </c>
      <c r="D8" s="13">
        <f>(C8-C7)/C7</f>
        <v>1.1857281448744206E-2</v>
      </c>
      <c r="E8" s="10">
        <f>D8+1</f>
        <v>1.0118572814487443</v>
      </c>
      <c r="F8" s="10"/>
      <c r="G8">
        <v>2013</v>
      </c>
      <c r="H8" s="4">
        <f>SUMIF('Monthly Data'!$B$2:$B$97,G8,'Monthly Data'!AC$2:AC$97)/12+53</f>
        <v>3212.75</v>
      </c>
      <c r="I8" s="13">
        <f>(H8-H7)/H7</f>
        <v>-1.1410841581619617E-2</v>
      </c>
      <c r="J8" s="10">
        <f>I8+1</f>
        <v>0.98858915841838035</v>
      </c>
      <c r="K8" s="10"/>
      <c r="L8">
        <v>2013</v>
      </c>
      <c r="M8" s="4">
        <f>SUMIF('Monthly Data'!$B$2:$B$97,L8,'Monthly Data'!AF$2:AF$97)/12-53</f>
        <v>317.75</v>
      </c>
      <c r="N8" s="13">
        <f>(M8-M7)/M7</f>
        <v>3.6422941016580654E-2</v>
      </c>
      <c r="O8" s="10">
        <f>N8+1</f>
        <v>1.0364229410165806</v>
      </c>
      <c r="P8" s="10"/>
      <c r="Q8">
        <v>2013</v>
      </c>
      <c r="R8" s="4">
        <f>SUMIF('Monthly Data'!$B$2:$B$97,Q8,'Monthly Data'!AH$2:AH$97)/12</f>
        <v>3</v>
      </c>
      <c r="S8" s="8">
        <f>(R8-R7)/R7</f>
        <v>0</v>
      </c>
      <c r="U8">
        <v>2013</v>
      </c>
      <c r="V8" s="4">
        <f>SUMIF('Monthly Data'!$B$2:$B$97,U8,'Monthly Data'!AI$2:AI$97)/12</f>
        <v>5384.916666666667</v>
      </c>
      <c r="W8" s="13">
        <f>(V8-V7)/V7</f>
        <v>5.0510469501885868E-2</v>
      </c>
      <c r="X8" s="10">
        <f>W8+1</f>
        <v>1.0505104695018859</v>
      </c>
      <c r="Y8" s="10"/>
      <c r="Z8">
        <v>2013</v>
      </c>
      <c r="AA8" s="4">
        <f>SUMIF('Monthly Data'!$B$2:$B$97,Z8,'Monthly Data'!AJ$2:AJ$97)/12</f>
        <v>150.83333333333334</v>
      </c>
      <c r="AB8" s="13">
        <f>(AA8-AA7)/AA7</f>
        <v>-7.6754385964911661E-3</v>
      </c>
      <c r="AC8" s="10">
        <f>AB8+1</f>
        <v>0.99232456140350889</v>
      </c>
    </row>
    <row r="9" spans="2:30" s="20" customFormat="1">
      <c r="B9" s="30">
        <v>2014</v>
      </c>
      <c r="C9" s="4">
        <f>SUMIF('Monthly Data'!$B$2:$B$97,B9,'Monthly Data'!AB$2:AB$97)/12</f>
        <v>23852.583333333332</v>
      </c>
      <c r="D9" s="13">
        <f>(C9-C8)/C8</f>
        <v>1.6409218422641189E-2</v>
      </c>
      <c r="E9" s="10">
        <f>D9+1</f>
        <v>1.0164092184226412</v>
      </c>
      <c r="G9" s="30">
        <v>2014</v>
      </c>
      <c r="H9" s="4">
        <f>SUMIF('Monthly Data'!$B$2:$B$97,G9,'Monthly Data'!AC$2:AC$97)/12</f>
        <v>3051.3333333333335</v>
      </c>
      <c r="I9" s="13">
        <f>(H9-H8)/H8</f>
        <v>-5.0242523279640967E-2</v>
      </c>
      <c r="J9" s="10">
        <f>I9+1</f>
        <v>0.94975747672035904</v>
      </c>
      <c r="L9" s="30">
        <v>2014</v>
      </c>
      <c r="M9" s="4">
        <f>SUMIF('Monthly Data'!$B$2:$B$97,L9,'Monthly Data'!AF$2:AF$97)/12</f>
        <v>324.5</v>
      </c>
      <c r="N9" s="13">
        <f>(M9-M8)/M8</f>
        <v>2.1243115656963022E-2</v>
      </c>
      <c r="O9" s="10">
        <f>N9+1</f>
        <v>1.021243115656963</v>
      </c>
      <c r="Q9" s="30">
        <v>2014</v>
      </c>
      <c r="R9" s="4">
        <f>SUMIF('Monthly Data'!$B$2:$B$97,Q9,'Monthly Data'!AH$2:AH$97)/12</f>
        <v>3</v>
      </c>
      <c r="S9" s="8">
        <f>(R9-R8)/R8</f>
        <v>0</v>
      </c>
      <c r="T9" s="30"/>
      <c r="U9" s="30">
        <v>2014</v>
      </c>
      <c r="V9" s="4">
        <f>SUMIF('Monthly Data'!$B$2:$B$97,U9,'Monthly Data'!AI$2:AI$97)/12</f>
        <v>5228.083333333333</v>
      </c>
      <c r="W9" s="13">
        <f>(V9-V8)/V8</f>
        <v>-2.9124560887664731E-2</v>
      </c>
      <c r="X9" s="10">
        <f>W9+1</f>
        <v>0.97087543911233531</v>
      </c>
      <c r="Y9" s="10"/>
      <c r="Z9" s="30">
        <v>2014</v>
      </c>
      <c r="AA9" s="4">
        <f>SUMIF('Monthly Data'!$B$2:$B$97,Z9,'Monthly Data'!AJ$2:AJ$97)/12</f>
        <v>146.5</v>
      </c>
      <c r="AB9" s="13">
        <f>(AA9-AA8)/AA8</f>
        <v>-2.8729281767955861E-2</v>
      </c>
      <c r="AC9" s="10">
        <f>AB9+1</f>
        <v>0.97127071823204414</v>
      </c>
      <c r="AD9" s="30"/>
    </row>
    <row r="10" spans="2:30" s="20" customFormat="1">
      <c r="B10" s="20">
        <v>2015</v>
      </c>
      <c r="C10" s="21">
        <f t="shared" ref="C10:C15" si="0">C9*(1+D10)</f>
        <v>24004.475833780409</v>
      </c>
      <c r="D10" s="28">
        <f>E10-1</f>
        <v>6.3679685476587533E-3</v>
      </c>
      <c r="E10" s="20">
        <f>GEOMEAN(E5:E9)</f>
        <v>1.0063679685476588</v>
      </c>
      <c r="G10" s="20">
        <v>2015</v>
      </c>
      <c r="H10" s="21">
        <f t="shared" ref="H10:H15" si="1">H9*(1+I10)</f>
        <v>3000.3728711861681</v>
      </c>
      <c r="I10" s="28">
        <f>J10-1</f>
        <v>-1.6701047240713973E-2</v>
      </c>
      <c r="J10" s="20">
        <f>GEOMEAN(J5:J9)</f>
        <v>0.98329895275928603</v>
      </c>
      <c r="L10" s="20">
        <v>2015</v>
      </c>
      <c r="M10" s="21">
        <f t="shared" ref="M10:M15" si="2">M9*(1+N10)</f>
        <v>330.70760277267368</v>
      </c>
      <c r="N10" s="28">
        <f>O10-1</f>
        <v>1.9129746603000486E-2</v>
      </c>
      <c r="O10" s="20">
        <f>GEOMEAN(O5:O9)</f>
        <v>1.0191297466030005</v>
      </c>
      <c r="Q10" s="20">
        <v>2015</v>
      </c>
      <c r="R10" s="21">
        <f t="shared" ref="R10:R15" si="3">R9*(1+S10)</f>
        <v>3</v>
      </c>
      <c r="S10" s="22">
        <v>0</v>
      </c>
      <c r="U10" s="20">
        <v>2015</v>
      </c>
      <c r="V10" s="21">
        <v>5336.5</v>
      </c>
      <c r="W10" s="28">
        <f t="shared" ref="W10:W15" si="4">(V10-V9)/V9</f>
        <v>2.0737363916030472E-2</v>
      </c>
      <c r="X10" s="20">
        <f>GEOMEAN(X5:X9)</f>
        <v>1.004422321445201</v>
      </c>
      <c r="Z10" s="20">
        <v>2015</v>
      </c>
      <c r="AA10" s="21">
        <f t="shared" ref="AA10:AA15" si="5">AA9*(1+AB10)</f>
        <v>143.47952986235688</v>
      </c>
      <c r="AB10" s="28">
        <f>AC10-1</f>
        <v>-2.061754360165946E-2</v>
      </c>
      <c r="AC10" s="20">
        <f>GEOMEAN(AC5:AC9)</f>
        <v>0.97938245639834054</v>
      </c>
    </row>
    <row r="11" spans="2:30" s="20" customFormat="1">
      <c r="B11" s="20">
        <v>2016</v>
      </c>
      <c r="C11" s="21">
        <f t="shared" si="0"/>
        <v>24157.335580892955</v>
      </c>
      <c r="D11" s="28">
        <f>D10</f>
        <v>6.3679685476587533E-3</v>
      </c>
      <c r="G11" s="20">
        <v>2016</v>
      </c>
      <c r="H11" s="21">
        <f t="shared" si="1"/>
        <v>2950.2635021247315</v>
      </c>
      <c r="I11" s="28">
        <f>I10</f>
        <v>-1.6701047240713973E-2</v>
      </c>
      <c r="L11" s="20">
        <v>2016</v>
      </c>
      <c r="M11" s="21">
        <f t="shared" si="2"/>
        <v>337.03395541340069</v>
      </c>
      <c r="N11" s="28">
        <f>N10</f>
        <v>1.9129746603000486E-2</v>
      </c>
      <c r="Q11" s="20">
        <v>2016</v>
      </c>
      <c r="R11" s="21">
        <f t="shared" si="3"/>
        <v>3</v>
      </c>
      <c r="S11" s="22">
        <f>S10</f>
        <v>0</v>
      </c>
      <c r="U11" s="20">
        <v>2016</v>
      </c>
      <c r="V11" s="21">
        <v>5348.5</v>
      </c>
      <c r="W11" s="28">
        <f t="shared" si="4"/>
        <v>2.2486648552422E-3</v>
      </c>
      <c r="Z11" s="20">
        <v>2016</v>
      </c>
      <c r="AA11" s="21">
        <f t="shared" si="5"/>
        <v>140.52133439947414</v>
      </c>
      <c r="AB11" s="28">
        <f>AB10</f>
        <v>-2.061754360165946E-2</v>
      </c>
    </row>
    <row r="12" spans="2:30" s="20" customFormat="1">
      <c r="B12" s="20">
        <v>2017</v>
      </c>
      <c r="C12" s="21">
        <f t="shared" si="0"/>
        <v>24311.16873406732</v>
      </c>
      <c r="D12" s="28">
        <f>D11</f>
        <v>6.3679685476587533E-3</v>
      </c>
      <c r="G12" s="20">
        <v>2017</v>
      </c>
      <c r="H12" s="21">
        <f t="shared" si="1"/>
        <v>2900.9910120031923</v>
      </c>
      <c r="I12" s="28">
        <f>I11</f>
        <v>-1.6701047240713973E-2</v>
      </c>
      <c r="L12" s="20">
        <v>2017</v>
      </c>
      <c r="M12" s="21">
        <f t="shared" si="2"/>
        <v>343.48132957706599</v>
      </c>
      <c r="N12" s="28">
        <f>N11</f>
        <v>1.9129746603000486E-2</v>
      </c>
      <c r="Q12" s="20">
        <v>2017</v>
      </c>
      <c r="R12" s="21">
        <f t="shared" si="3"/>
        <v>3</v>
      </c>
      <c r="S12" s="22">
        <f>S11</f>
        <v>0</v>
      </c>
      <c r="U12" s="20">
        <v>2017</v>
      </c>
      <c r="V12" s="21">
        <v>5360.5</v>
      </c>
      <c r="W12" s="28">
        <f t="shared" si="4"/>
        <v>2.2436197064597549E-3</v>
      </c>
      <c r="Z12" s="20">
        <v>2017</v>
      </c>
      <c r="AA12" s="21">
        <f t="shared" si="5"/>
        <v>137.6241296605296</v>
      </c>
      <c r="AB12" s="28">
        <f>AB11</f>
        <v>-2.061754360165946E-2</v>
      </c>
    </row>
    <row r="13" spans="2:30" s="20" customFormat="1">
      <c r="B13" s="20">
        <v>2018</v>
      </c>
      <c r="C13" s="21">
        <f t="shared" si="0"/>
        <v>24465.981491922685</v>
      </c>
      <c r="D13" s="28">
        <f>D12</f>
        <v>6.3679685476587533E-3</v>
      </c>
      <c r="G13" s="20">
        <v>2018</v>
      </c>
      <c r="H13" s="21">
        <f t="shared" si="1"/>
        <v>2852.5414240668401</v>
      </c>
      <c r="I13" s="28">
        <f>I12</f>
        <v>-1.6701047240713973E-2</v>
      </c>
      <c r="L13" s="20">
        <v>2018</v>
      </c>
      <c r="M13" s="21">
        <f t="shared" si="2"/>
        <v>350.05204037473698</v>
      </c>
      <c r="N13" s="28">
        <f>N12</f>
        <v>1.9129746603000486E-2</v>
      </c>
      <c r="Q13" s="20">
        <v>2018</v>
      </c>
      <c r="R13" s="21">
        <f t="shared" si="3"/>
        <v>3</v>
      </c>
      <c r="S13" s="22">
        <f>S12</f>
        <v>0</v>
      </c>
      <c r="U13" s="20">
        <v>2018</v>
      </c>
      <c r="V13" s="21">
        <v>5372.5</v>
      </c>
      <c r="W13" s="28">
        <f t="shared" si="4"/>
        <v>2.2385971457886391E-3</v>
      </c>
      <c r="Z13" s="20">
        <v>2018</v>
      </c>
      <c r="AA13" s="21">
        <f t="shared" si="5"/>
        <v>134.78665816661319</v>
      </c>
      <c r="AB13" s="28">
        <f>AB12</f>
        <v>-2.061754360165946E-2</v>
      </c>
    </row>
    <row r="14" spans="2:30" s="20" customFormat="1">
      <c r="B14" s="20">
        <v>2019</v>
      </c>
      <c r="C14" s="21">
        <f t="shared" si="0"/>
        <v>24621.780092550849</v>
      </c>
      <c r="D14" s="28">
        <f>D13</f>
        <v>6.3679685476587533E-3</v>
      </c>
      <c r="G14" s="20">
        <v>2019</v>
      </c>
      <c r="H14" s="21">
        <f t="shared" si="1"/>
        <v>2804.9009949874062</v>
      </c>
      <c r="I14" s="28">
        <f>I13</f>
        <v>-1.6701047240713973E-2</v>
      </c>
      <c r="L14" s="20">
        <v>2019</v>
      </c>
      <c r="M14" s="21">
        <f t="shared" si="2"/>
        <v>356.74844720496901</v>
      </c>
      <c r="N14" s="28">
        <f>N13</f>
        <v>1.9129746603000486E-2</v>
      </c>
      <c r="Q14" s="20">
        <v>2019</v>
      </c>
      <c r="R14" s="21">
        <f t="shared" si="3"/>
        <v>3</v>
      </c>
      <c r="S14" s="22">
        <f>S13</f>
        <v>0</v>
      </c>
      <c r="U14" s="20">
        <v>2019</v>
      </c>
      <c r="V14" s="21">
        <v>5384.5</v>
      </c>
      <c r="W14" s="28">
        <f t="shared" si="4"/>
        <v>2.2335970218706376E-3</v>
      </c>
      <c r="Z14" s="20">
        <v>2019</v>
      </c>
      <c r="AA14" s="21">
        <f t="shared" si="5"/>
        <v>132.00768836494109</v>
      </c>
      <c r="AB14" s="28">
        <f>AB13</f>
        <v>-2.061754360165946E-2</v>
      </c>
    </row>
    <row r="15" spans="2:30" s="20" customFormat="1">
      <c r="B15" s="20">
        <v>2020</v>
      </c>
      <c r="C15" s="21">
        <f t="shared" si="0"/>
        <v>24778.570813767583</v>
      </c>
      <c r="D15" s="28">
        <f>D14</f>
        <v>6.3679685476587533E-3</v>
      </c>
      <c r="G15" s="20">
        <v>2020</v>
      </c>
      <c r="H15" s="21">
        <f t="shared" si="1"/>
        <v>2758.0562109645957</v>
      </c>
      <c r="I15" s="28">
        <f>I14</f>
        <v>-1.6701047240713973E-2</v>
      </c>
      <c r="L15" s="20">
        <v>2020</v>
      </c>
      <c r="M15" s="21">
        <f t="shared" si="2"/>
        <v>363.57295460101398</v>
      </c>
      <c r="N15" s="28">
        <f>N14</f>
        <v>1.9129746603000486E-2</v>
      </c>
      <c r="Q15" s="20">
        <v>2020</v>
      </c>
      <c r="R15" s="21">
        <f t="shared" si="3"/>
        <v>3</v>
      </c>
      <c r="S15" s="22">
        <f>S14</f>
        <v>0</v>
      </c>
      <c r="U15" s="20">
        <v>2020</v>
      </c>
      <c r="V15" s="21">
        <v>5396.5</v>
      </c>
      <c r="W15" s="28">
        <f t="shared" si="4"/>
        <v>2.228619184696815E-3</v>
      </c>
      <c r="Z15" s="20">
        <v>2020</v>
      </c>
      <c r="AA15" s="21">
        <f t="shared" si="5"/>
        <v>129.28601409432264</v>
      </c>
      <c r="AB15" s="28">
        <f>AB14</f>
        <v>-2.061754360165946E-2</v>
      </c>
    </row>
    <row r="17" spans="3:22">
      <c r="C17" s="65"/>
      <c r="V17" s="21"/>
    </row>
    <row r="20" spans="3:22">
      <c r="V20" s="30"/>
    </row>
    <row r="21" spans="3:22">
      <c r="V21" s="30"/>
    </row>
    <row r="22" spans="3:22">
      <c r="V22" s="30"/>
    </row>
  </sheetData>
  <mergeCells count="12">
    <mergeCell ref="B2:C2"/>
    <mergeCell ref="G2:H2"/>
    <mergeCell ref="L2:M2"/>
    <mergeCell ref="Q2:R2"/>
    <mergeCell ref="U1:U2"/>
    <mergeCell ref="AB2:AB3"/>
    <mergeCell ref="D2:D3"/>
    <mergeCell ref="I2:I3"/>
    <mergeCell ref="N2:N3"/>
    <mergeCell ref="S2:S3"/>
    <mergeCell ref="W2:W3"/>
    <mergeCell ref="V2:V3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5"/>
  <sheetViews>
    <sheetView zoomScale="55" zoomScaleNormal="55" workbookViewId="0"/>
  </sheetViews>
  <sheetFormatPr defaultRowHeight="12.75"/>
  <cols>
    <col min="1" max="1" width="14.5703125" bestFit="1" customWidth="1"/>
    <col min="2" max="2" width="5" bestFit="1" customWidth="1"/>
    <col min="3" max="3" width="15.140625" style="23" bestFit="1" customWidth="1"/>
    <col min="4" max="4" width="7.7109375" customWidth="1"/>
    <col min="5" max="5" width="17.28515625" bestFit="1" customWidth="1"/>
    <col min="6" max="6" width="14.28515625" style="30" customWidth="1"/>
    <col min="7" max="7" width="22.85546875" style="30" bestFit="1" customWidth="1"/>
    <col min="8" max="8" width="7.7109375" customWidth="1"/>
    <col min="9" max="9" width="3.85546875" customWidth="1"/>
    <col min="10" max="10" width="5" bestFit="1" customWidth="1"/>
    <col min="11" max="11" width="11.28515625" bestFit="1" customWidth="1"/>
    <col min="12" max="12" width="7.7109375" customWidth="1"/>
    <col min="13" max="13" width="17.28515625" bestFit="1" customWidth="1"/>
    <col min="14" max="14" width="13.85546875" style="30" customWidth="1"/>
    <col min="15" max="15" width="22.85546875" style="30" bestFit="1" customWidth="1"/>
    <col min="16" max="16" width="7.7109375" customWidth="1"/>
    <col min="17" max="17" width="3.85546875" customWidth="1"/>
    <col min="18" max="18" width="5" bestFit="1" customWidth="1"/>
    <col min="19" max="19" width="11.28515625" bestFit="1" customWidth="1"/>
    <col min="20" max="20" width="7.7109375" customWidth="1"/>
    <col min="21" max="21" width="17.28515625" bestFit="1" customWidth="1"/>
    <col min="22" max="22" width="14.42578125" style="30" customWidth="1"/>
    <col min="23" max="23" width="22.85546875" style="30" bestFit="1" customWidth="1"/>
    <col min="24" max="24" width="7.7109375" customWidth="1"/>
    <col min="25" max="25" width="3.85546875" customWidth="1"/>
    <col min="26" max="26" width="5" bestFit="1" customWidth="1"/>
    <col min="27" max="27" width="11.28515625" bestFit="1" customWidth="1"/>
    <col min="28" max="28" width="7.7109375" customWidth="1"/>
    <col min="29" max="29" width="17.28515625" bestFit="1" customWidth="1"/>
    <col min="30" max="30" width="11.140625" style="30" customWidth="1"/>
    <col min="31" max="31" width="22.85546875" style="30" bestFit="1" customWidth="1"/>
    <col min="32" max="32" width="7.7109375" customWidth="1"/>
    <col min="33" max="33" width="4.140625" customWidth="1"/>
    <col min="34" max="34" width="5" bestFit="1" customWidth="1"/>
    <col min="35" max="35" width="10.5703125" bestFit="1" customWidth="1"/>
    <col min="36" max="36" width="10.28515625" bestFit="1" customWidth="1"/>
    <col min="37" max="37" width="7.7109375" customWidth="1"/>
    <col min="38" max="38" width="3.85546875" customWidth="1"/>
    <col min="39" max="39" width="5" bestFit="1" customWidth="1"/>
    <col min="41" max="41" width="10.28515625" bestFit="1" customWidth="1"/>
    <col min="42" max="42" width="7.7109375" customWidth="1"/>
  </cols>
  <sheetData>
    <row r="1" spans="1:42">
      <c r="A1" s="12" t="s">
        <v>19</v>
      </c>
    </row>
    <row r="2" spans="1:42" ht="12.75" customHeight="1">
      <c r="C2" s="83" t="s">
        <v>34</v>
      </c>
      <c r="D2" s="110" t="s">
        <v>75</v>
      </c>
      <c r="F2" s="112" t="s">
        <v>174</v>
      </c>
      <c r="G2" s="16" t="s">
        <v>59</v>
      </c>
      <c r="H2" s="110" t="s">
        <v>75</v>
      </c>
      <c r="K2" s="2" t="s">
        <v>28</v>
      </c>
      <c r="L2" s="110" t="s">
        <v>75</v>
      </c>
      <c r="N2" s="112" t="s">
        <v>174</v>
      </c>
      <c r="O2" s="16" t="s">
        <v>59</v>
      </c>
      <c r="P2" s="110" t="s">
        <v>75</v>
      </c>
      <c r="S2" s="2" t="s">
        <v>27</v>
      </c>
      <c r="T2" s="110" t="s">
        <v>75</v>
      </c>
      <c r="V2" s="112" t="s">
        <v>174</v>
      </c>
      <c r="W2" s="16" t="s">
        <v>59</v>
      </c>
      <c r="X2" s="110" t="s">
        <v>75</v>
      </c>
      <c r="AA2" s="2" t="s">
        <v>29</v>
      </c>
      <c r="AB2" s="110" t="s">
        <v>75</v>
      </c>
      <c r="AD2" s="112" t="s">
        <v>174</v>
      </c>
      <c r="AE2" s="16" t="s">
        <v>59</v>
      </c>
      <c r="AF2" s="110" t="s">
        <v>75</v>
      </c>
      <c r="AI2" s="2" t="s">
        <v>89</v>
      </c>
      <c r="AK2" s="110" t="s">
        <v>75</v>
      </c>
      <c r="AN2" s="2" t="s">
        <v>95</v>
      </c>
      <c r="AP2" s="110" t="s">
        <v>75</v>
      </c>
    </row>
    <row r="3" spans="1:42">
      <c r="B3" s="2" t="s">
        <v>33</v>
      </c>
      <c r="C3" s="84" t="s">
        <v>35</v>
      </c>
      <c r="D3" s="110"/>
      <c r="E3" s="57" t="s">
        <v>199</v>
      </c>
      <c r="F3" s="112"/>
      <c r="G3" s="57" t="s">
        <v>200</v>
      </c>
      <c r="H3" s="110"/>
      <c r="J3" s="2" t="s">
        <v>33</v>
      </c>
      <c r="K3" s="84" t="s">
        <v>35</v>
      </c>
      <c r="L3" s="110"/>
      <c r="M3" s="57" t="s">
        <v>199</v>
      </c>
      <c r="N3" s="112"/>
      <c r="O3" s="57" t="s">
        <v>200</v>
      </c>
      <c r="P3" s="110"/>
      <c r="R3" s="2" t="s">
        <v>33</v>
      </c>
      <c r="S3" s="84" t="s">
        <v>35</v>
      </c>
      <c r="T3" s="110"/>
      <c r="U3" s="57" t="s">
        <v>199</v>
      </c>
      <c r="V3" s="112"/>
      <c r="W3" s="57" t="s">
        <v>200</v>
      </c>
      <c r="X3" s="110"/>
      <c r="Z3" s="2" t="s">
        <v>33</v>
      </c>
      <c r="AA3" s="84" t="s">
        <v>35</v>
      </c>
      <c r="AB3" s="110"/>
      <c r="AC3" s="57" t="s">
        <v>199</v>
      </c>
      <c r="AD3" s="112"/>
      <c r="AE3" s="57" t="s">
        <v>200</v>
      </c>
      <c r="AF3" s="110"/>
      <c r="AH3" s="2" t="s">
        <v>33</v>
      </c>
      <c r="AI3" s="2" t="s">
        <v>35</v>
      </c>
      <c r="AJ3" s="16" t="s">
        <v>59</v>
      </c>
      <c r="AK3" s="110"/>
      <c r="AM3" s="2" t="s">
        <v>33</v>
      </c>
      <c r="AN3" s="2" t="s">
        <v>35</v>
      </c>
      <c r="AO3" s="16" t="s">
        <v>59</v>
      </c>
      <c r="AP3" s="110"/>
    </row>
    <row r="4" spans="1:42">
      <c r="B4">
        <v>2009</v>
      </c>
      <c r="C4" s="23">
        <f>SUMIF('Monthly Data'!$B$2:$B$145,B4,'Monthly Data'!D$2:D$145)</f>
        <v>196461749.94190001</v>
      </c>
      <c r="D4" s="8"/>
      <c r="E4" s="4">
        <f ca="1">SUMIF('Res Normalized Monthly'!$B$2:$B$145,B4,'Res Normalized Monthly'!V$2:V$145)</f>
        <v>199216353.16277146</v>
      </c>
      <c r="F4" s="101">
        <v>258079.21812710026</v>
      </c>
      <c r="G4" s="4">
        <f ca="1">E4-F4</f>
        <v>198958273.94464436</v>
      </c>
      <c r="H4" s="8"/>
      <c r="J4">
        <v>2009</v>
      </c>
      <c r="K4" s="4">
        <f>SUMIF('Monthly Data'!$B$2:$B$145,B4,'Monthly Data'!G$2:G$145)</f>
        <v>93350686.924999997</v>
      </c>
      <c r="L4" s="8"/>
      <c r="M4" s="4">
        <f ca="1">SUMIF('GS &lt; 50 Normalized Monthly'!$B$2:$B$145,B4,'GS &lt; 50 Normalized Monthly'!T$2:T$145)</f>
        <v>96405215.91668573</v>
      </c>
      <c r="N4" s="101">
        <v>341521.75913147489</v>
      </c>
      <c r="O4" s="4">
        <f ca="1">M4-N4</f>
        <v>96063694.157554254</v>
      </c>
      <c r="P4" s="8"/>
      <c r="R4">
        <v>2009</v>
      </c>
      <c r="S4" s="4">
        <f>SUMIF('Monthly Data'!$B$2:$B$145,B4,'Monthly Data'!L$2:L$145)</f>
        <v>270117289.67619997</v>
      </c>
      <c r="T4" s="8"/>
      <c r="U4" s="4">
        <f ca="1">SUMIF('GS &gt; 50 Normalized Monthly'!$B$2:$B$145,B4,'GS &gt; 50 Normalized Monthly'!Z$2:Z$145)</f>
        <v>272046046.28282094</v>
      </c>
      <c r="V4" s="101">
        <v>640448.99242075463</v>
      </c>
      <c r="W4" s="4">
        <f ca="1">U4-V4</f>
        <v>271405597.29040021</v>
      </c>
      <c r="X4" s="8"/>
      <c r="Z4">
        <v>2009</v>
      </c>
      <c r="AA4" s="4">
        <f>SUMIF('Monthly Data'!$B$2:$B$145,B4,'Monthly Data'!O$2:O$145)</f>
        <v>148002868.85999998</v>
      </c>
      <c r="AB4" s="8"/>
      <c r="AC4" s="4">
        <f ca="1">SUMIF('LU Normalized Monthly'!$B$2:$B$145,B4,'LU Normalized Monthly'!X$2:X$145)</f>
        <v>148686446.22546479</v>
      </c>
      <c r="AD4" s="101">
        <v>0</v>
      </c>
      <c r="AE4" s="4">
        <f ca="1">AC4-AD4</f>
        <v>148686446.22546479</v>
      </c>
      <c r="AF4" s="8"/>
      <c r="AH4">
        <v>2009</v>
      </c>
      <c r="AI4" s="4">
        <f>SUMIF('Monthly Data'!$B$2:$B$145,AH4,'Monthly Data'!R$2:R$145)</f>
        <v>3992184.5421686745</v>
      </c>
      <c r="AJ4" s="4">
        <f t="shared" ref="AJ4:AJ9" si="0">AI4</f>
        <v>3992184.5421686745</v>
      </c>
      <c r="AK4" s="8"/>
      <c r="AM4">
        <v>2009</v>
      </c>
      <c r="AN4" s="4">
        <f>SUMIF('Monthly Data'!$B$2:$B$145,AM4,'Monthly Data'!T$2:T$145)</f>
        <v>2256948.7499999995</v>
      </c>
      <c r="AO4" s="4">
        <f t="shared" ref="AO4:AO9" si="1">AN4</f>
        <v>2256948.7499999995</v>
      </c>
      <c r="AP4" s="8"/>
    </row>
    <row r="5" spans="1:42">
      <c r="B5">
        <v>2010</v>
      </c>
      <c r="C5" s="23">
        <f>SUMIF('Monthly Data'!$B$2:$B$145,B5,'Monthly Data'!D$2:D$145)</f>
        <v>197410764.39520001</v>
      </c>
      <c r="D5" s="8">
        <f>(C5-C4)/C4</f>
        <v>4.8305303886413157E-3</v>
      </c>
      <c r="E5" s="4">
        <f ca="1">SUMIF('Res Normalized Monthly'!$B$2:$B$145,B5,'Res Normalized Monthly'!V$2:V$145)</f>
        <v>196306993.96372551</v>
      </c>
      <c r="F5" s="101">
        <v>682194.07946446305</v>
      </c>
      <c r="G5" s="4">
        <f t="shared" ref="G5:G15" ca="1" si="2">E5-F5</f>
        <v>195624799.88426104</v>
      </c>
      <c r="H5" s="8">
        <f ca="1">(G5-G4)/G4</f>
        <v>-1.6754639022003096E-2</v>
      </c>
      <c r="J5">
        <v>2010</v>
      </c>
      <c r="K5" s="4">
        <f>SUMIF('Monthly Data'!$B$2:$B$145,B5,'Monthly Data'!G$2:G$145)</f>
        <v>94126083.127000004</v>
      </c>
      <c r="L5" s="8">
        <f>(K5-K4)/K4</f>
        <v>8.3062720537126575E-3</v>
      </c>
      <c r="M5" s="4">
        <f ca="1">SUMIF('GS &lt; 50 Normalized Monthly'!$B$2:$B$145,B5,'GS &lt; 50 Normalized Monthly'!T$2:T$145)</f>
        <v>95442125.414630726</v>
      </c>
      <c r="N5" s="101">
        <v>952749.70273803978</v>
      </c>
      <c r="O5" s="4">
        <f t="shared" ref="O5:O15" ca="1" si="3">M5-N5</f>
        <v>94489375.711892679</v>
      </c>
      <c r="P5" s="8">
        <f ca="1">(O5-O4)/O4</f>
        <v>-1.6388277168266418E-2</v>
      </c>
      <c r="R5">
        <v>2010</v>
      </c>
      <c r="S5" s="4">
        <f>SUMIF('Monthly Data'!$B$2:$B$145,B5,'Monthly Data'!L$2:L$145)</f>
        <v>273806097.95489997</v>
      </c>
      <c r="T5" s="8">
        <f>(S5-S4)/S4</f>
        <v>1.3656320493671142E-2</v>
      </c>
      <c r="U5" s="4">
        <f ca="1">SUMIF('GS &gt; 50 Normalized Monthly'!$B$2:$B$145,B5,'GS &gt; 50 Normalized Monthly'!Z$2:Z$145)</f>
        <v>273801925.98229504</v>
      </c>
      <c r="V5" s="101">
        <v>1417089.9787488147</v>
      </c>
      <c r="W5" s="4">
        <f t="shared" ref="W5:W15" ca="1" si="4">U5-V5</f>
        <v>272384836.00354624</v>
      </c>
      <c r="X5" s="8">
        <f ca="1">(W5-W4)/W4</f>
        <v>3.6080269637853457E-3</v>
      </c>
      <c r="Z5">
        <v>2010</v>
      </c>
      <c r="AA5" s="4">
        <f>SUMIF('Monthly Data'!$B$2:$B$145,B5,'Monthly Data'!O$2:O$145)</f>
        <v>149058789.9682</v>
      </c>
      <c r="AB5" s="8">
        <f>(AA5-AA4)/AA4</f>
        <v>7.1344637866367216E-3</v>
      </c>
      <c r="AC5" s="4">
        <f ca="1">SUMIF('LU Normalized Monthly'!$B$2:$B$145,B5,'LU Normalized Monthly'!X$2:X$145)</f>
        <v>150173208.29455435</v>
      </c>
      <c r="AD5" s="101">
        <v>0</v>
      </c>
      <c r="AE5" s="4">
        <f t="shared" ref="AE5:AE15" ca="1" si="5">AC5-AD5</f>
        <v>150173208.29455435</v>
      </c>
      <c r="AF5" s="8">
        <f ca="1">(AE5-AE4)/AE4</f>
        <v>9.9993113483596817E-3</v>
      </c>
      <c r="AG5" s="10"/>
      <c r="AH5">
        <v>2010</v>
      </c>
      <c r="AI5" s="4">
        <f>SUMIF('Monthly Data'!$B$2:$B$145,AH5,'Monthly Data'!R$2:R$145)</f>
        <v>4076824</v>
      </c>
      <c r="AJ5" s="4">
        <f t="shared" si="0"/>
        <v>4076824</v>
      </c>
      <c r="AK5" s="13">
        <f>(AJ5-AJ4)/AJ4</f>
        <v>2.1201288902678528E-2</v>
      </c>
      <c r="AM5">
        <v>2010</v>
      </c>
      <c r="AN5" s="4">
        <f>SUMIF('Monthly Data'!$B$2:$B$145,AM5,'Monthly Data'!T$2:T$145)</f>
        <v>2229012.04</v>
      </c>
      <c r="AO5" s="4">
        <f t="shared" si="1"/>
        <v>2229012.04</v>
      </c>
      <c r="AP5" s="13">
        <f>(AO5-AO4)/AO4</f>
        <v>-1.2378087894109028E-2</v>
      </c>
    </row>
    <row r="6" spans="1:42">
      <c r="B6">
        <v>2011</v>
      </c>
      <c r="C6" s="23">
        <f>SUMIF('Monthly Data'!$B$2:$B$145,B6,'Monthly Data'!D$2:D$145)</f>
        <v>191104338.41010001</v>
      </c>
      <c r="D6" s="8">
        <f>(C6-C5)/C5</f>
        <v>-3.1945704705722423E-2</v>
      </c>
      <c r="E6" s="4">
        <f ca="1">SUMIF('Res Normalized Monthly'!$B$2:$B$145,B6,'Res Normalized Monthly'!V$2:V$145)</f>
        <v>193260319.80162537</v>
      </c>
      <c r="F6" s="101">
        <v>1107163.2062933119</v>
      </c>
      <c r="G6" s="4">
        <f t="shared" ca="1" si="2"/>
        <v>192153156.59533206</v>
      </c>
      <c r="H6" s="8">
        <f t="shared" ref="H6:H15" ca="1" si="6">(G6-G5)/G5</f>
        <v>-1.7746437522149234E-2</v>
      </c>
      <c r="J6">
        <v>2011</v>
      </c>
      <c r="K6" s="4">
        <f>SUMIF('Monthly Data'!$B$2:$B$145,B6,'Monthly Data'!G$2:G$145)</f>
        <v>93008634.910999998</v>
      </c>
      <c r="L6" s="8">
        <f>(K6-K5)/K5</f>
        <v>-1.1871823185208758E-2</v>
      </c>
      <c r="M6" s="4">
        <f ca="1">SUMIF('GS &lt; 50 Normalized Monthly'!$B$2:$B$145,B6,'GS &lt; 50 Normalized Monthly'!T$2:T$145)</f>
        <v>95330522.652590021</v>
      </c>
      <c r="N6" s="101">
        <v>1555085.5942689374</v>
      </c>
      <c r="O6" s="4">
        <f t="shared" ca="1" si="3"/>
        <v>93775437.058321089</v>
      </c>
      <c r="P6" s="8">
        <f t="shared" ref="P6:P15" ca="1" si="7">(O6-O5)/O5</f>
        <v>-7.5557558528956672E-3</v>
      </c>
      <c r="R6">
        <v>2011</v>
      </c>
      <c r="S6" s="4">
        <f>SUMIF('Monthly Data'!$B$2:$B$145,B6,'Monthly Data'!L$2:L$145)</f>
        <v>273712584.15109998</v>
      </c>
      <c r="T6" s="8">
        <f>(S6-S5)/S5</f>
        <v>-3.4153294794548363E-4</v>
      </c>
      <c r="U6" s="4">
        <f ca="1">SUMIF('GS &gt; 50 Normalized Monthly'!$B$2:$B$145,B6,'GS &gt; 50 Normalized Monthly'!Z$2:Z$145)</f>
        <v>278056193.78577107</v>
      </c>
      <c r="V6" s="101">
        <v>1764891.4269927314</v>
      </c>
      <c r="W6" s="4">
        <f t="shared" ca="1" si="4"/>
        <v>276291302.35877836</v>
      </c>
      <c r="X6" s="8">
        <f t="shared" ref="X6:X15" ca="1" si="8">(W6-W5)/W5</f>
        <v>1.4341717448548643E-2</v>
      </c>
      <c r="Z6">
        <v>2011</v>
      </c>
      <c r="AA6" s="4">
        <f>SUMIF('Monthly Data'!$B$2:$B$145,B6,'Monthly Data'!O$2:O$145)</f>
        <v>154491718.44549999</v>
      </c>
      <c r="AB6" s="8">
        <f>(AA6-AA5)/AA5</f>
        <v>3.6448226088907888E-2</v>
      </c>
      <c r="AC6" s="4">
        <f ca="1">SUMIF('LU Normalized Monthly'!$B$2:$B$145,B6,'LU Normalized Monthly'!X$2:X$145)</f>
        <v>154756059.03953296</v>
      </c>
      <c r="AD6" s="101">
        <v>617444.24766883871</v>
      </c>
      <c r="AE6" s="4">
        <f t="shared" ca="1" si="5"/>
        <v>154138614.79186413</v>
      </c>
      <c r="AF6" s="8">
        <f t="shared" ref="AF6:AF15" ca="1" si="9">(AE6-AE5)/AE5</f>
        <v>2.6405552244258536E-2</v>
      </c>
      <c r="AG6" s="10"/>
      <c r="AH6">
        <v>2011</v>
      </c>
      <c r="AI6" s="4">
        <f>SUMIF('Monthly Data'!$B$2:$B$145,AH6,'Monthly Data'!R$2:R$145)</f>
        <v>4142238</v>
      </c>
      <c r="AJ6" s="4">
        <f t="shared" si="0"/>
        <v>4142238</v>
      </c>
      <c r="AK6" s="13">
        <f t="shared" ref="AK6:AK11" si="10">(AJ6-AJ5)/AJ5</f>
        <v>1.60453333281005E-2</v>
      </c>
      <c r="AM6">
        <v>2011</v>
      </c>
      <c r="AN6" s="4">
        <f>SUMIF('Monthly Data'!$B$2:$B$145,AM6,'Monthly Data'!T$2:T$145)</f>
        <v>1517655.06</v>
      </c>
      <c r="AO6" s="4">
        <f t="shared" si="1"/>
        <v>1517655.06</v>
      </c>
      <c r="AP6" s="13">
        <f t="shared" ref="AP6:AP11" si="11">(AO6-AO5)/AO5</f>
        <v>-0.31913554850067116</v>
      </c>
    </row>
    <row r="7" spans="1:42">
      <c r="B7" s="9">
        <v>2012</v>
      </c>
      <c r="C7" s="23">
        <f>SUMIF('Monthly Data'!$B$2:$B$145,B7,'Monthly Data'!D$2:D$145)</f>
        <v>184953208.6112</v>
      </c>
      <c r="D7" s="8">
        <f>(C7-C6)/C6</f>
        <v>-3.21872849673355E-2</v>
      </c>
      <c r="E7" s="4">
        <f ca="1">SUMIF('Res Normalized Monthly'!$B$2:$B$145,B7,'Res Normalized Monthly'!V$2:V$145)</f>
        <v>188935680.24473691</v>
      </c>
      <c r="F7" s="101">
        <v>1533505.9960037966</v>
      </c>
      <c r="G7" s="4">
        <f t="shared" ca="1" si="2"/>
        <v>187402174.2487331</v>
      </c>
      <c r="H7" s="8">
        <f t="shared" ca="1" si="6"/>
        <v>-2.4724976840241861E-2</v>
      </c>
      <c r="J7" s="9">
        <v>2012</v>
      </c>
      <c r="K7" s="4">
        <f>SUMIF('Monthly Data'!$B$2:$B$145,B7,'Monthly Data'!G$2:G$145)</f>
        <v>88608640.897100002</v>
      </c>
      <c r="L7" s="8">
        <f>(K7-K6)/K6</f>
        <v>-4.7307371171615979E-2</v>
      </c>
      <c r="M7" s="4">
        <f ca="1">SUMIF('GS &lt; 50 Normalized Monthly'!$B$2:$B$145,B7,'GS &lt; 50 Normalized Monthly'!T$2:T$145)</f>
        <v>92953797.164686054</v>
      </c>
      <c r="N7" s="101">
        <v>2495454.5579738081</v>
      </c>
      <c r="O7" s="4">
        <f t="shared" ca="1" si="3"/>
        <v>90458342.606712252</v>
      </c>
      <c r="P7" s="8">
        <f t="shared" ca="1" si="7"/>
        <v>-3.5372743179494431E-2</v>
      </c>
      <c r="R7" s="9">
        <v>2012</v>
      </c>
      <c r="S7" s="4">
        <f>SUMIF('Monthly Data'!$B$2:$B$145,B7,'Monthly Data'!L$2:L$145)</f>
        <v>274473667.94679999</v>
      </c>
      <c r="T7" s="8">
        <f>(S7-S6)/S6</f>
        <v>2.7805948274554518E-3</v>
      </c>
      <c r="U7" s="4">
        <f ca="1">SUMIF('GS &gt; 50 Normalized Monthly'!$B$2:$B$145,B7,'GS &gt; 50 Normalized Monthly'!Z$2:Z$145)</f>
        <v>279007482.23499292</v>
      </c>
      <c r="V7" s="101">
        <v>3777676.4597188346</v>
      </c>
      <c r="W7" s="4">
        <f t="shared" ca="1" si="4"/>
        <v>275229805.7752741</v>
      </c>
      <c r="X7" s="8">
        <f t="shared" ca="1" si="8"/>
        <v>-3.8419471566493689E-3</v>
      </c>
      <c r="Z7" s="9">
        <v>2012</v>
      </c>
      <c r="AA7" s="4">
        <f>SUMIF('Monthly Data'!$B$2:$B$145,B7,'Monthly Data'!O$2:O$145)</f>
        <v>155448434.65640002</v>
      </c>
      <c r="AB7" s="8">
        <f>(AA7-AA6)/AA6</f>
        <v>6.192669875942503E-3</v>
      </c>
      <c r="AC7" s="4">
        <f ca="1">SUMIF('LU Normalized Monthly'!$B$2:$B$145,B7,'LU Normalized Monthly'!X$2:X$145)</f>
        <v>153567550.51767522</v>
      </c>
      <c r="AD7" s="101">
        <v>1541625.621168084</v>
      </c>
      <c r="AE7" s="4">
        <f t="shared" ca="1" si="5"/>
        <v>152025924.89650714</v>
      </c>
      <c r="AF7" s="8">
        <f t="shared" ca="1" si="9"/>
        <v>-1.3706428452142134E-2</v>
      </c>
      <c r="AG7" s="10"/>
      <c r="AH7" s="9">
        <v>2012</v>
      </c>
      <c r="AI7" s="4">
        <f>SUMIF('Monthly Data'!$B$2:$B$145,AH7,'Monthly Data'!R$2:R$145)</f>
        <v>4555371</v>
      </c>
      <c r="AJ7" s="4">
        <f t="shared" si="0"/>
        <v>4555371</v>
      </c>
      <c r="AK7" s="13">
        <f t="shared" si="10"/>
        <v>9.973666409317862E-2</v>
      </c>
      <c r="AM7" s="9">
        <v>2012</v>
      </c>
      <c r="AN7" s="4">
        <f>SUMIF('Monthly Data'!$B$2:$B$145,AM7,'Monthly Data'!T$2:T$145)</f>
        <v>1484560.47</v>
      </c>
      <c r="AO7" s="4">
        <f t="shared" si="1"/>
        <v>1484560.47</v>
      </c>
      <c r="AP7" s="13">
        <f t="shared" si="11"/>
        <v>-2.1806397825339892E-2</v>
      </c>
    </row>
    <row r="8" spans="1:42">
      <c r="B8">
        <v>2013</v>
      </c>
      <c r="C8" s="23">
        <f>SUMIF('Monthly Data'!$B$2:$B$145,B8,'Monthly Data'!D$2:D$145)</f>
        <v>189348695.8743</v>
      </c>
      <c r="D8" s="8">
        <f>(C8-C7)/C7</f>
        <v>2.3765401509416289E-2</v>
      </c>
      <c r="E8" s="4">
        <f ca="1">SUMIF('Res Normalized Monthly'!$B$2:$B$145,B8,'Res Normalized Monthly'!V$2:V$145)</f>
        <v>190127045.16962704</v>
      </c>
      <c r="F8" s="101">
        <v>1920952.8809337567</v>
      </c>
      <c r="G8" s="4">
        <f t="shared" ca="1" si="2"/>
        <v>188206092.28869328</v>
      </c>
      <c r="H8" s="8">
        <f t="shared" ca="1" si="6"/>
        <v>4.2898010291660769E-3</v>
      </c>
      <c r="J8">
        <v>2013</v>
      </c>
      <c r="K8" s="4">
        <f>SUMIF('Monthly Data'!$B$2:$B$145,B8,'Monthly Data'!G$2:G$145)</f>
        <v>86375577.059599996</v>
      </c>
      <c r="L8" s="8">
        <f>(K8-K7)/K7</f>
        <v>-2.5201422963853293E-2</v>
      </c>
      <c r="M8" s="4">
        <f ca="1">SUMIF('GS &lt; 50 Normalized Monthly'!$B$2:$B$145,B8,'GS &lt; 50 Normalized Monthly'!T$2:T$145)</f>
        <v>91114418.308829919</v>
      </c>
      <c r="N8" s="101">
        <v>3319325.9112285827</v>
      </c>
      <c r="O8" s="4">
        <f t="shared" ca="1" si="3"/>
        <v>87795092.397601336</v>
      </c>
      <c r="P8" s="8">
        <f t="shared" ca="1" si="7"/>
        <v>-2.9441731214222968E-2</v>
      </c>
      <c r="R8">
        <v>2013</v>
      </c>
      <c r="S8" s="4">
        <f>SUMIF('Monthly Data'!$B$2:$B$145,B8,'Monthly Data'!L$2:L$145)</f>
        <v>279458000.47820002</v>
      </c>
      <c r="T8" s="8">
        <f>(S8-S7)/S7</f>
        <v>1.8159601861574989E-2</v>
      </c>
      <c r="U8" s="4">
        <f ca="1">SUMIF('GS &gt; 50 Normalized Monthly'!$B$2:$B$145,B8,'GS &gt; 50 Normalized Monthly'!Z$2:Z$145)</f>
        <v>284429242.06994319</v>
      </c>
      <c r="V8" s="101">
        <v>5969114.8563708365</v>
      </c>
      <c r="W8" s="4">
        <f t="shared" ca="1" si="4"/>
        <v>278460127.21357238</v>
      </c>
      <c r="X8" s="8">
        <f t="shared" ca="1" si="8"/>
        <v>1.1736815455720851E-2</v>
      </c>
      <c r="Z8">
        <v>2013</v>
      </c>
      <c r="AA8" s="4">
        <f>SUMIF('Monthly Data'!$B$2:$B$145,B8,'Monthly Data'!O$2:O$145)</f>
        <v>153943745.77000001</v>
      </c>
      <c r="AB8" s="8">
        <f>(AA8-AA7)/AA7</f>
        <v>-9.679665734337867E-3</v>
      </c>
      <c r="AC8" s="4">
        <f ca="1">SUMIF('LU Normalized Monthly'!$B$2:$B$145,B8,'LU Normalized Monthly'!X$2:X$145)</f>
        <v>157453101.70319718</v>
      </c>
      <c r="AD8" s="101">
        <v>2488161.3079137807</v>
      </c>
      <c r="AE8" s="4">
        <f t="shared" ca="1" si="5"/>
        <v>154964940.3952834</v>
      </c>
      <c r="AF8" s="8">
        <f t="shared" ca="1" si="9"/>
        <v>1.933233098747477E-2</v>
      </c>
      <c r="AG8" s="10"/>
      <c r="AH8">
        <v>2013</v>
      </c>
      <c r="AI8" s="4">
        <f>SUMIF('Monthly Data'!$B$2:$B$145,AH8,'Monthly Data'!R$2:R$145)</f>
        <v>3336835</v>
      </c>
      <c r="AJ8" s="4">
        <f t="shared" si="0"/>
        <v>3336835</v>
      </c>
      <c r="AK8" s="13">
        <f t="shared" si="10"/>
        <v>-0.26749434897838176</v>
      </c>
      <c r="AM8">
        <v>2013</v>
      </c>
      <c r="AN8" s="4">
        <f>SUMIF('Monthly Data'!$B$2:$B$145,AM8,'Monthly Data'!T$2:T$145)</f>
        <v>1499819.8</v>
      </c>
      <c r="AO8" s="4">
        <f t="shared" si="1"/>
        <v>1499819.8</v>
      </c>
      <c r="AP8" s="13">
        <f t="shared" si="11"/>
        <v>1.0278685380865675E-2</v>
      </c>
    </row>
    <row r="9" spans="1:42" s="20" customFormat="1">
      <c r="B9" s="30">
        <v>2014</v>
      </c>
      <c r="C9" s="23">
        <f>SUMIF('Monthly Data'!$B$2:$B$145,B9,'Monthly Data'!D$2:D$145)</f>
        <v>192061408.34380001</v>
      </c>
      <c r="D9" s="8">
        <f>(C9-C8)/C8</f>
        <v>1.4326544246710059E-2</v>
      </c>
      <c r="E9" s="4">
        <f ca="1">SUMIF('Res Normalized Monthly'!$B$2:$B$145,B9,'Res Normalized Monthly'!V$2:V$145)</f>
        <v>193379694.93763724</v>
      </c>
      <c r="F9" s="101">
        <v>2535514.8074150914</v>
      </c>
      <c r="G9" s="4">
        <f t="shared" ca="1" si="2"/>
        <v>190844180.13022214</v>
      </c>
      <c r="H9" s="8">
        <f t="shared" ca="1" si="6"/>
        <v>1.4017016183951391E-2</v>
      </c>
      <c r="J9" s="9">
        <v>2014</v>
      </c>
      <c r="K9" s="4">
        <f>SUMIF('Monthly Data'!$B$2:$B$145,B9,'Monthly Data'!G$2:G$145)</f>
        <v>91470554.884800017</v>
      </c>
      <c r="L9" s="8">
        <f>(K9-K8)/K8</f>
        <v>5.898632459131864E-2</v>
      </c>
      <c r="M9" s="4">
        <f ca="1">SUMIF('GS &lt; 50 Normalized Monthly'!$B$2:$B$145,B9,'GS &lt; 50 Normalized Monthly'!T$2:T$145)</f>
        <v>96688109.091087356</v>
      </c>
      <c r="N9" s="101">
        <v>3883234.9744401155</v>
      </c>
      <c r="O9" s="4">
        <f t="shared" ca="1" si="3"/>
        <v>92804874.116647243</v>
      </c>
      <c r="P9" s="8">
        <f t="shared" ca="1" si="7"/>
        <v>5.7062206807162952E-2</v>
      </c>
      <c r="R9" s="9">
        <v>2014</v>
      </c>
      <c r="S9" s="4">
        <f>SUMIF('Monthly Data'!$B$2:$B$145,B9,'Monthly Data'!L$2:L$145)</f>
        <v>272498127.16669995</v>
      </c>
      <c r="T9" s="8">
        <f>(S9-S8)/S8</f>
        <v>-2.4904899124700491E-2</v>
      </c>
      <c r="U9" s="4">
        <f ca="1">SUMIF('GS &gt; 50 Normalized Monthly'!$B$2:$B$145,B9,'GS &gt; 50 Normalized Monthly'!Z$2:Z$145)</f>
        <v>279769718.91359025</v>
      </c>
      <c r="V9" s="101">
        <v>7533863.5915776715</v>
      </c>
      <c r="W9" s="4">
        <f t="shared" ca="1" si="4"/>
        <v>272235855.3220126</v>
      </c>
      <c r="X9" s="8">
        <f t="shared" ca="1" si="8"/>
        <v>-2.235247090433852E-2</v>
      </c>
      <c r="Z9" s="9">
        <v>2014</v>
      </c>
      <c r="AA9" s="4">
        <f>SUMIF('Monthly Data'!$B$2:$B$145,B9,'Monthly Data'!O$2:O$145)</f>
        <v>151518193.477</v>
      </c>
      <c r="AB9" s="8">
        <f>(AA9-AA8)/AA8</f>
        <v>-1.5756095064907116E-2</v>
      </c>
      <c r="AC9" s="4">
        <f ca="1">SUMIF('LU Normalized Monthly'!$B$2:$B$145,B9,'LU Normalized Monthly'!X$2:X$145)</f>
        <v>156984969.70191255</v>
      </c>
      <c r="AD9" s="101">
        <v>3181790.0206270004</v>
      </c>
      <c r="AE9" s="4">
        <f t="shared" ca="1" si="5"/>
        <v>153803179.68128556</v>
      </c>
      <c r="AF9" s="8">
        <f t="shared" ca="1" si="9"/>
        <v>-7.4969261500984052E-3</v>
      </c>
      <c r="AG9" s="10"/>
      <c r="AH9" s="9">
        <v>2014</v>
      </c>
      <c r="AI9" s="4">
        <f>SUMIF('Monthly Data'!$B$2:$B$145,AH9,'Monthly Data'!R$2:R$145)</f>
        <v>1817916.7936968291</v>
      </c>
      <c r="AJ9" s="4">
        <f t="shared" si="0"/>
        <v>1817916.7936968291</v>
      </c>
      <c r="AK9" s="13">
        <f>(AJ9-AJ8)/AJ8</f>
        <v>-0.45519727715130381</v>
      </c>
      <c r="AM9" s="9">
        <v>2014</v>
      </c>
      <c r="AN9" s="4">
        <f>SUMIF('Monthly Data'!$B$2:$B$145,AM9,'Monthly Data'!T$2:T$145)</f>
        <v>1247036.4200000002</v>
      </c>
      <c r="AO9" s="4">
        <f t="shared" si="1"/>
        <v>1247036.4200000002</v>
      </c>
      <c r="AP9" s="13">
        <f>(AO9-AO8)/AO8</f>
        <v>-0.16854250090577541</v>
      </c>
    </row>
    <row r="10" spans="1:42" s="20" customFormat="1">
      <c r="B10" s="20">
        <v>2015</v>
      </c>
      <c r="C10" s="24"/>
      <c r="D10" s="22"/>
      <c r="E10" s="21">
        <f ca="1">SUMIF('Res Normalized Monthly'!$B$2:$B$145,B10,'Res Normalized Monthly'!V$2:V$145)</f>
        <v>192265900.53259984</v>
      </c>
      <c r="F10" s="102">
        <v>2822591.5648656036</v>
      </c>
      <c r="G10" s="21">
        <f t="shared" ca="1" si="2"/>
        <v>189443308.96773425</v>
      </c>
      <c r="H10" s="22">
        <f t="shared" ca="1" si="6"/>
        <v>-7.3403923637179432E-3</v>
      </c>
      <c r="J10" s="20">
        <v>2015</v>
      </c>
      <c r="K10" s="21"/>
      <c r="L10" s="22"/>
      <c r="M10" s="21">
        <f ca="1">SUMIF('GS &lt; 50 Normalized Monthly'!$B$2:$B$145,B10,'GS &lt; 50 Normalized Monthly'!T$2:T$145)</f>
        <v>94160407.61086753</v>
      </c>
      <c r="N10" s="102">
        <v>3991793.4407304493</v>
      </c>
      <c r="O10" s="21">
        <f t="shared" ca="1" si="3"/>
        <v>90168614.170137078</v>
      </c>
      <c r="P10" s="22">
        <f t="shared" ca="1" si="7"/>
        <v>-2.8406481573334481E-2</v>
      </c>
      <c r="R10" s="20">
        <v>2015</v>
      </c>
      <c r="S10" s="21"/>
      <c r="T10" s="22"/>
      <c r="U10" s="21">
        <f ca="1">SUMIF('GS &gt; 50 Normalized Monthly'!$B$2:$B$145,B10,'GS &gt; 50 Normalized Monthly'!Z$2:Z$145)</f>
        <v>281768526.59743989</v>
      </c>
      <c r="V10" s="102">
        <v>8019992.6409375863</v>
      </c>
      <c r="W10" s="21">
        <f t="shared" ca="1" si="4"/>
        <v>273748533.95650232</v>
      </c>
      <c r="X10" s="22">
        <f t="shared" ca="1" si="8"/>
        <v>5.5565003834651093E-3</v>
      </c>
      <c r="Z10" s="20">
        <v>2015</v>
      </c>
      <c r="AA10" s="21"/>
      <c r="AB10" s="21"/>
      <c r="AC10" s="21">
        <f ca="1">SUMIF('LU Normalized Monthly'!$B$2:$B$145,B10,'LU Normalized Monthly'!X$2:X$145)</f>
        <v>157824644.82915288</v>
      </c>
      <c r="AD10" s="102">
        <v>3216195.1958577954</v>
      </c>
      <c r="AE10" s="21">
        <f t="shared" ca="1" si="5"/>
        <v>154608449.63329509</v>
      </c>
      <c r="AF10" s="22">
        <f t="shared" ca="1" si="9"/>
        <v>5.2357171917916624E-3</v>
      </c>
      <c r="AG10" s="64"/>
      <c r="AH10" s="20">
        <v>2015</v>
      </c>
      <c r="AI10" s="21"/>
      <c r="AJ10" s="21">
        <v>1814577.0773553622</v>
      </c>
      <c r="AK10" s="28">
        <f t="shared" si="10"/>
        <v>-1.8371117715874044E-3</v>
      </c>
      <c r="AM10" s="20">
        <v>2015</v>
      </c>
      <c r="AN10" s="21"/>
      <c r="AO10" s="21">
        <f>AO9*(1+'Connection count '!AB10)</f>
        <v>1221325.5922377929</v>
      </c>
      <c r="AP10" s="28">
        <f t="shared" si="11"/>
        <v>-2.0617543601659401E-2</v>
      </c>
    </row>
    <row r="11" spans="1:42" s="20" customFormat="1">
      <c r="B11" s="20">
        <v>2016</v>
      </c>
      <c r="C11" s="24"/>
      <c r="D11" s="22"/>
      <c r="E11" s="21">
        <f ca="1">SUMIF('Res Normalized Monthly'!$B$2:$B$145,B11,'Res Normalized Monthly'!V$2:V$145)</f>
        <v>191170217.59667155</v>
      </c>
      <c r="F11" s="102">
        <v>2600312.2192336116</v>
      </c>
      <c r="G11" s="21">
        <f t="shared" ca="1" si="2"/>
        <v>188569905.37743795</v>
      </c>
      <c r="H11" s="22">
        <f t="shared" ca="1" si="6"/>
        <v>-4.6103691656117305E-3</v>
      </c>
      <c r="J11" s="20">
        <v>2016</v>
      </c>
      <c r="K11" s="21"/>
      <c r="L11" s="22"/>
      <c r="M11" s="21">
        <f ca="1">SUMIF('GS &lt; 50 Normalized Monthly'!$B$2:$B$145,B11,'GS &lt; 50 Normalized Monthly'!T$2:T$145)</f>
        <v>91674921.392479271</v>
      </c>
      <c r="N11" s="102">
        <v>3888802.4767151913</v>
      </c>
      <c r="O11" s="21">
        <f t="shared" ca="1" si="3"/>
        <v>87786118.915764078</v>
      </c>
      <c r="P11" s="22">
        <f t="shared" ca="1" si="7"/>
        <v>-2.6422666870287301E-2</v>
      </c>
      <c r="R11" s="20">
        <v>2016</v>
      </c>
      <c r="S11" s="21"/>
      <c r="T11" s="22"/>
      <c r="U11" s="21">
        <f ca="1">SUMIF('GS &gt; 50 Normalized Monthly'!$B$2:$B$145,B11,'GS &gt; 50 Normalized Monthly'!Z$2:Z$145)</f>
        <v>284732144.50405562</v>
      </c>
      <c r="V11" s="102">
        <v>7620823.8370606378</v>
      </c>
      <c r="W11" s="21">
        <f t="shared" ca="1" si="4"/>
        <v>277111320.66699499</v>
      </c>
      <c r="X11" s="22">
        <f t="shared" ca="1" si="8"/>
        <v>1.2284218154121715E-2</v>
      </c>
      <c r="Z11" s="20">
        <v>2016</v>
      </c>
      <c r="AA11" s="21"/>
      <c r="AB11" s="21"/>
      <c r="AC11" s="21">
        <f ca="1">SUMIF('LU Normalized Monthly'!$B$2:$B$145,B11,'LU Normalized Monthly'!X$2:X$145)</f>
        <v>160121715.04024801</v>
      </c>
      <c r="AD11" s="102">
        <v>3145807.0895581176</v>
      </c>
      <c r="AE11" s="21">
        <f t="shared" ca="1" si="5"/>
        <v>156975907.95068988</v>
      </c>
      <c r="AF11" s="22">
        <f t="shared" ca="1" si="9"/>
        <v>1.5312606283873882E-2</v>
      </c>
      <c r="AH11" s="20">
        <v>2016</v>
      </c>
      <c r="AI11" s="21"/>
      <c r="AJ11" s="21">
        <v>1818158.4601505373</v>
      </c>
      <c r="AK11" s="28">
        <f t="shared" si="10"/>
        <v>1.9736735572537505E-3</v>
      </c>
      <c r="AM11" s="20">
        <v>2016</v>
      </c>
      <c r="AN11" s="21"/>
      <c r="AO11" s="21">
        <f>AO10*(1+'Connection count '!AB11)</f>
        <v>1196144.8585880077</v>
      </c>
      <c r="AP11" s="28">
        <f t="shared" si="11"/>
        <v>-2.0617543601659384E-2</v>
      </c>
    </row>
    <row r="12" spans="1:42" s="20" customFormat="1">
      <c r="B12" s="20">
        <v>2017</v>
      </c>
      <c r="C12" s="24"/>
      <c r="D12" s="22"/>
      <c r="E12" s="21">
        <f ca="1">SUMIF('Res Normalized Monthly'!$B$2:$B$145,B12,'Res Normalized Monthly'!V$2:V$145)</f>
        <v>190092761.46311805</v>
      </c>
      <c r="F12" s="102">
        <v>2289046.3412871649</v>
      </c>
      <c r="G12" s="21">
        <f t="shared" ca="1" si="2"/>
        <v>187803715.12183088</v>
      </c>
      <c r="H12" s="22">
        <f t="shared" ca="1" si="6"/>
        <v>-4.0631629637479889E-3</v>
      </c>
      <c r="J12" s="20">
        <v>2017</v>
      </c>
      <c r="K12" s="21"/>
      <c r="L12" s="22"/>
      <c r="M12" s="21">
        <f ca="1">SUMIF('GS &lt; 50 Normalized Monthly'!$B$2:$B$145,B12,'GS &lt; 50 Normalized Monthly'!T$2:T$145)</f>
        <v>89230945.396840468</v>
      </c>
      <c r="N12" s="102">
        <v>2546303.5442005205</v>
      </c>
      <c r="O12" s="21">
        <f t="shared" ca="1" si="3"/>
        <v>86684641.852639943</v>
      </c>
      <c r="P12" s="22">
        <f t="shared" ca="1" si="7"/>
        <v>-1.254728055788714E-2</v>
      </c>
      <c r="R12" s="20">
        <v>2017</v>
      </c>
      <c r="S12" s="21"/>
      <c r="T12" s="22"/>
      <c r="U12" s="21">
        <f ca="1">SUMIF('GS &gt; 50 Normalized Monthly'!$B$2:$B$145,B12,'GS &gt; 50 Normalized Monthly'!Z$2:Z$145)</f>
        <v>288239557.43054789</v>
      </c>
      <c r="V12" s="102">
        <v>7105157.6332754381</v>
      </c>
      <c r="W12" s="21">
        <f t="shared" ca="1" si="4"/>
        <v>281134399.79727244</v>
      </c>
      <c r="X12" s="22">
        <f t="shared" ca="1" si="8"/>
        <v>1.4517916917266595E-2</v>
      </c>
      <c r="Z12" s="20">
        <v>2017</v>
      </c>
      <c r="AA12" s="21"/>
      <c r="AB12" s="21"/>
      <c r="AC12" s="21">
        <f ca="1">SUMIF('LU Normalized Monthly'!$B$2:$B$145,B12,'LU Normalized Monthly'!X$2:X$145)</f>
        <v>162695675.19268876</v>
      </c>
      <c r="AD12" s="102">
        <v>3099687.1645997935</v>
      </c>
      <c r="AE12" s="21">
        <f t="shared" ca="1" si="5"/>
        <v>159595988.02808896</v>
      </c>
      <c r="AF12" s="22">
        <f t="shared" ca="1" si="9"/>
        <v>1.669096940800692E-2</v>
      </c>
      <c r="AH12" s="20">
        <v>2017</v>
      </c>
      <c r="AI12" s="21"/>
      <c r="AJ12" s="21">
        <v>1821739.8429457126</v>
      </c>
      <c r="AK12" s="28">
        <f>(AJ12-AJ11)/AJ11</f>
        <v>1.9697858430220536E-3</v>
      </c>
      <c r="AM12" s="20">
        <v>2017</v>
      </c>
      <c r="AN12" s="21"/>
      <c r="AO12" s="21">
        <f>AO11*(1+'Connection count '!AB12)</f>
        <v>1171483.2898121688</v>
      </c>
      <c r="AP12" s="28">
        <f>(AO12-AO11)/AO11</f>
        <v>-2.0617543601659377E-2</v>
      </c>
    </row>
    <row r="13" spans="1:42" s="20" customFormat="1">
      <c r="B13" s="20">
        <v>2018</v>
      </c>
      <c r="C13" s="24"/>
      <c r="D13" s="22"/>
      <c r="E13" s="21">
        <f ca="1">SUMIF('Res Normalized Monthly'!$B$2:$B$145,B13,'Res Normalized Monthly'!V$2:V$145)</f>
        <v>189033648.19964355</v>
      </c>
      <c r="F13" s="102">
        <v>2200101.7278940179</v>
      </c>
      <c r="G13" s="21">
        <f t="shared" ca="1" si="2"/>
        <v>186833546.47174954</v>
      </c>
      <c r="H13" s="22">
        <f t="shared" ca="1" si="6"/>
        <v>-5.1658650599748501E-3</v>
      </c>
      <c r="J13" s="20">
        <v>2018</v>
      </c>
      <c r="K13" s="21"/>
      <c r="L13" s="22"/>
      <c r="M13" s="21">
        <f ca="1">SUMIF('GS &lt; 50 Normalized Monthly'!$B$2:$B$145,B13,'GS &lt; 50 Normalized Monthly'!T$2:T$145)</f>
        <v>86827786.359759971</v>
      </c>
      <c r="N13" s="102">
        <v>1729311.4347785548</v>
      </c>
      <c r="O13" s="21">
        <f t="shared" ca="1" si="3"/>
        <v>85098474.924981415</v>
      </c>
      <c r="P13" s="22">
        <f t="shared" ca="1" si="7"/>
        <v>-1.8298130946366967E-2</v>
      </c>
      <c r="R13" s="20">
        <v>2018</v>
      </c>
      <c r="S13" s="21"/>
      <c r="T13" s="22"/>
      <c r="U13" s="21">
        <f ca="1">SUMIF('GS &gt; 50 Normalized Monthly'!$B$2:$B$145,B13,'GS &gt; 50 Normalized Monthly'!Z$2:Z$145)</f>
        <v>291387730.83029842</v>
      </c>
      <c r="V13" s="102">
        <v>6831652.2562203426</v>
      </c>
      <c r="W13" s="21">
        <f t="shared" ca="1" si="4"/>
        <v>284556078.57407808</v>
      </c>
      <c r="X13" s="22">
        <f t="shared" ca="1" si="8"/>
        <v>1.2170971532736764E-2</v>
      </c>
      <c r="Z13" s="20">
        <v>2018</v>
      </c>
      <c r="AA13" s="21"/>
      <c r="AB13" s="21"/>
      <c r="AC13" s="21">
        <f ca="1">SUMIF('LU Normalized Monthly'!$B$2:$B$145,B13,'LU Normalized Monthly'!X$2:X$145)</f>
        <v>164834376.31877625</v>
      </c>
      <c r="AD13" s="102">
        <v>3096195.8207487385</v>
      </c>
      <c r="AE13" s="21">
        <f t="shared" ca="1" si="5"/>
        <v>161738180.4980275</v>
      </c>
      <c r="AF13" s="22">
        <f t="shared" ca="1" si="9"/>
        <v>1.3422595996344969E-2</v>
      </c>
      <c r="AH13" s="20">
        <v>2018</v>
      </c>
      <c r="AI13" s="21"/>
      <c r="AJ13" s="21">
        <v>1825321.2257408875</v>
      </c>
      <c r="AK13" s="28">
        <f>(AJ13-AJ12)/AJ12</f>
        <v>1.9659134146090933E-3</v>
      </c>
      <c r="AM13" s="20">
        <v>2018</v>
      </c>
      <c r="AN13" s="21"/>
      <c r="AO13" s="21">
        <f>AO12*(1+'Connection count '!AB13)</f>
        <v>1147330.1820058511</v>
      </c>
      <c r="AP13" s="28">
        <f>(AO13-AO12)/AO12</f>
        <v>-2.0617543601659363E-2</v>
      </c>
    </row>
    <row r="14" spans="1:42" s="20" customFormat="1">
      <c r="B14" s="20">
        <v>2019</v>
      </c>
      <c r="C14" s="24"/>
      <c r="D14" s="22"/>
      <c r="E14" s="21">
        <f ca="1">SUMIF('Res Normalized Monthly'!$B$2:$B$145,B14,'Res Normalized Monthly'!V$2:V$145)</f>
        <v>187992994.61306775</v>
      </c>
      <c r="F14" s="102">
        <v>2096089.118195392</v>
      </c>
      <c r="G14" s="21">
        <f t="shared" ca="1" si="2"/>
        <v>185896905.49487236</v>
      </c>
      <c r="H14" s="22">
        <f t="shared" ca="1" si="6"/>
        <v>-5.0132376897251106E-3</v>
      </c>
      <c r="J14" s="20">
        <v>2019</v>
      </c>
      <c r="K14" s="21"/>
      <c r="L14" s="22"/>
      <c r="M14" s="21">
        <f ca="1">SUMIF('GS &lt; 50 Normalized Monthly'!$B$2:$B$145,B14,'GS &lt; 50 Normalized Monthly'!T$2:T$145)</f>
        <v>84464762.595284745</v>
      </c>
      <c r="N14" s="102">
        <v>1729176.5572702447</v>
      </c>
      <c r="O14" s="21">
        <f t="shared" ca="1" si="3"/>
        <v>82735586.038014501</v>
      </c>
      <c r="P14" s="22">
        <f t="shared" ca="1" si="7"/>
        <v>-2.7766524477082808E-2</v>
      </c>
      <c r="R14" s="20">
        <v>2019</v>
      </c>
      <c r="S14" s="21"/>
      <c r="T14" s="22"/>
      <c r="U14" s="21">
        <f ca="1">SUMIF('GS &gt; 50 Normalized Monthly'!$B$2:$B$145,B14,'GS &gt; 50 Normalized Monthly'!Z$2:Z$145)</f>
        <v>294627165.54102087</v>
      </c>
      <c r="V14" s="102">
        <v>6570056.6797152208</v>
      </c>
      <c r="W14" s="21">
        <f t="shared" ca="1" si="4"/>
        <v>288057108.86130565</v>
      </c>
      <c r="X14" s="22">
        <f t="shared" ca="1" si="8"/>
        <v>1.230348093342927E-2</v>
      </c>
      <c r="Z14" s="20">
        <v>2019</v>
      </c>
      <c r="AA14" s="21"/>
      <c r="AB14" s="21"/>
      <c r="AC14" s="21">
        <f ca="1">SUMIF('LU Normalized Monthly'!$B$2:$B$145,B14,'LU Normalized Monthly'!X$2:X$145)</f>
        <v>167064261.55037725</v>
      </c>
      <c r="AD14" s="102">
        <v>3096195.8207487385</v>
      </c>
      <c r="AE14" s="21">
        <f t="shared" ca="1" si="5"/>
        <v>163968065.7296285</v>
      </c>
      <c r="AF14" s="22">
        <f t="shared" ca="1" si="9"/>
        <v>1.378700579377542E-2</v>
      </c>
      <c r="AH14" s="20">
        <v>2019</v>
      </c>
      <c r="AI14" s="21"/>
      <c r="AJ14" s="21">
        <v>1828902.6085360628</v>
      </c>
      <c r="AK14" s="28">
        <f>(AJ14-AJ13)/AJ13</f>
        <v>1.9620561820408579E-3</v>
      </c>
      <c r="AM14" s="20">
        <v>2019</v>
      </c>
      <c r="AN14" s="21"/>
      <c r="AO14" s="21">
        <f>AO13*(1+'Connection count '!AB14)</f>
        <v>1123675.0519528456</v>
      </c>
      <c r="AP14" s="28">
        <f>(AO14-AO13)/AO13</f>
        <v>-2.061754360165937E-2</v>
      </c>
    </row>
    <row r="15" spans="1:42" s="20" customFormat="1">
      <c r="B15" s="20">
        <v>2020</v>
      </c>
      <c r="C15" s="24"/>
      <c r="D15" s="22"/>
      <c r="E15" s="21">
        <f ca="1">SUMIF('Res Normalized Monthly'!$B$2:$B$145,B15,'Res Normalized Monthly'!V$2:V$145)</f>
        <v>186970918.25403267</v>
      </c>
      <c r="F15" s="102">
        <v>1925156.7686247467</v>
      </c>
      <c r="G15" s="21">
        <f t="shared" ca="1" si="2"/>
        <v>185045761.48540792</v>
      </c>
      <c r="H15" s="22">
        <f t="shared" ca="1" si="6"/>
        <v>-4.5785808386569404E-3</v>
      </c>
      <c r="J15" s="20">
        <v>2020</v>
      </c>
      <c r="K15" s="21"/>
      <c r="L15" s="22"/>
      <c r="M15" s="21">
        <f ca="1">SUMIF('GS &lt; 50 Normalized Monthly'!$B$2:$B$145,B15,'GS &lt; 50 Normalized Monthly'!T$2:T$145)</f>
        <v>82141203.802330896</v>
      </c>
      <c r="N15" s="102">
        <v>1609089.3746607068</v>
      </c>
      <c r="O15" s="21">
        <f t="shared" ca="1" si="3"/>
        <v>80532114.427670196</v>
      </c>
      <c r="P15" s="22">
        <f t="shared" ca="1" si="7"/>
        <v>-2.6632694779388847E-2</v>
      </c>
      <c r="R15" s="20">
        <v>2020</v>
      </c>
      <c r="S15" s="21"/>
      <c r="T15" s="22"/>
      <c r="U15" s="21">
        <f ca="1">SUMIF('GS &gt; 50 Normalized Monthly'!$B$2:$B$145,B15,'GS &gt; 50 Normalized Monthly'!Z$2:Z$145)</f>
        <v>297959129.32704109</v>
      </c>
      <c r="V15" s="102">
        <v>5790278.808893783</v>
      </c>
      <c r="W15" s="21">
        <f t="shared" ca="1" si="4"/>
        <v>292168850.51814729</v>
      </c>
      <c r="X15" s="22">
        <f t="shared" ca="1" si="8"/>
        <v>1.4274050285012635E-2</v>
      </c>
      <c r="Z15" s="20">
        <v>2020</v>
      </c>
      <c r="AA15" s="21"/>
      <c r="AB15" s="21"/>
      <c r="AC15" s="21">
        <f ca="1">SUMIF('LU Normalized Monthly'!$B$2:$B$145,B15,'LU Normalized Monthly'!X$2:X$145)</f>
        <v>169386516.28086334</v>
      </c>
      <c r="AD15" s="102">
        <v>2926187.8097493551</v>
      </c>
      <c r="AE15" s="21">
        <f t="shared" ca="1" si="5"/>
        <v>166460328.47111398</v>
      </c>
      <c r="AF15" s="22">
        <f t="shared" ca="1" si="9"/>
        <v>1.5199683733508437E-2</v>
      </c>
      <c r="AH15" s="20">
        <v>2020</v>
      </c>
      <c r="AI15" s="21"/>
      <c r="AJ15" s="21">
        <v>1832483.9913312381</v>
      </c>
      <c r="AK15" s="28">
        <f>(AJ15-AJ14)/AJ14</f>
        <v>1.9582140560464329E-3</v>
      </c>
      <c r="AM15" s="20">
        <v>2020</v>
      </c>
      <c r="AN15" s="21"/>
      <c r="AO15" s="21">
        <f>AO14*(1+'Connection count '!AB15)</f>
        <v>1100507.632575111</v>
      </c>
      <c r="AP15" s="28">
        <f>(AO15-AO14)/AO14</f>
        <v>-2.061754360165937E-2</v>
      </c>
    </row>
  </sheetData>
  <mergeCells count="14">
    <mergeCell ref="D2:D3"/>
    <mergeCell ref="AP2:AP3"/>
    <mergeCell ref="H2:H3"/>
    <mergeCell ref="P2:P3"/>
    <mergeCell ref="X2:X3"/>
    <mergeCell ref="AF2:AF3"/>
    <mergeCell ref="AK2:AK3"/>
    <mergeCell ref="L2:L3"/>
    <mergeCell ref="T2:T3"/>
    <mergeCell ref="AB2:AB3"/>
    <mergeCell ref="F2:F3"/>
    <mergeCell ref="N2:N3"/>
    <mergeCell ref="V2:V3"/>
    <mergeCell ref="AD2:AD3"/>
  </mergeCells>
  <pageMargins left="0.7" right="0.7" top="0.75" bottom="0.75" header="0.3" footer="0.3"/>
  <pageSetup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19"/>
  <sheetViews>
    <sheetView workbookViewId="0"/>
  </sheetViews>
  <sheetFormatPr defaultRowHeight="12.75"/>
  <cols>
    <col min="3" max="3" width="14.85546875" bestFit="1" customWidth="1"/>
    <col min="5" max="5" width="11.28515625" bestFit="1" customWidth="1"/>
    <col min="8" max="8" width="14.85546875" bestFit="1" customWidth="1"/>
    <col min="10" max="10" width="11.28515625" bestFit="1" customWidth="1"/>
    <col min="13" max="13" width="14.85546875" bestFit="1" customWidth="1"/>
    <col min="15" max="15" width="10.28515625" bestFit="1" customWidth="1"/>
  </cols>
  <sheetData>
    <row r="2" spans="2:15" s="25" customFormat="1" ht="12.75" customHeight="1">
      <c r="B2" s="113" t="s">
        <v>77</v>
      </c>
      <c r="C2" s="113"/>
      <c r="D2" s="113"/>
      <c r="E2" s="113"/>
      <c r="G2" s="113" t="s">
        <v>88</v>
      </c>
      <c r="H2" s="113"/>
      <c r="I2" s="113"/>
      <c r="J2" s="113"/>
      <c r="L2" s="113" t="s">
        <v>89</v>
      </c>
      <c r="M2" s="113"/>
      <c r="N2" s="113"/>
      <c r="O2" s="113"/>
    </row>
    <row r="3" spans="2:15">
      <c r="B3" t="s">
        <v>33</v>
      </c>
      <c r="C3" s="2" t="s">
        <v>78</v>
      </c>
      <c r="D3" s="16" t="s">
        <v>82</v>
      </c>
      <c r="E3" s="18" t="s">
        <v>83</v>
      </c>
      <c r="G3" t="s">
        <v>33</v>
      </c>
      <c r="H3" s="2" t="s">
        <v>78</v>
      </c>
      <c r="I3" s="16" t="s">
        <v>82</v>
      </c>
      <c r="J3" s="18" t="s">
        <v>83</v>
      </c>
      <c r="L3" t="s">
        <v>33</v>
      </c>
      <c r="M3" s="2" t="s">
        <v>78</v>
      </c>
      <c r="N3" s="16" t="s">
        <v>82</v>
      </c>
      <c r="O3" s="18" t="s">
        <v>83</v>
      </c>
    </row>
    <row r="4" spans="2:15" s="26" customFormat="1">
      <c r="C4" s="26" t="s">
        <v>79</v>
      </c>
      <c r="D4" s="26" t="s">
        <v>80</v>
      </c>
      <c r="E4" s="26" t="s">
        <v>81</v>
      </c>
      <c r="H4" s="26" t="s">
        <v>79</v>
      </c>
      <c r="I4" s="26" t="s">
        <v>80</v>
      </c>
      <c r="J4" s="26" t="s">
        <v>81</v>
      </c>
      <c r="M4" s="26" t="s">
        <v>79</v>
      </c>
      <c r="N4" s="26" t="s">
        <v>80</v>
      </c>
      <c r="O4" s="26" t="s">
        <v>81</v>
      </c>
    </row>
    <row r="5" spans="2:15">
      <c r="B5">
        <v>2009</v>
      </c>
      <c r="C5" s="4">
        <f>'Normalized Annual Summary'!S4</f>
        <v>270117289.67619997</v>
      </c>
      <c r="D5">
        <f t="shared" ref="D5:D10" si="0">E5/C5</f>
        <v>2.6714950415244808E-3</v>
      </c>
      <c r="E5" s="23">
        <v>721617</v>
      </c>
      <c r="G5">
        <v>2009</v>
      </c>
      <c r="H5" s="4">
        <f>'Normalized Annual Summary'!AA4</f>
        <v>148002868.85999998</v>
      </c>
      <c r="I5">
        <f t="shared" ref="I5:I10" si="1">J5/H5</f>
        <v>1.626900896277667E-3</v>
      </c>
      <c r="J5" s="23">
        <v>240786</v>
      </c>
      <c r="L5">
        <v>2009</v>
      </c>
      <c r="M5" s="4">
        <f>'Normalized Annual Summary'!AI4</f>
        <v>3992184.5421686745</v>
      </c>
      <c r="N5">
        <f t="shared" ref="N5:N10" si="2">O5/M5</f>
        <v>2.8170781889483186E-3</v>
      </c>
      <c r="O5" s="23">
        <f>SUMIF('Monthly Data'!B:B,L5,'Monthly Data'!S:S)</f>
        <v>11246.296000000002</v>
      </c>
    </row>
    <row r="6" spans="2:15">
      <c r="B6">
        <v>2010</v>
      </c>
      <c r="C6" s="4">
        <f>'Normalized Annual Summary'!S5</f>
        <v>273806097.95489997</v>
      </c>
      <c r="D6">
        <f t="shared" si="0"/>
        <v>2.7315571332644072E-3</v>
      </c>
      <c r="E6" s="23">
        <f>269184+478733</f>
        <v>747917</v>
      </c>
      <c r="G6">
        <v>2010</v>
      </c>
      <c r="H6" s="4">
        <f>'Normalized Annual Summary'!AA5</f>
        <v>149058789.9682</v>
      </c>
      <c r="I6">
        <f t="shared" si="1"/>
        <v>1.9432533972789895E-3</v>
      </c>
      <c r="J6" s="23">
        <v>289659</v>
      </c>
      <c r="L6">
        <v>2010</v>
      </c>
      <c r="M6" s="4">
        <f>'Normalized Annual Summary'!AI5</f>
        <v>4076824</v>
      </c>
      <c r="N6">
        <f t="shared" si="2"/>
        <v>2.7597794263377567E-3</v>
      </c>
      <c r="O6" s="23">
        <f>SUMIF('Monthly Data'!B:B,L6,'Monthly Data'!S:S)</f>
        <v>11251.134999999998</v>
      </c>
    </row>
    <row r="7" spans="2:15">
      <c r="B7">
        <v>2011</v>
      </c>
      <c r="C7" s="4">
        <f>'Normalized Annual Summary'!S6</f>
        <v>273712584.15109998</v>
      </c>
      <c r="D7">
        <f t="shared" si="0"/>
        <v>2.8006786840930101E-3</v>
      </c>
      <c r="E7" s="23">
        <f>253354+513227</f>
        <v>766581</v>
      </c>
      <c r="G7">
        <v>2011</v>
      </c>
      <c r="H7" s="4">
        <f>'Normalized Annual Summary'!AA6</f>
        <v>154491718.44549999</v>
      </c>
      <c r="I7">
        <f t="shared" si="1"/>
        <v>1.9037525309407088E-3</v>
      </c>
      <c r="J7" s="23">
        <v>294114</v>
      </c>
      <c r="L7">
        <v>2011</v>
      </c>
      <c r="M7" s="4">
        <f>'Normalized Annual Summary'!AI6</f>
        <v>4142238</v>
      </c>
      <c r="N7">
        <f t="shared" si="2"/>
        <v>2.7127159279597165E-3</v>
      </c>
      <c r="O7" s="23">
        <f>SUMIF('Monthly Data'!B:B,L7,'Monthly Data'!S:S)</f>
        <v>11236.715</v>
      </c>
    </row>
    <row r="8" spans="2:15">
      <c r="B8">
        <v>2012</v>
      </c>
      <c r="C8" s="4">
        <f>'Normalized Annual Summary'!S7</f>
        <v>274473667.94679999</v>
      </c>
      <c r="D8">
        <f t="shared" si="0"/>
        <v>2.8463932654968858E-3</v>
      </c>
      <c r="E8" s="23">
        <f>252723+528537</f>
        <v>781260</v>
      </c>
      <c r="G8">
        <v>2012</v>
      </c>
      <c r="H8" s="4">
        <f>'Normalized Annual Summary'!AA7</f>
        <v>155448434.65640002</v>
      </c>
      <c r="I8">
        <f t="shared" si="1"/>
        <v>2.0792232531284156E-3</v>
      </c>
      <c r="J8" s="23">
        <v>323212</v>
      </c>
      <c r="L8">
        <v>2012</v>
      </c>
      <c r="M8" s="4">
        <f>'Normalized Annual Summary'!AI7</f>
        <v>4555371</v>
      </c>
      <c r="N8">
        <f t="shared" si="2"/>
        <v>2.411174413675637E-3</v>
      </c>
      <c r="O8" s="23">
        <f>SUMIF('Monthly Data'!B:B,L8,'Monthly Data'!S:S)</f>
        <v>10983.794</v>
      </c>
    </row>
    <row r="9" spans="2:15">
      <c r="B9">
        <v>2013</v>
      </c>
      <c r="C9" s="4">
        <f>'Normalized Annual Summary'!S8</f>
        <v>279458000.47820002</v>
      </c>
      <c r="D9">
        <f t="shared" si="0"/>
        <v>2.7451566914787409E-3</v>
      </c>
      <c r="E9" s="23">
        <f>239559+527597</f>
        <v>767156</v>
      </c>
      <c r="G9">
        <v>2013</v>
      </c>
      <c r="H9" s="4">
        <f>'Normalized Annual Summary'!AA8</f>
        <v>153943745.77000001</v>
      </c>
      <c r="I9">
        <f t="shared" si="1"/>
        <v>1.8950558760332027E-3</v>
      </c>
      <c r="J9" s="23">
        <v>291732</v>
      </c>
      <c r="L9">
        <v>2013</v>
      </c>
      <c r="M9" s="4">
        <f>'Normalized Annual Summary'!AI8</f>
        <v>3336835</v>
      </c>
      <c r="N9">
        <f t="shared" si="2"/>
        <v>2.4885395891615855E-3</v>
      </c>
      <c r="O9" s="23">
        <f>SUMIF('Monthly Data'!B:B,L9,'Monthly Data'!S:S)</f>
        <v>8303.8459999999995</v>
      </c>
    </row>
    <row r="10" spans="2:15" s="30" customFormat="1">
      <c r="B10" s="30">
        <v>2014</v>
      </c>
      <c r="C10" s="4">
        <f>'Normalized Annual Summary'!S9</f>
        <v>272498127.16669995</v>
      </c>
      <c r="D10" s="30">
        <f t="shared" si="0"/>
        <v>2.7299453678260263E-3</v>
      </c>
      <c r="E10" s="23">
        <f>214069+529836</f>
        <v>743905</v>
      </c>
      <c r="G10" s="30">
        <v>2014</v>
      </c>
      <c r="H10" s="4">
        <f>'Normalized Annual Summary'!AA9</f>
        <v>151518193.477</v>
      </c>
      <c r="I10" s="30">
        <f t="shared" si="1"/>
        <v>1.890545243621074E-3</v>
      </c>
      <c r="J10" s="23">
        <v>286452</v>
      </c>
      <c r="L10" s="30">
        <v>2014</v>
      </c>
      <c r="M10" s="4">
        <f>'Normalized Annual Summary'!AI9</f>
        <v>1817916.7936968291</v>
      </c>
      <c r="N10" s="30">
        <f t="shared" si="2"/>
        <v>2.7752617817784339E-3</v>
      </c>
      <c r="O10" s="23">
        <f>SUMIF('Monthly Data'!B:B,L10,'Monthly Data'!S:S)</f>
        <v>5045.1949999999997</v>
      </c>
    </row>
    <row r="11" spans="2:15">
      <c r="E11" s="23"/>
      <c r="O11" s="23"/>
    </row>
    <row r="12" spans="2:15">
      <c r="C12" t="s">
        <v>84</v>
      </c>
      <c r="E12" s="109" t="s">
        <v>214</v>
      </c>
      <c r="H12" t="s">
        <v>84</v>
      </c>
      <c r="J12" s="109" t="s">
        <v>214</v>
      </c>
      <c r="L12" s="104"/>
      <c r="M12" s="104" t="s">
        <v>84</v>
      </c>
      <c r="N12" s="104"/>
      <c r="O12" s="107" t="s">
        <v>214</v>
      </c>
    </row>
    <row r="13" spans="2:15" s="26" customFormat="1">
      <c r="C13" s="26" t="s">
        <v>85</v>
      </c>
      <c r="D13" s="26" t="s">
        <v>86</v>
      </c>
      <c r="E13" s="27" t="s">
        <v>87</v>
      </c>
      <c r="H13" s="26" t="s">
        <v>85</v>
      </c>
      <c r="I13" s="26" t="s">
        <v>86</v>
      </c>
      <c r="J13" s="26" t="s">
        <v>87</v>
      </c>
      <c r="L13" s="103"/>
      <c r="M13" s="103" t="s">
        <v>112</v>
      </c>
      <c r="N13" s="103"/>
      <c r="O13" s="105" t="s">
        <v>213</v>
      </c>
    </row>
    <row r="14" spans="2:15" s="20" customFormat="1">
      <c r="B14" s="20">
        <v>2015</v>
      </c>
      <c r="C14" s="21">
        <f ca="1">'Normalized Annual Summary'!W10</f>
        <v>273748533.95650232</v>
      </c>
      <c r="D14" s="20">
        <f>D10</f>
        <v>2.7299453678260263E-3</v>
      </c>
      <c r="E14" s="24">
        <f t="shared" ref="E14:E19" ca="1" si="3">C14*D14</f>
        <v>747318.54222371918</v>
      </c>
      <c r="G14" s="20">
        <v>2015</v>
      </c>
      <c r="H14" s="21">
        <f ca="1">'Normalized Annual Summary'!AE10</f>
        <v>154608449.63329509</v>
      </c>
      <c r="I14" s="20">
        <f>I10</f>
        <v>1.890545243621074E-3</v>
      </c>
      <c r="J14" s="24">
        <f t="shared" ref="J14:J19" ca="1" si="4">H14*I14</f>
        <v>292294.26907785441</v>
      </c>
      <c r="L14" s="108">
        <v>2015</v>
      </c>
      <c r="M14" s="102">
        <f>'Normalized Annual Summary'!AJ10</f>
        <v>1814577.0773553622</v>
      </c>
      <c r="N14" s="108"/>
      <c r="O14" s="106">
        <v>4742.3099999999995</v>
      </c>
    </row>
    <row r="15" spans="2:15" s="20" customFormat="1">
      <c r="B15" s="20">
        <v>2016</v>
      </c>
      <c r="C15" s="21">
        <f ca="1">'Normalized Annual Summary'!W11</f>
        <v>277111320.66699499</v>
      </c>
      <c r="D15" s="20">
        <f>D14</f>
        <v>2.7299453678260263E-3</v>
      </c>
      <c r="E15" s="24">
        <f t="shared" ca="1" si="3"/>
        <v>756498.76622701553</v>
      </c>
      <c r="G15" s="20">
        <v>2016</v>
      </c>
      <c r="H15" s="21">
        <f ca="1">'Normalized Annual Summary'!AE11</f>
        <v>156975907.95068988</v>
      </c>
      <c r="I15" s="20">
        <f>I14</f>
        <v>1.890545243621074E-3</v>
      </c>
      <c r="J15" s="24">
        <f t="shared" ca="1" si="4"/>
        <v>296770.0561392763</v>
      </c>
      <c r="L15" s="108">
        <v>2016</v>
      </c>
      <c r="M15" s="102">
        <f>'Normalized Annual Summary'!AJ11</f>
        <v>1818158.4601505373</v>
      </c>
      <c r="N15" s="108"/>
      <c r="O15" s="106">
        <v>4751.6699999999992</v>
      </c>
    </row>
    <row r="16" spans="2:15">
      <c r="B16" s="20">
        <v>2017</v>
      </c>
      <c r="C16" s="21">
        <f ca="1">'Normalized Annual Summary'!W12</f>
        <v>281134399.79727244</v>
      </c>
      <c r="D16" s="20">
        <f>D15</f>
        <v>2.7299453678260263E-3</v>
      </c>
      <c r="E16" s="24">
        <f t="shared" ca="1" si="3"/>
        <v>767481.55246311403</v>
      </c>
      <c r="F16" s="20"/>
      <c r="G16" s="20">
        <f>G15+1</f>
        <v>2017</v>
      </c>
      <c r="H16" s="21">
        <f ca="1">'Normalized Annual Summary'!AE12</f>
        <v>159595988.02808896</v>
      </c>
      <c r="I16" s="20">
        <f>I15</f>
        <v>1.890545243621074E-3</v>
      </c>
      <c r="J16" s="24">
        <f t="shared" ca="1" si="4"/>
        <v>301723.43606750946</v>
      </c>
      <c r="K16" s="20"/>
      <c r="L16" s="108">
        <f>L15+1</f>
        <v>2017</v>
      </c>
      <c r="M16" s="102">
        <f>'Normalized Annual Summary'!AJ12</f>
        <v>1821739.8429457126</v>
      </c>
      <c r="N16" s="108"/>
      <c r="O16" s="106">
        <v>4761.0299999999988</v>
      </c>
    </row>
    <row r="17" spans="2:15">
      <c r="B17" s="20">
        <v>2018</v>
      </c>
      <c r="C17" s="21">
        <f ca="1">'Normalized Annual Summary'!W13</f>
        <v>284556078.57407808</v>
      </c>
      <c r="D17" s="20">
        <f>D16</f>
        <v>2.7299453678260263E-3</v>
      </c>
      <c r="E17" s="24">
        <f t="shared" ca="1" si="3"/>
        <v>776822.54859004321</v>
      </c>
      <c r="F17" s="20"/>
      <c r="G17" s="20">
        <f>G16+1</f>
        <v>2018</v>
      </c>
      <c r="H17" s="21">
        <f ca="1">'Normalized Annual Summary'!AE13</f>
        <v>161738180.4980275</v>
      </c>
      <c r="I17" s="20">
        <f>I16</f>
        <v>1.890545243621074E-3</v>
      </c>
      <c r="J17" s="24">
        <f t="shared" ca="1" si="4"/>
        <v>305773.34785247268</v>
      </c>
      <c r="K17" s="20"/>
      <c r="L17" s="108">
        <f>L16+1</f>
        <v>2018</v>
      </c>
      <c r="M17" s="102">
        <f>'Normalized Annual Summary'!AJ13</f>
        <v>1825321.2257408875</v>
      </c>
      <c r="N17" s="108"/>
      <c r="O17" s="106">
        <v>4770.3899999999994</v>
      </c>
    </row>
    <row r="18" spans="2:15">
      <c r="B18" s="20">
        <v>2019</v>
      </c>
      <c r="C18" s="21">
        <f ca="1">'Normalized Annual Summary'!W14</f>
        <v>288057108.86130565</v>
      </c>
      <c r="D18" s="20">
        <f>D17</f>
        <v>2.7299453678260263E-3</v>
      </c>
      <c r="E18" s="24">
        <f t="shared" ca="1" si="3"/>
        <v>786380.17000527878</v>
      </c>
      <c r="F18" s="20"/>
      <c r="G18" s="20">
        <f>G17+1</f>
        <v>2019</v>
      </c>
      <c r="H18" s="21">
        <f ca="1">'Normalized Annual Summary'!AE14</f>
        <v>163968065.7296285</v>
      </c>
      <c r="I18" s="20">
        <f>I17</f>
        <v>1.890545243621074E-3</v>
      </c>
      <c r="J18" s="24">
        <f t="shared" ca="1" si="4"/>
        <v>309989.04677089682</v>
      </c>
      <c r="K18" s="20"/>
      <c r="L18" s="108">
        <f>L17+1</f>
        <v>2019</v>
      </c>
      <c r="M18" s="102">
        <f>'Normalized Annual Summary'!AJ14</f>
        <v>1828902.6085360628</v>
      </c>
      <c r="N18" s="108"/>
      <c r="O18" s="106">
        <v>4779.7499999999982</v>
      </c>
    </row>
    <row r="19" spans="2:15">
      <c r="B19" s="20">
        <v>2020</v>
      </c>
      <c r="C19" s="21">
        <f ca="1">'Normalized Annual Summary'!W15</f>
        <v>292168850.51814729</v>
      </c>
      <c r="D19" s="20">
        <f>D18</f>
        <v>2.7299453678260263E-3</v>
      </c>
      <c r="E19" s="24">
        <f t="shared" ca="1" si="3"/>
        <v>797605.00009507092</v>
      </c>
      <c r="F19" s="20"/>
      <c r="G19" s="20">
        <f>G18+1</f>
        <v>2020</v>
      </c>
      <c r="H19" s="21">
        <f ca="1">'Normalized Annual Summary'!AE15</f>
        <v>166460328.47111398</v>
      </c>
      <c r="I19" s="20">
        <f>I18</f>
        <v>1.890545243621074E-3</v>
      </c>
      <c r="J19" s="24">
        <f t="shared" ca="1" si="4"/>
        <v>314700.78224266617</v>
      </c>
      <c r="K19" s="20"/>
      <c r="L19" s="108">
        <f>L18+1</f>
        <v>2020</v>
      </c>
      <c r="M19" s="102">
        <f>'Normalized Annual Summary'!AJ15</f>
        <v>1832483.9913312381</v>
      </c>
      <c r="N19" s="108"/>
      <c r="O19" s="106">
        <v>4789.1099999999979</v>
      </c>
    </row>
  </sheetData>
  <mergeCells count="3">
    <mergeCell ref="B2:E2"/>
    <mergeCell ref="G2:J2"/>
    <mergeCell ref="L2:O2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workbookViewId="0"/>
  </sheetViews>
  <sheetFormatPr defaultRowHeight="12.75"/>
  <cols>
    <col min="2" max="3" width="12.7109375" bestFit="1" customWidth="1"/>
    <col min="5" max="5" width="14.7109375" bestFit="1" customWidth="1"/>
    <col min="6" max="8" width="12" bestFit="1" customWidth="1"/>
    <col min="10" max="10" width="22.28515625" bestFit="1" customWidth="1"/>
  </cols>
  <sheetData>
    <row r="1" spans="1:17">
      <c r="A1" s="2" t="s">
        <v>0</v>
      </c>
      <c r="B1" s="2" t="s">
        <v>41</v>
      </c>
      <c r="C1" s="2" t="s">
        <v>42</v>
      </c>
      <c r="E1" s="7" t="s">
        <v>9</v>
      </c>
      <c r="F1" s="17" t="s">
        <v>61</v>
      </c>
      <c r="G1" s="17" t="s">
        <v>62</v>
      </c>
      <c r="H1" s="17" t="s">
        <v>63</v>
      </c>
      <c r="I1" s="17" t="s">
        <v>64</v>
      </c>
      <c r="J1" s="17" t="s">
        <v>65</v>
      </c>
      <c r="K1" s="17" t="s">
        <v>66</v>
      </c>
      <c r="L1" s="17" t="s">
        <v>67</v>
      </c>
      <c r="M1" s="16" t="s">
        <v>74</v>
      </c>
      <c r="N1" s="16" t="s">
        <v>68</v>
      </c>
      <c r="O1" s="16" t="s">
        <v>69</v>
      </c>
      <c r="P1" s="16" t="s">
        <v>70</v>
      </c>
      <c r="Q1" s="16" t="s">
        <v>71</v>
      </c>
    </row>
    <row r="2" spans="1:17">
      <c r="A2" s="1">
        <v>34335</v>
      </c>
      <c r="B2" s="2">
        <v>999.89999999999986</v>
      </c>
      <c r="C2" s="2">
        <v>0</v>
      </c>
      <c r="E2">
        <v>1994</v>
      </c>
      <c r="F2">
        <f t="shared" ref="F2:F18" ca="1" si="0">OFFSET($B$2,(ROW()-2)*12+COLUMN()-6,0)</f>
        <v>999.89999999999986</v>
      </c>
      <c r="G2">
        <f t="shared" ref="G2:Q17" ca="1" si="1">OFFSET($B$2,(ROW()-2)*12+COLUMN()-6,0)</f>
        <v>788.09999999999991</v>
      </c>
      <c r="H2">
        <f t="shared" ca="1" si="1"/>
        <v>611.10000000000014</v>
      </c>
      <c r="I2">
        <f t="shared" ca="1" si="1"/>
        <v>350.79999999999995</v>
      </c>
      <c r="J2">
        <f t="shared" ca="1" si="1"/>
        <v>210.79999999999998</v>
      </c>
      <c r="K2">
        <f t="shared" ca="1" si="1"/>
        <v>36</v>
      </c>
      <c r="L2">
        <f t="shared" ca="1" si="1"/>
        <v>3.4</v>
      </c>
      <c r="M2">
        <f t="shared" ca="1" si="1"/>
        <v>37.4</v>
      </c>
      <c r="N2">
        <f t="shared" ca="1" si="1"/>
        <v>109.30000000000003</v>
      </c>
      <c r="O2">
        <f t="shared" ca="1" si="1"/>
        <v>277.39999999999998</v>
      </c>
      <c r="P2">
        <f t="shared" ca="1" si="1"/>
        <v>420.1</v>
      </c>
      <c r="Q2">
        <f t="shared" ca="1" si="1"/>
        <v>648.79999999999995</v>
      </c>
    </row>
    <row r="3" spans="1:17">
      <c r="A3" s="1">
        <v>34366</v>
      </c>
      <c r="B3" s="2">
        <v>788.09999999999991</v>
      </c>
      <c r="C3" s="2">
        <v>0</v>
      </c>
      <c r="E3">
        <v>1995</v>
      </c>
      <c r="F3">
        <f t="shared" ca="1" si="0"/>
        <v>716.39999999999986</v>
      </c>
      <c r="G3">
        <f t="shared" ca="1" si="1"/>
        <v>772.69999999999993</v>
      </c>
      <c r="H3">
        <f t="shared" ca="1" si="1"/>
        <v>523.4</v>
      </c>
      <c r="I3">
        <f t="shared" ca="1" si="1"/>
        <v>436.59999999999991</v>
      </c>
      <c r="J3">
        <f t="shared" ca="1" si="1"/>
        <v>164.19999999999993</v>
      </c>
      <c r="K3">
        <f t="shared" ca="1" si="1"/>
        <v>25.499999999999996</v>
      </c>
      <c r="L3">
        <f t="shared" ca="1" si="1"/>
        <v>8.4</v>
      </c>
      <c r="M3">
        <f t="shared" ca="1" si="1"/>
        <v>11.9</v>
      </c>
      <c r="N3">
        <f t="shared" ca="1" si="1"/>
        <v>160.69999999999999</v>
      </c>
      <c r="O3">
        <f t="shared" ca="1" si="1"/>
        <v>223</v>
      </c>
      <c r="P3">
        <f t="shared" ca="1" si="1"/>
        <v>562</v>
      </c>
      <c r="Q3">
        <f t="shared" ca="1" si="1"/>
        <v>800.69999999999982</v>
      </c>
    </row>
    <row r="4" spans="1:17">
      <c r="A4" s="1">
        <v>34394</v>
      </c>
      <c r="B4" s="2">
        <v>611.10000000000014</v>
      </c>
      <c r="C4" s="2">
        <v>0</v>
      </c>
      <c r="E4">
        <v>1996</v>
      </c>
      <c r="F4">
        <f t="shared" ca="1" si="0"/>
        <v>842.8</v>
      </c>
      <c r="G4">
        <f t="shared" ca="1" si="1"/>
        <v>726.4000000000002</v>
      </c>
      <c r="H4">
        <f t="shared" ca="1" si="1"/>
        <v>648.89999999999986</v>
      </c>
      <c r="I4">
        <f t="shared" ca="1" si="1"/>
        <v>401.69999999999987</v>
      </c>
      <c r="J4">
        <f t="shared" ca="1" si="1"/>
        <v>211.79999999999995</v>
      </c>
      <c r="K4">
        <f t="shared" ca="1" si="1"/>
        <v>24.5</v>
      </c>
      <c r="L4">
        <f t="shared" ca="1" si="1"/>
        <v>6.3000000000000007</v>
      </c>
      <c r="M4">
        <f t="shared" ca="1" si="1"/>
        <v>11.100000000000001</v>
      </c>
      <c r="N4">
        <f t="shared" ca="1" si="1"/>
        <v>89.5</v>
      </c>
      <c r="O4">
        <f t="shared" ca="1" si="1"/>
        <v>312.7</v>
      </c>
      <c r="P4">
        <f t="shared" ca="1" si="1"/>
        <v>563.5</v>
      </c>
      <c r="Q4">
        <f t="shared" ca="1" si="1"/>
        <v>567.70000000000005</v>
      </c>
    </row>
    <row r="5" spans="1:17">
      <c r="A5" s="1">
        <v>34425</v>
      </c>
      <c r="B5" s="2">
        <v>350.79999999999995</v>
      </c>
      <c r="C5" s="2">
        <v>0</v>
      </c>
      <c r="E5">
        <v>1997</v>
      </c>
      <c r="F5">
        <f t="shared" ca="1" si="0"/>
        <v>839.99999999999977</v>
      </c>
      <c r="G5">
        <f t="shared" ca="1" si="1"/>
        <v>651.79999999999995</v>
      </c>
      <c r="H5">
        <f t="shared" ca="1" si="1"/>
        <v>666.60000000000014</v>
      </c>
      <c r="I5">
        <f t="shared" ca="1" si="1"/>
        <v>399.09999999999991</v>
      </c>
      <c r="J5">
        <f t="shared" ca="1" si="1"/>
        <v>265.7999999999999</v>
      </c>
      <c r="K5">
        <f t="shared" ca="1" si="1"/>
        <v>23.2</v>
      </c>
      <c r="L5">
        <f t="shared" ca="1" si="1"/>
        <v>20.2</v>
      </c>
      <c r="M5">
        <f t="shared" ca="1" si="1"/>
        <v>31.099999999999998</v>
      </c>
      <c r="N5">
        <f t="shared" ca="1" si="1"/>
        <v>130.90000000000003</v>
      </c>
      <c r="O5">
        <f t="shared" ca="1" si="1"/>
        <v>324.49999999999994</v>
      </c>
      <c r="P5">
        <f t="shared" ca="1" si="1"/>
        <v>523.29999999999995</v>
      </c>
      <c r="Q5">
        <f t="shared" ca="1" si="1"/>
        <v>678.69999999999993</v>
      </c>
    </row>
    <row r="6" spans="1:17">
      <c r="A6" s="1">
        <v>34455</v>
      </c>
      <c r="B6" s="2">
        <v>210.79999999999998</v>
      </c>
      <c r="C6" s="2">
        <v>4.8</v>
      </c>
      <c r="E6">
        <v>1998</v>
      </c>
      <c r="F6">
        <f t="shared" ca="1" si="0"/>
        <v>768.89999999999986</v>
      </c>
      <c r="G6">
        <f t="shared" ca="1" si="1"/>
        <v>590.80000000000007</v>
      </c>
      <c r="H6">
        <f t="shared" ca="1" si="1"/>
        <v>565.70000000000016</v>
      </c>
      <c r="I6">
        <f t="shared" ca="1" si="1"/>
        <v>316.2999999999999</v>
      </c>
      <c r="J6">
        <f t="shared" ca="1" si="1"/>
        <v>77.600000000000023</v>
      </c>
      <c r="K6">
        <f t="shared" ca="1" si="1"/>
        <v>63.600000000000009</v>
      </c>
      <c r="L6">
        <f t="shared" ca="1" si="1"/>
        <v>13.499999999999998</v>
      </c>
      <c r="M6">
        <f t="shared" ca="1" si="1"/>
        <v>15.100000000000001</v>
      </c>
      <c r="N6">
        <f t="shared" ca="1" si="1"/>
        <v>83.500000000000014</v>
      </c>
      <c r="O6">
        <f t="shared" ca="1" si="1"/>
        <v>260.59999999999991</v>
      </c>
      <c r="P6">
        <f t="shared" ca="1" si="1"/>
        <v>442.09999999999997</v>
      </c>
      <c r="Q6">
        <f t="shared" ca="1" si="1"/>
        <v>584.20000000000005</v>
      </c>
    </row>
    <row r="7" spans="1:17">
      <c r="A7" s="1">
        <v>34486</v>
      </c>
      <c r="B7" s="2">
        <v>36</v>
      </c>
      <c r="C7" s="2">
        <v>59</v>
      </c>
      <c r="E7">
        <v>1999</v>
      </c>
      <c r="F7">
        <f t="shared" ca="1" si="0"/>
        <v>826.09999999999991</v>
      </c>
      <c r="G7">
        <f t="shared" ca="1" si="1"/>
        <v>603</v>
      </c>
      <c r="H7">
        <f t="shared" ca="1" si="1"/>
        <v>624.5</v>
      </c>
      <c r="I7">
        <f t="shared" ca="1" si="1"/>
        <v>327.79999999999995</v>
      </c>
      <c r="J7">
        <f t="shared" ca="1" si="1"/>
        <v>99.800000000000011</v>
      </c>
      <c r="K7">
        <f t="shared" ca="1" si="1"/>
        <v>30.099999999999998</v>
      </c>
      <c r="L7">
        <f t="shared" ca="1" si="1"/>
        <v>3.9</v>
      </c>
      <c r="M7">
        <f t="shared" ca="1" si="1"/>
        <v>29.099999999999998</v>
      </c>
      <c r="N7">
        <f t="shared" ca="1" si="1"/>
        <v>66.800000000000011</v>
      </c>
      <c r="O7">
        <f t="shared" ca="1" si="1"/>
        <v>315.49999999999994</v>
      </c>
      <c r="P7">
        <f t="shared" ca="1" si="1"/>
        <v>403.09999999999991</v>
      </c>
      <c r="Q7">
        <f t="shared" ca="1" si="1"/>
        <v>653.70000000000005</v>
      </c>
    </row>
    <row r="8" spans="1:17">
      <c r="A8" s="1">
        <v>34516</v>
      </c>
      <c r="B8" s="2">
        <v>3.4</v>
      </c>
      <c r="C8" s="2">
        <v>92.999999999999986</v>
      </c>
      <c r="E8">
        <v>2000</v>
      </c>
      <c r="F8">
        <f t="shared" ca="1" si="0"/>
        <v>814.5</v>
      </c>
      <c r="G8">
        <f t="shared" ca="1" si="1"/>
        <v>682.60000000000014</v>
      </c>
      <c r="H8">
        <f t="shared" ca="1" si="1"/>
        <v>489.6</v>
      </c>
      <c r="I8">
        <f t="shared" ca="1" si="1"/>
        <v>383.99999999999989</v>
      </c>
      <c r="J8">
        <f t="shared" ca="1" si="1"/>
        <v>160</v>
      </c>
      <c r="K8">
        <f t="shared" ca="1" si="1"/>
        <v>65.5</v>
      </c>
      <c r="L8">
        <f t="shared" ca="1" si="1"/>
        <v>17.399999999999999</v>
      </c>
      <c r="M8">
        <f t="shared" ca="1" si="1"/>
        <v>20.099999999999998</v>
      </c>
      <c r="N8">
        <f t="shared" ca="1" si="1"/>
        <v>136.30000000000001</v>
      </c>
      <c r="O8">
        <f t="shared" ca="1" si="1"/>
        <v>281.19999999999993</v>
      </c>
      <c r="P8">
        <f t="shared" ca="1" si="1"/>
        <v>485.7</v>
      </c>
      <c r="Q8">
        <f t="shared" ca="1" si="1"/>
        <v>834.8</v>
      </c>
    </row>
    <row r="9" spans="1:17">
      <c r="A9" s="1">
        <v>34547</v>
      </c>
      <c r="B9" s="2">
        <v>37.4</v>
      </c>
      <c r="C9" s="2">
        <v>39</v>
      </c>
      <c r="E9">
        <v>2001</v>
      </c>
      <c r="F9">
        <f t="shared" ca="1" si="0"/>
        <v>775.19999999999982</v>
      </c>
      <c r="G9">
        <f t="shared" ca="1" si="1"/>
        <v>677.09999999999991</v>
      </c>
      <c r="H9">
        <f t="shared" ca="1" si="1"/>
        <v>635.59999999999991</v>
      </c>
      <c r="I9">
        <f t="shared" ca="1" si="1"/>
        <v>325.59999999999991</v>
      </c>
      <c r="J9">
        <f t="shared" ca="1" si="1"/>
        <v>126.80000000000001</v>
      </c>
      <c r="K9">
        <f t="shared" ca="1" si="1"/>
        <v>36.700000000000003</v>
      </c>
      <c r="L9">
        <f t="shared" ca="1" si="1"/>
        <v>17.100000000000001</v>
      </c>
      <c r="M9">
        <f t="shared" ca="1" si="1"/>
        <v>4</v>
      </c>
      <c r="N9">
        <f t="shared" ca="1" si="1"/>
        <v>94.700000000000017</v>
      </c>
      <c r="O9">
        <f t="shared" ca="1" si="1"/>
        <v>259.89999999999998</v>
      </c>
      <c r="P9">
        <f t="shared" ca="1" si="1"/>
        <v>388.89999999999992</v>
      </c>
      <c r="Q9">
        <f t="shared" ca="1" si="1"/>
        <v>578.29999999999995</v>
      </c>
    </row>
    <row r="10" spans="1:17">
      <c r="A10" s="1">
        <v>34578</v>
      </c>
      <c r="B10" s="2">
        <v>109.30000000000003</v>
      </c>
      <c r="C10" s="2">
        <v>5.5</v>
      </c>
      <c r="E10">
        <v>2002</v>
      </c>
      <c r="F10">
        <f t="shared" ca="1" si="0"/>
        <v>639.4000000000002</v>
      </c>
      <c r="G10">
        <f t="shared" ca="1" si="1"/>
        <v>601.90000000000009</v>
      </c>
      <c r="H10">
        <f t="shared" ca="1" si="1"/>
        <v>572.50000000000011</v>
      </c>
      <c r="I10">
        <f t="shared" ca="1" si="1"/>
        <v>336.89999999999992</v>
      </c>
      <c r="J10">
        <f t="shared" ca="1" si="1"/>
        <v>220.29999999999995</v>
      </c>
      <c r="K10">
        <f t="shared" ca="1" si="1"/>
        <v>49.599999999999994</v>
      </c>
      <c r="L10">
        <f t="shared" ca="1" si="1"/>
        <v>4</v>
      </c>
      <c r="M10">
        <f t="shared" ca="1" si="1"/>
        <v>6.5000000000000009</v>
      </c>
      <c r="N10">
        <f t="shared" ca="1" si="1"/>
        <v>45.2</v>
      </c>
      <c r="O10">
        <f t="shared" ca="1" si="1"/>
        <v>332.79999999999995</v>
      </c>
      <c r="P10">
        <f t="shared" ca="1" si="1"/>
        <v>490.7</v>
      </c>
      <c r="Q10">
        <f t="shared" ca="1" si="1"/>
        <v>671.59999999999991</v>
      </c>
    </row>
    <row r="11" spans="1:17">
      <c r="A11" s="1">
        <v>34608</v>
      </c>
      <c r="B11" s="2">
        <v>277.39999999999998</v>
      </c>
      <c r="C11" s="2">
        <v>0</v>
      </c>
      <c r="E11">
        <v>2003</v>
      </c>
      <c r="F11">
        <f t="shared" ca="1" si="0"/>
        <v>921</v>
      </c>
      <c r="G11">
        <f t="shared" ca="1" si="1"/>
        <v>784.5</v>
      </c>
      <c r="H11">
        <f t="shared" ca="1" si="1"/>
        <v>625.79999999999995</v>
      </c>
      <c r="I11">
        <f t="shared" ca="1" si="1"/>
        <v>412.4</v>
      </c>
      <c r="J11">
        <f t="shared" ca="1" si="1"/>
        <v>168.4</v>
      </c>
      <c r="K11">
        <f t="shared" ca="1" si="1"/>
        <v>45.9</v>
      </c>
      <c r="L11">
        <f t="shared" ca="1" si="1"/>
        <v>3.7</v>
      </c>
      <c r="M11">
        <f t="shared" ca="1" si="1"/>
        <v>11.4</v>
      </c>
      <c r="N11">
        <f t="shared" ca="1" si="1"/>
        <v>66.8</v>
      </c>
      <c r="O11">
        <f t="shared" ca="1" si="1"/>
        <v>313.7</v>
      </c>
      <c r="P11">
        <f t="shared" ca="1" si="1"/>
        <v>435.2</v>
      </c>
      <c r="Q11">
        <f t="shared" ca="1" si="1"/>
        <v>652.70000000000005</v>
      </c>
    </row>
    <row r="12" spans="1:17">
      <c r="A12" s="1">
        <v>34639</v>
      </c>
      <c r="B12" s="2">
        <v>420.1</v>
      </c>
      <c r="C12" s="2">
        <v>0</v>
      </c>
      <c r="E12">
        <v>2004</v>
      </c>
      <c r="F12">
        <f t="shared" ca="1" si="0"/>
        <v>981.8</v>
      </c>
      <c r="G12">
        <f t="shared" ca="1" si="1"/>
        <v>706.1</v>
      </c>
      <c r="H12">
        <f t="shared" ca="1" si="1"/>
        <v>530.1</v>
      </c>
      <c r="I12">
        <f t="shared" ca="1" si="1"/>
        <v>358.1</v>
      </c>
      <c r="J12">
        <f t="shared" ca="1" si="1"/>
        <v>154.9</v>
      </c>
      <c r="K12">
        <f t="shared" ca="1" si="1"/>
        <v>71.400000000000006</v>
      </c>
      <c r="L12">
        <f t="shared" ca="1" si="1"/>
        <v>6.9</v>
      </c>
      <c r="M12">
        <f t="shared" ca="1" si="1"/>
        <v>31.5</v>
      </c>
      <c r="N12">
        <f t="shared" ca="1" si="1"/>
        <v>61.3</v>
      </c>
      <c r="O12">
        <f t="shared" ca="1" si="1"/>
        <v>276</v>
      </c>
      <c r="P12">
        <f t="shared" ca="1" si="1"/>
        <v>452.3</v>
      </c>
      <c r="Q12">
        <f t="shared" ca="1" si="1"/>
        <v>722.8</v>
      </c>
    </row>
    <row r="13" spans="1:17">
      <c r="A13" s="1">
        <v>34669</v>
      </c>
      <c r="B13" s="2">
        <v>648.79999999999995</v>
      </c>
      <c r="C13" s="2">
        <v>0</v>
      </c>
      <c r="E13">
        <v>2005</v>
      </c>
      <c r="F13">
        <f t="shared" ca="1" si="0"/>
        <v>862.4</v>
      </c>
      <c r="G13">
        <f t="shared" ca="1" si="1"/>
        <v>676.1</v>
      </c>
      <c r="H13">
        <f t="shared" ca="1" si="1"/>
        <v>635.4</v>
      </c>
      <c r="I13">
        <f t="shared" ca="1" si="1"/>
        <v>337.2</v>
      </c>
      <c r="J13">
        <f t="shared" ca="1" si="1"/>
        <v>212.4</v>
      </c>
      <c r="K13">
        <f t="shared" ca="1" si="1"/>
        <v>18.399999999999999</v>
      </c>
      <c r="L13">
        <f t="shared" ca="1" si="1"/>
        <v>2.1</v>
      </c>
      <c r="M13">
        <f t="shared" ca="1" si="1"/>
        <v>4.2</v>
      </c>
      <c r="N13">
        <f t="shared" ca="1" si="1"/>
        <v>56.4</v>
      </c>
      <c r="O13">
        <f t="shared" ca="1" si="1"/>
        <v>272.7</v>
      </c>
      <c r="P13">
        <f t="shared" ca="1" si="1"/>
        <v>432</v>
      </c>
      <c r="Q13">
        <f t="shared" ca="1" si="1"/>
        <v>735.5</v>
      </c>
    </row>
    <row r="14" spans="1:17">
      <c r="A14" s="1">
        <v>34700</v>
      </c>
      <c r="B14" s="2">
        <v>716.39999999999986</v>
      </c>
      <c r="C14" s="2">
        <v>0</v>
      </c>
      <c r="E14">
        <v>2006</v>
      </c>
      <c r="F14">
        <f t="shared" ca="1" si="0"/>
        <v>653.5</v>
      </c>
      <c r="G14">
        <f t="shared" ca="1" si="1"/>
        <v>679.8</v>
      </c>
      <c r="H14">
        <f t="shared" ca="1" si="1"/>
        <v>571.4</v>
      </c>
      <c r="I14">
        <f t="shared" ca="1" si="1"/>
        <v>309.7</v>
      </c>
      <c r="J14">
        <f t="shared" ca="1" si="1"/>
        <v>145</v>
      </c>
      <c r="K14">
        <f t="shared" ca="1" si="1"/>
        <v>36.4</v>
      </c>
      <c r="L14">
        <f t="shared" ca="1" si="1"/>
        <v>3.7</v>
      </c>
      <c r="M14">
        <f t="shared" ca="1" si="1"/>
        <v>10.4</v>
      </c>
      <c r="N14">
        <f t="shared" ca="1" si="1"/>
        <v>97.9</v>
      </c>
      <c r="O14">
        <f t="shared" ca="1" si="1"/>
        <v>301.60000000000002</v>
      </c>
      <c r="P14">
        <f t="shared" ca="1" si="1"/>
        <v>391.1</v>
      </c>
      <c r="Q14">
        <f t="shared" ca="1" si="1"/>
        <v>541.6</v>
      </c>
    </row>
    <row r="15" spans="1:17">
      <c r="A15" s="1">
        <v>34731</v>
      </c>
      <c r="B15" s="2">
        <v>772.69999999999993</v>
      </c>
      <c r="C15" s="2">
        <v>0</v>
      </c>
      <c r="E15">
        <v>2007</v>
      </c>
      <c r="F15">
        <f t="shared" ca="1" si="0"/>
        <v>712.6</v>
      </c>
      <c r="G15">
        <f t="shared" ca="1" si="1"/>
        <v>775.5</v>
      </c>
      <c r="H15">
        <f t="shared" ca="1" si="1"/>
        <v>588.29999999999995</v>
      </c>
      <c r="I15">
        <f t="shared" ca="1" si="1"/>
        <v>358.6</v>
      </c>
      <c r="J15">
        <f t="shared" ca="1" si="1"/>
        <v>150.19999999999999</v>
      </c>
      <c r="K15">
        <f t="shared" ca="1" si="1"/>
        <v>29.4</v>
      </c>
      <c r="L15">
        <f t="shared" ca="1" si="1"/>
        <v>15.7</v>
      </c>
      <c r="M15">
        <f t="shared" ca="1" si="1"/>
        <v>12.1</v>
      </c>
      <c r="N15">
        <f t="shared" ca="1" si="1"/>
        <v>54.8</v>
      </c>
      <c r="O15">
        <f t="shared" ca="1" si="1"/>
        <v>174.9</v>
      </c>
      <c r="P15">
        <f t="shared" ca="1" si="1"/>
        <v>474.2</v>
      </c>
      <c r="Q15">
        <f t="shared" ca="1" si="1"/>
        <v>716.1</v>
      </c>
    </row>
    <row r="16" spans="1:17">
      <c r="A16" s="1">
        <v>34759</v>
      </c>
      <c r="B16" s="2">
        <v>523.4</v>
      </c>
      <c r="C16" s="2">
        <v>0</v>
      </c>
      <c r="E16">
        <v>2008</v>
      </c>
      <c r="F16">
        <f t="shared" ca="1" si="0"/>
        <v>685.1</v>
      </c>
      <c r="G16">
        <f t="shared" ca="1" si="1"/>
        <v>715.1</v>
      </c>
      <c r="H16">
        <f t="shared" ca="1" si="1"/>
        <v>641</v>
      </c>
      <c r="I16">
        <f t="shared" ca="1" si="1"/>
        <v>274</v>
      </c>
      <c r="J16">
        <f t="shared" ca="1" si="1"/>
        <v>188.5</v>
      </c>
      <c r="K16">
        <f t="shared" ca="1" si="1"/>
        <v>23.3</v>
      </c>
      <c r="L16">
        <f t="shared" ca="1" si="1"/>
        <v>1.5</v>
      </c>
      <c r="M16">
        <f t="shared" ca="1" si="1"/>
        <v>16.3</v>
      </c>
      <c r="N16">
        <f t="shared" ca="1" si="1"/>
        <v>97.8</v>
      </c>
      <c r="O16">
        <f t="shared" ca="1" si="1"/>
        <v>301.60000000000002</v>
      </c>
      <c r="P16">
        <f t="shared" ca="1" si="1"/>
        <v>459.9</v>
      </c>
      <c r="Q16">
        <f t="shared" ca="1" si="1"/>
        <v>708.5</v>
      </c>
    </row>
    <row r="17" spans="1:17">
      <c r="A17" s="1">
        <v>34790</v>
      </c>
      <c r="B17" s="2">
        <v>436.59999999999991</v>
      </c>
      <c r="C17" s="2">
        <v>0</v>
      </c>
      <c r="E17">
        <v>2009</v>
      </c>
      <c r="F17">
        <f t="shared" ca="1" si="0"/>
        <v>887.1</v>
      </c>
      <c r="G17">
        <f t="shared" ca="1" si="1"/>
        <v>653.79999999999995</v>
      </c>
      <c r="H17">
        <f t="shared" ca="1" si="1"/>
        <v>555.6</v>
      </c>
      <c r="I17">
        <f t="shared" ca="1" si="1"/>
        <v>326.3</v>
      </c>
      <c r="J17">
        <f t="shared" ca="1" si="1"/>
        <v>165.3</v>
      </c>
      <c r="K17">
        <f t="shared" ca="1" si="1"/>
        <v>59.2</v>
      </c>
      <c r="L17">
        <f t="shared" ca="1" si="1"/>
        <v>11.8</v>
      </c>
      <c r="M17">
        <f t="shared" ca="1" si="1"/>
        <v>20.6</v>
      </c>
      <c r="N17">
        <f t="shared" ca="1" si="1"/>
        <v>100.9</v>
      </c>
      <c r="O17">
        <f t="shared" ca="1" si="1"/>
        <v>330.2</v>
      </c>
      <c r="P17">
        <f t="shared" ca="1" si="1"/>
        <v>384.5</v>
      </c>
      <c r="Q17">
        <f t="shared" ca="1" si="1"/>
        <v>696.8</v>
      </c>
    </row>
    <row r="18" spans="1:17">
      <c r="A18" s="1">
        <v>34820</v>
      </c>
      <c r="B18" s="2">
        <v>164.19999999999993</v>
      </c>
      <c r="C18" s="2">
        <v>0</v>
      </c>
      <c r="E18">
        <v>2010</v>
      </c>
      <c r="F18">
        <f t="shared" ca="1" si="0"/>
        <v>750.59999999999991</v>
      </c>
      <c r="G18">
        <f t="shared" ref="G18:Q18" ca="1" si="2">OFFSET($B$2,(ROW()-2)*12+COLUMN()-6,0)</f>
        <v>620.40000000000009</v>
      </c>
      <c r="H18">
        <f t="shared" ca="1" si="2"/>
        <v>451.89999999999992</v>
      </c>
      <c r="I18">
        <f t="shared" ca="1" si="2"/>
        <v>243.49999999999989</v>
      </c>
      <c r="J18">
        <f t="shared" ca="1" si="2"/>
        <v>110.2</v>
      </c>
      <c r="K18">
        <f t="shared" ca="1" si="2"/>
        <v>38.300000000000004</v>
      </c>
      <c r="L18">
        <f t="shared" ca="1" si="2"/>
        <v>3.4000000000000004</v>
      </c>
      <c r="M18">
        <f t="shared" ca="1" si="2"/>
        <v>10.100000000000001</v>
      </c>
      <c r="N18">
        <f t="shared" ca="1" si="2"/>
        <v>99.40000000000002</v>
      </c>
      <c r="O18">
        <f t="shared" ca="1" si="2"/>
        <v>284.69999999999993</v>
      </c>
      <c r="P18">
        <f t="shared" ca="1" si="2"/>
        <v>451.4</v>
      </c>
      <c r="Q18">
        <f t="shared" ca="1" si="2"/>
        <v>713.49999999999989</v>
      </c>
    </row>
    <row r="19" spans="1:17">
      <c r="A19" s="1">
        <v>34851</v>
      </c>
      <c r="B19" s="2">
        <v>25.499999999999996</v>
      </c>
      <c r="C19" s="2">
        <v>66.8</v>
      </c>
      <c r="E19">
        <v>2011</v>
      </c>
      <c r="F19">
        <f t="shared" ref="F19:Q22" ca="1" si="3">OFFSET($B$2,(ROW()-2)*12+COLUMN()-6,0)</f>
        <v>853.19999999999982</v>
      </c>
      <c r="G19">
        <f t="shared" ca="1" si="3"/>
        <v>700.39999999999986</v>
      </c>
      <c r="H19">
        <f t="shared" ca="1" si="3"/>
        <v>595.70000000000016</v>
      </c>
      <c r="I19">
        <f t="shared" ca="1" si="3"/>
        <v>350.99999999999989</v>
      </c>
      <c r="J19">
        <f t="shared" ca="1" si="3"/>
        <v>89.40000000000002</v>
      </c>
      <c r="K19">
        <f t="shared" ca="1" si="3"/>
        <v>25.2</v>
      </c>
      <c r="L19">
        <f t="shared" ca="1" si="3"/>
        <v>0</v>
      </c>
      <c r="M19">
        <f t="shared" ca="1" si="3"/>
        <v>7</v>
      </c>
      <c r="N19">
        <f t="shared" ca="1" si="3"/>
        <v>72.5</v>
      </c>
      <c r="O19">
        <f t="shared" ca="1" si="3"/>
        <v>266.49999999999994</v>
      </c>
      <c r="P19">
        <f t="shared" ca="1" si="3"/>
        <v>394.7</v>
      </c>
      <c r="Q19">
        <f t="shared" ca="1" si="3"/>
        <v>623.09999999999991</v>
      </c>
    </row>
    <row r="20" spans="1:17">
      <c r="A20" s="1">
        <v>34881</v>
      </c>
      <c r="B20" s="2">
        <v>8.4</v>
      </c>
      <c r="C20" s="2">
        <v>105.69999999999999</v>
      </c>
      <c r="E20">
        <v>2012</v>
      </c>
      <c r="F20">
        <f t="shared" ca="1" si="3"/>
        <v>712.69999999999993</v>
      </c>
      <c r="G20">
        <f t="shared" ca="1" si="3"/>
        <v>604.40000000000009</v>
      </c>
      <c r="H20">
        <f t="shared" ca="1" si="3"/>
        <v>412.19999999999993</v>
      </c>
      <c r="I20">
        <f t="shared" ca="1" si="3"/>
        <v>358.9</v>
      </c>
      <c r="J20">
        <f t="shared" ca="1" si="3"/>
        <v>94.000000000000014</v>
      </c>
      <c r="K20">
        <f t="shared" ca="1" si="3"/>
        <v>41.300000000000004</v>
      </c>
      <c r="L20">
        <f t="shared" ca="1" si="3"/>
        <v>0.2</v>
      </c>
      <c r="M20">
        <f t="shared" ca="1" si="3"/>
        <v>7.3000000000000007</v>
      </c>
      <c r="N20">
        <f t="shared" ca="1" si="3"/>
        <v>106.30000000000003</v>
      </c>
      <c r="O20">
        <f t="shared" ca="1" si="3"/>
        <v>259.09999999999991</v>
      </c>
      <c r="P20">
        <f t="shared" ca="1" si="3"/>
        <v>498.9</v>
      </c>
      <c r="Q20">
        <f t="shared" ca="1" si="3"/>
        <v>625.19999999999993</v>
      </c>
    </row>
    <row r="21" spans="1:17">
      <c r="A21" s="1">
        <v>34912</v>
      </c>
      <c r="B21" s="2">
        <v>11.9</v>
      </c>
      <c r="C21" s="2">
        <v>86.999999999999986</v>
      </c>
      <c r="E21">
        <v>2013</v>
      </c>
      <c r="F21">
        <f t="shared" ca="1" si="3"/>
        <v>743.9</v>
      </c>
      <c r="G21">
        <f t="shared" ca="1" si="3"/>
        <v>693.5</v>
      </c>
      <c r="H21">
        <f t="shared" ca="1" si="3"/>
        <v>588.30000000000018</v>
      </c>
      <c r="I21">
        <f t="shared" ca="1" si="3"/>
        <v>348.59999999999991</v>
      </c>
      <c r="J21">
        <f t="shared" ca="1" si="3"/>
        <v>139.70000000000002</v>
      </c>
      <c r="K21">
        <f t="shared" ca="1" si="3"/>
        <v>72.200000000000017</v>
      </c>
      <c r="L21">
        <f t="shared" ca="1" si="3"/>
        <v>4.8</v>
      </c>
      <c r="M21">
        <f t="shared" ca="1" si="3"/>
        <v>7.7</v>
      </c>
      <c r="N21">
        <f t="shared" ca="1" si="3"/>
        <v>118.4</v>
      </c>
      <c r="O21">
        <f t="shared" ca="1" si="3"/>
        <v>235.69999999999996</v>
      </c>
      <c r="P21">
        <f t="shared" ca="1" si="3"/>
        <v>501.50000000000006</v>
      </c>
      <c r="Q21">
        <f t="shared" ca="1" si="3"/>
        <v>756.99999999999977</v>
      </c>
    </row>
    <row r="22" spans="1:17">
      <c r="A22" s="1">
        <v>34943</v>
      </c>
      <c r="B22" s="2">
        <v>160.69999999999999</v>
      </c>
      <c r="C22" s="2">
        <v>6.5</v>
      </c>
      <c r="E22">
        <v>2014</v>
      </c>
      <c r="F22" s="30">
        <f t="shared" ca="1" si="3"/>
        <v>844.5</v>
      </c>
      <c r="G22" s="30">
        <f t="shared" ca="1" si="3"/>
        <v>740.9</v>
      </c>
      <c r="H22" s="30">
        <f t="shared" ca="1" si="3"/>
        <v>720.2</v>
      </c>
      <c r="I22" s="30">
        <f t="shared" ca="1" si="3"/>
        <v>352.1</v>
      </c>
      <c r="J22" s="30">
        <f t="shared" ca="1" si="3"/>
        <v>127.7</v>
      </c>
      <c r="K22" s="30">
        <f t="shared" ca="1" si="3"/>
        <v>25.7</v>
      </c>
      <c r="L22" s="30">
        <f t="shared" ca="1" si="3"/>
        <v>10.6</v>
      </c>
      <c r="M22" s="30">
        <f t="shared" ca="1" si="3"/>
        <v>19</v>
      </c>
      <c r="N22" s="30">
        <f t="shared" ca="1" si="3"/>
        <v>90.5</v>
      </c>
      <c r="O22" s="30">
        <f t="shared" ca="1" si="3"/>
        <v>225.6</v>
      </c>
      <c r="P22" s="30">
        <f t="shared" ca="1" si="3"/>
        <v>491.6</v>
      </c>
      <c r="Q22" s="30">
        <f t="shared" ca="1" si="3"/>
        <v>619.9</v>
      </c>
    </row>
    <row r="23" spans="1:17">
      <c r="A23" s="1">
        <v>34973</v>
      </c>
      <c r="B23" s="2">
        <v>223</v>
      </c>
      <c r="C23" s="2">
        <v>0.3</v>
      </c>
      <c r="E23">
        <v>2015</v>
      </c>
      <c r="F23">
        <f t="shared" ref="F23:F28" ca="1" si="4">TREND(F$2:F$21,$E$2:$E$21,$E23)</f>
        <v>743.20473684210447</v>
      </c>
      <c r="G23">
        <f t="shared" ref="G23:Q28" ca="1" si="5">TREND(G$2:G$21,$E$2:$E$21,$E23)</f>
        <v>659.72015037593974</v>
      </c>
      <c r="H23">
        <f t="shared" ca="1" si="5"/>
        <v>529.88105263157922</v>
      </c>
      <c r="I23">
        <f t="shared" ca="1" si="5"/>
        <v>306.08406015037508</v>
      </c>
      <c r="J23">
        <f t="shared" ca="1" si="5"/>
        <v>117.50586466165441</v>
      </c>
      <c r="K23">
        <f t="shared" ca="1" si="5"/>
        <v>47.108270676691973</v>
      </c>
      <c r="L23">
        <f t="shared" ca="1" si="5"/>
        <v>2.6668421052631857</v>
      </c>
      <c r="M23">
        <f t="shared" ca="1" si="5"/>
        <v>6.2309022556389664</v>
      </c>
      <c r="N23">
        <f t="shared" ca="1" si="5"/>
        <v>79.738721804510988</v>
      </c>
      <c r="O23">
        <f t="shared" ca="1" si="5"/>
        <v>267.22691729323287</v>
      </c>
      <c r="P23">
        <f t="shared" ca="1" si="5"/>
        <v>428.84330827067697</v>
      </c>
      <c r="Q23">
        <f t="shared" ca="1" si="5"/>
        <v>687.10736842105257</v>
      </c>
    </row>
    <row r="24" spans="1:17">
      <c r="A24" s="1">
        <v>35004</v>
      </c>
      <c r="B24" s="2">
        <v>562</v>
      </c>
      <c r="C24" s="2">
        <v>0</v>
      </c>
      <c r="E24">
        <v>2016</v>
      </c>
      <c r="F24">
        <f t="shared" ca="1" si="4"/>
        <v>738.32210526315794</v>
      </c>
      <c r="G24">
        <f t="shared" ca="1" si="5"/>
        <v>657.50451127819542</v>
      </c>
      <c r="H24">
        <f t="shared" ca="1" si="5"/>
        <v>525.81157894736862</v>
      </c>
      <c r="I24">
        <f t="shared" ca="1" si="5"/>
        <v>302.45180451127726</v>
      </c>
      <c r="J24">
        <f t="shared" ca="1" si="5"/>
        <v>114.00593984962416</v>
      </c>
      <c r="K24">
        <f t="shared" ca="1" si="5"/>
        <v>47.658120300751989</v>
      </c>
      <c r="L24">
        <f t="shared" ca="1" si="5"/>
        <v>2.2552631578947739</v>
      </c>
      <c r="M24">
        <f t="shared" ca="1" si="5"/>
        <v>5.4470676691728386</v>
      </c>
      <c r="N24">
        <f t="shared" ca="1" si="5"/>
        <v>78.631654135338067</v>
      </c>
      <c r="O24">
        <f t="shared" ca="1" si="5"/>
        <v>266.09751879699206</v>
      </c>
      <c r="P24">
        <f t="shared" ca="1" si="5"/>
        <v>426.32924812030069</v>
      </c>
      <c r="Q24">
        <f t="shared" ca="1" si="5"/>
        <v>688.11105263157901</v>
      </c>
    </row>
    <row r="25" spans="1:17">
      <c r="A25" s="1">
        <v>35034</v>
      </c>
      <c r="B25" s="2">
        <v>800.69999999999982</v>
      </c>
      <c r="C25" s="2">
        <v>0</v>
      </c>
      <c r="E25">
        <v>2017</v>
      </c>
      <c r="F25" s="30">
        <f t="shared" ca="1" si="4"/>
        <v>733.43947368420959</v>
      </c>
      <c r="G25" s="30">
        <f t="shared" ca="1" si="5"/>
        <v>655.28887218045111</v>
      </c>
      <c r="H25" s="30">
        <f t="shared" ca="1" si="5"/>
        <v>521.74210526315801</v>
      </c>
      <c r="I25" s="30">
        <f t="shared" ca="1" si="5"/>
        <v>298.81954887217944</v>
      </c>
      <c r="J25" s="30">
        <f t="shared" ca="1" si="5"/>
        <v>110.50601503759481</v>
      </c>
      <c r="K25" s="30">
        <f t="shared" ca="1" si="5"/>
        <v>48.207969924812232</v>
      </c>
      <c r="L25" s="30">
        <f t="shared" ca="1" si="5"/>
        <v>1.8436842105263622</v>
      </c>
      <c r="M25" s="30">
        <f t="shared" ca="1" si="5"/>
        <v>4.6632330827067108</v>
      </c>
      <c r="N25" s="30">
        <f t="shared" ca="1" si="5"/>
        <v>77.524586466165147</v>
      </c>
      <c r="O25" s="30">
        <f t="shared" ca="1" si="5"/>
        <v>264.96812030075171</v>
      </c>
      <c r="P25" s="30">
        <f t="shared" ca="1" si="5"/>
        <v>423.81518796992441</v>
      </c>
      <c r="Q25" s="30">
        <f t="shared" ca="1" si="5"/>
        <v>689.11473684210523</v>
      </c>
    </row>
    <row r="26" spans="1:17">
      <c r="A26" s="1">
        <v>35065</v>
      </c>
      <c r="B26" s="2">
        <v>842.8</v>
      </c>
      <c r="C26" s="2">
        <v>0</v>
      </c>
      <c r="E26">
        <v>2018</v>
      </c>
      <c r="F26" s="30">
        <f t="shared" ca="1" si="4"/>
        <v>728.55684210526306</v>
      </c>
      <c r="G26" s="30">
        <f t="shared" ca="1" si="5"/>
        <v>653.07323308270679</v>
      </c>
      <c r="H26" s="30">
        <f t="shared" ca="1" si="5"/>
        <v>517.6726315789474</v>
      </c>
      <c r="I26" s="30">
        <f t="shared" ca="1" si="5"/>
        <v>295.18729323308162</v>
      </c>
      <c r="J26" s="30">
        <f t="shared" ca="1" si="5"/>
        <v>107.00609022556455</v>
      </c>
      <c r="K26" s="30">
        <f t="shared" ca="1" si="5"/>
        <v>48.757819548872249</v>
      </c>
      <c r="L26" s="30">
        <f t="shared" ca="1" si="5"/>
        <v>1.4321052631578368</v>
      </c>
      <c r="M26" s="30">
        <f t="shared" ca="1" si="5"/>
        <v>3.879398496240583</v>
      </c>
      <c r="N26" s="30">
        <f t="shared" ca="1" si="5"/>
        <v>76.417518796992226</v>
      </c>
      <c r="O26" s="30">
        <f t="shared" ca="1" si="5"/>
        <v>263.8387218045109</v>
      </c>
      <c r="P26" s="30">
        <f t="shared" ca="1" si="5"/>
        <v>421.30112781954904</v>
      </c>
      <c r="Q26" s="30">
        <f t="shared" ca="1" si="5"/>
        <v>690.11842105263145</v>
      </c>
    </row>
    <row r="27" spans="1:17">
      <c r="A27" s="1">
        <v>35096</v>
      </c>
      <c r="B27" s="2">
        <v>726.4000000000002</v>
      </c>
      <c r="C27" s="2">
        <v>0</v>
      </c>
      <c r="E27">
        <v>2019</v>
      </c>
      <c r="F27" s="30">
        <f t="shared" ca="1" si="4"/>
        <v>723.67421052631471</v>
      </c>
      <c r="G27" s="30">
        <f t="shared" ca="1" si="5"/>
        <v>650.85759398496157</v>
      </c>
      <c r="H27" s="30">
        <f t="shared" ca="1" si="5"/>
        <v>513.6031578947368</v>
      </c>
      <c r="I27" s="30">
        <f t="shared" ca="1" si="5"/>
        <v>291.5550375939838</v>
      </c>
      <c r="J27" s="30">
        <f t="shared" ca="1" si="5"/>
        <v>103.50616541353429</v>
      </c>
      <c r="K27" s="30">
        <f t="shared" ca="1" si="5"/>
        <v>49.307669172932492</v>
      </c>
      <c r="L27" s="30">
        <f t="shared" ca="1" si="5"/>
        <v>1.0205263157894251</v>
      </c>
      <c r="M27" s="30">
        <f t="shared" ca="1" si="5"/>
        <v>3.0955639097744552</v>
      </c>
      <c r="N27" s="30">
        <f t="shared" ca="1" si="5"/>
        <v>75.310451127819306</v>
      </c>
      <c r="O27" s="30">
        <f t="shared" ca="1" si="5"/>
        <v>262.70932330827054</v>
      </c>
      <c r="P27" s="30">
        <f t="shared" ca="1" si="5"/>
        <v>418.78706766917276</v>
      </c>
      <c r="Q27" s="30">
        <f t="shared" ca="1" si="5"/>
        <v>691.12210526315789</v>
      </c>
    </row>
    <row r="28" spans="1:17">
      <c r="A28" s="1">
        <v>35125</v>
      </c>
      <c r="B28" s="2">
        <v>648.89999999999986</v>
      </c>
      <c r="C28" s="2">
        <v>0</v>
      </c>
      <c r="E28">
        <v>2020</v>
      </c>
      <c r="F28" s="30">
        <f t="shared" ca="1" si="4"/>
        <v>718.79157894736818</v>
      </c>
      <c r="G28" s="30">
        <f t="shared" ca="1" si="5"/>
        <v>648.64195488721725</v>
      </c>
      <c r="H28" s="30">
        <f t="shared" ca="1" si="5"/>
        <v>509.53368421052619</v>
      </c>
      <c r="I28" s="30">
        <f t="shared" ca="1" si="5"/>
        <v>287.92278195488689</v>
      </c>
      <c r="J28" s="30">
        <f t="shared" ca="1" si="5"/>
        <v>100.00624060150403</v>
      </c>
      <c r="K28" s="30">
        <f t="shared" ca="1" si="5"/>
        <v>49.857518796992508</v>
      </c>
      <c r="L28" s="30">
        <f t="shared" ca="1" si="5"/>
        <v>0.60894736842101338</v>
      </c>
      <c r="M28" s="30">
        <f t="shared" ca="1" si="5"/>
        <v>2.3117293233083274</v>
      </c>
      <c r="N28" s="30">
        <f t="shared" ca="1" si="5"/>
        <v>74.203383458646385</v>
      </c>
      <c r="O28" s="30">
        <f t="shared" ca="1" si="5"/>
        <v>261.57992481202973</v>
      </c>
      <c r="P28" s="30">
        <f t="shared" ca="1" si="5"/>
        <v>416.27300751879648</v>
      </c>
      <c r="Q28" s="30">
        <f t="shared" ca="1" si="5"/>
        <v>692.12578947368411</v>
      </c>
    </row>
    <row r="29" spans="1:17">
      <c r="A29" s="1">
        <v>35156</v>
      </c>
      <c r="B29" s="2">
        <v>401.69999999999987</v>
      </c>
      <c r="C29" s="2">
        <v>0</v>
      </c>
      <c r="E29" s="12" t="s">
        <v>72</v>
      </c>
      <c r="F29">
        <f ca="1">AVERAGE(F12:F21)</f>
        <v>784.29</v>
      </c>
      <c r="G29" s="30">
        <f t="shared" ref="G29:Q29" ca="1" si="6">AVERAGE(G12:G21)</f>
        <v>682.50999999999988</v>
      </c>
      <c r="H29" s="30">
        <f t="shared" ca="1" si="6"/>
        <v>556.99</v>
      </c>
      <c r="I29" s="30">
        <f t="shared" ca="1" si="6"/>
        <v>326.58999999999997</v>
      </c>
      <c r="J29" s="30">
        <f t="shared" ca="1" si="6"/>
        <v>144.96</v>
      </c>
      <c r="K29" s="30">
        <f t="shared" ca="1" si="6"/>
        <v>41.510000000000005</v>
      </c>
      <c r="L29" s="30">
        <f t="shared" ca="1" si="6"/>
        <v>5.01</v>
      </c>
      <c r="M29" s="30">
        <f t="shared" ca="1" si="6"/>
        <v>12.719999999999999</v>
      </c>
      <c r="N29" s="30">
        <f t="shared" ca="1" si="6"/>
        <v>86.570000000000007</v>
      </c>
      <c r="O29" s="30">
        <f t="shared" ca="1" si="6"/>
        <v>270.3</v>
      </c>
      <c r="P29" s="30">
        <f t="shared" ca="1" si="6"/>
        <v>444.05</v>
      </c>
      <c r="Q29" s="30">
        <f t="shared" ca="1" si="6"/>
        <v>684.01</v>
      </c>
    </row>
    <row r="30" spans="1:17">
      <c r="A30" s="1">
        <v>35186</v>
      </c>
      <c r="B30" s="2">
        <v>211.79999999999995</v>
      </c>
      <c r="C30" s="2">
        <v>7.3</v>
      </c>
      <c r="E30" s="12" t="s">
        <v>73</v>
      </c>
      <c r="F30">
        <f ca="1">AVERAGE(F3:F22)</f>
        <v>791.58500000000015</v>
      </c>
      <c r="G30" s="30">
        <f t="shared" ref="G30:Q30" ca="1" si="7">AVERAGE(G3:G22)</f>
        <v>682.83999999999992</v>
      </c>
      <c r="H30" s="30">
        <f t="shared" ca="1" si="7"/>
        <v>582.13499999999999</v>
      </c>
      <c r="I30" s="30">
        <f t="shared" ca="1" si="7"/>
        <v>347.91999999999996</v>
      </c>
      <c r="J30" s="30">
        <f t="shared" ca="1" si="7"/>
        <v>153.59999999999997</v>
      </c>
      <c r="K30" s="30">
        <f t="shared" ca="1" si="7"/>
        <v>40.269999999999996</v>
      </c>
      <c r="L30" s="30">
        <f t="shared" ca="1" si="7"/>
        <v>7.76</v>
      </c>
      <c r="M30" s="30">
        <f t="shared" ca="1" si="7"/>
        <v>14.324999999999998</v>
      </c>
      <c r="N30" s="30">
        <f t="shared" ca="1" si="7"/>
        <v>91.53</v>
      </c>
      <c r="O30" s="30">
        <f t="shared" ca="1" si="7"/>
        <v>277.62499999999994</v>
      </c>
      <c r="P30" s="30">
        <f t="shared" ca="1" si="7"/>
        <v>461.33000000000004</v>
      </c>
      <c r="Q30" s="30">
        <f t="shared" ca="1" si="7"/>
        <v>674.12000000000012</v>
      </c>
    </row>
    <row r="31" spans="1:17">
      <c r="A31" s="1">
        <v>35217</v>
      </c>
      <c r="B31" s="2">
        <v>24.5</v>
      </c>
      <c r="C31" s="2">
        <v>35.000000000000007</v>
      </c>
    </row>
    <row r="32" spans="1:17">
      <c r="A32" s="1">
        <v>35247</v>
      </c>
      <c r="B32" s="2">
        <v>6.3000000000000007</v>
      </c>
      <c r="C32" s="2">
        <v>52</v>
      </c>
      <c r="E32" s="7" t="s">
        <v>10</v>
      </c>
      <c r="F32" s="17" t="s">
        <v>61</v>
      </c>
      <c r="G32" s="17" t="s">
        <v>62</v>
      </c>
      <c r="H32" s="17" t="s">
        <v>63</v>
      </c>
      <c r="I32" s="17" t="s">
        <v>64</v>
      </c>
      <c r="J32" s="17" t="s">
        <v>65</v>
      </c>
      <c r="K32" s="17" t="s">
        <v>66</v>
      </c>
      <c r="L32" s="17" t="s">
        <v>67</v>
      </c>
      <c r="M32" s="16" t="s">
        <v>74</v>
      </c>
      <c r="N32" s="16" t="s">
        <v>68</v>
      </c>
      <c r="O32" s="16" t="s">
        <v>69</v>
      </c>
      <c r="P32" s="16" t="s">
        <v>70</v>
      </c>
      <c r="Q32" s="16" t="s">
        <v>71</v>
      </c>
    </row>
    <row r="33" spans="1:17">
      <c r="A33" s="1">
        <v>35278</v>
      </c>
      <c r="B33" s="2">
        <v>11.100000000000001</v>
      </c>
      <c r="C33" s="2">
        <v>68.3</v>
      </c>
      <c r="E33">
        <v>1994</v>
      </c>
      <c r="F33">
        <f t="shared" ref="F33:F52" ca="1" si="8">OFFSET($C$2,(ROW()-33)*12+COLUMN()-6,0)</f>
        <v>0</v>
      </c>
      <c r="G33" s="30">
        <f t="shared" ref="G33:Q48" ca="1" si="9">OFFSET($C$2,(ROW()-33)*12+COLUMN()-6,0)</f>
        <v>0</v>
      </c>
      <c r="H33" s="30">
        <f t="shared" ca="1" si="9"/>
        <v>0</v>
      </c>
      <c r="I33" s="30">
        <f t="shared" ca="1" si="9"/>
        <v>0</v>
      </c>
      <c r="J33" s="30">
        <f t="shared" ca="1" si="9"/>
        <v>4.8</v>
      </c>
      <c r="K33" s="30">
        <f t="shared" ca="1" si="9"/>
        <v>59</v>
      </c>
      <c r="L33" s="30">
        <f t="shared" ca="1" si="9"/>
        <v>92.999999999999986</v>
      </c>
      <c r="M33" s="30">
        <f t="shared" ca="1" si="9"/>
        <v>39</v>
      </c>
      <c r="N33" s="30">
        <f t="shared" ca="1" si="9"/>
        <v>5.5</v>
      </c>
      <c r="O33" s="30">
        <f t="shared" ca="1" si="9"/>
        <v>0</v>
      </c>
      <c r="P33" s="30">
        <f t="shared" ca="1" si="9"/>
        <v>0</v>
      </c>
      <c r="Q33" s="30">
        <f t="shared" ca="1" si="9"/>
        <v>0</v>
      </c>
    </row>
    <row r="34" spans="1:17">
      <c r="A34" s="1">
        <v>35309</v>
      </c>
      <c r="B34" s="2">
        <v>89.5</v>
      </c>
      <c r="C34" s="2">
        <v>26.3</v>
      </c>
      <c r="E34">
        <v>1995</v>
      </c>
      <c r="F34" s="30">
        <f t="shared" ca="1" si="8"/>
        <v>0</v>
      </c>
      <c r="G34" s="30">
        <f t="shared" ca="1" si="9"/>
        <v>0</v>
      </c>
      <c r="H34" s="30">
        <f t="shared" ca="1" si="9"/>
        <v>0</v>
      </c>
      <c r="I34" s="30">
        <f t="shared" ca="1" si="9"/>
        <v>0</v>
      </c>
      <c r="J34" s="30">
        <f t="shared" ca="1" si="9"/>
        <v>0</v>
      </c>
      <c r="K34" s="30">
        <f t="shared" ca="1" si="9"/>
        <v>66.8</v>
      </c>
      <c r="L34" s="30">
        <f t="shared" ca="1" si="9"/>
        <v>105.69999999999999</v>
      </c>
      <c r="M34" s="30">
        <f t="shared" ca="1" si="9"/>
        <v>86.999999999999986</v>
      </c>
      <c r="N34" s="30">
        <f t="shared" ca="1" si="9"/>
        <v>6.5</v>
      </c>
      <c r="O34" s="30">
        <f t="shared" ca="1" si="9"/>
        <v>0.3</v>
      </c>
      <c r="P34" s="30">
        <f t="shared" ca="1" si="9"/>
        <v>0</v>
      </c>
      <c r="Q34" s="30">
        <f t="shared" ca="1" si="9"/>
        <v>0</v>
      </c>
    </row>
    <row r="35" spans="1:17">
      <c r="A35" s="1">
        <v>35339</v>
      </c>
      <c r="B35" s="2">
        <v>312.7</v>
      </c>
      <c r="C35" s="2">
        <v>0</v>
      </c>
      <c r="E35">
        <v>1996</v>
      </c>
      <c r="F35" s="30">
        <f t="shared" ca="1" si="8"/>
        <v>0</v>
      </c>
      <c r="G35" s="30">
        <f t="shared" ca="1" si="9"/>
        <v>0</v>
      </c>
      <c r="H35" s="30">
        <f t="shared" ca="1" si="9"/>
        <v>0</v>
      </c>
      <c r="I35" s="30">
        <f t="shared" ca="1" si="9"/>
        <v>0</v>
      </c>
      <c r="J35" s="30">
        <f t="shared" ca="1" si="9"/>
        <v>7.3</v>
      </c>
      <c r="K35" s="30">
        <f t="shared" ca="1" si="9"/>
        <v>35.000000000000007</v>
      </c>
      <c r="L35" s="30">
        <f t="shared" ca="1" si="9"/>
        <v>52</v>
      </c>
      <c r="M35" s="30">
        <f t="shared" ca="1" si="9"/>
        <v>68.3</v>
      </c>
      <c r="N35" s="30">
        <f t="shared" ca="1" si="9"/>
        <v>26.3</v>
      </c>
      <c r="O35" s="30">
        <f t="shared" ca="1" si="9"/>
        <v>0</v>
      </c>
      <c r="P35" s="30">
        <f t="shared" ca="1" si="9"/>
        <v>0</v>
      </c>
      <c r="Q35" s="30">
        <f t="shared" ca="1" si="9"/>
        <v>0</v>
      </c>
    </row>
    <row r="36" spans="1:17">
      <c r="A36" s="1">
        <v>35370</v>
      </c>
      <c r="B36" s="2">
        <v>563.5</v>
      </c>
      <c r="C36" s="2">
        <v>0</v>
      </c>
      <c r="E36">
        <v>1997</v>
      </c>
      <c r="F36" s="30">
        <f t="shared" ca="1" si="8"/>
        <v>0</v>
      </c>
      <c r="G36" s="30">
        <f t="shared" ca="1" si="9"/>
        <v>0</v>
      </c>
      <c r="H36" s="30">
        <f t="shared" ca="1" si="9"/>
        <v>0</v>
      </c>
      <c r="I36" s="30">
        <f t="shared" ca="1" si="9"/>
        <v>0</v>
      </c>
      <c r="J36" s="30">
        <f t="shared" ca="1" si="9"/>
        <v>0</v>
      </c>
      <c r="K36" s="30">
        <f t="shared" ca="1" si="9"/>
        <v>41.3</v>
      </c>
      <c r="L36" s="30">
        <f t="shared" ca="1" si="9"/>
        <v>75.999999999999986</v>
      </c>
      <c r="M36" s="30">
        <f t="shared" ca="1" si="9"/>
        <v>35.5</v>
      </c>
      <c r="N36" s="30">
        <f t="shared" ca="1" si="9"/>
        <v>1.8</v>
      </c>
      <c r="O36" s="30">
        <f t="shared" ca="1" si="9"/>
        <v>0</v>
      </c>
      <c r="P36" s="30">
        <f t="shared" ca="1" si="9"/>
        <v>0</v>
      </c>
      <c r="Q36" s="30">
        <f t="shared" ca="1" si="9"/>
        <v>0</v>
      </c>
    </row>
    <row r="37" spans="1:17">
      <c r="A37" s="1">
        <v>35400</v>
      </c>
      <c r="B37" s="2">
        <v>567.70000000000005</v>
      </c>
      <c r="C37" s="2">
        <v>0</v>
      </c>
      <c r="E37">
        <v>1998</v>
      </c>
      <c r="F37" s="30">
        <f t="shared" ca="1" si="8"/>
        <v>0</v>
      </c>
      <c r="G37" s="30">
        <f t="shared" ca="1" si="9"/>
        <v>0</v>
      </c>
      <c r="H37" s="30">
        <f t="shared" ca="1" si="9"/>
        <v>0</v>
      </c>
      <c r="I37" s="30">
        <f t="shared" ca="1" si="9"/>
        <v>0</v>
      </c>
      <c r="J37" s="30">
        <f t="shared" ca="1" si="9"/>
        <v>10.399999999999999</v>
      </c>
      <c r="K37" s="30">
        <f t="shared" ca="1" si="9"/>
        <v>53.199999999999996</v>
      </c>
      <c r="L37" s="30">
        <f t="shared" ca="1" si="9"/>
        <v>55.999999999999986</v>
      </c>
      <c r="M37" s="30">
        <f t="shared" ca="1" si="9"/>
        <v>59.899999999999991</v>
      </c>
      <c r="N37" s="30">
        <f t="shared" ca="1" si="9"/>
        <v>11.8</v>
      </c>
      <c r="O37" s="30">
        <f t="shared" ca="1" si="9"/>
        <v>0</v>
      </c>
      <c r="P37" s="30">
        <f t="shared" ca="1" si="9"/>
        <v>0</v>
      </c>
      <c r="Q37" s="30">
        <f t="shared" ca="1" si="9"/>
        <v>0</v>
      </c>
    </row>
    <row r="38" spans="1:17">
      <c r="A38" s="1">
        <v>35431</v>
      </c>
      <c r="B38" s="2">
        <v>839.99999999999977</v>
      </c>
      <c r="C38" s="2">
        <v>0</v>
      </c>
      <c r="E38">
        <v>1999</v>
      </c>
      <c r="F38" s="30">
        <f t="shared" ca="1" si="8"/>
        <v>0</v>
      </c>
      <c r="G38" s="30">
        <f t="shared" ca="1" si="9"/>
        <v>0</v>
      </c>
      <c r="H38" s="30">
        <f t="shared" ca="1" si="9"/>
        <v>0</v>
      </c>
      <c r="I38" s="30">
        <f t="shared" ca="1" si="9"/>
        <v>0</v>
      </c>
      <c r="J38" s="30">
        <f t="shared" ca="1" si="9"/>
        <v>10.199999999999999</v>
      </c>
      <c r="K38" s="30">
        <f t="shared" ca="1" si="9"/>
        <v>73.099999999999994</v>
      </c>
      <c r="L38" s="30">
        <f t="shared" ca="1" si="9"/>
        <v>133.09999999999997</v>
      </c>
      <c r="M38" s="30">
        <f t="shared" ca="1" si="9"/>
        <v>44.9</v>
      </c>
      <c r="N38" s="30">
        <f t="shared" ca="1" si="9"/>
        <v>49.999999999999993</v>
      </c>
      <c r="O38" s="30">
        <f t="shared" ca="1" si="9"/>
        <v>0</v>
      </c>
      <c r="P38" s="30">
        <f t="shared" ca="1" si="9"/>
        <v>0</v>
      </c>
      <c r="Q38" s="30">
        <f t="shared" ca="1" si="9"/>
        <v>0</v>
      </c>
    </row>
    <row r="39" spans="1:17">
      <c r="A39" s="1">
        <v>35462</v>
      </c>
      <c r="B39" s="2">
        <v>651.79999999999995</v>
      </c>
      <c r="C39" s="2">
        <v>0</v>
      </c>
      <c r="E39">
        <v>2000</v>
      </c>
      <c r="F39" s="30">
        <f t="shared" ca="1" si="8"/>
        <v>0</v>
      </c>
      <c r="G39" s="30">
        <f t="shared" ca="1" si="9"/>
        <v>0</v>
      </c>
      <c r="H39" s="30">
        <f t="shared" ca="1" si="9"/>
        <v>0</v>
      </c>
      <c r="I39" s="30">
        <f t="shared" ca="1" si="9"/>
        <v>0</v>
      </c>
      <c r="J39" s="30">
        <f t="shared" ca="1" si="9"/>
        <v>11.100000000000001</v>
      </c>
      <c r="K39" s="30">
        <f t="shared" ca="1" si="9"/>
        <v>17.399999999999999</v>
      </c>
      <c r="L39" s="30">
        <f t="shared" ca="1" si="9"/>
        <v>37.299999999999997</v>
      </c>
      <c r="M39" s="30">
        <f t="shared" ca="1" si="9"/>
        <v>49.899999999999991</v>
      </c>
      <c r="N39" s="30">
        <f t="shared" ca="1" si="9"/>
        <v>16.600000000000001</v>
      </c>
      <c r="O39" s="30">
        <f t="shared" ca="1" si="9"/>
        <v>0</v>
      </c>
      <c r="P39" s="30">
        <f t="shared" ca="1" si="9"/>
        <v>0</v>
      </c>
      <c r="Q39" s="30">
        <f t="shared" ca="1" si="9"/>
        <v>0</v>
      </c>
    </row>
    <row r="40" spans="1:17">
      <c r="A40" s="1">
        <v>35490</v>
      </c>
      <c r="B40" s="2">
        <v>666.60000000000014</v>
      </c>
      <c r="C40" s="2">
        <v>0</v>
      </c>
      <c r="E40">
        <v>2001</v>
      </c>
      <c r="F40" s="30">
        <f t="shared" ca="1" si="8"/>
        <v>0</v>
      </c>
      <c r="G40" s="30">
        <f t="shared" ca="1" si="9"/>
        <v>0</v>
      </c>
      <c r="H40" s="30">
        <f t="shared" ca="1" si="9"/>
        <v>0</v>
      </c>
      <c r="I40" s="30">
        <f t="shared" ca="1" si="9"/>
        <v>0</v>
      </c>
      <c r="J40" s="30">
        <f t="shared" ca="1" si="9"/>
        <v>6.8</v>
      </c>
      <c r="K40" s="30">
        <f t="shared" ca="1" si="9"/>
        <v>51.699999999999996</v>
      </c>
      <c r="L40" s="30">
        <f t="shared" ca="1" si="9"/>
        <v>76.900000000000006</v>
      </c>
      <c r="M40" s="30">
        <f t="shared" ca="1" si="9"/>
        <v>127.09999999999998</v>
      </c>
      <c r="N40" s="30">
        <f t="shared" ca="1" si="9"/>
        <v>23.6</v>
      </c>
      <c r="O40" s="30">
        <f t="shared" ca="1" si="9"/>
        <v>0</v>
      </c>
      <c r="P40" s="30">
        <f t="shared" ca="1" si="9"/>
        <v>0</v>
      </c>
      <c r="Q40" s="30">
        <f t="shared" ca="1" si="9"/>
        <v>0</v>
      </c>
    </row>
    <row r="41" spans="1:17">
      <c r="A41" s="1">
        <v>35521</v>
      </c>
      <c r="B41" s="2">
        <v>399.09999999999991</v>
      </c>
      <c r="C41" s="2">
        <v>0</v>
      </c>
      <c r="E41">
        <v>2002</v>
      </c>
      <c r="F41" s="30">
        <f t="shared" ca="1" si="8"/>
        <v>0</v>
      </c>
      <c r="G41" s="30">
        <f t="shared" ca="1" si="9"/>
        <v>0</v>
      </c>
      <c r="H41" s="30">
        <f t="shared" ca="1" si="9"/>
        <v>0</v>
      </c>
      <c r="I41" s="30">
        <f t="shared" ca="1" si="9"/>
        <v>7.8999999999999995</v>
      </c>
      <c r="J41" s="30">
        <f t="shared" ca="1" si="9"/>
        <v>5.6</v>
      </c>
      <c r="K41" s="30">
        <f t="shared" ca="1" si="9"/>
        <v>47</v>
      </c>
      <c r="L41" s="30">
        <f t="shared" ca="1" si="9"/>
        <v>132.09999999999997</v>
      </c>
      <c r="M41" s="30">
        <f t="shared" ca="1" si="9"/>
        <v>104.1</v>
      </c>
      <c r="N41" s="30">
        <f t="shared" ca="1" si="9"/>
        <v>52.599999999999994</v>
      </c>
      <c r="O41" s="30">
        <f t="shared" ca="1" si="9"/>
        <v>5.6</v>
      </c>
      <c r="P41" s="30">
        <f t="shared" ca="1" si="9"/>
        <v>0</v>
      </c>
      <c r="Q41" s="30">
        <f t="shared" ca="1" si="9"/>
        <v>0</v>
      </c>
    </row>
    <row r="42" spans="1:17">
      <c r="A42" s="1">
        <v>35551</v>
      </c>
      <c r="B42" s="2">
        <v>265.7999999999999</v>
      </c>
      <c r="C42" s="2">
        <v>0</v>
      </c>
      <c r="E42">
        <v>2003</v>
      </c>
      <c r="F42" s="30">
        <f t="shared" ca="1" si="8"/>
        <v>0</v>
      </c>
      <c r="G42" s="30">
        <f t="shared" ca="1" si="9"/>
        <v>0</v>
      </c>
      <c r="H42" s="30">
        <f t="shared" ca="1" si="9"/>
        <v>0</v>
      </c>
      <c r="I42" s="30">
        <f t="shared" ca="1" si="9"/>
        <v>0</v>
      </c>
      <c r="J42" s="30">
        <f t="shared" ca="1" si="9"/>
        <v>0</v>
      </c>
      <c r="K42" s="30">
        <f t="shared" ca="1" si="9"/>
        <v>39</v>
      </c>
      <c r="L42" s="30">
        <f t="shared" ca="1" si="9"/>
        <v>84.2</v>
      </c>
      <c r="M42" s="30">
        <f t="shared" ca="1" si="9"/>
        <v>103.7</v>
      </c>
      <c r="N42" s="30">
        <f t="shared" ca="1" si="9"/>
        <v>23.6</v>
      </c>
      <c r="O42" s="30">
        <f t="shared" ca="1" si="9"/>
        <v>0</v>
      </c>
      <c r="P42" s="30">
        <f t="shared" ca="1" si="9"/>
        <v>0</v>
      </c>
      <c r="Q42" s="30">
        <f t="shared" ca="1" si="9"/>
        <v>0</v>
      </c>
    </row>
    <row r="43" spans="1:17">
      <c r="A43" s="1">
        <v>35582</v>
      </c>
      <c r="B43" s="2">
        <v>23.2</v>
      </c>
      <c r="C43" s="2">
        <v>41.3</v>
      </c>
      <c r="E43">
        <v>2004</v>
      </c>
      <c r="F43" s="30">
        <f t="shared" ca="1" si="8"/>
        <v>0</v>
      </c>
      <c r="G43" s="30">
        <f t="shared" ca="1" si="9"/>
        <v>0</v>
      </c>
      <c r="H43" s="30">
        <f t="shared" ca="1" si="9"/>
        <v>0</v>
      </c>
      <c r="I43" s="30">
        <f t="shared" ca="1" si="9"/>
        <v>0</v>
      </c>
      <c r="J43" s="30">
        <f t="shared" ca="1" si="9"/>
        <v>8.3000000000000007</v>
      </c>
      <c r="K43" s="30">
        <f t="shared" ca="1" si="9"/>
        <v>19.100000000000001</v>
      </c>
      <c r="L43" s="30">
        <f t="shared" ca="1" si="9"/>
        <v>62.6</v>
      </c>
      <c r="M43" s="30">
        <f t="shared" ca="1" si="9"/>
        <v>45.9</v>
      </c>
      <c r="N43" s="30">
        <f t="shared" ca="1" si="9"/>
        <v>15.5</v>
      </c>
      <c r="O43" s="30">
        <f t="shared" ca="1" si="9"/>
        <v>0</v>
      </c>
      <c r="P43" s="30">
        <f t="shared" ca="1" si="9"/>
        <v>0</v>
      </c>
      <c r="Q43" s="30">
        <f t="shared" ca="1" si="9"/>
        <v>0</v>
      </c>
    </row>
    <row r="44" spans="1:17">
      <c r="A44" s="1">
        <v>35612</v>
      </c>
      <c r="B44" s="2">
        <v>20.2</v>
      </c>
      <c r="C44" s="2">
        <v>75.999999999999986</v>
      </c>
      <c r="E44">
        <v>2005</v>
      </c>
      <c r="F44" s="30">
        <f t="shared" ca="1" si="8"/>
        <v>0</v>
      </c>
      <c r="G44" s="30">
        <f t="shared" ca="1" si="9"/>
        <v>0</v>
      </c>
      <c r="H44" s="30">
        <f t="shared" ca="1" si="9"/>
        <v>0</v>
      </c>
      <c r="I44" s="30">
        <f t="shared" ca="1" si="9"/>
        <v>0</v>
      </c>
      <c r="J44" s="30">
        <f t="shared" ca="1" si="9"/>
        <v>0.5</v>
      </c>
      <c r="K44" s="30">
        <f t="shared" ca="1" si="9"/>
        <v>98.8</v>
      </c>
      <c r="L44" s="30">
        <f t="shared" ca="1" si="9"/>
        <v>141.69999999999999</v>
      </c>
      <c r="M44" s="30">
        <f t="shared" ca="1" si="9"/>
        <v>112.6</v>
      </c>
      <c r="N44" s="30">
        <f t="shared" ca="1" si="9"/>
        <v>27.1</v>
      </c>
      <c r="O44" s="30">
        <f t="shared" ca="1" si="9"/>
        <v>3.3</v>
      </c>
      <c r="P44" s="30">
        <f t="shared" ca="1" si="9"/>
        <v>0</v>
      </c>
      <c r="Q44" s="30">
        <f t="shared" ca="1" si="9"/>
        <v>0</v>
      </c>
    </row>
    <row r="45" spans="1:17">
      <c r="A45" s="1">
        <v>35643</v>
      </c>
      <c r="B45" s="2">
        <v>31.099999999999998</v>
      </c>
      <c r="C45" s="2">
        <v>35.5</v>
      </c>
      <c r="E45">
        <v>2006</v>
      </c>
      <c r="F45" s="30">
        <f t="shared" ca="1" si="8"/>
        <v>0</v>
      </c>
      <c r="G45" s="30">
        <f t="shared" ca="1" si="9"/>
        <v>0</v>
      </c>
      <c r="H45" s="30">
        <f t="shared" ca="1" si="9"/>
        <v>0</v>
      </c>
      <c r="I45" s="30">
        <f t="shared" ca="1" si="9"/>
        <v>0</v>
      </c>
      <c r="J45" s="30">
        <f t="shared" ca="1" si="9"/>
        <v>15.9</v>
      </c>
      <c r="K45" s="30">
        <f t="shared" ca="1" si="9"/>
        <v>36.299999999999997</v>
      </c>
      <c r="L45" s="30">
        <f t="shared" ca="1" si="9"/>
        <v>115</v>
      </c>
      <c r="M45" s="30">
        <f t="shared" ca="1" si="9"/>
        <v>79.8</v>
      </c>
      <c r="N45" s="30">
        <f t="shared" ca="1" si="9"/>
        <v>4.5999999999999996</v>
      </c>
      <c r="O45" s="30">
        <f t="shared" ca="1" si="9"/>
        <v>0</v>
      </c>
      <c r="P45" s="30">
        <f t="shared" ca="1" si="9"/>
        <v>0</v>
      </c>
      <c r="Q45" s="30">
        <f t="shared" ca="1" si="9"/>
        <v>0</v>
      </c>
    </row>
    <row r="46" spans="1:17">
      <c r="A46" s="1">
        <v>35674</v>
      </c>
      <c r="B46" s="2">
        <v>130.90000000000003</v>
      </c>
      <c r="C46" s="2">
        <v>1.8</v>
      </c>
      <c r="E46">
        <v>2007</v>
      </c>
      <c r="F46" s="30">
        <f t="shared" ca="1" si="8"/>
        <v>0</v>
      </c>
      <c r="G46" s="30">
        <f t="shared" ca="1" si="9"/>
        <v>0</v>
      </c>
      <c r="H46" s="30">
        <f t="shared" ca="1" si="9"/>
        <v>0</v>
      </c>
      <c r="I46" s="30">
        <f t="shared" ca="1" si="9"/>
        <v>0</v>
      </c>
      <c r="J46" s="30">
        <f t="shared" ca="1" si="9"/>
        <v>9.5</v>
      </c>
      <c r="K46" s="30">
        <f t="shared" ca="1" si="9"/>
        <v>69.7</v>
      </c>
      <c r="L46" s="30">
        <f t="shared" ca="1" si="9"/>
        <v>62.7</v>
      </c>
      <c r="M46" s="30">
        <f t="shared" ca="1" si="9"/>
        <v>100.4</v>
      </c>
      <c r="N46" s="30">
        <f t="shared" ca="1" si="9"/>
        <v>32.200000000000003</v>
      </c>
      <c r="O46" s="30">
        <f t="shared" ca="1" si="9"/>
        <v>6.8</v>
      </c>
      <c r="P46" s="30">
        <f t="shared" ca="1" si="9"/>
        <v>0</v>
      </c>
      <c r="Q46" s="30">
        <f t="shared" ca="1" si="9"/>
        <v>0</v>
      </c>
    </row>
    <row r="47" spans="1:17">
      <c r="A47" s="1">
        <v>35704</v>
      </c>
      <c r="B47" s="2">
        <v>324.49999999999994</v>
      </c>
      <c r="C47" s="2">
        <v>0</v>
      </c>
      <c r="E47">
        <v>2008</v>
      </c>
      <c r="F47" s="30">
        <f t="shared" ca="1" si="8"/>
        <v>0</v>
      </c>
      <c r="G47" s="30">
        <f t="shared" ca="1" si="9"/>
        <v>0</v>
      </c>
      <c r="H47" s="30">
        <f t="shared" ca="1" si="9"/>
        <v>0</v>
      </c>
      <c r="I47" s="30">
        <f t="shared" ca="1" si="9"/>
        <v>1</v>
      </c>
      <c r="J47" s="30">
        <f t="shared" ca="1" si="9"/>
        <v>0</v>
      </c>
      <c r="K47" s="30">
        <f t="shared" ca="1" si="9"/>
        <v>56.5</v>
      </c>
      <c r="L47" s="30">
        <f t="shared" ca="1" si="9"/>
        <v>75.599999999999994</v>
      </c>
      <c r="M47" s="30">
        <f t="shared" ca="1" si="9"/>
        <v>47.8</v>
      </c>
      <c r="N47" s="30">
        <f t="shared" ca="1" si="9"/>
        <v>24.4</v>
      </c>
      <c r="O47" s="30">
        <f t="shared" ca="1" si="9"/>
        <v>0</v>
      </c>
      <c r="P47" s="30">
        <f t="shared" ca="1" si="9"/>
        <v>0</v>
      </c>
      <c r="Q47" s="30">
        <f t="shared" ca="1" si="9"/>
        <v>0</v>
      </c>
    </row>
    <row r="48" spans="1:17">
      <c r="A48" s="1">
        <v>35735</v>
      </c>
      <c r="B48" s="2">
        <v>523.29999999999995</v>
      </c>
      <c r="C48" s="2">
        <v>0</v>
      </c>
      <c r="E48">
        <v>2009</v>
      </c>
      <c r="F48" s="30">
        <f t="shared" ca="1" si="8"/>
        <v>0</v>
      </c>
      <c r="G48" s="30">
        <f t="shared" ca="1" si="9"/>
        <v>0</v>
      </c>
      <c r="H48" s="30">
        <f t="shared" ca="1" si="9"/>
        <v>0</v>
      </c>
      <c r="I48" s="30">
        <f t="shared" ca="1" si="9"/>
        <v>0.8</v>
      </c>
      <c r="J48" s="30">
        <f t="shared" ca="1" si="9"/>
        <v>0</v>
      </c>
      <c r="K48" s="30">
        <f t="shared" ca="1" si="9"/>
        <v>32.6</v>
      </c>
      <c r="L48" s="30">
        <f t="shared" ca="1" si="9"/>
        <v>35.6</v>
      </c>
      <c r="M48" s="30">
        <f t="shared" ca="1" si="9"/>
        <v>85.2</v>
      </c>
      <c r="N48" s="30">
        <f t="shared" ca="1" si="9"/>
        <v>4.5999999999999996</v>
      </c>
      <c r="O48" s="30">
        <f t="shared" ca="1" si="9"/>
        <v>0</v>
      </c>
      <c r="P48" s="30">
        <f t="shared" ca="1" si="9"/>
        <v>0</v>
      </c>
      <c r="Q48" s="30">
        <f t="shared" ca="1" si="9"/>
        <v>0</v>
      </c>
    </row>
    <row r="49" spans="1:17">
      <c r="A49" s="1">
        <v>35765</v>
      </c>
      <c r="B49" s="2">
        <v>678.69999999999993</v>
      </c>
      <c r="C49" s="2">
        <v>0</v>
      </c>
      <c r="E49">
        <v>2010</v>
      </c>
      <c r="F49" s="30">
        <f t="shared" ca="1" si="8"/>
        <v>0</v>
      </c>
      <c r="G49" s="30">
        <f t="shared" ref="G49:Q53" ca="1" si="10">OFFSET($C$2,(ROW()-33)*12+COLUMN()-6,0)</f>
        <v>0</v>
      </c>
      <c r="H49" s="30">
        <f t="shared" ca="1" si="10"/>
        <v>0</v>
      </c>
      <c r="I49" s="30">
        <f t="shared" ca="1" si="10"/>
        <v>1.3</v>
      </c>
      <c r="J49" s="30">
        <f t="shared" ca="1" si="10"/>
        <v>26.100000000000005</v>
      </c>
      <c r="K49" s="30">
        <f t="shared" ca="1" si="10"/>
        <v>33.700000000000003</v>
      </c>
      <c r="L49" s="30">
        <f t="shared" ca="1" si="10"/>
        <v>139.79999999999995</v>
      </c>
      <c r="M49" s="30">
        <f t="shared" ca="1" si="10"/>
        <v>90.299999999999969</v>
      </c>
      <c r="N49" s="30">
        <f t="shared" ca="1" si="10"/>
        <v>29.400000000000002</v>
      </c>
      <c r="O49" s="30">
        <f t="shared" ca="1" si="10"/>
        <v>0</v>
      </c>
      <c r="P49" s="30">
        <f t="shared" ca="1" si="10"/>
        <v>0</v>
      </c>
      <c r="Q49" s="30">
        <f t="shared" ca="1" si="10"/>
        <v>0</v>
      </c>
    </row>
    <row r="50" spans="1:17">
      <c r="A50" s="1">
        <v>35796</v>
      </c>
      <c r="B50" s="2">
        <v>768.89999999999986</v>
      </c>
      <c r="C50" s="2">
        <v>0</v>
      </c>
      <c r="E50">
        <v>2011</v>
      </c>
      <c r="F50" s="30">
        <f t="shared" ca="1" si="8"/>
        <v>0</v>
      </c>
      <c r="G50" s="30">
        <f t="shared" ca="1" si="10"/>
        <v>0</v>
      </c>
      <c r="H50" s="30">
        <f t="shared" ca="1" si="10"/>
        <v>0</v>
      </c>
      <c r="I50" s="30">
        <f t="shared" ca="1" si="10"/>
        <v>0</v>
      </c>
      <c r="J50" s="30">
        <f t="shared" ca="1" si="10"/>
        <v>0</v>
      </c>
      <c r="K50" s="30">
        <f t="shared" ca="1" si="10"/>
        <v>24.9</v>
      </c>
      <c r="L50" s="30">
        <f t="shared" ca="1" si="10"/>
        <v>118.3</v>
      </c>
      <c r="M50" s="30">
        <f t="shared" ca="1" si="10"/>
        <v>68.2</v>
      </c>
      <c r="N50" s="30">
        <f t="shared" ca="1" si="10"/>
        <v>24.500000000000004</v>
      </c>
      <c r="O50" s="30">
        <f t="shared" ca="1" si="10"/>
        <v>0.5</v>
      </c>
      <c r="P50" s="30">
        <f t="shared" ca="1" si="10"/>
        <v>0</v>
      </c>
      <c r="Q50" s="30">
        <f t="shared" ca="1" si="10"/>
        <v>0</v>
      </c>
    </row>
    <row r="51" spans="1:17">
      <c r="A51" s="1">
        <v>35827</v>
      </c>
      <c r="B51" s="2">
        <v>590.80000000000007</v>
      </c>
      <c r="C51" s="2">
        <v>0</v>
      </c>
      <c r="E51">
        <v>2012</v>
      </c>
      <c r="F51" s="30">
        <f t="shared" ca="1" si="8"/>
        <v>0</v>
      </c>
      <c r="G51" s="30">
        <f t="shared" ca="1" si="10"/>
        <v>0</v>
      </c>
      <c r="H51" s="30">
        <f t="shared" ca="1" si="10"/>
        <v>0</v>
      </c>
      <c r="I51" s="30">
        <f t="shared" ca="1" si="10"/>
        <v>0.8</v>
      </c>
      <c r="J51" s="30">
        <f t="shared" ca="1" si="10"/>
        <v>20.100000000000001</v>
      </c>
      <c r="K51" s="30">
        <f t="shared" ca="1" si="10"/>
        <v>51.8</v>
      </c>
      <c r="L51" s="30">
        <f t="shared" ca="1" si="10"/>
        <v>120.69999999999996</v>
      </c>
      <c r="M51" s="30">
        <f t="shared" ca="1" si="10"/>
        <v>84.899999999999977</v>
      </c>
      <c r="N51" s="30">
        <f t="shared" ca="1" si="10"/>
        <v>20.200000000000003</v>
      </c>
      <c r="O51" s="30">
        <f t="shared" ca="1" si="10"/>
        <v>0</v>
      </c>
      <c r="P51" s="30">
        <f t="shared" ca="1" si="10"/>
        <v>0</v>
      </c>
      <c r="Q51" s="30">
        <f t="shared" ca="1" si="10"/>
        <v>0</v>
      </c>
    </row>
    <row r="52" spans="1:17">
      <c r="A52" s="1">
        <v>35855</v>
      </c>
      <c r="B52" s="2">
        <v>565.70000000000016</v>
      </c>
      <c r="C52" s="2">
        <v>0</v>
      </c>
      <c r="E52">
        <v>2013</v>
      </c>
      <c r="F52" s="30">
        <f t="shared" ca="1" si="8"/>
        <v>0</v>
      </c>
      <c r="G52" s="30">
        <f t="shared" ca="1" si="10"/>
        <v>0</v>
      </c>
      <c r="H52" s="30">
        <f t="shared" ca="1" si="10"/>
        <v>0</v>
      </c>
      <c r="I52" s="30">
        <f t="shared" ca="1" si="10"/>
        <v>0</v>
      </c>
      <c r="J52" s="30">
        <f t="shared" ca="1" si="10"/>
        <v>6.3</v>
      </c>
      <c r="K52" s="30">
        <f t="shared" ca="1" si="10"/>
        <v>20.700000000000003</v>
      </c>
      <c r="L52" s="30">
        <f t="shared" ca="1" si="10"/>
        <v>97.09999999999998</v>
      </c>
      <c r="M52" s="30">
        <f t="shared" ca="1" si="10"/>
        <v>57.199999999999989</v>
      </c>
      <c r="N52" s="30">
        <f t="shared" ca="1" si="10"/>
        <v>16.5</v>
      </c>
      <c r="O52" s="30">
        <f t="shared" ca="1" si="10"/>
        <v>1.5</v>
      </c>
      <c r="P52" s="30">
        <f t="shared" ca="1" si="10"/>
        <v>0</v>
      </c>
      <c r="Q52" s="30">
        <f t="shared" ca="1" si="10"/>
        <v>0</v>
      </c>
    </row>
    <row r="53" spans="1:17">
      <c r="A53" s="1">
        <v>35886</v>
      </c>
      <c r="B53" s="2">
        <v>316.2999999999999</v>
      </c>
      <c r="C53" s="2">
        <v>0</v>
      </c>
      <c r="E53">
        <v>2014</v>
      </c>
      <c r="F53">
        <f ca="1">MAX(TREND(F$33:F$52,$E$33:$E$52,$E53),0)</f>
        <v>0</v>
      </c>
      <c r="G53" s="30">
        <f ca="1">MAX(TREND(G$33:G$52,$E$33:$E$52,$E53),0)</f>
        <v>0</v>
      </c>
      <c r="H53" s="30">
        <f t="shared" ref="H53:Q59" ca="1" si="11">MAX(TREND(H$33:H$52,$E$33:$E$52,$E53),0)</f>
        <v>0</v>
      </c>
      <c r="I53" s="30">
        <f t="shared" ca="1" si="10"/>
        <v>0</v>
      </c>
      <c r="J53" s="30">
        <f t="shared" ca="1" si="10"/>
        <v>12.4</v>
      </c>
      <c r="K53" s="30">
        <f t="shared" ca="1" si="10"/>
        <v>47.4</v>
      </c>
      <c r="L53" s="30">
        <f t="shared" ca="1" si="10"/>
        <v>55.9</v>
      </c>
      <c r="M53" s="30">
        <f t="shared" ca="1" si="10"/>
        <v>52</v>
      </c>
      <c r="N53" s="30">
        <f t="shared" ca="1" si="10"/>
        <v>25.4</v>
      </c>
      <c r="O53" s="30">
        <f t="shared" ca="1" si="10"/>
        <v>1.8</v>
      </c>
      <c r="P53" s="30">
        <f t="shared" ca="1" si="10"/>
        <v>0</v>
      </c>
      <c r="Q53" s="30">
        <f t="shared" ca="1" si="10"/>
        <v>0</v>
      </c>
    </row>
    <row r="54" spans="1:17">
      <c r="A54" s="1">
        <v>35916</v>
      </c>
      <c r="B54" s="2">
        <v>77.600000000000023</v>
      </c>
      <c r="C54" s="2">
        <v>10.399999999999999</v>
      </c>
      <c r="E54">
        <v>2015</v>
      </c>
      <c r="F54" s="30">
        <f t="shared" ref="F54:G59" ca="1" si="12">MAX(TREND(F$33:F$52,$E$33:$E$52,$E54),0)</f>
        <v>0</v>
      </c>
      <c r="G54" s="30">
        <f t="shared" ca="1" si="12"/>
        <v>0</v>
      </c>
      <c r="H54" s="30">
        <f t="shared" ca="1" si="11"/>
        <v>0</v>
      </c>
      <c r="I54" s="30">
        <f t="shared" ca="1" si="11"/>
        <v>0.80270676691729648</v>
      </c>
      <c r="J54" s="30">
        <f t="shared" ca="1" si="11"/>
        <v>10.786090225563953</v>
      </c>
      <c r="K54" s="30">
        <f t="shared" ca="1" si="11"/>
        <v>36.138947368420986</v>
      </c>
      <c r="L54" s="30">
        <f t="shared" ca="1" si="11"/>
        <v>106.25090225563918</v>
      </c>
      <c r="M54" s="30">
        <f t="shared" ca="1" si="11"/>
        <v>86.77759398496255</v>
      </c>
      <c r="N54" s="30">
        <f t="shared" ca="1" si="11"/>
        <v>24.269172932330889</v>
      </c>
      <c r="O54" s="30">
        <f t="shared" ca="1" si="11"/>
        <v>1.5190977443609057</v>
      </c>
      <c r="P54" s="30">
        <f t="shared" ca="1" si="11"/>
        <v>0</v>
      </c>
      <c r="Q54" s="30">
        <f t="shared" ca="1" si="11"/>
        <v>0</v>
      </c>
    </row>
    <row r="55" spans="1:17">
      <c r="A55" s="1">
        <v>35947</v>
      </c>
      <c r="B55" s="2">
        <v>63.600000000000009</v>
      </c>
      <c r="C55" s="2">
        <v>53.199999999999996</v>
      </c>
      <c r="E55">
        <v>2016</v>
      </c>
      <c r="F55" s="30">
        <f t="shared" ca="1" si="12"/>
        <v>0</v>
      </c>
      <c r="G55" s="30">
        <f t="shared" ca="1" si="12"/>
        <v>0</v>
      </c>
      <c r="H55" s="30">
        <f t="shared" ca="1" si="11"/>
        <v>0</v>
      </c>
      <c r="I55" s="30">
        <f t="shared" ca="1" si="11"/>
        <v>0.82120300751880393</v>
      </c>
      <c r="J55" s="30">
        <f t="shared" ca="1" si="11"/>
        <v>11.102706766917322</v>
      </c>
      <c r="K55" s="30">
        <f t="shared" ca="1" si="11"/>
        <v>35.248421052631556</v>
      </c>
      <c r="L55" s="30">
        <f t="shared" ca="1" si="11"/>
        <v>107.5970676691727</v>
      </c>
      <c r="M55" s="30">
        <f t="shared" ca="1" si="11"/>
        <v>87.837819548872631</v>
      </c>
      <c r="N55" s="30">
        <f t="shared" ca="1" si="11"/>
        <v>24.565187969924864</v>
      </c>
      <c r="O55" s="30">
        <f t="shared" ca="1" si="11"/>
        <v>1.5729323308270722</v>
      </c>
      <c r="P55" s="30">
        <f t="shared" ca="1" si="11"/>
        <v>0</v>
      </c>
      <c r="Q55" s="30">
        <f t="shared" ca="1" si="11"/>
        <v>0</v>
      </c>
    </row>
    <row r="56" spans="1:17">
      <c r="A56" s="1">
        <v>35977</v>
      </c>
      <c r="B56" s="2">
        <v>13.499999999999998</v>
      </c>
      <c r="C56" s="2">
        <v>55.999999999999986</v>
      </c>
      <c r="E56">
        <v>2017</v>
      </c>
      <c r="F56" s="30">
        <f t="shared" ca="1" si="12"/>
        <v>0</v>
      </c>
      <c r="G56" s="30">
        <f t="shared" ca="1" si="12"/>
        <v>0</v>
      </c>
      <c r="H56" s="30">
        <f t="shared" ca="1" si="11"/>
        <v>0</v>
      </c>
      <c r="I56" s="30">
        <f t="shared" ca="1" si="11"/>
        <v>0.83969924812030428</v>
      </c>
      <c r="J56" s="30">
        <f t="shared" ca="1" si="11"/>
        <v>11.419323308270691</v>
      </c>
      <c r="K56" s="30">
        <f t="shared" ca="1" si="11"/>
        <v>34.357894736842127</v>
      </c>
      <c r="L56" s="30">
        <f t="shared" ca="1" si="11"/>
        <v>108.94323308270668</v>
      </c>
      <c r="M56" s="30">
        <f t="shared" ca="1" si="11"/>
        <v>88.898045112782256</v>
      </c>
      <c r="N56" s="30">
        <f t="shared" ca="1" si="11"/>
        <v>24.861203007518839</v>
      </c>
      <c r="O56" s="30">
        <f t="shared" ca="1" si="11"/>
        <v>1.6267669172932386</v>
      </c>
      <c r="P56" s="30">
        <f t="shared" ca="1" si="11"/>
        <v>0</v>
      </c>
      <c r="Q56" s="30">
        <f t="shared" ca="1" si="11"/>
        <v>0</v>
      </c>
    </row>
    <row r="57" spans="1:17">
      <c r="A57" s="1">
        <v>36008</v>
      </c>
      <c r="B57" s="2">
        <v>15.100000000000001</v>
      </c>
      <c r="C57" s="2">
        <v>59.899999999999991</v>
      </c>
      <c r="E57">
        <v>2018</v>
      </c>
      <c r="F57" s="30">
        <f t="shared" ca="1" si="12"/>
        <v>0</v>
      </c>
      <c r="G57" s="30">
        <f t="shared" ca="1" si="12"/>
        <v>0</v>
      </c>
      <c r="H57" s="30">
        <f t="shared" ca="1" si="11"/>
        <v>0</v>
      </c>
      <c r="I57" s="30">
        <f t="shared" ca="1" si="11"/>
        <v>0.85819548872181173</v>
      </c>
      <c r="J57" s="30">
        <f t="shared" ca="1" si="11"/>
        <v>11.73593984962406</v>
      </c>
      <c r="K57" s="30">
        <f t="shared" ca="1" si="11"/>
        <v>33.467368421052697</v>
      </c>
      <c r="L57" s="30">
        <f t="shared" ca="1" si="11"/>
        <v>110.28939849624066</v>
      </c>
      <c r="M57" s="30">
        <f t="shared" ca="1" si="11"/>
        <v>89.958270676691882</v>
      </c>
      <c r="N57" s="30">
        <f t="shared" ca="1" si="11"/>
        <v>25.157218045112813</v>
      </c>
      <c r="O57" s="30">
        <f t="shared" ca="1" si="11"/>
        <v>1.6806015037594051</v>
      </c>
      <c r="P57" s="30">
        <f t="shared" ca="1" si="11"/>
        <v>0</v>
      </c>
      <c r="Q57" s="30">
        <f t="shared" ca="1" si="11"/>
        <v>0</v>
      </c>
    </row>
    <row r="58" spans="1:17">
      <c r="A58" s="1">
        <v>36039</v>
      </c>
      <c r="B58" s="2">
        <v>83.500000000000014</v>
      </c>
      <c r="C58" s="2">
        <v>11.8</v>
      </c>
      <c r="E58">
        <v>2019</v>
      </c>
      <c r="F58" s="30">
        <f t="shared" ca="1" si="12"/>
        <v>0</v>
      </c>
      <c r="G58" s="30">
        <f t="shared" ca="1" si="12"/>
        <v>0</v>
      </c>
      <c r="H58" s="30">
        <f t="shared" ca="1" si="11"/>
        <v>0</v>
      </c>
      <c r="I58" s="30">
        <f t="shared" ca="1" si="11"/>
        <v>0.87669172932331207</v>
      </c>
      <c r="J58" s="30">
        <f t="shared" ca="1" si="11"/>
        <v>12.052556390977429</v>
      </c>
      <c r="K58" s="30">
        <f t="shared" ca="1" si="11"/>
        <v>32.576842105263268</v>
      </c>
      <c r="L58" s="30">
        <f t="shared" ca="1" si="11"/>
        <v>111.63556390977419</v>
      </c>
      <c r="M58" s="30">
        <f t="shared" ca="1" si="11"/>
        <v>91.018496240601962</v>
      </c>
      <c r="N58" s="30">
        <f t="shared" ca="1" si="11"/>
        <v>25.453233082706788</v>
      </c>
      <c r="O58" s="30">
        <f t="shared" ca="1" si="11"/>
        <v>1.7344360902255715</v>
      </c>
      <c r="P58" s="30">
        <f t="shared" ca="1" si="11"/>
        <v>0</v>
      </c>
      <c r="Q58" s="30">
        <f t="shared" ca="1" si="11"/>
        <v>0</v>
      </c>
    </row>
    <row r="59" spans="1:17">
      <c r="A59" s="1">
        <v>36069</v>
      </c>
      <c r="B59" s="2">
        <v>260.59999999999991</v>
      </c>
      <c r="C59" s="2">
        <v>0</v>
      </c>
      <c r="E59">
        <v>2020</v>
      </c>
      <c r="F59" s="30">
        <f t="shared" ca="1" si="12"/>
        <v>0</v>
      </c>
      <c r="G59" s="30">
        <f t="shared" ca="1" si="12"/>
        <v>0</v>
      </c>
      <c r="H59" s="30">
        <f t="shared" ca="1" si="11"/>
        <v>0</v>
      </c>
      <c r="I59" s="30">
        <f t="shared" ca="1" si="11"/>
        <v>0.89518796992481953</v>
      </c>
      <c r="J59" s="30">
        <f t="shared" ca="1" si="11"/>
        <v>12.369172932330798</v>
      </c>
      <c r="K59" s="30">
        <f t="shared" ca="1" si="11"/>
        <v>31.68631578947361</v>
      </c>
      <c r="L59" s="30">
        <f t="shared" ca="1" si="11"/>
        <v>112.98172932330817</v>
      </c>
      <c r="M59" s="30">
        <f t="shared" ca="1" si="11"/>
        <v>92.078721804511588</v>
      </c>
      <c r="N59" s="30">
        <f t="shared" ca="1" si="11"/>
        <v>25.749248120300763</v>
      </c>
      <c r="O59" s="30">
        <f t="shared" ca="1" si="11"/>
        <v>1.788270676691738</v>
      </c>
      <c r="P59" s="30">
        <f t="shared" ca="1" si="11"/>
        <v>0</v>
      </c>
      <c r="Q59" s="30">
        <f t="shared" ca="1" si="11"/>
        <v>0</v>
      </c>
    </row>
    <row r="60" spans="1:17">
      <c r="A60" s="1">
        <v>36100</v>
      </c>
      <c r="B60" s="2">
        <v>442.09999999999997</v>
      </c>
      <c r="C60" s="2">
        <v>0</v>
      </c>
      <c r="E60" s="12" t="s">
        <v>72</v>
      </c>
      <c r="F60">
        <f ca="1">AVERAGE(F43:F52)</f>
        <v>0</v>
      </c>
      <c r="G60" s="30">
        <f t="shared" ref="G60:Q60" ca="1" si="13">AVERAGE(G43:G52)</f>
        <v>0</v>
      </c>
      <c r="H60" s="30">
        <f t="shared" ca="1" si="13"/>
        <v>0</v>
      </c>
      <c r="I60" s="30">
        <f t="shared" ca="1" si="13"/>
        <v>0.39</v>
      </c>
      <c r="J60" s="30">
        <f t="shared" ca="1" si="13"/>
        <v>8.67</v>
      </c>
      <c r="K60" s="30">
        <f t="shared" ca="1" si="13"/>
        <v>44.41</v>
      </c>
      <c r="L60" s="30">
        <f t="shared" ca="1" si="13"/>
        <v>96.909999999999982</v>
      </c>
      <c r="M60" s="30">
        <f t="shared" ca="1" si="13"/>
        <v>77.22999999999999</v>
      </c>
      <c r="N60" s="30">
        <f t="shared" ca="1" si="13"/>
        <v>19.899999999999999</v>
      </c>
      <c r="O60" s="30">
        <f t="shared" ca="1" si="13"/>
        <v>1.21</v>
      </c>
      <c r="P60" s="30">
        <f t="shared" ca="1" si="13"/>
        <v>0</v>
      </c>
      <c r="Q60" s="30">
        <f t="shared" ca="1" si="13"/>
        <v>0</v>
      </c>
    </row>
    <row r="61" spans="1:17">
      <c r="A61" s="1">
        <v>36130</v>
      </c>
      <c r="B61" s="2">
        <v>584.20000000000005</v>
      </c>
      <c r="C61" s="2">
        <v>0</v>
      </c>
      <c r="E61" s="12" t="s">
        <v>73</v>
      </c>
      <c r="F61">
        <f ca="1">AVERAGE(F34:F53)</f>
        <v>0</v>
      </c>
      <c r="G61" s="30">
        <f t="shared" ref="G61:Q61" ca="1" si="14">AVERAGE(G34:G53)</f>
        <v>0</v>
      </c>
      <c r="H61" s="30">
        <f t="shared" ca="1" si="14"/>
        <v>0</v>
      </c>
      <c r="I61" s="30">
        <f t="shared" ca="1" si="14"/>
        <v>0.59000000000000008</v>
      </c>
      <c r="J61" s="30">
        <f t="shared" ca="1" si="14"/>
        <v>7.5250000000000012</v>
      </c>
      <c r="K61" s="30">
        <f t="shared" ca="1" si="14"/>
        <v>45.8</v>
      </c>
      <c r="L61" s="30">
        <f t="shared" ca="1" si="14"/>
        <v>88.914999999999992</v>
      </c>
      <c r="M61" s="30">
        <f t="shared" ca="1" si="14"/>
        <v>75.234999999999999</v>
      </c>
      <c r="N61" s="30">
        <f t="shared" ca="1" si="14"/>
        <v>21.859999999999992</v>
      </c>
      <c r="O61" s="30">
        <f t="shared" ca="1" si="14"/>
        <v>0.99</v>
      </c>
      <c r="P61" s="30">
        <f t="shared" ca="1" si="14"/>
        <v>0</v>
      </c>
      <c r="Q61" s="30">
        <f t="shared" ca="1" si="14"/>
        <v>0</v>
      </c>
    </row>
    <row r="62" spans="1:17">
      <c r="A62" s="1">
        <v>36161</v>
      </c>
      <c r="B62" s="2">
        <v>826.09999999999991</v>
      </c>
      <c r="C62" s="2">
        <v>0</v>
      </c>
    </row>
    <row r="63" spans="1:17">
      <c r="A63" s="1">
        <v>36192</v>
      </c>
      <c r="B63" s="2">
        <v>603</v>
      </c>
      <c r="C63" s="2">
        <v>0</v>
      </c>
    </row>
    <row r="64" spans="1:17" ht="15">
      <c r="A64" s="1">
        <v>36220</v>
      </c>
      <c r="B64" s="2">
        <v>624.5</v>
      </c>
      <c r="C64" s="2">
        <v>0</v>
      </c>
      <c r="E64" s="55" t="s">
        <v>138</v>
      </c>
      <c r="J64" s="55" t="s">
        <v>139</v>
      </c>
    </row>
    <row r="65" spans="1:13">
      <c r="A65" s="1">
        <v>36251</v>
      </c>
      <c r="B65" s="2">
        <v>327.79999999999995</v>
      </c>
      <c r="C65" s="2">
        <v>0</v>
      </c>
      <c r="G65" s="29" t="s">
        <v>9</v>
      </c>
      <c r="H65" s="29" t="s">
        <v>10</v>
      </c>
      <c r="L65" t="s">
        <v>9</v>
      </c>
      <c r="M65" t="s">
        <v>10</v>
      </c>
    </row>
    <row r="66" spans="1:13">
      <c r="A66" s="1">
        <v>36281</v>
      </c>
      <c r="B66" s="2">
        <v>99.800000000000011</v>
      </c>
      <c r="C66" s="2">
        <v>10.199999999999999</v>
      </c>
      <c r="E66" t="s">
        <v>129</v>
      </c>
      <c r="F66" t="s">
        <v>130</v>
      </c>
      <c r="G66">
        <f t="shared" ref="G66:G77" ca="1" si="15">OFFSET($F$29,0,(ROW()-ROW(G$66)))</f>
        <v>784.29</v>
      </c>
      <c r="H66" s="30">
        <f t="shared" ref="H66:H77" ca="1" si="16">OFFSET($F$60,0,(ROW()-ROW(H$66)))</f>
        <v>0</v>
      </c>
      <c r="J66" s="30" t="s">
        <v>129</v>
      </c>
      <c r="K66" s="30" t="s">
        <v>130</v>
      </c>
      <c r="L66" s="56">
        <f ca="1">OFFSET($F$24,0,(ROW()-ROW(L$66)))</f>
        <v>738.32210526315794</v>
      </c>
      <c r="M66" s="56">
        <f ca="1">OFFSET($F$55,0,(ROW()-ROW(M$66)))</f>
        <v>0</v>
      </c>
    </row>
    <row r="67" spans="1:13">
      <c r="A67" s="1">
        <v>36312</v>
      </c>
      <c r="B67" s="2">
        <v>30.099999999999998</v>
      </c>
      <c r="C67" s="2">
        <v>73.099999999999994</v>
      </c>
      <c r="E67" s="30" t="s">
        <v>129</v>
      </c>
      <c r="F67" t="s">
        <v>131</v>
      </c>
      <c r="G67" s="30">
        <f t="shared" ca="1" si="15"/>
        <v>682.50999999999988</v>
      </c>
      <c r="H67" s="30">
        <f t="shared" ca="1" si="16"/>
        <v>0</v>
      </c>
      <c r="J67" s="30" t="s">
        <v>129</v>
      </c>
      <c r="K67" s="30" t="s">
        <v>131</v>
      </c>
      <c r="L67" s="56">
        <f t="shared" ref="L67:L77" ca="1" si="17">OFFSET($F$24,0,(ROW()-ROW(L$66)))</f>
        <v>657.50451127819542</v>
      </c>
      <c r="M67" s="56">
        <f t="shared" ref="M67:M77" ca="1" si="18">OFFSET($F$55,0,(ROW()-ROW(M$66)))</f>
        <v>0</v>
      </c>
    </row>
    <row r="68" spans="1:13">
      <c r="A68" s="1">
        <v>36342</v>
      </c>
      <c r="B68" s="2">
        <v>3.9</v>
      </c>
      <c r="C68" s="2">
        <v>133.09999999999997</v>
      </c>
      <c r="E68" s="30" t="s">
        <v>129</v>
      </c>
      <c r="F68" s="30" t="s">
        <v>132</v>
      </c>
      <c r="G68" s="30">
        <f t="shared" ca="1" si="15"/>
        <v>556.99</v>
      </c>
      <c r="H68" s="30">
        <f t="shared" ca="1" si="16"/>
        <v>0</v>
      </c>
      <c r="J68" s="30" t="s">
        <v>129</v>
      </c>
      <c r="K68" s="30" t="s">
        <v>132</v>
      </c>
      <c r="L68" s="56">
        <f t="shared" ca="1" si="17"/>
        <v>525.81157894736862</v>
      </c>
      <c r="M68" s="56">
        <f t="shared" ca="1" si="18"/>
        <v>0</v>
      </c>
    </row>
    <row r="69" spans="1:13">
      <c r="A69" s="1">
        <v>36373</v>
      </c>
      <c r="B69" s="2">
        <v>29.099999999999998</v>
      </c>
      <c r="C69" s="2">
        <v>44.9</v>
      </c>
      <c r="E69" s="30" t="s">
        <v>129</v>
      </c>
      <c r="F69" s="30" t="s">
        <v>133</v>
      </c>
      <c r="G69" s="30">
        <f t="shared" ca="1" si="15"/>
        <v>326.58999999999997</v>
      </c>
      <c r="H69" s="30">
        <f t="shared" ca="1" si="16"/>
        <v>0.39</v>
      </c>
      <c r="J69" s="30" t="s">
        <v>129</v>
      </c>
      <c r="K69" s="30" t="s">
        <v>133</v>
      </c>
      <c r="L69" s="56">
        <f t="shared" ca="1" si="17"/>
        <v>302.45180451127726</v>
      </c>
      <c r="M69" s="56">
        <f t="shared" ca="1" si="18"/>
        <v>0.82120300751880393</v>
      </c>
    </row>
    <row r="70" spans="1:13">
      <c r="A70" s="1">
        <v>36404</v>
      </c>
      <c r="B70" s="2">
        <v>66.800000000000011</v>
      </c>
      <c r="C70" s="2">
        <v>49.999999999999993</v>
      </c>
      <c r="E70" s="30" t="s">
        <v>129</v>
      </c>
      <c r="F70" s="30" t="s">
        <v>65</v>
      </c>
      <c r="G70" s="30">
        <f t="shared" ca="1" si="15"/>
        <v>144.96</v>
      </c>
      <c r="H70" s="30">
        <f t="shared" ca="1" si="16"/>
        <v>8.67</v>
      </c>
      <c r="J70" s="30" t="s">
        <v>129</v>
      </c>
      <c r="K70" s="30" t="s">
        <v>65</v>
      </c>
      <c r="L70" s="56">
        <f t="shared" ca="1" si="17"/>
        <v>114.00593984962416</v>
      </c>
      <c r="M70" s="56">
        <f t="shared" ca="1" si="18"/>
        <v>11.102706766917322</v>
      </c>
    </row>
    <row r="71" spans="1:13">
      <c r="A71" s="1">
        <v>36434</v>
      </c>
      <c r="B71" s="2">
        <v>315.49999999999994</v>
      </c>
      <c r="C71" s="2">
        <v>0</v>
      </c>
      <c r="E71" s="30" t="s">
        <v>129</v>
      </c>
      <c r="F71" s="30" t="s">
        <v>66</v>
      </c>
      <c r="G71" s="30">
        <f t="shared" ca="1" si="15"/>
        <v>41.510000000000005</v>
      </c>
      <c r="H71" s="30">
        <f t="shared" ca="1" si="16"/>
        <v>44.41</v>
      </c>
      <c r="J71" s="30" t="s">
        <v>129</v>
      </c>
      <c r="K71" s="30" t="s">
        <v>66</v>
      </c>
      <c r="L71" s="56">
        <f t="shared" ca="1" si="17"/>
        <v>47.658120300751989</v>
      </c>
      <c r="M71" s="56">
        <f t="shared" ca="1" si="18"/>
        <v>35.248421052631556</v>
      </c>
    </row>
    <row r="72" spans="1:13">
      <c r="A72" s="1">
        <v>36465</v>
      </c>
      <c r="B72" s="2">
        <v>403.09999999999991</v>
      </c>
      <c r="C72" s="2">
        <v>0</v>
      </c>
      <c r="E72" s="30" t="s">
        <v>129</v>
      </c>
      <c r="F72" s="30" t="s">
        <v>67</v>
      </c>
      <c r="G72" s="30">
        <f t="shared" ca="1" si="15"/>
        <v>5.01</v>
      </c>
      <c r="H72" s="30">
        <f t="shared" ca="1" si="16"/>
        <v>96.909999999999982</v>
      </c>
      <c r="J72" s="30" t="s">
        <v>129</v>
      </c>
      <c r="K72" s="30" t="s">
        <v>67</v>
      </c>
      <c r="L72" s="56">
        <f t="shared" ca="1" si="17"/>
        <v>2.2552631578947739</v>
      </c>
      <c r="M72" s="56">
        <f t="shared" ca="1" si="18"/>
        <v>107.5970676691727</v>
      </c>
    </row>
    <row r="73" spans="1:13">
      <c r="A73" s="1">
        <v>36495</v>
      </c>
      <c r="B73" s="2">
        <v>653.70000000000005</v>
      </c>
      <c r="C73" s="2">
        <v>0</v>
      </c>
      <c r="E73" s="30" t="s">
        <v>129</v>
      </c>
      <c r="F73" s="30" t="s">
        <v>74</v>
      </c>
      <c r="G73" s="30">
        <f t="shared" ca="1" si="15"/>
        <v>12.719999999999999</v>
      </c>
      <c r="H73" s="30">
        <f t="shared" ca="1" si="16"/>
        <v>77.22999999999999</v>
      </c>
      <c r="J73" s="30" t="s">
        <v>129</v>
      </c>
      <c r="K73" s="30" t="s">
        <v>74</v>
      </c>
      <c r="L73" s="56">
        <f t="shared" ca="1" si="17"/>
        <v>5.4470676691728386</v>
      </c>
      <c r="M73" s="56">
        <f t="shared" ca="1" si="18"/>
        <v>87.837819548872631</v>
      </c>
    </row>
    <row r="74" spans="1:13">
      <c r="A74" s="1">
        <v>36526</v>
      </c>
      <c r="B74" s="2">
        <v>814.5</v>
      </c>
      <c r="C74" s="2">
        <v>0</v>
      </c>
      <c r="E74" s="30" t="s">
        <v>129</v>
      </c>
      <c r="F74" s="30" t="s">
        <v>134</v>
      </c>
      <c r="G74" s="30">
        <f t="shared" ca="1" si="15"/>
        <v>86.570000000000007</v>
      </c>
      <c r="H74" s="30">
        <f t="shared" ca="1" si="16"/>
        <v>19.899999999999999</v>
      </c>
      <c r="J74" s="30" t="s">
        <v>129</v>
      </c>
      <c r="K74" s="30" t="s">
        <v>134</v>
      </c>
      <c r="L74" s="56">
        <f t="shared" ca="1" si="17"/>
        <v>78.631654135338067</v>
      </c>
      <c r="M74" s="56">
        <f t="shared" ca="1" si="18"/>
        <v>24.565187969924864</v>
      </c>
    </row>
    <row r="75" spans="1:13">
      <c r="A75" s="1">
        <v>36557</v>
      </c>
      <c r="B75" s="2">
        <v>682.60000000000014</v>
      </c>
      <c r="C75" s="2">
        <v>0</v>
      </c>
      <c r="E75" s="30" t="s">
        <v>129</v>
      </c>
      <c r="F75" s="30" t="s">
        <v>135</v>
      </c>
      <c r="G75" s="30">
        <f t="shared" ca="1" si="15"/>
        <v>270.3</v>
      </c>
      <c r="H75" s="30">
        <f t="shared" ca="1" si="16"/>
        <v>1.21</v>
      </c>
      <c r="J75" s="30" t="s">
        <v>129</v>
      </c>
      <c r="K75" s="30" t="s">
        <v>135</v>
      </c>
      <c r="L75" s="56">
        <f t="shared" ca="1" si="17"/>
        <v>266.09751879699206</v>
      </c>
      <c r="M75" s="56">
        <f t="shared" ca="1" si="18"/>
        <v>1.5729323308270722</v>
      </c>
    </row>
    <row r="76" spans="1:13">
      <c r="A76" s="1">
        <v>36586</v>
      </c>
      <c r="B76" s="2">
        <v>489.6</v>
      </c>
      <c r="C76" s="2">
        <v>0</v>
      </c>
      <c r="E76" s="30" t="s">
        <v>129</v>
      </c>
      <c r="F76" s="30" t="s">
        <v>136</v>
      </c>
      <c r="G76" s="30">
        <f t="shared" ca="1" si="15"/>
        <v>444.05</v>
      </c>
      <c r="H76" s="30">
        <f t="shared" ca="1" si="16"/>
        <v>0</v>
      </c>
      <c r="J76" s="30" t="s">
        <v>129</v>
      </c>
      <c r="K76" s="30" t="s">
        <v>136</v>
      </c>
      <c r="L76" s="56">
        <f t="shared" ca="1" si="17"/>
        <v>426.32924812030069</v>
      </c>
      <c r="M76" s="56">
        <f t="shared" ca="1" si="18"/>
        <v>0</v>
      </c>
    </row>
    <row r="77" spans="1:13">
      <c r="A77" s="1">
        <v>36617</v>
      </c>
      <c r="B77" s="2">
        <v>383.99999999999989</v>
      </c>
      <c r="C77" s="2">
        <v>0</v>
      </c>
      <c r="E77" s="30" t="s">
        <v>129</v>
      </c>
      <c r="F77" s="30" t="s">
        <v>137</v>
      </c>
      <c r="G77" s="30">
        <f t="shared" ca="1" si="15"/>
        <v>684.01</v>
      </c>
      <c r="H77" s="30">
        <f t="shared" ca="1" si="16"/>
        <v>0</v>
      </c>
      <c r="J77" s="30" t="s">
        <v>129</v>
      </c>
      <c r="K77" s="30" t="s">
        <v>137</v>
      </c>
      <c r="L77" s="56">
        <f t="shared" ca="1" si="17"/>
        <v>688.11105263157901</v>
      </c>
      <c r="M77" s="56">
        <f t="shared" ca="1" si="18"/>
        <v>0</v>
      </c>
    </row>
    <row r="78" spans="1:13">
      <c r="A78" s="1">
        <v>36647</v>
      </c>
      <c r="B78" s="2">
        <v>160</v>
      </c>
      <c r="C78" s="2">
        <v>11.100000000000001</v>
      </c>
    </row>
    <row r="79" spans="1:13">
      <c r="A79" s="1">
        <v>36678</v>
      </c>
      <c r="B79" s="2">
        <v>65.5</v>
      </c>
      <c r="C79" s="2">
        <v>17.399999999999999</v>
      </c>
    </row>
    <row r="80" spans="1:13">
      <c r="A80" s="1">
        <v>36708</v>
      </c>
      <c r="B80" s="2">
        <v>17.399999999999999</v>
      </c>
      <c r="C80" s="2">
        <v>37.299999999999997</v>
      </c>
    </row>
    <row r="81" spans="1:3">
      <c r="A81" s="1">
        <v>36739</v>
      </c>
      <c r="B81" s="2">
        <v>20.099999999999998</v>
      </c>
      <c r="C81" s="2">
        <v>49.899999999999991</v>
      </c>
    </row>
    <row r="82" spans="1:3">
      <c r="A82" s="1">
        <v>36770</v>
      </c>
      <c r="B82" s="2">
        <v>136.30000000000001</v>
      </c>
      <c r="C82" s="2">
        <v>16.600000000000001</v>
      </c>
    </row>
    <row r="83" spans="1:3">
      <c r="A83" s="1">
        <v>36800</v>
      </c>
      <c r="B83" s="2">
        <v>281.19999999999993</v>
      </c>
      <c r="C83" s="2">
        <v>0</v>
      </c>
    </row>
    <row r="84" spans="1:3">
      <c r="A84" s="1">
        <v>36831</v>
      </c>
      <c r="B84" s="2">
        <v>485.7</v>
      </c>
      <c r="C84" s="2">
        <v>0</v>
      </c>
    </row>
    <row r="85" spans="1:3">
      <c r="A85" s="1">
        <v>36861</v>
      </c>
      <c r="B85" s="2">
        <v>834.8</v>
      </c>
      <c r="C85" s="2">
        <v>0</v>
      </c>
    </row>
    <row r="86" spans="1:3">
      <c r="A86" s="1">
        <v>36892</v>
      </c>
      <c r="B86" s="2">
        <v>775.19999999999982</v>
      </c>
      <c r="C86" s="2">
        <v>0</v>
      </c>
    </row>
    <row r="87" spans="1:3">
      <c r="A87" s="1">
        <v>36923</v>
      </c>
      <c r="B87" s="2">
        <v>677.09999999999991</v>
      </c>
      <c r="C87" s="2">
        <v>0</v>
      </c>
    </row>
    <row r="88" spans="1:3">
      <c r="A88" s="1">
        <v>36951</v>
      </c>
      <c r="B88" s="2">
        <v>635.59999999999991</v>
      </c>
      <c r="C88" s="2">
        <v>0</v>
      </c>
    </row>
    <row r="89" spans="1:3">
      <c r="A89" s="1">
        <v>36982</v>
      </c>
      <c r="B89" s="2">
        <v>325.59999999999991</v>
      </c>
      <c r="C89" s="2">
        <v>0</v>
      </c>
    </row>
    <row r="90" spans="1:3">
      <c r="A90" s="1">
        <v>37012</v>
      </c>
      <c r="B90" s="2">
        <v>126.80000000000001</v>
      </c>
      <c r="C90" s="2">
        <v>6.8</v>
      </c>
    </row>
    <row r="91" spans="1:3">
      <c r="A91" s="1">
        <v>37043</v>
      </c>
      <c r="B91" s="2">
        <v>36.700000000000003</v>
      </c>
      <c r="C91" s="2">
        <v>51.699999999999996</v>
      </c>
    </row>
    <row r="92" spans="1:3">
      <c r="A92" s="1">
        <v>37073</v>
      </c>
      <c r="B92" s="2">
        <v>17.100000000000001</v>
      </c>
      <c r="C92" s="2">
        <v>76.900000000000006</v>
      </c>
    </row>
    <row r="93" spans="1:3">
      <c r="A93" s="1">
        <v>37104</v>
      </c>
      <c r="B93" s="2">
        <v>4</v>
      </c>
      <c r="C93" s="2">
        <v>127.09999999999998</v>
      </c>
    </row>
    <row r="94" spans="1:3">
      <c r="A94" s="1">
        <v>37135</v>
      </c>
      <c r="B94" s="2">
        <v>94.700000000000017</v>
      </c>
      <c r="C94" s="2">
        <v>23.6</v>
      </c>
    </row>
    <row r="95" spans="1:3">
      <c r="A95" s="1">
        <v>37165</v>
      </c>
      <c r="B95" s="2">
        <v>259.89999999999998</v>
      </c>
      <c r="C95" s="2">
        <v>0</v>
      </c>
    </row>
    <row r="96" spans="1:3">
      <c r="A96" s="1">
        <v>37196</v>
      </c>
      <c r="B96" s="2">
        <v>388.89999999999992</v>
      </c>
      <c r="C96" s="2">
        <v>0</v>
      </c>
    </row>
    <row r="97" spans="1:3">
      <c r="A97" s="1">
        <v>37226</v>
      </c>
      <c r="B97" s="2">
        <v>578.29999999999995</v>
      </c>
      <c r="C97" s="2">
        <v>0</v>
      </c>
    </row>
    <row r="98" spans="1:3">
      <c r="A98" s="1">
        <v>37257</v>
      </c>
      <c r="B98" s="2">
        <v>639.4000000000002</v>
      </c>
      <c r="C98" s="2">
        <v>0</v>
      </c>
    </row>
    <row r="99" spans="1:3">
      <c r="A99" s="1">
        <v>37288</v>
      </c>
      <c r="B99" s="2">
        <v>601.90000000000009</v>
      </c>
      <c r="C99" s="2">
        <v>0</v>
      </c>
    </row>
    <row r="100" spans="1:3">
      <c r="A100" s="1">
        <v>37316</v>
      </c>
      <c r="B100" s="2">
        <v>572.50000000000011</v>
      </c>
      <c r="C100" s="2">
        <v>0</v>
      </c>
    </row>
    <row r="101" spans="1:3">
      <c r="A101" s="1">
        <v>37347</v>
      </c>
      <c r="B101" s="2">
        <v>336.89999999999992</v>
      </c>
      <c r="C101" s="2">
        <v>7.8999999999999995</v>
      </c>
    </row>
    <row r="102" spans="1:3">
      <c r="A102" s="1">
        <v>37377</v>
      </c>
      <c r="B102" s="2">
        <v>220.29999999999995</v>
      </c>
      <c r="C102" s="2">
        <v>5.6</v>
      </c>
    </row>
    <row r="103" spans="1:3">
      <c r="A103" s="1">
        <v>37408</v>
      </c>
      <c r="B103" s="2">
        <v>49.599999999999994</v>
      </c>
      <c r="C103" s="2">
        <v>47</v>
      </c>
    </row>
    <row r="104" spans="1:3">
      <c r="A104" s="1">
        <v>37438</v>
      </c>
      <c r="B104" s="2">
        <v>4</v>
      </c>
      <c r="C104" s="2">
        <v>132.09999999999997</v>
      </c>
    </row>
    <row r="105" spans="1:3">
      <c r="A105" s="1">
        <v>37469</v>
      </c>
      <c r="B105" s="2">
        <v>6.5000000000000009</v>
      </c>
      <c r="C105" s="2">
        <v>104.1</v>
      </c>
    </row>
    <row r="106" spans="1:3">
      <c r="A106" s="1">
        <v>37500</v>
      </c>
      <c r="B106" s="2">
        <v>45.2</v>
      </c>
      <c r="C106" s="2">
        <v>52.599999999999994</v>
      </c>
    </row>
    <row r="107" spans="1:3">
      <c r="A107" s="1">
        <v>37530</v>
      </c>
      <c r="B107" s="2">
        <v>332.79999999999995</v>
      </c>
      <c r="C107" s="2">
        <v>5.6</v>
      </c>
    </row>
    <row r="108" spans="1:3">
      <c r="A108" s="1">
        <v>37561</v>
      </c>
      <c r="B108" s="2">
        <v>490.7</v>
      </c>
      <c r="C108" s="2">
        <v>0</v>
      </c>
    </row>
    <row r="109" spans="1:3">
      <c r="A109" s="1">
        <v>37591</v>
      </c>
      <c r="B109" s="2">
        <v>671.59999999999991</v>
      </c>
      <c r="C109" s="2">
        <v>0</v>
      </c>
    </row>
    <row r="110" spans="1:3">
      <c r="A110" s="1">
        <v>37622</v>
      </c>
      <c r="B110">
        <v>921</v>
      </c>
      <c r="C110">
        <v>0</v>
      </c>
    </row>
    <row r="111" spans="1:3">
      <c r="A111" s="1">
        <v>37653</v>
      </c>
      <c r="B111">
        <v>784.5</v>
      </c>
      <c r="C111">
        <v>0</v>
      </c>
    </row>
    <row r="112" spans="1:3">
      <c r="A112" s="1">
        <v>37681</v>
      </c>
      <c r="B112">
        <v>625.79999999999995</v>
      </c>
      <c r="C112">
        <v>0</v>
      </c>
    </row>
    <row r="113" spans="1:3">
      <c r="A113" s="1">
        <v>37712</v>
      </c>
      <c r="B113">
        <v>412.4</v>
      </c>
      <c r="C113">
        <v>0</v>
      </c>
    </row>
    <row r="114" spans="1:3">
      <c r="A114" s="1">
        <v>37742</v>
      </c>
      <c r="B114">
        <v>168.4</v>
      </c>
      <c r="C114">
        <v>0</v>
      </c>
    </row>
    <row r="115" spans="1:3">
      <c r="A115" s="1">
        <v>37773</v>
      </c>
      <c r="B115">
        <v>45.9</v>
      </c>
      <c r="C115">
        <v>39</v>
      </c>
    </row>
    <row r="116" spans="1:3">
      <c r="A116" s="1">
        <v>37803</v>
      </c>
      <c r="B116">
        <v>3.7</v>
      </c>
      <c r="C116">
        <v>84.2</v>
      </c>
    </row>
    <row r="117" spans="1:3">
      <c r="A117" s="1">
        <v>37834</v>
      </c>
      <c r="B117">
        <v>11.4</v>
      </c>
      <c r="C117">
        <v>103.7</v>
      </c>
    </row>
    <row r="118" spans="1:3">
      <c r="A118" s="1">
        <v>37865</v>
      </c>
      <c r="B118">
        <v>66.8</v>
      </c>
      <c r="C118">
        <v>23.6</v>
      </c>
    </row>
    <row r="119" spans="1:3">
      <c r="A119" s="1">
        <v>37895</v>
      </c>
      <c r="B119">
        <v>313.7</v>
      </c>
      <c r="C119">
        <v>0</v>
      </c>
    </row>
    <row r="120" spans="1:3">
      <c r="A120" s="1">
        <v>37926</v>
      </c>
      <c r="B120">
        <v>435.2</v>
      </c>
      <c r="C120">
        <v>0</v>
      </c>
    </row>
    <row r="121" spans="1:3">
      <c r="A121" s="1">
        <v>37956</v>
      </c>
      <c r="B121">
        <v>652.70000000000005</v>
      </c>
      <c r="C121">
        <v>0</v>
      </c>
    </row>
    <row r="122" spans="1:3">
      <c r="A122" s="1">
        <v>37987</v>
      </c>
      <c r="B122">
        <v>981.8</v>
      </c>
      <c r="C122">
        <v>0</v>
      </c>
    </row>
    <row r="123" spans="1:3">
      <c r="A123" s="1">
        <v>38018</v>
      </c>
      <c r="B123">
        <v>706.1</v>
      </c>
      <c r="C123">
        <v>0</v>
      </c>
    </row>
    <row r="124" spans="1:3">
      <c r="A124" s="1">
        <v>38047</v>
      </c>
      <c r="B124">
        <v>530.1</v>
      </c>
      <c r="C124">
        <v>0</v>
      </c>
    </row>
    <row r="125" spans="1:3">
      <c r="A125" s="1">
        <v>38078</v>
      </c>
      <c r="B125">
        <v>358.1</v>
      </c>
      <c r="C125">
        <v>0</v>
      </c>
    </row>
    <row r="126" spans="1:3">
      <c r="A126" s="1">
        <v>38108</v>
      </c>
      <c r="B126">
        <v>154.9</v>
      </c>
      <c r="C126">
        <v>8.3000000000000007</v>
      </c>
    </row>
    <row r="127" spans="1:3">
      <c r="A127" s="1">
        <v>38139</v>
      </c>
      <c r="B127">
        <v>71.400000000000006</v>
      </c>
      <c r="C127">
        <v>19.100000000000001</v>
      </c>
    </row>
    <row r="128" spans="1:3">
      <c r="A128" s="1">
        <v>38169</v>
      </c>
      <c r="B128">
        <v>6.9</v>
      </c>
      <c r="C128">
        <v>62.6</v>
      </c>
    </row>
    <row r="129" spans="1:3">
      <c r="A129" s="1">
        <v>38200</v>
      </c>
      <c r="B129">
        <v>31.5</v>
      </c>
      <c r="C129">
        <v>45.9</v>
      </c>
    </row>
    <row r="130" spans="1:3">
      <c r="A130" s="1">
        <v>38231</v>
      </c>
      <c r="B130">
        <v>61.3</v>
      </c>
      <c r="C130">
        <v>15.5</v>
      </c>
    </row>
    <row r="131" spans="1:3">
      <c r="A131" s="1">
        <v>38261</v>
      </c>
      <c r="B131">
        <v>276</v>
      </c>
      <c r="C131">
        <v>0</v>
      </c>
    </row>
    <row r="132" spans="1:3">
      <c r="A132" s="1">
        <v>38292</v>
      </c>
      <c r="B132">
        <v>452.3</v>
      </c>
      <c r="C132">
        <v>0</v>
      </c>
    </row>
    <row r="133" spans="1:3">
      <c r="A133" s="1">
        <v>38322</v>
      </c>
      <c r="B133">
        <v>722.8</v>
      </c>
      <c r="C133">
        <v>0</v>
      </c>
    </row>
    <row r="134" spans="1:3">
      <c r="A134" s="1">
        <v>38353</v>
      </c>
      <c r="B134">
        <v>862.4</v>
      </c>
      <c r="C134">
        <v>0</v>
      </c>
    </row>
    <row r="135" spans="1:3">
      <c r="A135" s="1">
        <v>38384</v>
      </c>
      <c r="B135">
        <v>676.1</v>
      </c>
      <c r="C135">
        <v>0</v>
      </c>
    </row>
    <row r="136" spans="1:3">
      <c r="A136" s="1">
        <v>38412</v>
      </c>
      <c r="B136">
        <v>635.4</v>
      </c>
      <c r="C136">
        <v>0</v>
      </c>
    </row>
    <row r="137" spans="1:3">
      <c r="A137" s="1">
        <v>38443</v>
      </c>
      <c r="B137">
        <v>337.2</v>
      </c>
      <c r="C137">
        <v>0</v>
      </c>
    </row>
    <row r="138" spans="1:3">
      <c r="A138" s="1">
        <v>38473</v>
      </c>
      <c r="B138">
        <v>212.4</v>
      </c>
      <c r="C138">
        <v>0.5</v>
      </c>
    </row>
    <row r="139" spans="1:3">
      <c r="A139" s="1">
        <v>38504</v>
      </c>
      <c r="B139">
        <v>18.399999999999999</v>
      </c>
      <c r="C139">
        <v>98.8</v>
      </c>
    </row>
    <row r="140" spans="1:3">
      <c r="A140" s="1">
        <v>38534</v>
      </c>
      <c r="B140">
        <v>2.1</v>
      </c>
      <c r="C140">
        <v>141.69999999999999</v>
      </c>
    </row>
    <row r="141" spans="1:3">
      <c r="A141" s="1">
        <v>38565</v>
      </c>
      <c r="B141">
        <v>4.2</v>
      </c>
      <c r="C141">
        <v>112.6</v>
      </c>
    </row>
    <row r="142" spans="1:3">
      <c r="A142" s="1">
        <v>38596</v>
      </c>
      <c r="B142">
        <v>56.4</v>
      </c>
      <c r="C142">
        <v>27.1</v>
      </c>
    </row>
    <row r="143" spans="1:3">
      <c r="A143" s="1">
        <v>38626</v>
      </c>
      <c r="B143">
        <v>272.7</v>
      </c>
      <c r="C143">
        <v>3.3</v>
      </c>
    </row>
    <row r="144" spans="1:3">
      <c r="A144" s="1">
        <v>38657</v>
      </c>
      <c r="B144">
        <v>432</v>
      </c>
      <c r="C144">
        <v>0</v>
      </c>
    </row>
    <row r="145" spans="1:3">
      <c r="A145" s="1">
        <v>38687</v>
      </c>
      <c r="B145">
        <v>735.5</v>
      </c>
      <c r="C145">
        <v>0</v>
      </c>
    </row>
    <row r="146" spans="1:3">
      <c r="A146" s="1">
        <v>38718</v>
      </c>
      <c r="B146">
        <v>653.5</v>
      </c>
      <c r="C146">
        <v>0</v>
      </c>
    </row>
    <row r="147" spans="1:3">
      <c r="A147" s="1">
        <v>38749</v>
      </c>
      <c r="B147">
        <v>679.8</v>
      </c>
      <c r="C147">
        <v>0</v>
      </c>
    </row>
    <row r="148" spans="1:3">
      <c r="A148" s="1">
        <v>38777</v>
      </c>
      <c r="B148">
        <v>571.4</v>
      </c>
      <c r="C148">
        <v>0</v>
      </c>
    </row>
    <row r="149" spans="1:3">
      <c r="A149" s="1">
        <v>38808</v>
      </c>
      <c r="B149">
        <v>309.7</v>
      </c>
      <c r="C149">
        <v>0</v>
      </c>
    </row>
    <row r="150" spans="1:3">
      <c r="A150" s="1">
        <v>38838</v>
      </c>
      <c r="B150">
        <v>145</v>
      </c>
      <c r="C150">
        <v>15.9</v>
      </c>
    </row>
    <row r="151" spans="1:3">
      <c r="A151" s="1">
        <v>38869</v>
      </c>
      <c r="B151">
        <v>36.4</v>
      </c>
      <c r="C151">
        <v>36.299999999999997</v>
      </c>
    </row>
    <row r="152" spans="1:3">
      <c r="A152" s="1">
        <v>38899</v>
      </c>
      <c r="B152">
        <v>3.7</v>
      </c>
      <c r="C152">
        <v>115</v>
      </c>
    </row>
    <row r="153" spans="1:3">
      <c r="A153" s="1">
        <v>38930</v>
      </c>
      <c r="B153">
        <v>10.4</v>
      </c>
      <c r="C153">
        <v>79.8</v>
      </c>
    </row>
    <row r="154" spans="1:3">
      <c r="A154" s="1">
        <v>38961</v>
      </c>
      <c r="B154">
        <v>97.9</v>
      </c>
      <c r="C154">
        <v>4.5999999999999996</v>
      </c>
    </row>
    <row r="155" spans="1:3">
      <c r="A155" s="1">
        <v>38991</v>
      </c>
      <c r="B155">
        <v>301.60000000000002</v>
      </c>
      <c r="C155">
        <v>0</v>
      </c>
    </row>
    <row r="156" spans="1:3">
      <c r="A156" s="1">
        <v>39022</v>
      </c>
      <c r="B156">
        <v>391.1</v>
      </c>
      <c r="C156">
        <v>0</v>
      </c>
    </row>
    <row r="157" spans="1:3">
      <c r="A157" s="1">
        <v>39052</v>
      </c>
      <c r="B157">
        <v>541.6</v>
      </c>
      <c r="C157">
        <v>0</v>
      </c>
    </row>
    <row r="158" spans="1:3">
      <c r="A158" s="1">
        <v>39083</v>
      </c>
      <c r="B158">
        <v>712.6</v>
      </c>
      <c r="C158">
        <v>0</v>
      </c>
    </row>
    <row r="159" spans="1:3">
      <c r="A159" s="1">
        <v>39114</v>
      </c>
      <c r="B159">
        <v>775.5</v>
      </c>
      <c r="C159">
        <v>0</v>
      </c>
    </row>
    <row r="160" spans="1:3">
      <c r="A160" s="1">
        <v>39142</v>
      </c>
      <c r="B160">
        <v>588.29999999999995</v>
      </c>
      <c r="C160">
        <v>0</v>
      </c>
    </row>
    <row r="161" spans="1:3">
      <c r="A161" s="1">
        <v>39173</v>
      </c>
      <c r="B161">
        <v>358.6</v>
      </c>
      <c r="C161">
        <v>0</v>
      </c>
    </row>
    <row r="162" spans="1:3">
      <c r="A162" s="1">
        <v>39203</v>
      </c>
      <c r="B162">
        <v>150.19999999999999</v>
      </c>
      <c r="C162">
        <v>9.5</v>
      </c>
    </row>
    <row r="163" spans="1:3">
      <c r="A163" s="1">
        <v>39234</v>
      </c>
      <c r="B163">
        <v>29.4</v>
      </c>
      <c r="C163">
        <v>69.7</v>
      </c>
    </row>
    <row r="164" spans="1:3">
      <c r="A164" s="1">
        <v>39264</v>
      </c>
      <c r="B164">
        <v>15.7</v>
      </c>
      <c r="C164">
        <v>62.7</v>
      </c>
    </row>
    <row r="165" spans="1:3">
      <c r="A165" s="1">
        <v>39295</v>
      </c>
      <c r="B165">
        <v>12.1</v>
      </c>
      <c r="C165">
        <v>100.4</v>
      </c>
    </row>
    <row r="166" spans="1:3">
      <c r="A166" s="1">
        <v>39326</v>
      </c>
      <c r="B166">
        <v>54.8</v>
      </c>
      <c r="C166">
        <v>32.200000000000003</v>
      </c>
    </row>
    <row r="167" spans="1:3">
      <c r="A167" s="1">
        <v>39356</v>
      </c>
      <c r="B167">
        <v>174.9</v>
      </c>
      <c r="C167">
        <v>6.8</v>
      </c>
    </row>
    <row r="168" spans="1:3">
      <c r="A168" s="1">
        <v>39387</v>
      </c>
      <c r="B168">
        <v>474.2</v>
      </c>
      <c r="C168">
        <v>0</v>
      </c>
    </row>
    <row r="169" spans="1:3">
      <c r="A169" s="1">
        <v>39417</v>
      </c>
      <c r="B169">
        <v>716.1</v>
      </c>
      <c r="C169">
        <v>0</v>
      </c>
    </row>
    <row r="170" spans="1:3">
      <c r="A170" s="1">
        <v>39448</v>
      </c>
      <c r="B170">
        <v>685.1</v>
      </c>
      <c r="C170">
        <v>0</v>
      </c>
    </row>
    <row r="171" spans="1:3">
      <c r="A171" s="1">
        <v>39479</v>
      </c>
      <c r="B171">
        <v>715.1</v>
      </c>
      <c r="C171">
        <v>0</v>
      </c>
    </row>
    <row r="172" spans="1:3">
      <c r="A172" s="1">
        <v>39508</v>
      </c>
      <c r="B172">
        <v>641</v>
      </c>
      <c r="C172">
        <v>0</v>
      </c>
    </row>
    <row r="173" spans="1:3">
      <c r="A173" s="1">
        <v>39539</v>
      </c>
      <c r="B173">
        <v>274</v>
      </c>
      <c r="C173">
        <v>1</v>
      </c>
    </row>
    <row r="174" spans="1:3">
      <c r="A174" s="1">
        <v>39569</v>
      </c>
      <c r="B174">
        <v>188.5</v>
      </c>
      <c r="C174">
        <v>0</v>
      </c>
    </row>
    <row r="175" spans="1:3">
      <c r="A175" s="1">
        <v>39600</v>
      </c>
      <c r="B175">
        <v>23.3</v>
      </c>
      <c r="C175">
        <v>56.5</v>
      </c>
    </row>
    <row r="176" spans="1:3">
      <c r="A176" s="1">
        <v>39630</v>
      </c>
      <c r="B176">
        <v>1.5</v>
      </c>
      <c r="C176">
        <v>75.599999999999994</v>
      </c>
    </row>
    <row r="177" spans="1:3">
      <c r="A177" s="1">
        <v>39661</v>
      </c>
      <c r="B177">
        <v>16.3</v>
      </c>
      <c r="C177">
        <v>47.8</v>
      </c>
    </row>
    <row r="178" spans="1:3">
      <c r="A178" s="1">
        <v>39692</v>
      </c>
      <c r="B178">
        <v>97.8</v>
      </c>
      <c r="C178">
        <v>24.4</v>
      </c>
    </row>
    <row r="179" spans="1:3">
      <c r="A179" s="1">
        <v>39722</v>
      </c>
      <c r="B179">
        <v>301.60000000000002</v>
      </c>
      <c r="C179">
        <v>0</v>
      </c>
    </row>
    <row r="180" spans="1:3">
      <c r="A180" s="1">
        <v>39753</v>
      </c>
      <c r="B180">
        <v>459.9</v>
      </c>
      <c r="C180">
        <v>0</v>
      </c>
    </row>
    <row r="181" spans="1:3">
      <c r="A181" s="1">
        <v>39783</v>
      </c>
      <c r="B181">
        <v>708.5</v>
      </c>
      <c r="C181">
        <v>0</v>
      </c>
    </row>
    <row r="182" spans="1:3">
      <c r="A182" s="1">
        <v>39814</v>
      </c>
      <c r="B182">
        <v>887.1</v>
      </c>
      <c r="C182">
        <v>0</v>
      </c>
    </row>
    <row r="183" spans="1:3">
      <c r="A183" s="1">
        <v>39845</v>
      </c>
      <c r="B183">
        <v>653.79999999999995</v>
      </c>
      <c r="C183">
        <v>0</v>
      </c>
    </row>
    <row r="184" spans="1:3">
      <c r="A184" s="1">
        <v>39873</v>
      </c>
      <c r="B184">
        <v>555.6</v>
      </c>
      <c r="C184">
        <v>0</v>
      </c>
    </row>
    <row r="185" spans="1:3">
      <c r="A185" s="1">
        <v>39904</v>
      </c>
      <c r="B185">
        <v>326.3</v>
      </c>
      <c r="C185">
        <v>0.8</v>
      </c>
    </row>
    <row r="186" spans="1:3">
      <c r="A186" s="1">
        <v>39934</v>
      </c>
      <c r="B186">
        <v>165.3</v>
      </c>
      <c r="C186">
        <v>0</v>
      </c>
    </row>
    <row r="187" spans="1:3">
      <c r="A187" s="1">
        <v>39965</v>
      </c>
      <c r="B187">
        <v>59.2</v>
      </c>
      <c r="C187">
        <v>32.6</v>
      </c>
    </row>
    <row r="188" spans="1:3">
      <c r="A188" s="1">
        <v>39995</v>
      </c>
      <c r="B188">
        <v>11.8</v>
      </c>
      <c r="C188">
        <v>35.6</v>
      </c>
    </row>
    <row r="189" spans="1:3">
      <c r="A189" s="1">
        <v>40026</v>
      </c>
      <c r="B189">
        <v>20.6</v>
      </c>
      <c r="C189">
        <v>85.2</v>
      </c>
    </row>
    <row r="190" spans="1:3">
      <c r="A190" s="1">
        <v>40057</v>
      </c>
      <c r="B190">
        <v>100.9</v>
      </c>
      <c r="C190">
        <v>4.5999999999999996</v>
      </c>
    </row>
    <row r="191" spans="1:3">
      <c r="A191" s="1">
        <v>40087</v>
      </c>
      <c r="B191">
        <v>330.2</v>
      </c>
      <c r="C191">
        <v>0</v>
      </c>
    </row>
    <row r="192" spans="1:3">
      <c r="A192" s="1">
        <v>40118</v>
      </c>
      <c r="B192">
        <v>384.5</v>
      </c>
      <c r="C192">
        <v>0</v>
      </c>
    </row>
    <row r="193" spans="1:3">
      <c r="A193" s="1">
        <v>40148</v>
      </c>
      <c r="B193">
        <v>696.8</v>
      </c>
      <c r="C193">
        <v>0</v>
      </c>
    </row>
    <row r="194" spans="1:3">
      <c r="A194" s="1">
        <v>40179</v>
      </c>
      <c r="B194">
        <v>750.59999999999991</v>
      </c>
      <c r="C194">
        <v>0</v>
      </c>
    </row>
    <row r="195" spans="1:3">
      <c r="A195" s="1">
        <v>40210</v>
      </c>
      <c r="B195">
        <v>620.40000000000009</v>
      </c>
      <c r="C195">
        <v>0</v>
      </c>
    </row>
    <row r="196" spans="1:3">
      <c r="A196" s="1">
        <v>40238</v>
      </c>
      <c r="B196">
        <v>451.89999999999992</v>
      </c>
      <c r="C196">
        <v>0</v>
      </c>
    </row>
    <row r="197" spans="1:3">
      <c r="A197" s="1">
        <v>40269</v>
      </c>
      <c r="B197">
        <v>243.49999999999989</v>
      </c>
      <c r="C197">
        <v>1.3</v>
      </c>
    </row>
    <row r="198" spans="1:3">
      <c r="A198" s="1">
        <v>40299</v>
      </c>
      <c r="B198">
        <v>110.2</v>
      </c>
      <c r="C198">
        <v>26.100000000000005</v>
      </c>
    </row>
    <row r="199" spans="1:3">
      <c r="A199" s="1">
        <v>40330</v>
      </c>
      <c r="B199">
        <v>38.300000000000004</v>
      </c>
      <c r="C199">
        <v>33.700000000000003</v>
      </c>
    </row>
    <row r="200" spans="1:3">
      <c r="A200" s="1">
        <v>40360</v>
      </c>
      <c r="B200">
        <v>3.4000000000000004</v>
      </c>
      <c r="C200">
        <v>139.79999999999995</v>
      </c>
    </row>
    <row r="201" spans="1:3">
      <c r="A201" s="1">
        <v>40391</v>
      </c>
      <c r="B201">
        <v>10.100000000000001</v>
      </c>
      <c r="C201">
        <v>90.299999999999969</v>
      </c>
    </row>
    <row r="202" spans="1:3">
      <c r="A202" s="1">
        <v>40422</v>
      </c>
      <c r="B202">
        <v>99.40000000000002</v>
      </c>
      <c r="C202">
        <v>29.400000000000002</v>
      </c>
    </row>
    <row r="203" spans="1:3">
      <c r="A203" s="1">
        <v>40452</v>
      </c>
      <c r="B203">
        <v>284.69999999999993</v>
      </c>
      <c r="C203">
        <v>0</v>
      </c>
    </row>
    <row r="204" spans="1:3">
      <c r="A204" s="1">
        <v>40483</v>
      </c>
      <c r="B204">
        <v>451.4</v>
      </c>
      <c r="C204">
        <v>0</v>
      </c>
    </row>
    <row r="205" spans="1:3">
      <c r="A205" s="1">
        <v>40513</v>
      </c>
      <c r="B205">
        <v>713.49999999999989</v>
      </c>
      <c r="C205">
        <v>0</v>
      </c>
    </row>
    <row r="206" spans="1:3">
      <c r="A206" s="1">
        <v>40544</v>
      </c>
      <c r="B206">
        <v>853.19999999999982</v>
      </c>
      <c r="C206">
        <v>0</v>
      </c>
    </row>
    <row r="207" spans="1:3">
      <c r="A207" s="1">
        <v>40575</v>
      </c>
      <c r="B207">
        <v>700.39999999999986</v>
      </c>
      <c r="C207">
        <v>0</v>
      </c>
    </row>
    <row r="208" spans="1:3">
      <c r="A208" s="1">
        <v>40603</v>
      </c>
      <c r="B208">
        <v>595.70000000000016</v>
      </c>
      <c r="C208">
        <v>0</v>
      </c>
    </row>
    <row r="209" spans="1:3">
      <c r="A209" s="1">
        <v>40634</v>
      </c>
      <c r="B209">
        <v>350.99999999999989</v>
      </c>
      <c r="C209">
        <v>0</v>
      </c>
    </row>
    <row r="210" spans="1:3">
      <c r="A210" s="1">
        <v>40664</v>
      </c>
      <c r="B210">
        <v>89.40000000000002</v>
      </c>
      <c r="C210">
        <v>0</v>
      </c>
    </row>
    <row r="211" spans="1:3">
      <c r="A211" s="1">
        <v>40695</v>
      </c>
      <c r="B211" s="9">
        <v>25.2</v>
      </c>
      <c r="C211" s="9">
        <v>24.9</v>
      </c>
    </row>
    <row r="212" spans="1:3">
      <c r="A212" s="1">
        <v>40725</v>
      </c>
      <c r="B212" s="9">
        <v>0</v>
      </c>
      <c r="C212" s="9">
        <v>118.3</v>
      </c>
    </row>
    <row r="213" spans="1:3">
      <c r="A213" s="1">
        <v>40756</v>
      </c>
      <c r="B213" s="9">
        <v>7</v>
      </c>
      <c r="C213" s="9">
        <v>68.2</v>
      </c>
    </row>
    <row r="214" spans="1:3">
      <c r="A214" s="1">
        <v>40787</v>
      </c>
      <c r="B214">
        <v>72.5</v>
      </c>
      <c r="C214">
        <v>24.500000000000004</v>
      </c>
    </row>
    <row r="215" spans="1:3">
      <c r="A215" s="1">
        <v>40817</v>
      </c>
      <c r="B215">
        <v>266.49999999999994</v>
      </c>
      <c r="C215">
        <v>0.5</v>
      </c>
    </row>
    <row r="216" spans="1:3">
      <c r="A216" s="1">
        <v>40848</v>
      </c>
      <c r="B216">
        <v>394.7</v>
      </c>
      <c r="C216">
        <v>0</v>
      </c>
    </row>
    <row r="217" spans="1:3">
      <c r="A217" s="1">
        <v>40878</v>
      </c>
      <c r="B217">
        <v>623.09999999999991</v>
      </c>
      <c r="C217">
        <v>0</v>
      </c>
    </row>
    <row r="218" spans="1:3">
      <c r="A218" s="1">
        <v>40909</v>
      </c>
      <c r="B218">
        <v>712.69999999999993</v>
      </c>
      <c r="C218">
        <v>0</v>
      </c>
    </row>
    <row r="219" spans="1:3">
      <c r="A219" s="1">
        <v>40940</v>
      </c>
      <c r="B219">
        <v>604.40000000000009</v>
      </c>
      <c r="C219">
        <v>0</v>
      </c>
    </row>
    <row r="220" spans="1:3">
      <c r="A220" s="1">
        <v>40969</v>
      </c>
      <c r="B220">
        <v>412.19999999999993</v>
      </c>
      <c r="C220">
        <v>0</v>
      </c>
    </row>
    <row r="221" spans="1:3">
      <c r="A221" s="1">
        <v>41000</v>
      </c>
      <c r="B221">
        <v>358.9</v>
      </c>
      <c r="C221">
        <v>0.8</v>
      </c>
    </row>
    <row r="222" spans="1:3">
      <c r="A222" s="1">
        <v>41030</v>
      </c>
      <c r="B222">
        <v>94.000000000000014</v>
      </c>
      <c r="C222">
        <v>20.100000000000001</v>
      </c>
    </row>
    <row r="223" spans="1:3">
      <c r="A223" s="1">
        <v>41061</v>
      </c>
      <c r="B223">
        <v>41.300000000000004</v>
      </c>
      <c r="C223">
        <v>51.8</v>
      </c>
    </row>
    <row r="224" spans="1:3">
      <c r="A224" s="1">
        <v>41091</v>
      </c>
      <c r="B224">
        <v>0.2</v>
      </c>
      <c r="C224">
        <v>120.69999999999996</v>
      </c>
    </row>
    <row r="225" spans="1:3">
      <c r="A225" s="1">
        <v>41122</v>
      </c>
      <c r="B225">
        <v>7.3000000000000007</v>
      </c>
      <c r="C225">
        <v>84.899999999999977</v>
      </c>
    </row>
    <row r="226" spans="1:3">
      <c r="A226" s="1">
        <v>41153</v>
      </c>
      <c r="B226">
        <v>106.30000000000003</v>
      </c>
      <c r="C226">
        <v>20.200000000000003</v>
      </c>
    </row>
    <row r="227" spans="1:3">
      <c r="A227" s="1">
        <v>41183</v>
      </c>
      <c r="B227">
        <v>259.09999999999991</v>
      </c>
      <c r="C227">
        <v>0</v>
      </c>
    </row>
    <row r="228" spans="1:3">
      <c r="A228" s="1">
        <v>41214</v>
      </c>
      <c r="B228">
        <v>498.9</v>
      </c>
      <c r="C228">
        <v>0</v>
      </c>
    </row>
    <row r="229" spans="1:3">
      <c r="A229" s="1">
        <v>41244</v>
      </c>
      <c r="B229">
        <v>625.19999999999993</v>
      </c>
      <c r="C229">
        <v>0</v>
      </c>
    </row>
    <row r="230" spans="1:3">
      <c r="A230" s="1">
        <v>41275</v>
      </c>
      <c r="B230">
        <v>743.9</v>
      </c>
      <c r="C230">
        <v>0</v>
      </c>
    </row>
    <row r="231" spans="1:3">
      <c r="A231" s="1">
        <v>41306</v>
      </c>
      <c r="B231">
        <v>693.5</v>
      </c>
      <c r="C231">
        <v>0</v>
      </c>
    </row>
    <row r="232" spans="1:3">
      <c r="A232" s="1">
        <v>41334</v>
      </c>
      <c r="B232">
        <v>588.30000000000018</v>
      </c>
      <c r="C232">
        <v>0</v>
      </c>
    </row>
    <row r="233" spans="1:3">
      <c r="A233" s="1">
        <v>41365</v>
      </c>
      <c r="B233">
        <v>348.59999999999991</v>
      </c>
      <c r="C233">
        <v>0</v>
      </c>
    </row>
    <row r="234" spans="1:3">
      <c r="A234" s="1">
        <v>41395</v>
      </c>
      <c r="B234">
        <v>139.70000000000002</v>
      </c>
      <c r="C234">
        <v>6.3</v>
      </c>
    </row>
    <row r="235" spans="1:3">
      <c r="A235" s="1">
        <v>41426</v>
      </c>
      <c r="B235">
        <v>72.200000000000017</v>
      </c>
      <c r="C235">
        <v>20.700000000000003</v>
      </c>
    </row>
    <row r="236" spans="1:3">
      <c r="A236" s="1">
        <v>41456</v>
      </c>
      <c r="B236">
        <v>4.8</v>
      </c>
      <c r="C236">
        <v>97.09999999999998</v>
      </c>
    </row>
    <row r="237" spans="1:3">
      <c r="A237" s="1">
        <v>41487</v>
      </c>
      <c r="B237">
        <v>7.7</v>
      </c>
      <c r="C237">
        <v>57.199999999999989</v>
      </c>
    </row>
    <row r="238" spans="1:3">
      <c r="A238" s="1">
        <v>41518</v>
      </c>
      <c r="B238">
        <v>118.4</v>
      </c>
      <c r="C238">
        <v>16.5</v>
      </c>
    </row>
    <row r="239" spans="1:3">
      <c r="A239" s="1">
        <v>41548</v>
      </c>
      <c r="B239">
        <v>235.69999999999996</v>
      </c>
      <c r="C239">
        <v>1.5</v>
      </c>
    </row>
    <row r="240" spans="1:3">
      <c r="A240" s="1">
        <v>41579</v>
      </c>
      <c r="B240">
        <v>501.50000000000006</v>
      </c>
      <c r="C240">
        <v>0</v>
      </c>
    </row>
    <row r="241" spans="1:3">
      <c r="A241" s="1">
        <v>41609</v>
      </c>
      <c r="B241">
        <v>756.99999999999977</v>
      </c>
      <c r="C241">
        <v>0</v>
      </c>
    </row>
    <row r="242" spans="1:3">
      <c r="A242" s="1">
        <v>41640</v>
      </c>
      <c r="B242">
        <v>844.5</v>
      </c>
      <c r="C242">
        <v>0</v>
      </c>
    </row>
    <row r="243" spans="1:3">
      <c r="A243" s="1">
        <v>41671</v>
      </c>
      <c r="B243">
        <v>740.9</v>
      </c>
      <c r="C243">
        <v>0</v>
      </c>
    </row>
    <row r="244" spans="1:3">
      <c r="A244" s="1">
        <v>41699</v>
      </c>
      <c r="B244">
        <v>720.2</v>
      </c>
      <c r="C244">
        <v>0</v>
      </c>
    </row>
    <row r="245" spans="1:3">
      <c r="A245" s="1">
        <v>41730</v>
      </c>
      <c r="B245">
        <v>352.1</v>
      </c>
      <c r="C245">
        <v>0</v>
      </c>
    </row>
    <row r="246" spans="1:3">
      <c r="A246" s="1">
        <v>41760</v>
      </c>
      <c r="B246">
        <v>127.7</v>
      </c>
      <c r="C246">
        <v>12.4</v>
      </c>
    </row>
    <row r="247" spans="1:3">
      <c r="A247" s="1">
        <v>41791</v>
      </c>
      <c r="B247">
        <v>25.7</v>
      </c>
      <c r="C247">
        <v>47.4</v>
      </c>
    </row>
    <row r="248" spans="1:3">
      <c r="A248" s="1">
        <v>41821</v>
      </c>
      <c r="B248">
        <v>10.6</v>
      </c>
      <c r="C248">
        <v>55.9</v>
      </c>
    </row>
    <row r="249" spans="1:3">
      <c r="A249" s="1">
        <v>41852</v>
      </c>
      <c r="B249">
        <v>19</v>
      </c>
      <c r="C249">
        <v>52</v>
      </c>
    </row>
    <row r="250" spans="1:3">
      <c r="A250" s="1">
        <v>41883</v>
      </c>
      <c r="B250">
        <v>90.5</v>
      </c>
      <c r="C250">
        <v>25.4</v>
      </c>
    </row>
    <row r="251" spans="1:3">
      <c r="A251" s="1">
        <v>41913</v>
      </c>
      <c r="B251">
        <v>225.6</v>
      </c>
      <c r="C251">
        <v>1.8</v>
      </c>
    </row>
    <row r="252" spans="1:3">
      <c r="A252" s="1">
        <v>41944</v>
      </c>
      <c r="B252">
        <v>491.6</v>
      </c>
      <c r="C252">
        <v>0</v>
      </c>
    </row>
    <row r="253" spans="1:3">
      <c r="A253" s="1">
        <v>41974</v>
      </c>
      <c r="B253">
        <v>619.9</v>
      </c>
      <c r="C253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/>
  </sheetViews>
  <sheetFormatPr defaultColWidth="9.140625" defaultRowHeight="12.75"/>
  <cols>
    <col min="1" max="1" width="68.42578125" style="30" bestFit="1" customWidth="1"/>
    <col min="2" max="2" width="13.28515625" style="30" bestFit="1" customWidth="1"/>
    <col min="3" max="5" width="13.7109375" style="30" bestFit="1" customWidth="1"/>
    <col min="6" max="8" width="14.42578125" style="30" bestFit="1" customWidth="1"/>
    <col min="9" max="10" width="14.85546875" style="30" bestFit="1" customWidth="1"/>
    <col min="11" max="11" width="14.42578125" style="30" bestFit="1" customWidth="1"/>
    <col min="12" max="13" width="14.85546875" style="30" bestFit="1" customWidth="1"/>
    <col min="14" max="14" width="9.140625" style="30"/>
    <col min="15" max="15" width="11.7109375" style="30" bestFit="1" customWidth="1"/>
    <col min="16" max="16384" width="9.140625" style="30"/>
  </cols>
  <sheetData>
    <row r="1" spans="1:27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27">
      <c r="A2" s="74" t="s">
        <v>179</v>
      </c>
      <c r="B2" s="74">
        <v>2009</v>
      </c>
      <c r="C2" s="74">
        <v>2010</v>
      </c>
      <c r="D2" s="74">
        <v>2011</v>
      </c>
      <c r="E2" s="74">
        <v>2012</v>
      </c>
      <c r="F2" s="74">
        <v>2013</v>
      </c>
      <c r="G2" s="74">
        <v>2014</v>
      </c>
      <c r="H2" s="74">
        <v>2015</v>
      </c>
      <c r="I2" s="74">
        <v>2016</v>
      </c>
      <c r="J2" s="74">
        <v>2017</v>
      </c>
      <c r="K2" s="74">
        <v>2018</v>
      </c>
      <c r="L2" s="74">
        <v>2019</v>
      </c>
      <c r="M2" s="74">
        <v>2020</v>
      </c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27" ht="15">
      <c r="A3" s="75" t="s">
        <v>180</v>
      </c>
      <c r="B3" s="99">
        <v>258079.21812710026</v>
      </c>
      <c r="C3" s="99">
        <v>505604.05151086615</v>
      </c>
      <c r="D3" s="99">
        <v>505604.05151086615</v>
      </c>
      <c r="E3" s="99">
        <v>504460.54298790556</v>
      </c>
      <c r="F3" s="99">
        <v>473728.86872915045</v>
      </c>
      <c r="G3" s="99">
        <v>376734.39521936764</v>
      </c>
      <c r="H3" s="99">
        <v>329319.42198716803</v>
      </c>
      <c r="I3" s="99">
        <v>328284.86129872652</v>
      </c>
      <c r="J3" s="99">
        <v>261911.8570510759</v>
      </c>
      <c r="K3" s="99">
        <v>261911.8570510759</v>
      </c>
      <c r="L3" s="99">
        <v>226227.74087909621</v>
      </c>
      <c r="M3" s="99">
        <v>226163.96103314386</v>
      </c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27" ht="15">
      <c r="A4" s="75" t="s">
        <v>181</v>
      </c>
      <c r="B4" s="99"/>
      <c r="C4" s="99">
        <v>176590.02795359696</v>
      </c>
      <c r="D4" s="99">
        <v>342383.9360958882</v>
      </c>
      <c r="E4" s="99">
        <v>339889.6387007102</v>
      </c>
      <c r="F4" s="99">
        <v>338947.24307090783</v>
      </c>
      <c r="G4" s="99">
        <v>313908.64148591651</v>
      </c>
      <c r="H4" s="99">
        <v>212305.15997988035</v>
      </c>
      <c r="I4" s="99">
        <v>203069.68140192828</v>
      </c>
      <c r="J4" s="99">
        <v>203069.68140192828</v>
      </c>
      <c r="K4" s="99">
        <v>202309.3872396285</v>
      </c>
      <c r="L4" s="99">
        <v>110021.75782230031</v>
      </c>
      <c r="M4" s="99">
        <v>94821.570593297569</v>
      </c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ht="15">
      <c r="A5" s="75" t="s">
        <v>182</v>
      </c>
      <c r="B5" s="99"/>
      <c r="C5" s="99"/>
      <c r="D5" s="99">
        <v>259175.21868655752</v>
      </c>
      <c r="E5" s="99">
        <v>518350.43737311504</v>
      </c>
      <c r="F5" s="99">
        <v>518350.43737311504</v>
      </c>
      <c r="G5" s="99">
        <v>516845.59338506463</v>
      </c>
      <c r="H5" s="99">
        <v>478543.88628608891</v>
      </c>
      <c r="I5" s="99">
        <v>401921.62019794108</v>
      </c>
      <c r="J5" s="99">
        <v>348519.15696424112</v>
      </c>
      <c r="K5" s="99">
        <v>347791.32569697214</v>
      </c>
      <c r="L5" s="99">
        <v>390852.95170851401</v>
      </c>
      <c r="M5" s="99">
        <v>256088.29460278258</v>
      </c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ht="15">
      <c r="A6" s="75" t="s">
        <v>183</v>
      </c>
      <c r="B6" s="99"/>
      <c r="C6" s="99"/>
      <c r="D6" s="99"/>
      <c r="E6" s="99">
        <v>170805.37694206584</v>
      </c>
      <c r="F6" s="99">
        <v>341610.75425034255</v>
      </c>
      <c r="G6" s="99">
        <v>341610.75425034255</v>
      </c>
      <c r="H6" s="99">
        <v>338452.82844285696</v>
      </c>
      <c r="I6" s="99">
        <v>294604.98507918062</v>
      </c>
      <c r="J6" s="99">
        <v>250166.71519501388</v>
      </c>
      <c r="K6" s="99">
        <v>212667.03191332149</v>
      </c>
      <c r="L6" s="99">
        <v>212435.89799124471</v>
      </c>
      <c r="M6" s="99">
        <v>195367.89799124465</v>
      </c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7" ht="15">
      <c r="A7" s="75" t="s">
        <v>184</v>
      </c>
      <c r="B7" s="99"/>
      <c r="C7" s="99"/>
      <c r="D7" s="99"/>
      <c r="E7" s="99"/>
      <c r="F7" s="99">
        <v>248315.57751024087</v>
      </c>
      <c r="G7" s="99">
        <v>491100.49605441676</v>
      </c>
      <c r="H7" s="99">
        <v>482576.25401830074</v>
      </c>
      <c r="I7" s="99">
        <v>436701.22777200723</v>
      </c>
      <c r="J7" s="99">
        <v>418741.67027054314</v>
      </c>
      <c r="K7" s="99">
        <v>396720.77344885626</v>
      </c>
      <c r="L7" s="99">
        <v>388462.7544211463</v>
      </c>
      <c r="M7" s="99">
        <v>386783.92020940705</v>
      </c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7" ht="15">
      <c r="A8" s="75" t="s">
        <v>185</v>
      </c>
      <c r="B8" s="99"/>
      <c r="C8" s="99"/>
      <c r="D8" s="99"/>
      <c r="E8" s="99"/>
      <c r="F8" s="99"/>
      <c r="G8" s="99">
        <v>495314.92701998318</v>
      </c>
      <c r="H8" s="99">
        <v>981394.01415130869</v>
      </c>
      <c r="I8" s="99">
        <v>935729.84348382754</v>
      </c>
      <c r="J8" s="99">
        <v>806637.26040436246</v>
      </c>
      <c r="K8" s="99">
        <v>778701.35254416359</v>
      </c>
      <c r="L8" s="99">
        <v>768088.01537309051</v>
      </c>
      <c r="M8" s="99">
        <v>765931.12419487105</v>
      </c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</row>
    <row r="9" spans="1:27" ht="15">
      <c r="A9" s="75" t="s">
        <v>186</v>
      </c>
      <c r="B9" s="99"/>
      <c r="C9" s="99"/>
      <c r="D9" s="99"/>
      <c r="E9" s="99"/>
      <c r="F9" s="99"/>
      <c r="G9" s="99"/>
      <c r="H9" s="99">
        <v>182626.38354928492</v>
      </c>
      <c r="I9" s="99">
        <v>443733.51905252738</v>
      </c>
      <c r="J9" s="99">
        <v>555362.42315632151</v>
      </c>
      <c r="K9" s="99">
        <v>622675.54621197213</v>
      </c>
      <c r="L9" s="99">
        <v>692022.30677957775</v>
      </c>
      <c r="M9" s="99">
        <v>763402.70485913823</v>
      </c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</row>
    <row r="10" spans="1:27" ht="15">
      <c r="A10" s="75" t="s">
        <v>187</v>
      </c>
      <c r="B10" s="93">
        <v>258079.21812710026</v>
      </c>
      <c r="C10" s="93">
        <v>682194.07946446305</v>
      </c>
      <c r="D10" s="93">
        <v>1107163.2062933119</v>
      </c>
      <c r="E10" s="93">
        <v>1533505.9960037966</v>
      </c>
      <c r="F10" s="93">
        <v>1920952.8809337567</v>
      </c>
      <c r="G10" s="93">
        <v>2535514.8074150914</v>
      </c>
      <c r="H10" s="93">
        <v>3005217.9484148887</v>
      </c>
      <c r="I10" s="93">
        <v>3044045.738286139</v>
      </c>
      <c r="J10" s="93">
        <v>2844408.7644434865</v>
      </c>
      <c r="K10" s="93">
        <v>2822777.2741059903</v>
      </c>
      <c r="L10" s="93">
        <v>2788111.4249749696</v>
      </c>
      <c r="M10" s="93">
        <v>2688559.4734838847</v>
      </c>
      <c r="N10" s="94"/>
      <c r="O10" s="94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</row>
    <row r="11" spans="1:27">
      <c r="A11" s="2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 spans="1:27">
      <c r="A12" s="74" t="s">
        <v>188</v>
      </c>
      <c r="B12" s="74">
        <v>2009</v>
      </c>
      <c r="C12" s="74">
        <v>2010</v>
      </c>
      <c r="D12" s="74">
        <v>2011</v>
      </c>
      <c r="E12" s="74">
        <v>2012</v>
      </c>
      <c r="F12" s="74">
        <v>2013</v>
      </c>
      <c r="G12" s="74">
        <v>2014</v>
      </c>
      <c r="H12" s="74">
        <v>2015</v>
      </c>
      <c r="I12" s="74">
        <v>2016</v>
      </c>
      <c r="J12" s="74">
        <v>2017</v>
      </c>
      <c r="K12" s="74">
        <v>2018</v>
      </c>
      <c r="L12" s="74">
        <v>2019</v>
      </c>
      <c r="M12" s="74">
        <v>2020</v>
      </c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</row>
    <row r="13" spans="1:27" ht="15">
      <c r="A13" s="75" t="s">
        <v>180</v>
      </c>
      <c r="B13" s="99">
        <v>341521.75913147489</v>
      </c>
      <c r="C13" s="99">
        <v>683043.51826294977</v>
      </c>
      <c r="D13" s="99">
        <v>683043.51826294977</v>
      </c>
      <c r="E13" s="99">
        <v>683043.51826294977</v>
      </c>
      <c r="F13" s="99">
        <v>683043.51826294977</v>
      </c>
      <c r="G13" s="99">
        <v>683043.51826294977</v>
      </c>
      <c r="H13" s="99">
        <v>683043.51826294977</v>
      </c>
      <c r="I13" s="99">
        <v>683043.51826294977</v>
      </c>
      <c r="J13" s="99">
        <v>384702.67120560509</v>
      </c>
      <c r="K13" s="99">
        <v>0</v>
      </c>
      <c r="L13" s="99">
        <v>0</v>
      </c>
      <c r="M13" s="99">
        <v>0</v>
      </c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spans="1:27" ht="15">
      <c r="A14" s="75" t="s">
        <v>181</v>
      </c>
      <c r="B14" s="99"/>
      <c r="C14" s="99">
        <v>269706.18447509001</v>
      </c>
      <c r="D14" s="99">
        <v>539412.36895018001</v>
      </c>
      <c r="E14" s="99">
        <v>539412.36895018001</v>
      </c>
      <c r="F14" s="99">
        <v>539412.36895018001</v>
      </c>
      <c r="G14" s="99">
        <v>539412.36895018001</v>
      </c>
      <c r="H14" s="99">
        <v>539412.36895018001</v>
      </c>
      <c r="I14" s="99">
        <v>539412.36895018001</v>
      </c>
      <c r="J14" s="99">
        <v>364051.28221036796</v>
      </c>
      <c r="K14" s="99">
        <v>0</v>
      </c>
      <c r="L14" s="99">
        <v>0</v>
      </c>
      <c r="M14" s="99">
        <v>0</v>
      </c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1:27" ht="15">
      <c r="A15" s="75" t="s">
        <v>182</v>
      </c>
      <c r="B15" s="99"/>
      <c r="C15" s="99"/>
      <c r="D15" s="99">
        <v>332629.70705580758</v>
      </c>
      <c r="E15" s="99">
        <v>665259.41411161516</v>
      </c>
      <c r="F15" s="99">
        <v>664680.61727180087</v>
      </c>
      <c r="G15" s="99">
        <v>608446.44148929615</v>
      </c>
      <c r="H15" s="99">
        <v>608446.44148929615</v>
      </c>
      <c r="I15" s="99">
        <v>608446.44148929615</v>
      </c>
      <c r="J15" s="99">
        <v>456298.80260920519</v>
      </c>
      <c r="K15" s="99">
        <v>454572.26577393396</v>
      </c>
      <c r="L15" s="99">
        <v>454572.26577393396</v>
      </c>
      <c r="M15" s="99">
        <v>351000.35161120637</v>
      </c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</row>
    <row r="16" spans="1:27" ht="15">
      <c r="A16" s="75" t="s">
        <v>183</v>
      </c>
      <c r="B16" s="99"/>
      <c r="C16" s="99"/>
      <c r="D16" s="99"/>
      <c r="E16" s="99">
        <v>607739.2566490632</v>
      </c>
      <c r="F16" s="99">
        <v>1215478.5132981283</v>
      </c>
      <c r="G16" s="99">
        <v>1199008.9875823504</v>
      </c>
      <c r="H16" s="99">
        <v>938490.47514653509</v>
      </c>
      <c r="I16" s="99">
        <v>913314.220683972</v>
      </c>
      <c r="J16" s="99">
        <v>402560.47244965931</v>
      </c>
      <c r="K16" s="99">
        <v>401953.76436251891</v>
      </c>
      <c r="L16" s="99">
        <v>401818.88685420895</v>
      </c>
      <c r="M16" s="99">
        <v>396974.93492728006</v>
      </c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</row>
    <row r="17" spans="1:27" ht="15">
      <c r="A17" s="75" t="s">
        <v>184</v>
      </c>
      <c r="B17" s="99"/>
      <c r="C17" s="99"/>
      <c r="D17" s="99"/>
      <c r="E17" s="99"/>
      <c r="F17" s="99">
        <v>216710.89344552389</v>
      </c>
      <c r="G17" s="99">
        <v>433421.78689104778</v>
      </c>
      <c r="H17" s="99">
        <v>428206.77077668183</v>
      </c>
      <c r="I17" s="99">
        <v>380678.39256023319</v>
      </c>
      <c r="J17" s="99">
        <v>306323.51801151602</v>
      </c>
      <c r="K17" s="99">
        <v>305753.45893553353</v>
      </c>
      <c r="L17" s="99">
        <v>305753.45893553353</v>
      </c>
      <c r="M17" s="99">
        <v>297321.30767926335</v>
      </c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ht="15">
      <c r="A18" s="75" t="s">
        <v>185</v>
      </c>
      <c r="B18" s="99"/>
      <c r="C18" s="99"/>
      <c r="D18" s="99"/>
      <c r="E18" s="99"/>
      <c r="F18" s="99"/>
      <c r="G18" s="99">
        <v>419901.87126429088</v>
      </c>
      <c r="H18" s="99">
        <v>794193.86610480642</v>
      </c>
      <c r="I18" s="99">
        <v>763907.53476856009</v>
      </c>
      <c r="J18" s="99">
        <v>632366.79771416693</v>
      </c>
      <c r="K18" s="99">
        <v>567031.94570656831</v>
      </c>
      <c r="L18" s="99">
        <v>567031.94570656831</v>
      </c>
      <c r="M18" s="99">
        <v>563792.78044295707</v>
      </c>
      <c r="N18" s="94"/>
      <c r="O18" s="94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</row>
    <row r="19" spans="1:27" ht="15">
      <c r="A19" s="75" t="s">
        <v>186</v>
      </c>
      <c r="B19" s="99"/>
      <c r="C19" s="99"/>
      <c r="D19" s="99"/>
      <c r="E19" s="99"/>
      <c r="F19" s="99"/>
      <c r="G19" s="99"/>
      <c r="H19" s="99">
        <v>162136.39279650967</v>
      </c>
      <c r="I19" s="99">
        <v>721840.77288230229</v>
      </c>
      <c r="J19" s="99">
        <v>1556988.5206721174</v>
      </c>
      <c r="K19" s="99">
        <v>2477681.051013269</v>
      </c>
      <c r="L19" s="99">
        <v>3476867.3306674063</v>
      </c>
      <c r="M19" s="99">
        <v>4548070.7360211285</v>
      </c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spans="1:27" ht="15">
      <c r="A20" s="75" t="s">
        <v>187</v>
      </c>
      <c r="B20" s="93">
        <v>341521.75913147489</v>
      </c>
      <c r="C20" s="93">
        <v>952749.70273803978</v>
      </c>
      <c r="D20" s="93">
        <v>1555085.5942689374</v>
      </c>
      <c r="E20" s="93">
        <v>2495454.5579738081</v>
      </c>
      <c r="F20" s="93">
        <v>3319325.9112285827</v>
      </c>
      <c r="G20" s="93">
        <v>3883234.9744401155</v>
      </c>
      <c r="H20" s="93">
        <v>4153929.8335269587</v>
      </c>
      <c r="I20" s="93">
        <v>4610643.2495974936</v>
      </c>
      <c r="J20" s="93">
        <v>4103292.0648726379</v>
      </c>
      <c r="K20" s="93">
        <v>4206992.4857918238</v>
      </c>
      <c r="L20" s="93">
        <v>5206043.887937651</v>
      </c>
      <c r="M20" s="93">
        <v>6157160.1106818356</v>
      </c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spans="1:27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1:27">
      <c r="A22" s="74" t="s">
        <v>189</v>
      </c>
      <c r="B22" s="74">
        <v>2009</v>
      </c>
      <c r="C22" s="74">
        <v>2010</v>
      </c>
      <c r="D22" s="74">
        <v>2011</v>
      </c>
      <c r="E22" s="74">
        <v>2012</v>
      </c>
      <c r="F22" s="74">
        <v>2013</v>
      </c>
      <c r="G22" s="74">
        <v>2014</v>
      </c>
      <c r="H22" s="74">
        <v>2015</v>
      </c>
      <c r="I22" s="74">
        <v>2016</v>
      </c>
      <c r="J22" s="74">
        <v>2017</v>
      </c>
      <c r="K22" s="74">
        <v>2018</v>
      </c>
      <c r="L22" s="74">
        <v>2019</v>
      </c>
      <c r="M22" s="74">
        <v>2020</v>
      </c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27" ht="15">
      <c r="A23" s="75" t="s">
        <v>180</v>
      </c>
      <c r="B23" s="99">
        <v>640448.99242075463</v>
      </c>
      <c r="C23" s="99">
        <v>718664.87270786322</v>
      </c>
      <c r="D23" s="99">
        <v>718664.87270786322</v>
      </c>
      <c r="E23" s="99">
        <v>718664.87270786322</v>
      </c>
      <c r="F23" s="99">
        <v>718664.87270786322</v>
      </c>
      <c r="G23" s="99">
        <v>718664.87270786322</v>
      </c>
      <c r="H23" s="99">
        <v>570233.2937605154</v>
      </c>
      <c r="I23" s="99">
        <v>467085.92533944215</v>
      </c>
      <c r="J23" s="99">
        <v>467085.92533944215</v>
      </c>
      <c r="K23" s="99">
        <v>467085.92533944215</v>
      </c>
      <c r="L23" s="99">
        <v>389812.06170305633</v>
      </c>
      <c r="M23" s="99">
        <v>60381.37988489672</v>
      </c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1:27" ht="15">
      <c r="A24" s="75" t="s">
        <v>181</v>
      </c>
      <c r="B24" s="99"/>
      <c r="C24" s="99">
        <v>698425.10604095156</v>
      </c>
      <c r="D24" s="99">
        <v>436954.46521984925</v>
      </c>
      <c r="E24" s="99">
        <v>436954.46521984925</v>
      </c>
      <c r="F24" s="99">
        <v>436954.46521984925</v>
      </c>
      <c r="G24" s="99">
        <v>436954.46521984925</v>
      </c>
      <c r="H24" s="99">
        <v>436954.46521984925</v>
      </c>
      <c r="I24" s="99">
        <v>436954.46521984925</v>
      </c>
      <c r="J24" s="99">
        <v>436954.46521984925</v>
      </c>
      <c r="K24" s="99">
        <v>434367.597254753</v>
      </c>
      <c r="L24" s="99">
        <v>250053.25474166201</v>
      </c>
      <c r="M24" s="99">
        <v>196160.17213547786</v>
      </c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1:27" ht="15">
      <c r="A25" s="75" t="s">
        <v>182</v>
      </c>
      <c r="B25" s="99"/>
      <c r="C25" s="99"/>
      <c r="D25" s="99">
        <v>609272.08906501881</v>
      </c>
      <c r="E25" s="99">
        <v>1218544.1781300376</v>
      </c>
      <c r="F25" s="99">
        <v>1218538.7688137775</v>
      </c>
      <c r="G25" s="99">
        <v>1217521.0285001916</v>
      </c>
      <c r="H25" s="99">
        <v>1217521.0285001916</v>
      </c>
      <c r="I25" s="99">
        <v>1167168.5195750655</v>
      </c>
      <c r="J25" s="99">
        <v>1160690.0654416622</v>
      </c>
      <c r="K25" s="99">
        <v>1160673.9295833888</v>
      </c>
      <c r="L25" s="99">
        <v>1160673.9295833888</v>
      </c>
      <c r="M25" s="99">
        <v>870425.9801885183</v>
      </c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5">
      <c r="A26" s="75" t="s">
        <v>183</v>
      </c>
      <c r="B26" s="99"/>
      <c r="C26" s="99"/>
      <c r="D26" s="99"/>
      <c r="E26" s="99">
        <v>1403512.9436610842</v>
      </c>
      <c r="F26" s="99">
        <v>2807025.8873221683</v>
      </c>
      <c r="G26" s="99">
        <v>2730595.997369309</v>
      </c>
      <c r="H26" s="99">
        <v>2611580.1322963592</v>
      </c>
      <c r="I26" s="99">
        <v>2460522.6055209809</v>
      </c>
      <c r="J26" s="99">
        <v>2150344.7675654688</v>
      </c>
      <c r="K26" s="99">
        <v>2143603.5351029313</v>
      </c>
      <c r="L26" s="99">
        <v>2143596.1647472861</v>
      </c>
      <c r="M26" s="99">
        <v>2089774.2252200027</v>
      </c>
      <c r="N26" s="94"/>
      <c r="O26" s="94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</row>
    <row r="27" spans="1:27" ht="15">
      <c r="A27" s="75" t="s">
        <v>184</v>
      </c>
      <c r="B27" s="99"/>
      <c r="C27" s="99"/>
      <c r="D27" s="99"/>
      <c r="E27" s="99"/>
      <c r="F27" s="99">
        <v>787930.86230717774</v>
      </c>
      <c r="G27" s="99">
        <v>1568449.7786143557</v>
      </c>
      <c r="H27" s="99">
        <v>1566635.8599658804</v>
      </c>
      <c r="I27" s="99">
        <v>1481585.8988206347</v>
      </c>
      <c r="J27" s="99">
        <v>1348682.1463392228</v>
      </c>
      <c r="K27" s="99">
        <v>1345799.7093618636</v>
      </c>
      <c r="L27" s="99">
        <v>1345799.7093618636</v>
      </c>
      <c r="M27" s="99">
        <v>1303163.5237386962</v>
      </c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 spans="1:27" ht="15">
      <c r="A28" s="75" t="s">
        <v>185</v>
      </c>
      <c r="B28" s="99"/>
      <c r="C28" s="99"/>
      <c r="D28" s="99"/>
      <c r="E28" s="99"/>
      <c r="F28" s="99"/>
      <c r="G28" s="99">
        <v>861677.44916610268</v>
      </c>
      <c r="H28" s="99">
        <v>1617067.8611947901</v>
      </c>
      <c r="I28" s="99">
        <v>1607506.4225846645</v>
      </c>
      <c r="J28" s="99">
        <v>1541400.2633697928</v>
      </c>
      <c r="K28" s="99">
        <v>1280121.5595779642</v>
      </c>
      <c r="L28" s="99">
        <v>1280121.5595779642</v>
      </c>
      <c r="M28" s="99">
        <v>1270373.5277261906</v>
      </c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 spans="1:27" ht="15">
      <c r="A29" s="75" t="s">
        <v>186</v>
      </c>
      <c r="B29" s="99"/>
      <c r="C29" s="99"/>
      <c r="D29" s="99"/>
      <c r="E29" s="99"/>
      <c r="F29" s="99"/>
      <c r="G29" s="99"/>
      <c r="H29" s="99">
        <v>731833.82723571139</v>
      </c>
      <c r="I29" s="99">
        <v>2644882.6434371294</v>
      </c>
      <c r="J29" s="99">
        <v>5126000.831478402</v>
      </c>
      <c r="K29" s="99">
        <v>7871812.5005759001</v>
      </c>
      <c r="L29" s="99">
        <v>10846836.980099581</v>
      </c>
      <c r="M29" s="99">
        <v>14044597.646436043</v>
      </c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1:27" ht="15">
      <c r="A30" s="75" t="s">
        <v>187</v>
      </c>
      <c r="B30" s="93">
        <v>640448.99242075463</v>
      </c>
      <c r="C30" s="93">
        <v>1417089.9787488147</v>
      </c>
      <c r="D30" s="93">
        <v>1764891.4269927314</v>
      </c>
      <c r="E30" s="93">
        <v>3777676.4597188346</v>
      </c>
      <c r="F30" s="93">
        <v>5969114.8563708365</v>
      </c>
      <c r="G30" s="93">
        <v>7533863.5915776715</v>
      </c>
      <c r="H30" s="93">
        <v>8751826.4681732971</v>
      </c>
      <c r="I30" s="93">
        <v>10265706.480497766</v>
      </c>
      <c r="J30" s="93">
        <v>12231158.46475384</v>
      </c>
      <c r="K30" s="93">
        <v>14703464.756796243</v>
      </c>
      <c r="L30" s="93">
        <v>17416893.659814801</v>
      </c>
      <c r="M30" s="93">
        <v>19834876.455329828</v>
      </c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1:27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74" t="s">
        <v>190</v>
      </c>
      <c r="B32" s="74">
        <v>2009</v>
      </c>
      <c r="C32" s="74">
        <v>2010</v>
      </c>
      <c r="D32" s="74">
        <v>2011</v>
      </c>
      <c r="E32" s="74">
        <v>2012</v>
      </c>
      <c r="F32" s="74">
        <v>2013</v>
      </c>
      <c r="G32" s="74">
        <v>2014</v>
      </c>
      <c r="H32" s="74">
        <v>2015</v>
      </c>
      <c r="I32" s="74">
        <v>2016</v>
      </c>
      <c r="J32" s="74">
        <v>2017</v>
      </c>
      <c r="K32" s="74">
        <v>2018</v>
      </c>
      <c r="L32" s="74">
        <v>2019</v>
      </c>
      <c r="M32" s="74">
        <v>2020</v>
      </c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27">
      <c r="A33" s="75" t="s">
        <v>180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27">
      <c r="A34" s="75" t="s">
        <v>181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94"/>
      <c r="O34" s="94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</row>
    <row r="35" spans="1:27" ht="15">
      <c r="A35" s="75" t="s">
        <v>182</v>
      </c>
      <c r="B35" s="76"/>
      <c r="C35" s="76"/>
      <c r="D35" s="99">
        <v>617444.24766883871</v>
      </c>
      <c r="E35" s="99">
        <v>1234888.4953376774</v>
      </c>
      <c r="F35" s="99">
        <v>1234888.4953376774</v>
      </c>
      <c r="G35" s="99">
        <v>1234679.7210905638</v>
      </c>
      <c r="H35" s="99">
        <v>1234679.7210905636</v>
      </c>
      <c r="I35" s="99">
        <v>1234679.7210905636</v>
      </c>
      <c r="J35" s="99">
        <v>1232534.8671232576</v>
      </c>
      <c r="K35" s="99">
        <v>1232534.8671232576</v>
      </c>
      <c r="L35" s="99">
        <v>1232534.8671232576</v>
      </c>
      <c r="M35" s="99">
        <v>1109829.1097225861</v>
      </c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27" ht="15">
      <c r="A36" s="75" t="s">
        <v>183</v>
      </c>
      <c r="B36" s="76"/>
      <c r="C36" s="76"/>
      <c r="D36" s="99"/>
      <c r="E36" s="99">
        <v>306737.12583040661</v>
      </c>
      <c r="F36" s="99">
        <v>605058.57866081328</v>
      </c>
      <c r="G36" s="99">
        <v>596959.27131634112</v>
      </c>
      <c r="H36" s="99">
        <v>585723.39943386614</v>
      </c>
      <c r="I36" s="99">
        <v>585723.39943386614</v>
      </c>
      <c r="J36" s="99">
        <v>555454.94731698581</v>
      </c>
      <c r="K36" s="99">
        <v>554735.61918046011</v>
      </c>
      <c r="L36" s="99">
        <v>554735.61918046011</v>
      </c>
      <c r="M36" s="99">
        <v>548992.50978918676</v>
      </c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27" ht="15">
      <c r="A37" s="75" t="s">
        <v>184</v>
      </c>
      <c r="B37" s="76"/>
      <c r="C37" s="76"/>
      <c r="D37" s="99"/>
      <c r="E37" s="99"/>
      <c r="F37" s="99">
        <v>648214.23391528998</v>
      </c>
      <c r="G37" s="99">
        <v>1296428.46783058</v>
      </c>
      <c r="H37" s="99">
        <v>1296428.46783058</v>
      </c>
      <c r="I37" s="99">
        <v>1226040.3615309021</v>
      </c>
      <c r="J37" s="99">
        <v>1215624.0150079487</v>
      </c>
      <c r="K37" s="99">
        <v>1212866.6131851347</v>
      </c>
      <c r="L37" s="99">
        <v>1212866.6131851347</v>
      </c>
      <c r="M37" s="99">
        <v>1172079.9119047245</v>
      </c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1:27" ht="15">
      <c r="A38" s="75" t="s">
        <v>185</v>
      </c>
      <c r="B38" s="76"/>
      <c r="C38" s="76"/>
      <c r="D38" s="99"/>
      <c r="E38" s="99"/>
      <c r="F38" s="99"/>
      <c r="G38" s="99">
        <v>53722.560389515347</v>
      </c>
      <c r="H38" s="99">
        <v>99363.607502785802</v>
      </c>
      <c r="I38" s="99">
        <v>99363.607502785802</v>
      </c>
      <c r="J38" s="99">
        <v>96073.335151601015</v>
      </c>
      <c r="K38" s="99">
        <v>96058.72125988605</v>
      </c>
      <c r="L38" s="99">
        <v>96058.72125988605</v>
      </c>
      <c r="M38" s="99">
        <v>95286.278332857837</v>
      </c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1:27" ht="15">
      <c r="A39" s="75" t="s">
        <v>186</v>
      </c>
      <c r="B39" s="76"/>
      <c r="C39" s="76"/>
      <c r="D39" s="99"/>
      <c r="E39" s="99"/>
      <c r="F39" s="99"/>
      <c r="G39" s="99"/>
      <c r="H39" s="99">
        <v>346530.87716598599</v>
      </c>
      <c r="I39" s="99">
        <v>5071512.4452915359</v>
      </c>
      <c r="J39" s="99">
        <v>11413334.665556904</v>
      </c>
      <c r="K39" s="99">
        <v>14072185.250652067</v>
      </c>
      <c r="L39" s="99">
        <v>15439806.031851884</v>
      </c>
      <c r="M39" s="99">
        <v>16823168.905900836</v>
      </c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1:27" ht="15">
      <c r="A40" s="75" t="s">
        <v>187</v>
      </c>
      <c r="B40" s="73">
        <v>0</v>
      </c>
      <c r="C40" s="73">
        <v>0</v>
      </c>
      <c r="D40" s="93">
        <v>617444.24766883871</v>
      </c>
      <c r="E40" s="93">
        <v>1541625.621168084</v>
      </c>
      <c r="F40" s="93">
        <v>2488161.3079137807</v>
      </c>
      <c r="G40" s="93">
        <v>3181790.0206270004</v>
      </c>
      <c r="H40" s="93">
        <v>3562726.0730237812</v>
      </c>
      <c r="I40" s="93">
        <v>8217319.534849653</v>
      </c>
      <c r="J40" s="93">
        <v>14513021.830156697</v>
      </c>
      <c r="K40" s="93">
        <v>17168381.071400806</v>
      </c>
      <c r="L40" s="93">
        <v>18536001.852600623</v>
      </c>
      <c r="M40" s="93">
        <v>19749356.71565019</v>
      </c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27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7">
      <c r="A42" s="74" t="s">
        <v>191</v>
      </c>
      <c r="B42" s="74">
        <v>2009</v>
      </c>
      <c r="C42" s="74">
        <v>2010</v>
      </c>
      <c r="D42" s="74">
        <v>2011</v>
      </c>
      <c r="E42" s="74">
        <v>2012</v>
      </c>
      <c r="F42" s="74">
        <v>2013</v>
      </c>
      <c r="G42" s="74">
        <v>2014</v>
      </c>
      <c r="H42" s="74">
        <v>2015</v>
      </c>
      <c r="I42" s="74">
        <v>2016</v>
      </c>
      <c r="J42" s="74">
        <v>2017</v>
      </c>
      <c r="K42" s="74">
        <v>2018</v>
      </c>
      <c r="L42" s="74">
        <v>2019</v>
      </c>
      <c r="M42" s="74">
        <v>2020</v>
      </c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7">
      <c r="A43" s="75" t="s">
        <v>180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7">
      <c r="A44" s="75" t="s">
        <v>181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>
      <c r="A45" s="75" t="s">
        <v>182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7" ht="15">
      <c r="A46" s="75" t="s">
        <v>183</v>
      </c>
      <c r="B46" s="76"/>
      <c r="C46" s="76"/>
      <c r="D46" s="76"/>
      <c r="E46" s="99">
        <v>14564.480776132559</v>
      </c>
      <c r="F46" s="99">
        <v>29128.961552265118</v>
      </c>
      <c r="G46" s="99">
        <v>28279.802112317881</v>
      </c>
      <c r="H46" s="99">
        <v>27101.794380390897</v>
      </c>
      <c r="I46" s="99">
        <v>27101.794380390897</v>
      </c>
      <c r="J46" s="99">
        <v>23928.345003243598</v>
      </c>
      <c r="K46" s="99">
        <v>23852.928149484211</v>
      </c>
      <c r="L46" s="99">
        <v>23852.928149484211</v>
      </c>
      <c r="M46" s="99">
        <v>23250.800665387953</v>
      </c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7" ht="15">
      <c r="A47" s="75" t="s">
        <v>184</v>
      </c>
      <c r="B47" s="76"/>
      <c r="C47" s="76"/>
      <c r="D47" s="76"/>
      <c r="E47" s="99"/>
      <c r="F47" s="99">
        <v>1074219.5845582362</v>
      </c>
      <c r="G47" s="99">
        <v>2148439.1691164724</v>
      </c>
      <c r="H47" s="99">
        <v>2148439.1691164724</v>
      </c>
      <c r="I47" s="99">
        <v>2031792.1127098678</v>
      </c>
      <c r="J47" s="99">
        <v>2014530.1600265454</v>
      </c>
      <c r="K47" s="99">
        <v>2009960.5981663065</v>
      </c>
      <c r="L47" s="99">
        <v>2009960.5981663065</v>
      </c>
      <c r="M47" s="99">
        <v>1942368.9424874391</v>
      </c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1:27" ht="15">
      <c r="A48" s="75" t="s">
        <v>185</v>
      </c>
      <c r="B48" s="94"/>
      <c r="C48" s="94"/>
      <c r="D48" s="94"/>
      <c r="E48" s="98"/>
      <c r="F48" s="98"/>
      <c r="G48" s="98"/>
      <c r="H48" s="98"/>
      <c r="I48" s="98"/>
      <c r="J48" s="98"/>
      <c r="K48" s="98"/>
      <c r="L48" s="98"/>
      <c r="M48" s="98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1:13" ht="15">
      <c r="A49" s="75" t="s">
        <v>186</v>
      </c>
      <c r="B49" s="94"/>
      <c r="C49" s="94"/>
      <c r="D49" s="94"/>
      <c r="E49" s="98"/>
      <c r="F49" s="98"/>
      <c r="G49" s="98"/>
      <c r="H49" s="99"/>
      <c r="I49" s="99"/>
      <c r="J49" s="99"/>
      <c r="K49" s="99"/>
      <c r="L49" s="99"/>
      <c r="M49" s="99"/>
    </row>
    <row r="50" spans="1:13" ht="15">
      <c r="A50" s="75" t="s">
        <v>187</v>
      </c>
      <c r="B50" s="76">
        <v>0</v>
      </c>
      <c r="C50" s="76">
        <v>0</v>
      </c>
      <c r="D50" s="76">
        <v>0</v>
      </c>
      <c r="E50" s="99">
        <v>14564.480776132559</v>
      </c>
      <c r="F50" s="99">
        <v>1103348.5461105013</v>
      </c>
      <c r="G50" s="99">
        <v>2176718.9712287905</v>
      </c>
      <c r="H50" s="99">
        <v>2175540.9634968634</v>
      </c>
      <c r="I50" s="99">
        <v>2058893.9070902586</v>
      </c>
      <c r="J50" s="99">
        <v>2038458.5050297889</v>
      </c>
      <c r="K50" s="99">
        <v>2033813.5263157906</v>
      </c>
      <c r="L50" s="99">
        <v>2033813.5263157906</v>
      </c>
      <c r="M50" s="99">
        <v>1965619.743152827</v>
      </c>
    </row>
    <row r="52" spans="1:13">
      <c r="A52" s="77"/>
      <c r="B52" s="74">
        <v>2009</v>
      </c>
      <c r="C52" s="74">
        <v>2010</v>
      </c>
      <c r="D52" s="74">
        <v>2011</v>
      </c>
      <c r="E52" s="74">
        <v>2012</v>
      </c>
      <c r="F52" s="74">
        <v>2013</v>
      </c>
      <c r="G52" s="74">
        <v>2014</v>
      </c>
      <c r="H52" s="74">
        <v>2015</v>
      </c>
      <c r="I52" s="74">
        <v>2016</v>
      </c>
      <c r="J52" s="74">
        <v>2017</v>
      </c>
      <c r="K52" s="74">
        <v>2018</v>
      </c>
      <c r="L52" s="74">
        <v>2019</v>
      </c>
      <c r="M52" s="74">
        <v>2020</v>
      </c>
    </row>
    <row r="53" spans="1:13">
      <c r="A53" s="78" t="s">
        <v>192</v>
      </c>
      <c r="B53" s="79">
        <v>1240049.9696793298</v>
      </c>
      <c r="C53" s="79">
        <v>3052033.7609513174</v>
      </c>
      <c r="D53" s="79">
        <v>5044584.4752238197</v>
      </c>
      <c r="E53" s="79">
        <v>9362827.115640657</v>
      </c>
      <c r="F53" s="79">
        <v>14800903.502557456</v>
      </c>
      <c r="G53" s="79">
        <v>19311122.365288667</v>
      </c>
      <c r="H53" s="79">
        <v>21649241.28663579</v>
      </c>
      <c r="I53" s="79">
        <v>28196608.910321306</v>
      </c>
      <c r="J53" s="79">
        <v>35730339.62925645</v>
      </c>
      <c r="K53" s="79">
        <v>40935429.114410654</v>
      </c>
      <c r="L53" s="79">
        <v>45980864.351643838</v>
      </c>
      <c r="M53" s="79">
        <v>50395572.498298563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topLeftCell="A34" workbookViewId="0">
      <selection activeCell="C43" sqref="C43"/>
    </sheetView>
  </sheetViews>
  <sheetFormatPr defaultRowHeight="12.75"/>
  <cols>
    <col min="1" max="1" width="10.140625" bestFit="1" customWidth="1"/>
    <col min="2" max="2" width="22.28515625" bestFit="1" customWidth="1"/>
    <col min="3" max="3" width="10.42578125" bestFit="1" customWidth="1"/>
    <col min="4" max="4" width="12.85546875" customWidth="1"/>
    <col min="5" max="5" width="5.85546875" bestFit="1" customWidth="1"/>
    <col min="8" max="8" width="10.140625" bestFit="1" customWidth="1"/>
    <col min="9" max="9" width="18.5703125" bestFit="1" customWidth="1"/>
    <col min="10" max="10" width="8.28515625" bestFit="1" customWidth="1"/>
    <col min="11" max="11" width="11.7109375" bestFit="1" customWidth="1"/>
    <col min="12" max="12" width="5" customWidth="1"/>
    <col min="13" max="13" width="12.85546875" bestFit="1" customWidth="1"/>
    <col min="14" max="14" width="5.85546875" bestFit="1" customWidth="1"/>
  </cols>
  <sheetData>
    <row r="2" spans="1:14" s="30" customFormat="1" ht="51">
      <c r="A2" s="72" t="s">
        <v>110</v>
      </c>
      <c r="B2" s="72" t="s">
        <v>193</v>
      </c>
      <c r="C2" s="72" t="s">
        <v>107</v>
      </c>
      <c r="D2" s="72" t="s">
        <v>194</v>
      </c>
      <c r="H2" s="72" t="s">
        <v>111</v>
      </c>
      <c r="I2" s="72" t="s">
        <v>193</v>
      </c>
      <c r="J2" s="69"/>
      <c r="K2" s="72" t="s">
        <v>107</v>
      </c>
      <c r="L2" s="69"/>
      <c r="M2" s="72" t="s">
        <v>194</v>
      </c>
    </row>
    <row r="3" spans="1:14" s="30" customFormat="1">
      <c r="A3" s="31" t="s">
        <v>96</v>
      </c>
      <c r="B3" s="4">
        <f ca="1">'Normalized Annual Summary'!G10</f>
        <v>189443308.96773425</v>
      </c>
      <c r="C3" s="4">
        <f>'Annual CDM'!H$9</f>
        <v>182626.38354928492</v>
      </c>
      <c r="D3" s="4">
        <f ca="1">B3-C3</f>
        <v>189260682.58418497</v>
      </c>
      <c r="I3" s="70" t="s">
        <v>112</v>
      </c>
      <c r="J3" s="70" t="s">
        <v>113</v>
      </c>
      <c r="K3" s="70" t="s">
        <v>114</v>
      </c>
      <c r="L3" s="70"/>
      <c r="M3" s="70" t="s">
        <v>115</v>
      </c>
    </row>
    <row r="4" spans="1:14" s="30" customFormat="1">
      <c r="A4" s="31" t="s">
        <v>97</v>
      </c>
      <c r="B4" s="4">
        <f ca="1">'Normalized Annual Summary'!O10</f>
        <v>90168614.170137078</v>
      </c>
      <c r="C4" s="4">
        <f>'Annual CDM'!H$19</f>
        <v>162136.39279650967</v>
      </c>
      <c r="D4" s="4">
        <f ca="1">B4-C4</f>
        <v>90006477.777340561</v>
      </c>
      <c r="H4" s="31" t="s">
        <v>98</v>
      </c>
      <c r="I4" s="23">
        <f ca="1">'kW Forecast'!E14</f>
        <v>747318.54222371918</v>
      </c>
      <c r="J4" s="35">
        <f ca="1">I4/I6</f>
        <v>0.71884314438958474</v>
      </c>
      <c r="K4" s="23">
        <f ca="1">I4/B5*C5</f>
        <v>1997.8663666805228</v>
      </c>
      <c r="M4" s="23">
        <f ca="1">I4-K4</f>
        <v>745320.6758570387</v>
      </c>
    </row>
    <row r="5" spans="1:14" s="30" customFormat="1">
      <c r="A5" s="31" t="s">
        <v>98</v>
      </c>
      <c r="B5" s="4">
        <f ca="1">'Normalized Annual Summary'!W10</f>
        <v>273748533.95650232</v>
      </c>
      <c r="C5" s="4">
        <f>'Annual CDM'!H$29</f>
        <v>731833.82723571139</v>
      </c>
      <c r="D5" s="4">
        <f ca="1">B5-C5</f>
        <v>273016700.12926662</v>
      </c>
      <c r="H5" s="31" t="s">
        <v>88</v>
      </c>
      <c r="I5" s="23">
        <f ca="1">'kW Forecast'!J14</f>
        <v>292294.26907785441</v>
      </c>
      <c r="J5" s="35">
        <f ca="1">I5/I6</f>
        <v>0.28115685561041526</v>
      </c>
      <c r="K5" s="23">
        <f ca="1">I5/B6*C6</f>
        <v>655.13230159399347</v>
      </c>
      <c r="M5" s="23">
        <f ca="1">I5-K5</f>
        <v>291639.13677626039</v>
      </c>
    </row>
    <row r="6" spans="1:14" s="30" customFormat="1" ht="13.5" thickBot="1">
      <c r="A6" s="31" t="s">
        <v>88</v>
      </c>
      <c r="B6" s="4">
        <f ca="1">'Normalized Annual Summary'!AE10</f>
        <v>154608449.63329509</v>
      </c>
      <c r="C6" s="4">
        <f>'Annual CDM'!H$39</f>
        <v>346530.87716598599</v>
      </c>
      <c r="D6" s="4">
        <f ca="1">B6-C6</f>
        <v>154261918.75612912</v>
      </c>
      <c r="H6" s="31" t="s">
        <v>105</v>
      </c>
      <c r="I6" s="38">
        <f ca="1">SUM(I4:I5)</f>
        <v>1039612.8113015736</v>
      </c>
      <c r="J6" s="34">
        <v>1</v>
      </c>
      <c r="K6" s="38">
        <f ca="1">SUM(K4:K5)</f>
        <v>2652.9986682745161</v>
      </c>
      <c r="M6" s="38">
        <f ca="1">I6-K6</f>
        <v>1036959.8126332992</v>
      </c>
      <c r="N6" s="8">
        <f ca="1">-K6/I6</f>
        <v>-2.5519103260693921E-3</v>
      </c>
    </row>
    <row r="7" spans="1:14" s="30" customFormat="1" ht="13.5" thickBot="1">
      <c r="A7" s="31" t="s">
        <v>105</v>
      </c>
      <c r="B7" s="36">
        <f ca="1">SUM(B3:B6)</f>
        <v>707968906.72766876</v>
      </c>
      <c r="C7" s="36">
        <f>SUM(C3:C6)</f>
        <v>1423127.4807474918</v>
      </c>
      <c r="D7" s="36">
        <f ca="1">B7-C7</f>
        <v>706545779.2469213</v>
      </c>
      <c r="E7" s="8">
        <f ca="1">-C7/B7</f>
        <v>-2.0101553432980354E-3</v>
      </c>
      <c r="I7" s="70" t="s">
        <v>116</v>
      </c>
      <c r="J7" s="70"/>
      <c r="K7" s="70"/>
    </row>
    <row r="8" spans="1:14" s="30" customFormat="1"/>
    <row r="9" spans="1:14" s="30" customFormat="1"/>
    <row r="10" spans="1:14" ht="51">
      <c r="A10" s="37" t="s">
        <v>110</v>
      </c>
      <c r="B10" s="37" t="s">
        <v>152</v>
      </c>
      <c r="C10" s="37" t="s">
        <v>107</v>
      </c>
      <c r="D10" s="37" t="s">
        <v>150</v>
      </c>
      <c r="H10" s="37" t="s">
        <v>111</v>
      </c>
      <c r="I10" s="37" t="s">
        <v>152</v>
      </c>
      <c r="J10" s="33"/>
      <c r="K10" s="37" t="s">
        <v>107</v>
      </c>
      <c r="L10" s="33"/>
      <c r="M10" s="37" t="s">
        <v>150</v>
      </c>
      <c r="N10" s="30"/>
    </row>
    <row r="11" spans="1:14">
      <c r="A11" s="31" t="s">
        <v>96</v>
      </c>
      <c r="B11" s="4">
        <f ca="1">'Normalized Annual Summary'!G11</f>
        <v>188569905.37743795</v>
      </c>
      <c r="C11" s="4">
        <f>'Annual CDM'!I$9</f>
        <v>443733.51905252738</v>
      </c>
      <c r="D11" s="4">
        <f ca="1">B11-C11</f>
        <v>188126171.85838541</v>
      </c>
      <c r="H11" s="30"/>
      <c r="I11" s="32" t="s">
        <v>112</v>
      </c>
      <c r="J11" s="32" t="s">
        <v>113</v>
      </c>
      <c r="K11" s="32" t="s">
        <v>114</v>
      </c>
      <c r="L11" s="32"/>
      <c r="M11" s="32" t="s">
        <v>115</v>
      </c>
      <c r="N11" s="30"/>
    </row>
    <row r="12" spans="1:14">
      <c r="A12" s="31" t="s">
        <v>97</v>
      </c>
      <c r="B12" s="4">
        <f ca="1">'Normalized Annual Summary'!O11</f>
        <v>87786118.915764078</v>
      </c>
      <c r="C12" s="4">
        <f>'Annual CDM'!I$19</f>
        <v>721840.77288230229</v>
      </c>
      <c r="D12" s="4">
        <f ca="1">B12-C12</f>
        <v>87064278.142881781</v>
      </c>
      <c r="H12" s="31" t="s">
        <v>98</v>
      </c>
      <c r="I12" s="23">
        <f ca="1">'kW Forecast'!E15</f>
        <v>756498.76622701553</v>
      </c>
      <c r="J12" s="35">
        <f ca="1">I12/I14</f>
        <v>0.71823901948170488</v>
      </c>
      <c r="K12" s="23">
        <f ca="1">I12/B13*C13</f>
        <v>7220.3851208946471</v>
      </c>
      <c r="L12" s="30"/>
      <c r="M12" s="23">
        <f ca="1">I12-K12</f>
        <v>749278.38110612088</v>
      </c>
      <c r="N12" s="30"/>
    </row>
    <row r="13" spans="1:14">
      <c r="A13" s="31" t="s">
        <v>98</v>
      </c>
      <c r="B13" s="4">
        <f ca="1">'Normalized Annual Summary'!W11</f>
        <v>277111320.66699499</v>
      </c>
      <c r="C13" s="4">
        <f>'Annual CDM'!I$29</f>
        <v>2644882.6434371294</v>
      </c>
      <c r="D13" s="4">
        <f ca="1">B13-C13</f>
        <v>274466438.02355784</v>
      </c>
      <c r="H13" s="31" t="s">
        <v>88</v>
      </c>
      <c r="I13" s="23">
        <f ca="1">'kW Forecast'!J15</f>
        <v>296770.0561392763</v>
      </c>
      <c r="J13" s="35">
        <f ca="1">I13/I14</f>
        <v>0.28176098051829501</v>
      </c>
      <c r="K13" s="23">
        <f ca="1">I13/B14*C14</f>
        <v>9587.923731410996</v>
      </c>
      <c r="L13" s="30"/>
      <c r="M13" s="23">
        <f ca="1">I13-K13</f>
        <v>287182.13240786531</v>
      </c>
      <c r="N13" s="30"/>
    </row>
    <row r="14" spans="1:14" ht="13.5" thickBot="1">
      <c r="A14" s="31" t="s">
        <v>88</v>
      </c>
      <c r="B14" s="4">
        <f ca="1">'Normalized Annual Summary'!AE11</f>
        <v>156975907.95068988</v>
      </c>
      <c r="C14" s="4">
        <f>'Annual CDM'!I$39</f>
        <v>5071512.4452915359</v>
      </c>
      <c r="D14" s="4">
        <f ca="1">B14-C14</f>
        <v>151904395.50539833</v>
      </c>
      <c r="H14" s="31" t="s">
        <v>105</v>
      </c>
      <c r="I14" s="38">
        <f ca="1">SUM(I12:I13)</f>
        <v>1053268.8223662919</v>
      </c>
      <c r="J14" s="34">
        <v>1</v>
      </c>
      <c r="K14" s="38">
        <f ca="1">SUM(K12:K13)</f>
        <v>16808.308852305643</v>
      </c>
      <c r="L14" s="30"/>
      <c r="M14" s="38">
        <f ca="1">I14-K14</f>
        <v>1036460.5135139863</v>
      </c>
      <c r="N14" s="8">
        <f ca="1">-K14/I14</f>
        <v>-1.5958232594926531E-2</v>
      </c>
    </row>
    <row r="15" spans="1:14" ht="13.5" thickBot="1">
      <c r="A15" s="31" t="s">
        <v>105</v>
      </c>
      <c r="B15" s="36">
        <f ca="1">SUM(B11:B14)</f>
        <v>710443252.91088688</v>
      </c>
      <c r="C15" s="36">
        <f>SUM(C11:C14)</f>
        <v>8881969.3806634955</v>
      </c>
      <c r="D15" s="36">
        <f ca="1">B15-C15</f>
        <v>701561283.53022337</v>
      </c>
      <c r="E15" s="8">
        <f ca="1">-C15/B15</f>
        <v>-1.2502011025189634E-2</v>
      </c>
      <c r="H15" s="30"/>
      <c r="I15" s="32" t="s">
        <v>116</v>
      </c>
      <c r="J15" s="32"/>
      <c r="K15" s="32"/>
      <c r="L15" s="30"/>
      <c r="M15" s="30"/>
      <c r="N15" s="30"/>
    </row>
    <row r="18" spans="1:14" ht="51">
      <c r="A18" s="37" t="s">
        <v>110</v>
      </c>
      <c r="B18" s="37" t="s">
        <v>153</v>
      </c>
      <c r="C18" s="37" t="s">
        <v>107</v>
      </c>
      <c r="D18" s="37" t="s">
        <v>151</v>
      </c>
      <c r="E18" s="30"/>
      <c r="H18" s="37" t="s">
        <v>111</v>
      </c>
      <c r="I18" s="37" t="s">
        <v>153</v>
      </c>
      <c r="J18" s="33"/>
      <c r="K18" s="37" t="s">
        <v>107</v>
      </c>
      <c r="L18" s="33"/>
      <c r="M18" s="37" t="s">
        <v>151</v>
      </c>
      <c r="N18" s="30"/>
    </row>
    <row r="19" spans="1:14">
      <c r="A19" s="31" t="s">
        <v>96</v>
      </c>
      <c r="B19" s="4">
        <f ca="1">'Normalized Annual Summary'!G12</f>
        <v>187803715.12183088</v>
      </c>
      <c r="C19" s="4">
        <f>'Annual CDM'!J$9</f>
        <v>555362.42315632151</v>
      </c>
      <c r="D19" s="4">
        <f ca="1">B19-C19</f>
        <v>187248352.69867456</v>
      </c>
      <c r="E19" s="30"/>
      <c r="H19" s="30"/>
      <c r="I19" s="32" t="s">
        <v>112</v>
      </c>
      <c r="J19" s="32" t="s">
        <v>113</v>
      </c>
      <c r="K19" s="32" t="s">
        <v>114</v>
      </c>
      <c r="L19" s="32"/>
      <c r="M19" s="32" t="s">
        <v>115</v>
      </c>
      <c r="N19" s="30"/>
    </row>
    <row r="20" spans="1:14">
      <c r="A20" s="31" t="s">
        <v>97</v>
      </c>
      <c r="B20" s="4">
        <f ca="1">'Normalized Annual Summary'!O12</f>
        <v>86684641.852639943</v>
      </c>
      <c r="C20" s="4">
        <f>'Annual CDM'!J$19</f>
        <v>1556988.5206721174</v>
      </c>
      <c r="D20" s="4">
        <f ca="1">B20-C20</f>
        <v>85127653.331967831</v>
      </c>
      <c r="E20" s="30"/>
      <c r="H20" s="31" t="s">
        <v>98</v>
      </c>
      <c r="I20" s="23">
        <f ca="1">'kW Forecast'!E16</f>
        <v>767481.55246311403</v>
      </c>
      <c r="J20" s="35">
        <f ca="1">I20/I22</f>
        <v>0.71780580963977825</v>
      </c>
      <c r="K20" s="23">
        <f ca="1">I20/B21*C21</f>
        <v>13993.702225366822</v>
      </c>
      <c r="L20" s="30"/>
      <c r="M20" s="23">
        <f ca="1">I20-K20</f>
        <v>753487.85023774719</v>
      </c>
      <c r="N20" s="30"/>
    </row>
    <row r="21" spans="1:14">
      <c r="A21" s="31" t="s">
        <v>98</v>
      </c>
      <c r="B21" s="4">
        <f ca="1">'Normalized Annual Summary'!W12</f>
        <v>281134399.79727244</v>
      </c>
      <c r="C21" s="4">
        <f>'Annual CDM'!J$29</f>
        <v>5126000.831478402</v>
      </c>
      <c r="D21" s="4">
        <f ca="1">B21-C21</f>
        <v>276008398.96579403</v>
      </c>
      <c r="E21" s="30"/>
      <c r="H21" s="31" t="s">
        <v>88</v>
      </c>
      <c r="I21" s="23">
        <f ca="1">'kW Forecast'!J16</f>
        <v>301723.43606750946</v>
      </c>
      <c r="J21" s="35">
        <f ca="1">I21/I22</f>
        <v>0.28219419036022175</v>
      </c>
      <c r="K21" s="23">
        <f ca="1">I21/B22*C22</f>
        <v>21577.425565824127</v>
      </c>
      <c r="L21" s="30"/>
      <c r="M21" s="23">
        <f ca="1">I21-K21</f>
        <v>280146.01050168532</v>
      </c>
      <c r="N21" s="30"/>
    </row>
    <row r="22" spans="1:14" ht="13.5" thickBot="1">
      <c r="A22" s="31" t="s">
        <v>88</v>
      </c>
      <c r="B22" s="4">
        <f ca="1">'Normalized Annual Summary'!AE12</f>
        <v>159595988.02808896</v>
      </c>
      <c r="C22" s="4">
        <f>'Annual CDM'!J$39</f>
        <v>11413334.665556904</v>
      </c>
      <c r="D22" s="4">
        <f ca="1">B22-C22</f>
        <v>148182653.36253205</v>
      </c>
      <c r="E22" s="30"/>
      <c r="H22" s="31" t="s">
        <v>105</v>
      </c>
      <c r="I22" s="38">
        <f ca="1">SUM(I20:I21)</f>
        <v>1069204.9885306235</v>
      </c>
      <c r="J22" s="34">
        <v>1</v>
      </c>
      <c r="K22" s="38">
        <f ca="1">SUM(K20:K21)</f>
        <v>35571.127791190949</v>
      </c>
      <c r="L22" s="30"/>
      <c r="M22" s="38">
        <f ca="1">I22-K22</f>
        <v>1033633.8607394325</v>
      </c>
      <c r="N22" s="8">
        <f ca="1">-K22/I22</f>
        <v>-3.3268763401558092E-2</v>
      </c>
    </row>
    <row r="23" spans="1:14" ht="13.5" thickBot="1">
      <c r="A23" s="31" t="s">
        <v>105</v>
      </c>
      <c r="B23" s="36">
        <f ca="1">SUM(B19:B22)</f>
        <v>715218744.79983222</v>
      </c>
      <c r="C23" s="36">
        <f>SUM(C19:C22)</f>
        <v>18651686.440863743</v>
      </c>
      <c r="D23" s="36">
        <f ca="1">B23-C23</f>
        <v>696567058.3589685</v>
      </c>
      <c r="E23" s="8">
        <f ca="1">-C23/B23</f>
        <v>-2.6078296432350608E-2</v>
      </c>
      <c r="H23" s="30"/>
      <c r="I23" s="32" t="s">
        <v>116</v>
      </c>
      <c r="J23" s="32"/>
      <c r="K23" s="32"/>
      <c r="L23" s="30"/>
      <c r="M23" s="30"/>
      <c r="N23" s="30"/>
    </row>
    <row r="26" spans="1:14" s="30" customFormat="1" ht="51">
      <c r="A26" s="37" t="s">
        <v>110</v>
      </c>
      <c r="B26" s="37" t="s">
        <v>158</v>
      </c>
      <c r="C26" s="37" t="s">
        <v>107</v>
      </c>
      <c r="D26" s="37" t="s">
        <v>159</v>
      </c>
      <c r="H26" s="37" t="s">
        <v>111</v>
      </c>
      <c r="I26" s="37" t="s">
        <v>158</v>
      </c>
      <c r="J26" s="59"/>
      <c r="K26" s="37" t="s">
        <v>107</v>
      </c>
      <c r="L26" s="59"/>
      <c r="M26" s="37" t="s">
        <v>159</v>
      </c>
    </row>
    <row r="27" spans="1:14">
      <c r="A27" s="31" t="s">
        <v>96</v>
      </c>
      <c r="B27" s="4">
        <f ca="1">'Normalized Annual Summary'!G13</f>
        <v>186833546.47174954</v>
      </c>
      <c r="C27" s="4">
        <f>'Annual CDM'!K$9</f>
        <v>622675.54621197213</v>
      </c>
      <c r="D27" s="4">
        <f ca="1">B27-C27</f>
        <v>186210870.92553759</v>
      </c>
      <c r="E27" s="30"/>
      <c r="H27" s="31" t="s">
        <v>98</v>
      </c>
      <c r="I27" s="23">
        <f ca="1">'kW Forecast'!E17</f>
        <v>776822.54859004321</v>
      </c>
      <c r="J27" s="35">
        <f ca="1">I27/I29</f>
        <v>0.71755541577677806</v>
      </c>
      <c r="K27" s="23">
        <f ca="1">I27/B29*C29</f>
        <v>21489.618072342186</v>
      </c>
      <c r="L27" s="30"/>
      <c r="M27" s="23">
        <f ca="1">I27-K27</f>
        <v>755332.93051770097</v>
      </c>
      <c r="N27" s="30"/>
    </row>
    <row r="28" spans="1:14">
      <c r="A28" s="31" t="s">
        <v>97</v>
      </c>
      <c r="B28" s="4">
        <f ca="1">'Normalized Annual Summary'!O13</f>
        <v>85098474.924981415</v>
      </c>
      <c r="C28" s="4">
        <f>'Annual CDM'!K$19</f>
        <v>2477681.051013269</v>
      </c>
      <c r="D28" s="4">
        <f ca="1">B28-C28</f>
        <v>82620793.873968139</v>
      </c>
      <c r="E28" s="30"/>
      <c r="H28" s="31" t="s">
        <v>88</v>
      </c>
      <c r="I28" s="23">
        <f ca="1">'kW Forecast'!J17</f>
        <v>305773.34785247268</v>
      </c>
      <c r="J28" s="35">
        <f ca="1">I28/I29</f>
        <v>0.28244458422322199</v>
      </c>
      <c r="K28" s="23">
        <f ca="1">I28/B30*C30</f>
        <v>26604.102892974901</v>
      </c>
      <c r="L28" s="30"/>
      <c r="M28" s="23">
        <f ca="1">I28-K28</f>
        <v>279169.24495949777</v>
      </c>
      <c r="N28" s="30"/>
    </row>
    <row r="29" spans="1:14" ht="13.5" thickBot="1">
      <c r="A29" s="31" t="s">
        <v>98</v>
      </c>
      <c r="B29" s="4">
        <f ca="1">'Normalized Annual Summary'!W13</f>
        <v>284556078.57407808</v>
      </c>
      <c r="C29" s="4">
        <f>'Annual CDM'!K$29</f>
        <v>7871812.5005759001</v>
      </c>
      <c r="D29" s="4">
        <f ca="1">B29-C29</f>
        <v>276684266.07350218</v>
      </c>
      <c r="E29" s="30"/>
      <c r="H29" s="31" t="s">
        <v>105</v>
      </c>
      <c r="I29" s="38">
        <f ca="1">SUM(I27:I28)</f>
        <v>1082595.8964425158</v>
      </c>
      <c r="J29" s="34">
        <v>1</v>
      </c>
      <c r="K29" s="38">
        <f ca="1">SUM(K27:K28)</f>
        <v>48093.720965317087</v>
      </c>
      <c r="L29" s="30"/>
      <c r="M29" s="38">
        <f ca="1">I29-K29</f>
        <v>1034502.1754771987</v>
      </c>
      <c r="N29" s="8">
        <f ca="1">-K29/I29</f>
        <v>-4.4424444174743637E-2</v>
      </c>
    </row>
    <row r="30" spans="1:14">
      <c r="A30" s="31" t="s">
        <v>88</v>
      </c>
      <c r="B30" s="4">
        <f ca="1">'Normalized Annual Summary'!AE13</f>
        <v>161738180.4980275</v>
      </c>
      <c r="C30" s="4">
        <f>'Annual CDM'!K$39</f>
        <v>14072185.250652067</v>
      </c>
      <c r="D30" s="4">
        <f ca="1">B30-C30</f>
        <v>147665995.24737543</v>
      </c>
      <c r="E30" s="30"/>
      <c r="H30" s="30"/>
      <c r="I30" s="32" t="s">
        <v>116</v>
      </c>
      <c r="J30" s="32"/>
      <c r="K30" s="32"/>
      <c r="L30" s="30"/>
      <c r="M30" s="30"/>
      <c r="N30" s="30"/>
    </row>
    <row r="31" spans="1:14" ht="13.5" thickBot="1">
      <c r="A31" s="31" t="s">
        <v>105</v>
      </c>
      <c r="B31" s="36">
        <f ca="1">SUM(B27:B30)</f>
        <v>718226280.46883655</v>
      </c>
      <c r="C31" s="36">
        <f>SUM(C27:C30)</f>
        <v>25044354.348453209</v>
      </c>
      <c r="D31" s="36">
        <f ca="1">B31-C31</f>
        <v>693181926.12038338</v>
      </c>
      <c r="E31" s="8">
        <f ca="1">-C31/B31</f>
        <v>-3.4869727033804733E-2</v>
      </c>
    </row>
    <row r="34" spans="1:14" s="30" customFormat="1" ht="51">
      <c r="A34" s="37" t="s">
        <v>110</v>
      </c>
      <c r="B34" s="37" t="s">
        <v>156</v>
      </c>
      <c r="C34" s="37" t="s">
        <v>107</v>
      </c>
      <c r="D34" s="37" t="s">
        <v>157</v>
      </c>
      <c r="H34" s="37" t="s">
        <v>111</v>
      </c>
      <c r="I34" s="37" t="s">
        <v>156</v>
      </c>
      <c r="J34" s="59"/>
      <c r="K34" s="37" t="s">
        <v>107</v>
      </c>
      <c r="L34" s="59"/>
      <c r="M34" s="37" t="s">
        <v>157</v>
      </c>
    </row>
    <row r="35" spans="1:14">
      <c r="A35" s="31" t="s">
        <v>96</v>
      </c>
      <c r="B35" s="4">
        <f ca="1">'Normalized Annual Summary'!G14</f>
        <v>185896905.49487236</v>
      </c>
      <c r="C35" s="4">
        <f>'Annual CDM'!L$9</f>
        <v>692022.30677957775</v>
      </c>
      <c r="D35" s="4">
        <f ca="1">B35-C35</f>
        <v>185204883.1880928</v>
      </c>
      <c r="E35" s="30"/>
      <c r="H35" s="30"/>
      <c r="I35" s="32" t="s">
        <v>112</v>
      </c>
      <c r="J35" s="32" t="s">
        <v>113</v>
      </c>
      <c r="K35" s="32" t="s">
        <v>114</v>
      </c>
      <c r="L35" s="32"/>
      <c r="M35" s="32" t="s">
        <v>115</v>
      </c>
      <c r="N35" s="30"/>
    </row>
    <row r="36" spans="1:14">
      <c r="A36" s="31" t="s">
        <v>97</v>
      </c>
      <c r="B36" s="4">
        <f ca="1">'Normalized Annual Summary'!O14</f>
        <v>82735586.038014501</v>
      </c>
      <c r="C36" s="4">
        <f>'Annual CDM'!L$19</f>
        <v>3476867.3306674063</v>
      </c>
      <c r="D36" s="4">
        <f ca="1">B36-C36</f>
        <v>79258718.707347095</v>
      </c>
      <c r="E36" s="30"/>
      <c r="H36" s="31" t="s">
        <v>98</v>
      </c>
      <c r="I36" s="23">
        <f ca="1">'kW Forecast'!E18</f>
        <v>786380.17000527878</v>
      </c>
      <c r="J36" s="35">
        <f ca="1">I36/I38</f>
        <v>0.71725852748547092</v>
      </c>
      <c r="K36" s="23">
        <f ca="1">I36/B37*C37</f>
        <v>29611.272369386894</v>
      </c>
      <c r="L36" s="30"/>
      <c r="M36" s="23">
        <f ca="1">I36-K36</f>
        <v>756768.89763589192</v>
      </c>
      <c r="N36" s="30"/>
    </row>
    <row r="37" spans="1:14">
      <c r="A37" s="31" t="s">
        <v>98</v>
      </c>
      <c r="B37" s="4">
        <f ca="1">'Normalized Annual Summary'!W14</f>
        <v>288057108.86130565</v>
      </c>
      <c r="C37" s="4">
        <f>'Annual CDM'!L$29</f>
        <v>10846836.980099581</v>
      </c>
      <c r="D37" s="4">
        <f ca="1">B37-C37</f>
        <v>277210271.8812061</v>
      </c>
      <c r="E37" s="30"/>
      <c r="H37" s="31" t="s">
        <v>88</v>
      </c>
      <c r="I37" s="23">
        <f ca="1">'kW Forecast'!J18</f>
        <v>309989.04677089682</v>
      </c>
      <c r="J37" s="35">
        <f ca="1">I37/I38</f>
        <v>0.28274147251452908</v>
      </c>
      <c r="K37" s="23">
        <f ca="1">I37/B38*C38</f>
        <v>29189.651855949553</v>
      </c>
      <c r="L37" s="30"/>
      <c r="M37" s="23">
        <f ca="1">I37-K37</f>
        <v>280799.39491494728</v>
      </c>
      <c r="N37" s="30"/>
    </row>
    <row r="38" spans="1:14" ht="13.5" thickBot="1">
      <c r="A38" s="31" t="s">
        <v>88</v>
      </c>
      <c r="B38" s="4">
        <f ca="1">'Normalized Annual Summary'!AE14</f>
        <v>163968065.7296285</v>
      </c>
      <c r="C38" s="4">
        <f>'Annual CDM'!L$39</f>
        <v>15439806.031851884</v>
      </c>
      <c r="D38" s="4">
        <f ca="1">B38-C38</f>
        <v>148528259.69777662</v>
      </c>
      <c r="E38" s="30"/>
      <c r="H38" s="31" t="s">
        <v>105</v>
      </c>
      <c r="I38" s="38">
        <f ca="1">SUM(I36:I37)</f>
        <v>1096369.2167761757</v>
      </c>
      <c r="J38" s="34">
        <v>1</v>
      </c>
      <c r="K38" s="38">
        <f ca="1">SUM(K36:K37)</f>
        <v>58800.92422533645</v>
      </c>
      <c r="L38" s="30"/>
      <c r="M38" s="38">
        <f ca="1">I38-K38</f>
        <v>1037568.2925508393</v>
      </c>
      <c r="N38" s="8">
        <f ca="1">-K38/I38</f>
        <v>-5.3632410802483058E-2</v>
      </c>
    </row>
    <row r="39" spans="1:14" ht="13.5" thickBot="1">
      <c r="A39" s="31" t="s">
        <v>105</v>
      </c>
      <c r="B39" s="36">
        <f ca="1">SUM(B35:B38)</f>
        <v>720657666.12382102</v>
      </c>
      <c r="C39" s="36">
        <f>SUM(C35:C38)</f>
        <v>30455532.64939845</v>
      </c>
      <c r="D39" s="36">
        <f ca="1">B39-C39</f>
        <v>690202133.47442257</v>
      </c>
      <c r="E39" s="8">
        <f ca="1">-C39/B39</f>
        <v>-4.2260748870137851E-2</v>
      </c>
      <c r="H39" s="30"/>
      <c r="I39" s="32" t="s">
        <v>116</v>
      </c>
      <c r="J39" s="32"/>
      <c r="K39" s="32"/>
      <c r="L39" s="30"/>
      <c r="M39" s="30"/>
      <c r="N39" s="30"/>
    </row>
    <row r="42" spans="1:14" s="30" customFormat="1" ht="51">
      <c r="A42" s="37" t="s">
        <v>110</v>
      </c>
      <c r="B42" s="37" t="s">
        <v>154</v>
      </c>
      <c r="C42" s="37" t="s">
        <v>107</v>
      </c>
      <c r="D42" s="37" t="s">
        <v>155</v>
      </c>
      <c r="H42" s="37" t="s">
        <v>111</v>
      </c>
      <c r="I42" s="37" t="s">
        <v>154</v>
      </c>
      <c r="J42" s="59"/>
      <c r="K42" s="37" t="s">
        <v>107</v>
      </c>
      <c r="L42" s="59"/>
      <c r="M42" s="37" t="s">
        <v>155</v>
      </c>
    </row>
    <row r="43" spans="1:14">
      <c r="A43" s="31" t="s">
        <v>96</v>
      </c>
      <c r="B43" s="4">
        <f ca="1">'Normalized Annual Summary'!G15</f>
        <v>185045761.48540792</v>
      </c>
      <c r="C43" s="4">
        <f>'Annual CDM'!M$9</f>
        <v>763402.70485913823</v>
      </c>
      <c r="D43" s="4">
        <f ca="1">B43-C43</f>
        <v>184282358.78054878</v>
      </c>
      <c r="E43" s="30"/>
      <c r="H43" s="30"/>
      <c r="I43" s="32" t="s">
        <v>112</v>
      </c>
      <c r="J43" s="32" t="s">
        <v>113</v>
      </c>
      <c r="K43" s="32" t="s">
        <v>114</v>
      </c>
      <c r="L43" s="32"/>
      <c r="M43" s="32" t="s">
        <v>115</v>
      </c>
      <c r="N43" s="30"/>
    </row>
    <row r="44" spans="1:14">
      <c r="A44" s="31" t="s">
        <v>97</v>
      </c>
      <c r="B44" s="4">
        <f ca="1">'Normalized Annual Summary'!O15</f>
        <v>80532114.427670196</v>
      </c>
      <c r="C44" s="4">
        <f>'Annual CDM'!M$19</f>
        <v>4548070.7360211285</v>
      </c>
      <c r="D44" s="4">
        <f ca="1">B44-C44</f>
        <v>75984043.691649064</v>
      </c>
      <c r="E44" s="30"/>
      <c r="H44" s="31" t="s">
        <v>98</v>
      </c>
      <c r="I44" s="23">
        <f ca="1">'kW Forecast'!E19</f>
        <v>797605.00009507092</v>
      </c>
      <c r="J44" s="35">
        <f ca="1">I44/I46</f>
        <v>0.71707349971582601</v>
      </c>
      <c r="K44" s="23">
        <f ca="1">I44/B45*C45</f>
        <v>38340.984287868385</v>
      </c>
      <c r="L44" s="30"/>
      <c r="M44" s="23">
        <f ca="1">I44-K44</f>
        <v>759264.01580720255</v>
      </c>
      <c r="N44" s="30"/>
    </row>
    <row r="45" spans="1:14">
      <c r="A45" s="31" t="s">
        <v>98</v>
      </c>
      <c r="B45" s="4">
        <f ca="1">'Normalized Annual Summary'!W15</f>
        <v>292168850.51814729</v>
      </c>
      <c r="C45" s="4">
        <f>'Annual CDM'!M$29</f>
        <v>14044597.646436043</v>
      </c>
      <c r="D45" s="4">
        <f ca="1">B45-C45</f>
        <v>278124252.87171125</v>
      </c>
      <c r="E45" s="30"/>
      <c r="H45" s="31" t="s">
        <v>88</v>
      </c>
      <c r="I45" s="23">
        <f ca="1">'kW Forecast'!J19</f>
        <v>314700.78224266617</v>
      </c>
      <c r="J45" s="35">
        <f ca="1">I45/I46</f>
        <v>0.28292650028417404</v>
      </c>
      <c r="K45" s="23">
        <f ca="1">I45/B46*C46</f>
        <v>31804.961957684773</v>
      </c>
      <c r="L45" s="30"/>
      <c r="M45" s="23">
        <f ca="1">I45-K45</f>
        <v>282895.8202849814</v>
      </c>
      <c r="N45" s="30"/>
    </row>
    <row r="46" spans="1:14" ht="13.5" thickBot="1">
      <c r="A46" s="31" t="s">
        <v>88</v>
      </c>
      <c r="B46" s="4">
        <f ca="1">'Normalized Annual Summary'!AE15</f>
        <v>166460328.47111398</v>
      </c>
      <c r="C46" s="4">
        <f>'Annual CDM'!M$39</f>
        <v>16823168.905900836</v>
      </c>
      <c r="D46" s="4">
        <f ca="1">B46-C46</f>
        <v>149637159.56521314</v>
      </c>
      <c r="E46" s="30"/>
      <c r="H46" s="31" t="s">
        <v>105</v>
      </c>
      <c r="I46" s="38">
        <f ca="1">SUM(I44:I45)</f>
        <v>1112305.782337737</v>
      </c>
      <c r="J46" s="34">
        <v>1</v>
      </c>
      <c r="K46" s="38">
        <f ca="1">SUM(K44:K45)</f>
        <v>70145.946245553161</v>
      </c>
      <c r="L46" s="30"/>
      <c r="M46" s="38">
        <f ca="1">I46-K46</f>
        <v>1042159.8360921838</v>
      </c>
      <c r="N46" s="8">
        <f ca="1">-K46/I46</f>
        <v>-6.3063545438132293E-2</v>
      </c>
    </row>
    <row r="47" spans="1:14" ht="13.5" thickBot="1">
      <c r="A47" s="31" t="s">
        <v>105</v>
      </c>
      <c r="B47" s="36">
        <f ca="1">SUM(B43:B46)</f>
        <v>724207054.90233946</v>
      </c>
      <c r="C47" s="36">
        <f>SUM(C43:C46)</f>
        <v>36179239.993217148</v>
      </c>
      <c r="D47" s="36">
        <f ca="1">B47-C47</f>
        <v>688027814.90912235</v>
      </c>
      <c r="E47" s="8">
        <f ca="1">-C47/B47</f>
        <v>-4.9957038872116458E-2</v>
      </c>
      <c r="H47" s="30"/>
      <c r="I47" s="32" t="s">
        <v>116</v>
      </c>
      <c r="J47" s="32"/>
      <c r="K47" s="32"/>
      <c r="L47" s="30"/>
      <c r="M47" s="30"/>
      <c r="N47" s="30"/>
    </row>
    <row r="49" spans="1:5">
      <c r="A49" s="30"/>
      <c r="B49" s="32"/>
      <c r="C49" s="32"/>
      <c r="D49" s="30"/>
      <c r="E49" s="30"/>
    </row>
  </sheetData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workbookViewId="0"/>
  </sheetViews>
  <sheetFormatPr defaultColWidth="9.140625" defaultRowHeight="12.75"/>
  <cols>
    <col min="1" max="1" width="10.5703125" style="30" bestFit="1" customWidth="1"/>
    <col min="2" max="2" width="18.5703125" style="30" bestFit="1" customWidth="1"/>
    <col min="3" max="3" width="9.140625" style="30"/>
    <col min="4" max="4" width="10.42578125" style="30" bestFit="1" customWidth="1"/>
    <col min="5" max="5" width="5.140625" style="30" customWidth="1"/>
    <col min="6" max="8" width="9.140625" style="30"/>
    <col min="9" max="9" width="19.28515625" style="30" customWidth="1"/>
    <col min="10" max="10" width="9.140625" style="30"/>
    <col min="11" max="11" width="11.7109375" style="30" bestFit="1" customWidth="1"/>
    <col min="12" max="12" width="5" style="30" customWidth="1"/>
    <col min="13" max="16384" width="9.140625" style="30"/>
  </cols>
  <sheetData>
    <row r="2" spans="1:12" ht="51">
      <c r="A2" s="37" t="s">
        <v>110</v>
      </c>
      <c r="B2" s="37" t="s">
        <v>152</v>
      </c>
      <c r="C2" s="66"/>
      <c r="D2" s="37" t="s">
        <v>163</v>
      </c>
      <c r="E2" s="66"/>
      <c r="H2" s="37" t="s">
        <v>111</v>
      </c>
      <c r="I2" s="37" t="s">
        <v>152</v>
      </c>
      <c r="J2" s="66"/>
      <c r="K2" s="37" t="s">
        <v>164</v>
      </c>
      <c r="L2" s="66"/>
    </row>
    <row r="3" spans="1:12">
      <c r="B3" s="67" t="s">
        <v>79</v>
      </c>
      <c r="C3" s="67" t="s">
        <v>108</v>
      </c>
      <c r="D3" s="67" t="s">
        <v>109</v>
      </c>
      <c r="E3" s="67"/>
      <c r="I3" s="67" t="s">
        <v>112</v>
      </c>
      <c r="J3" s="67" t="s">
        <v>113</v>
      </c>
      <c r="K3" s="67" t="s">
        <v>114</v>
      </c>
      <c r="L3" s="67"/>
    </row>
    <row r="4" spans="1:12">
      <c r="A4" s="31" t="s">
        <v>96</v>
      </c>
      <c r="B4" s="4">
        <f ca="1">'Normalized Annual Summary'!E11</f>
        <v>191170217.59667155</v>
      </c>
      <c r="C4" s="35">
        <f ca="1">B4/B8</f>
        <v>0.26270507171500923</v>
      </c>
      <c r="D4" s="4">
        <f ca="1">D8*C4</f>
        <v>0</v>
      </c>
      <c r="H4" s="31" t="s">
        <v>96</v>
      </c>
      <c r="I4" s="23">
        <v>0</v>
      </c>
      <c r="J4" s="35">
        <f ca="1">I4/I8</f>
        <v>0</v>
      </c>
      <c r="K4" s="23">
        <f ca="1">I4/B4*D4</f>
        <v>0</v>
      </c>
    </row>
    <row r="5" spans="1:12">
      <c r="A5" s="31" t="s">
        <v>97</v>
      </c>
      <c r="B5" s="4">
        <f ca="1">'Normalized Annual Summary'!M11</f>
        <v>91674921.392479271</v>
      </c>
      <c r="C5" s="35">
        <f ca="1">B5/B8</f>
        <v>0.12597917762321162</v>
      </c>
      <c r="D5" s="4">
        <f ca="1">D8*C5</f>
        <v>0</v>
      </c>
      <c r="H5" s="31" t="s">
        <v>97</v>
      </c>
      <c r="I5" s="23">
        <v>0</v>
      </c>
      <c r="J5" s="35">
        <f ca="1">I5/I8</f>
        <v>0</v>
      </c>
      <c r="K5" s="23">
        <f ca="1">I5/B5*D5</f>
        <v>0</v>
      </c>
    </row>
    <row r="6" spans="1:12">
      <c r="A6" s="31" t="s">
        <v>98</v>
      </c>
      <c r="B6" s="4">
        <f ca="1">'Normalized Annual Summary'!U11</f>
        <v>284732144.50405562</v>
      </c>
      <c r="C6" s="35">
        <f ca="1">B6/B8</f>
        <v>0.39127736203826258</v>
      </c>
      <c r="D6" s="4">
        <f ca="1">D8*C6</f>
        <v>0</v>
      </c>
      <c r="H6" s="31" t="s">
        <v>98</v>
      </c>
      <c r="I6" s="23">
        <f ca="1">'kW Forecast'!E15</f>
        <v>756498.76622701553</v>
      </c>
      <c r="J6" s="35">
        <f ca="1">I6/I8</f>
        <v>0.71823901948170488</v>
      </c>
      <c r="K6" s="23">
        <f ca="1">I6/B6*D6</f>
        <v>0</v>
      </c>
    </row>
    <row r="7" spans="1:12">
      <c r="A7" s="31" t="s">
        <v>88</v>
      </c>
      <c r="B7" s="4">
        <f ca="1">'Normalized Annual Summary'!AC11</f>
        <v>160121715.04024801</v>
      </c>
      <c r="C7" s="35">
        <f ca="1">B7/B8</f>
        <v>0.22003838862351646</v>
      </c>
      <c r="D7" s="4">
        <f ca="1">D8*C7</f>
        <v>0</v>
      </c>
      <c r="H7" s="31" t="s">
        <v>88</v>
      </c>
      <c r="I7" s="23">
        <f ca="1">'kW Forecast'!J15</f>
        <v>296770.0561392763</v>
      </c>
      <c r="J7" s="35">
        <f ca="1">I7/I8</f>
        <v>0.28176098051829501</v>
      </c>
      <c r="K7" s="23">
        <f ca="1">I7/B7*D7</f>
        <v>0</v>
      </c>
    </row>
    <row r="8" spans="1:12" ht="13.5" thickBot="1">
      <c r="A8" s="31" t="s">
        <v>105</v>
      </c>
      <c r="B8" s="36">
        <f ca="1">SUM(B4:B7)</f>
        <v>727698998.53345454</v>
      </c>
      <c r="C8" s="34">
        <v>1</v>
      </c>
      <c r="D8" s="36">
        <f>'Annual CDM'!C45</f>
        <v>0</v>
      </c>
      <c r="H8" s="31" t="s">
        <v>105</v>
      </c>
      <c r="I8" s="38">
        <f ca="1">SUM(I4:I7)</f>
        <v>1053268.8223662919</v>
      </c>
      <c r="J8" s="34">
        <v>1</v>
      </c>
      <c r="K8" s="38">
        <f ca="1">SUM(K4:K7)</f>
        <v>0</v>
      </c>
    </row>
    <row r="9" spans="1:12">
      <c r="B9" s="67" t="s">
        <v>81</v>
      </c>
      <c r="C9" s="67"/>
      <c r="D9" s="67" t="s">
        <v>85</v>
      </c>
      <c r="I9" s="67" t="s">
        <v>116</v>
      </c>
      <c r="J9" s="67"/>
      <c r="K9" s="67"/>
    </row>
    <row r="12" spans="1:12" ht="51">
      <c r="A12" s="37" t="s">
        <v>110</v>
      </c>
      <c r="B12" s="37" t="s">
        <v>153</v>
      </c>
      <c r="C12" s="66"/>
      <c r="D12" s="37" t="s">
        <v>163</v>
      </c>
      <c r="E12" s="66"/>
      <c r="H12" s="37" t="s">
        <v>111</v>
      </c>
      <c r="I12" s="37" t="s">
        <v>153</v>
      </c>
      <c r="J12" s="66"/>
      <c r="K12" s="37" t="s">
        <v>164</v>
      </c>
      <c r="L12" s="66"/>
    </row>
    <row r="13" spans="1:12">
      <c r="B13" s="67" t="s">
        <v>79</v>
      </c>
      <c r="C13" s="67" t="s">
        <v>108</v>
      </c>
      <c r="D13" s="67" t="s">
        <v>109</v>
      </c>
      <c r="E13" s="67"/>
      <c r="I13" s="67" t="s">
        <v>112</v>
      </c>
      <c r="J13" s="67" t="s">
        <v>113</v>
      </c>
      <c r="K13" s="67" t="s">
        <v>114</v>
      </c>
      <c r="L13" s="67"/>
    </row>
    <row r="14" spans="1:12">
      <c r="A14" s="31" t="s">
        <v>96</v>
      </c>
      <c r="B14" s="4">
        <f ca="1">'Normalized Annual Summary'!E12</f>
        <v>190092761.46311805</v>
      </c>
      <c r="C14" s="35">
        <f ca="1">B14/B18</f>
        <v>0.26030870857623034</v>
      </c>
      <c r="D14" s="4">
        <f ca="1">D18*C14</f>
        <v>0</v>
      </c>
      <c r="H14" s="31" t="s">
        <v>96</v>
      </c>
      <c r="I14" s="23">
        <v>0</v>
      </c>
      <c r="J14" s="35">
        <f ca="1">I14/I18</f>
        <v>0</v>
      </c>
      <c r="K14" s="23">
        <f ca="1">I14/B14*D14</f>
        <v>0</v>
      </c>
    </row>
    <row r="15" spans="1:12">
      <c r="A15" s="31" t="s">
        <v>97</v>
      </c>
      <c r="B15" s="4">
        <f ca="1">'Normalized Annual Summary'!M12</f>
        <v>89230945.396840468</v>
      </c>
      <c r="C15" s="35">
        <f ca="1">B15/B18</f>
        <v>0.1221908292693949</v>
      </c>
      <c r="D15" s="4">
        <f ca="1">D18*C15</f>
        <v>0</v>
      </c>
      <c r="H15" s="31" t="s">
        <v>97</v>
      </c>
      <c r="I15" s="23">
        <v>0</v>
      </c>
      <c r="J15" s="35">
        <f ca="1">I15/I18</f>
        <v>0</v>
      </c>
      <c r="K15" s="23">
        <f ca="1">I15/B15*D15</f>
        <v>0</v>
      </c>
    </row>
    <row r="16" spans="1:12">
      <c r="A16" s="31" t="s">
        <v>98</v>
      </c>
      <c r="B16" s="4">
        <f ca="1">'Normalized Annual Summary'!U12</f>
        <v>288239557.43054789</v>
      </c>
      <c r="C16" s="35">
        <f ca="1">B16/B18</f>
        <v>0.39470870104587191</v>
      </c>
      <c r="D16" s="4">
        <f ca="1">D18*C16</f>
        <v>0</v>
      </c>
      <c r="H16" s="31" t="s">
        <v>98</v>
      </c>
      <c r="I16" s="23">
        <f ca="1">'kW Forecast'!E16</f>
        <v>767481.55246311403</v>
      </c>
      <c r="J16" s="35">
        <f ca="1">I16/I18</f>
        <v>0.71780580963977825</v>
      </c>
      <c r="K16" s="23">
        <f ca="1">I16/B16*D16</f>
        <v>0</v>
      </c>
    </row>
    <row r="17" spans="1:12">
      <c r="A17" s="31" t="s">
        <v>88</v>
      </c>
      <c r="B17" s="4">
        <f ca="1">'Normalized Annual Summary'!AC12</f>
        <v>162695675.19268876</v>
      </c>
      <c r="C17" s="35">
        <f ca="1">B17/B18</f>
        <v>0.22279176110850302</v>
      </c>
      <c r="D17" s="4">
        <f ca="1">D18*C17</f>
        <v>0</v>
      </c>
      <c r="H17" s="31" t="s">
        <v>88</v>
      </c>
      <c r="I17" s="23">
        <f ca="1">'kW Forecast'!J16</f>
        <v>301723.43606750946</v>
      </c>
      <c r="J17" s="35">
        <f ca="1">I17/I18</f>
        <v>0.28219419036022175</v>
      </c>
      <c r="K17" s="23">
        <f ca="1">I17/B17*D17</f>
        <v>0</v>
      </c>
    </row>
    <row r="18" spans="1:12" ht="13.5" thickBot="1">
      <c r="A18" s="31" t="s">
        <v>105</v>
      </c>
      <c r="B18" s="36">
        <f ca="1">SUM(B14:B17)</f>
        <v>730258939.48319507</v>
      </c>
      <c r="C18" s="34">
        <v>1</v>
      </c>
      <c r="D18" s="36">
        <f>'Annual CDM'!D45</f>
        <v>0</v>
      </c>
      <c r="H18" s="31" t="s">
        <v>105</v>
      </c>
      <c r="I18" s="38">
        <f ca="1">SUM(I14:I17)</f>
        <v>1069204.9885306235</v>
      </c>
      <c r="J18" s="34">
        <v>1</v>
      </c>
      <c r="K18" s="38">
        <f ca="1">SUM(K14:K17)</f>
        <v>0</v>
      </c>
    </row>
    <row r="19" spans="1:12">
      <c r="B19" s="67" t="s">
        <v>81</v>
      </c>
      <c r="C19" s="67"/>
      <c r="D19" s="67" t="s">
        <v>85</v>
      </c>
      <c r="I19" s="67" t="s">
        <v>116</v>
      </c>
      <c r="J19" s="67"/>
      <c r="K19" s="67"/>
    </row>
    <row r="22" spans="1:12" ht="51">
      <c r="A22" s="37" t="s">
        <v>110</v>
      </c>
      <c r="B22" s="37" t="s">
        <v>158</v>
      </c>
      <c r="C22" s="66"/>
      <c r="D22" s="37" t="s">
        <v>163</v>
      </c>
      <c r="E22" s="66"/>
      <c r="H22" s="37" t="s">
        <v>111</v>
      </c>
      <c r="I22" s="37" t="s">
        <v>158</v>
      </c>
      <c r="J22" s="66"/>
      <c r="K22" s="37" t="s">
        <v>164</v>
      </c>
      <c r="L22" s="66"/>
    </row>
    <row r="23" spans="1:12">
      <c r="B23" s="67" t="s">
        <v>79</v>
      </c>
      <c r="C23" s="67" t="s">
        <v>108</v>
      </c>
      <c r="D23" s="67" t="s">
        <v>109</v>
      </c>
      <c r="E23" s="67"/>
      <c r="I23" s="67" t="s">
        <v>112</v>
      </c>
      <c r="J23" s="67" t="s">
        <v>113</v>
      </c>
      <c r="K23" s="67" t="s">
        <v>114</v>
      </c>
      <c r="L23" s="67"/>
    </row>
    <row r="24" spans="1:12">
      <c r="A24" s="31" t="s">
        <v>96</v>
      </c>
      <c r="B24" s="4">
        <f ca="1">'Normalized Annual Summary'!E13</f>
        <v>189033648.19964355</v>
      </c>
      <c r="C24" s="35">
        <f ca="1">B24/B28</f>
        <v>0.25821321943461795</v>
      </c>
      <c r="D24" s="4">
        <f ca="1">D28*C24</f>
        <v>0</v>
      </c>
      <c r="H24" s="31" t="s">
        <v>96</v>
      </c>
      <c r="I24" s="23">
        <v>0</v>
      </c>
      <c r="J24" s="35">
        <f ca="1">I24/I28</f>
        <v>0</v>
      </c>
      <c r="K24" s="23">
        <f ca="1">I24/B24*D24</f>
        <v>0</v>
      </c>
    </row>
    <row r="25" spans="1:12">
      <c r="A25" s="31" t="s">
        <v>97</v>
      </c>
      <c r="B25" s="4">
        <f ca="1">'Normalized Annual Summary'!M13</f>
        <v>86827786.359759971</v>
      </c>
      <c r="C25" s="35">
        <f ca="1">B25/B28</f>
        <v>0.11860365848018958</v>
      </c>
      <c r="D25" s="4">
        <f ca="1">D28*C25</f>
        <v>0</v>
      </c>
      <c r="H25" s="31" t="s">
        <v>97</v>
      </c>
      <c r="I25" s="23">
        <v>0</v>
      </c>
      <c r="J25" s="35">
        <f ca="1">I25/I28</f>
        <v>0</v>
      </c>
      <c r="K25" s="23">
        <f ca="1">I25/B25*D25</f>
        <v>0</v>
      </c>
    </row>
    <row r="26" spans="1:12">
      <c r="A26" s="31" t="s">
        <v>98</v>
      </c>
      <c r="B26" s="4">
        <f ca="1">'Normalized Annual Summary'!U13</f>
        <v>291387730.83029842</v>
      </c>
      <c r="C26" s="35">
        <f ca="1">B26/B28</f>
        <v>0.39802524470128225</v>
      </c>
      <c r="D26" s="4">
        <f ca="1">D28*C26</f>
        <v>0</v>
      </c>
      <c r="H26" s="31" t="s">
        <v>98</v>
      </c>
      <c r="I26" s="23">
        <f ca="1">'kW Forecast'!E17</f>
        <v>776822.54859004321</v>
      </c>
      <c r="J26" s="35">
        <f ca="1">I26/I28</f>
        <v>0.71755541577677806</v>
      </c>
      <c r="K26" s="23">
        <f ca="1">I26/B26*D26</f>
        <v>0</v>
      </c>
    </row>
    <row r="27" spans="1:12">
      <c r="A27" s="31" t="s">
        <v>88</v>
      </c>
      <c r="B27" s="4">
        <f ca="1">'Normalized Annual Summary'!AC13</f>
        <v>164834376.31877625</v>
      </c>
      <c r="C27" s="35">
        <f ca="1">B27/B28</f>
        <v>0.22515787738391022</v>
      </c>
      <c r="D27" s="4">
        <f ca="1">D28*C27</f>
        <v>0</v>
      </c>
      <c r="H27" s="31" t="s">
        <v>88</v>
      </c>
      <c r="I27" s="23">
        <f ca="1">'kW Forecast'!J17</f>
        <v>305773.34785247268</v>
      </c>
      <c r="J27" s="35">
        <f ca="1">I27/I28</f>
        <v>0.28244458422322199</v>
      </c>
      <c r="K27" s="23">
        <f ca="1">I27/B27*D27</f>
        <v>0</v>
      </c>
    </row>
    <row r="28" spans="1:12" ht="13.5" thickBot="1">
      <c r="A28" s="31" t="s">
        <v>105</v>
      </c>
      <c r="B28" s="36">
        <f ca="1">SUM(B24:B27)</f>
        <v>732083541.70847821</v>
      </c>
      <c r="C28" s="34">
        <v>1</v>
      </c>
      <c r="D28" s="36">
        <f>'Annual CDM'!E45</f>
        <v>0</v>
      </c>
      <c r="H28" s="31" t="s">
        <v>105</v>
      </c>
      <c r="I28" s="38">
        <f ca="1">SUM(I24:I27)</f>
        <v>1082595.8964425158</v>
      </c>
      <c r="J28" s="34">
        <v>1</v>
      </c>
      <c r="K28" s="38">
        <f ca="1">SUM(K24:K27)</f>
        <v>0</v>
      </c>
    </row>
    <row r="29" spans="1:12">
      <c r="B29" s="67" t="s">
        <v>81</v>
      </c>
      <c r="C29" s="67"/>
      <c r="D29" s="67" t="s">
        <v>85</v>
      </c>
      <c r="I29" s="67" t="s">
        <v>116</v>
      </c>
      <c r="J29" s="67"/>
      <c r="K29" s="67"/>
    </row>
    <row r="32" spans="1:12" ht="51">
      <c r="A32" s="37" t="s">
        <v>110</v>
      </c>
      <c r="B32" s="37" t="s">
        <v>156</v>
      </c>
      <c r="C32" s="66"/>
      <c r="D32" s="37" t="s">
        <v>163</v>
      </c>
      <c r="E32" s="66"/>
      <c r="H32" s="37" t="s">
        <v>111</v>
      </c>
      <c r="I32" s="37" t="s">
        <v>156</v>
      </c>
      <c r="J32" s="66"/>
      <c r="K32" s="37" t="s">
        <v>164</v>
      </c>
      <c r="L32" s="66"/>
    </row>
    <row r="33" spans="1:12">
      <c r="B33" s="67" t="s">
        <v>79</v>
      </c>
      <c r="C33" s="67" t="s">
        <v>108</v>
      </c>
      <c r="D33" s="67" t="s">
        <v>109</v>
      </c>
      <c r="E33" s="67"/>
      <c r="I33" s="67" t="s">
        <v>112</v>
      </c>
      <c r="J33" s="67" t="s">
        <v>113</v>
      </c>
      <c r="K33" s="67" t="s">
        <v>114</v>
      </c>
      <c r="L33" s="67"/>
    </row>
    <row r="34" spans="1:12">
      <c r="A34" s="31" t="s">
        <v>96</v>
      </c>
      <c r="B34" s="4">
        <f ca="1">'Normalized Annual Summary'!E14</f>
        <v>187992994.61306775</v>
      </c>
      <c r="C34" s="35">
        <f ca="1">B34/B38</f>
        <v>0.256069200420593</v>
      </c>
      <c r="D34" s="4">
        <f ca="1">D38*C34</f>
        <v>0</v>
      </c>
      <c r="H34" s="31" t="s">
        <v>96</v>
      </c>
      <c r="I34" s="23">
        <v>0</v>
      </c>
      <c r="J34" s="35">
        <f ca="1">I34/I38</f>
        <v>0</v>
      </c>
      <c r="K34" s="23">
        <f ca="1">I34/B34*D34</f>
        <v>0</v>
      </c>
    </row>
    <row r="35" spans="1:12">
      <c r="A35" s="31" t="s">
        <v>97</v>
      </c>
      <c r="B35" s="4">
        <f ca="1">'Normalized Annual Summary'!M14</f>
        <v>84464762.595284745</v>
      </c>
      <c r="C35" s="35">
        <f ca="1">B35/B38</f>
        <v>0.1150512244672032</v>
      </c>
      <c r="D35" s="4">
        <f ca="1">D38*C35</f>
        <v>0</v>
      </c>
      <c r="H35" s="31" t="s">
        <v>97</v>
      </c>
      <c r="I35" s="23">
        <v>0</v>
      </c>
      <c r="J35" s="35">
        <f ca="1">I35/I38</f>
        <v>0</v>
      </c>
      <c r="K35" s="23">
        <f ca="1">I35/B35*D35</f>
        <v>0</v>
      </c>
    </row>
    <row r="36" spans="1:12">
      <c r="A36" s="31" t="s">
        <v>98</v>
      </c>
      <c r="B36" s="4">
        <f ca="1">'Normalized Annual Summary'!U14</f>
        <v>294627165.54102087</v>
      </c>
      <c r="C36" s="35">
        <f ca="1">B36/B38</f>
        <v>0.40131784089911293</v>
      </c>
      <c r="D36" s="4">
        <f ca="1">D38*C36</f>
        <v>0</v>
      </c>
      <c r="H36" s="31" t="s">
        <v>98</v>
      </c>
      <c r="I36" s="23">
        <f ca="1">'kW Forecast'!E18</f>
        <v>786380.17000527878</v>
      </c>
      <c r="J36" s="35">
        <f ca="1">I36/I38</f>
        <v>0.71725852748547092</v>
      </c>
      <c r="K36" s="23">
        <f ca="1">I36/B36*D36</f>
        <v>0</v>
      </c>
    </row>
    <row r="37" spans="1:12">
      <c r="A37" s="31" t="s">
        <v>88</v>
      </c>
      <c r="B37" s="4">
        <f ca="1">'Normalized Annual Summary'!AC14</f>
        <v>167064261.55037725</v>
      </c>
      <c r="C37" s="35">
        <f ca="1">B37/B38</f>
        <v>0.22756173421309075</v>
      </c>
      <c r="D37" s="4">
        <f ca="1">D38*C37</f>
        <v>0</v>
      </c>
      <c r="H37" s="31" t="s">
        <v>88</v>
      </c>
      <c r="I37" s="23">
        <f ca="1">'kW Forecast'!J18</f>
        <v>309989.04677089682</v>
      </c>
      <c r="J37" s="35">
        <f ca="1">I37/I38</f>
        <v>0.28274147251452908</v>
      </c>
      <c r="K37" s="23">
        <f ca="1">I37/B37*D37</f>
        <v>0</v>
      </c>
    </row>
    <row r="38" spans="1:12" ht="13.5" thickBot="1">
      <c r="A38" s="31" t="s">
        <v>105</v>
      </c>
      <c r="B38" s="36">
        <f ca="1">SUM(B34:B37)</f>
        <v>734149184.29975069</v>
      </c>
      <c r="C38" s="34">
        <v>1</v>
      </c>
      <c r="D38" s="36">
        <f>'Annual CDM'!F45</f>
        <v>0</v>
      </c>
      <c r="H38" s="31" t="s">
        <v>105</v>
      </c>
      <c r="I38" s="38">
        <f ca="1">SUM(I34:I37)</f>
        <v>1096369.2167761757</v>
      </c>
      <c r="J38" s="34">
        <v>1</v>
      </c>
      <c r="K38" s="38">
        <f ca="1">SUM(K34:K37)</f>
        <v>0</v>
      </c>
    </row>
    <row r="39" spans="1:12">
      <c r="B39" s="67" t="s">
        <v>81</v>
      </c>
      <c r="C39" s="67"/>
      <c r="D39" s="67" t="s">
        <v>85</v>
      </c>
      <c r="I39" s="67" t="s">
        <v>116</v>
      </c>
      <c r="J39" s="67"/>
      <c r="K39" s="67"/>
    </row>
    <row r="42" spans="1:12" ht="51">
      <c r="A42" s="37" t="s">
        <v>110</v>
      </c>
      <c r="B42" s="37" t="s">
        <v>154</v>
      </c>
      <c r="C42" s="66"/>
      <c r="D42" s="37" t="s">
        <v>163</v>
      </c>
      <c r="E42" s="66"/>
      <c r="H42" s="37" t="s">
        <v>111</v>
      </c>
      <c r="I42" s="37" t="s">
        <v>154</v>
      </c>
      <c r="J42" s="66"/>
      <c r="K42" s="37" t="s">
        <v>164</v>
      </c>
      <c r="L42" s="66"/>
    </row>
    <row r="43" spans="1:12">
      <c r="B43" s="67" t="s">
        <v>79</v>
      </c>
      <c r="C43" s="67" t="s">
        <v>108</v>
      </c>
      <c r="D43" s="67" t="s">
        <v>109</v>
      </c>
      <c r="E43" s="67"/>
      <c r="I43" s="67" t="s">
        <v>112</v>
      </c>
      <c r="J43" s="67" t="s">
        <v>113</v>
      </c>
      <c r="K43" s="67" t="s">
        <v>114</v>
      </c>
      <c r="L43" s="67"/>
    </row>
    <row r="44" spans="1:12">
      <c r="A44" s="31" t="s">
        <v>96</v>
      </c>
      <c r="B44" s="4">
        <f ca="1">'Normalized Annual Summary'!E15</f>
        <v>186970918.25403267</v>
      </c>
      <c r="C44" s="35">
        <f ca="1">B44/B48</f>
        <v>0.25387866957670252</v>
      </c>
      <c r="D44" s="4">
        <f ca="1">D48*C44</f>
        <v>0</v>
      </c>
      <c r="H44" s="31" t="s">
        <v>96</v>
      </c>
      <c r="I44" s="23">
        <v>0</v>
      </c>
      <c r="J44" s="35">
        <f ca="1">I44/I48</f>
        <v>0</v>
      </c>
      <c r="K44" s="23">
        <f ca="1">I44/B44*D44</f>
        <v>0</v>
      </c>
    </row>
    <row r="45" spans="1:12">
      <c r="A45" s="31" t="s">
        <v>97</v>
      </c>
      <c r="B45" s="4">
        <f ca="1">'Normalized Annual Summary'!M15</f>
        <v>82141203.802330896</v>
      </c>
      <c r="C45" s="35">
        <f ca="1">B45/B48</f>
        <v>0.11153552506187556</v>
      </c>
      <c r="D45" s="4">
        <f ca="1">D48*C45</f>
        <v>0</v>
      </c>
      <c r="H45" s="31" t="s">
        <v>97</v>
      </c>
      <c r="I45" s="23">
        <v>0</v>
      </c>
      <c r="J45" s="35">
        <f ca="1">I45/I48</f>
        <v>0</v>
      </c>
      <c r="K45" s="23">
        <f ca="1">I45/B45*D45</f>
        <v>0</v>
      </c>
    </row>
    <row r="46" spans="1:12">
      <c r="A46" s="31" t="s">
        <v>98</v>
      </c>
      <c r="B46" s="4">
        <f ca="1">'Normalized Annual Summary'!U15</f>
        <v>297959129.32704109</v>
      </c>
      <c r="C46" s="35">
        <f ca="1">B46/B48</f>
        <v>0.40458413558735512</v>
      </c>
      <c r="D46" s="4">
        <f ca="1">D48*C46</f>
        <v>0</v>
      </c>
      <c r="H46" s="31" t="s">
        <v>98</v>
      </c>
      <c r="I46" s="23">
        <f ca="1">'kW Forecast'!E19</f>
        <v>797605.00009507092</v>
      </c>
      <c r="J46" s="35">
        <f ca="1">I46/I48</f>
        <v>0.71707349971582601</v>
      </c>
      <c r="K46" s="23">
        <f ca="1">I46/B46*D46</f>
        <v>0</v>
      </c>
    </row>
    <row r="47" spans="1:12">
      <c r="A47" s="31" t="s">
        <v>88</v>
      </c>
      <c r="B47" s="4">
        <f ca="1">'Normalized Annual Summary'!AC15</f>
        <v>169386516.28086334</v>
      </c>
      <c r="C47" s="35">
        <f ca="1">B47/B48</f>
        <v>0.23000166977406675</v>
      </c>
      <c r="D47" s="4">
        <f ca="1">D48*C47</f>
        <v>0</v>
      </c>
      <c r="H47" s="31" t="s">
        <v>88</v>
      </c>
      <c r="I47" s="23">
        <f ca="1">'kW Forecast'!J19</f>
        <v>314700.78224266617</v>
      </c>
      <c r="J47" s="35">
        <f ca="1">I47/I48</f>
        <v>0.28292650028417404</v>
      </c>
      <c r="K47" s="23">
        <f ca="1">I47/B47*D47</f>
        <v>0</v>
      </c>
    </row>
    <row r="48" spans="1:12" ht="13.5" thickBot="1">
      <c r="A48" s="31" t="s">
        <v>105</v>
      </c>
      <c r="B48" s="36">
        <f ca="1">SUM(B44:B47)</f>
        <v>736457767.66426802</v>
      </c>
      <c r="C48" s="34">
        <v>1</v>
      </c>
      <c r="D48" s="36">
        <f>'Annual CDM'!G45</f>
        <v>0</v>
      </c>
      <c r="H48" s="31" t="s">
        <v>105</v>
      </c>
      <c r="I48" s="38">
        <f ca="1">SUM(I44:I47)</f>
        <v>1112305.782337737</v>
      </c>
      <c r="J48" s="34">
        <v>1</v>
      </c>
      <c r="K48" s="38">
        <f ca="1">SUM(K44:K47)</f>
        <v>0</v>
      </c>
    </row>
    <row r="49" spans="2:11">
      <c r="B49" s="67" t="s">
        <v>81</v>
      </c>
      <c r="C49" s="67"/>
      <c r="D49" s="67" t="s">
        <v>85</v>
      </c>
      <c r="I49" s="67" t="s">
        <v>116</v>
      </c>
      <c r="J49" s="67"/>
      <c r="K49" s="6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B1" sqref="B1"/>
    </sheetView>
  </sheetViews>
  <sheetFormatPr defaultRowHeight="12.75"/>
  <cols>
    <col min="1" max="1" width="3" style="30" customWidth="1"/>
    <col min="2" max="2" width="17.28515625" customWidth="1"/>
    <col min="3" max="3" width="11.140625" bestFit="1" customWidth="1"/>
    <col min="4" max="4" width="10.140625" bestFit="1" customWidth="1"/>
    <col min="5" max="6" width="11.140625" bestFit="1" customWidth="1"/>
    <col min="7" max="7" width="11.5703125" bestFit="1" customWidth="1"/>
    <col min="8" max="8" width="9.140625" bestFit="1" customWidth="1"/>
    <col min="9" max="9" width="11.140625" bestFit="1" customWidth="1"/>
  </cols>
  <sheetData>
    <row r="1" spans="1:9" s="30" customFormat="1" ht="15.75">
      <c r="B1" s="54" t="s">
        <v>215</v>
      </c>
    </row>
    <row r="2" spans="1:9" s="94" customFormat="1">
      <c r="B2" s="31"/>
    </row>
    <row r="3" spans="1:9" s="94" customFormat="1">
      <c r="B3" s="31"/>
    </row>
    <row r="4" spans="1:9" ht="16.5" thickBot="1">
      <c r="A4"/>
      <c r="B4" s="114" t="s">
        <v>127</v>
      </c>
      <c r="C4" s="114"/>
    </row>
    <row r="5" spans="1:9">
      <c r="A5"/>
      <c r="B5" s="48" t="s">
        <v>106</v>
      </c>
      <c r="C5" s="51" t="s">
        <v>96</v>
      </c>
      <c r="D5" s="52" t="s">
        <v>97</v>
      </c>
      <c r="E5" s="52" t="s">
        <v>98</v>
      </c>
      <c r="F5" s="52" t="s">
        <v>88</v>
      </c>
      <c r="G5" s="52" t="s">
        <v>89</v>
      </c>
      <c r="H5" s="53" t="s">
        <v>95</v>
      </c>
      <c r="I5" s="45" t="s">
        <v>105</v>
      </c>
    </row>
    <row r="6" spans="1:9">
      <c r="A6"/>
      <c r="B6" s="49" t="s">
        <v>195</v>
      </c>
      <c r="C6" s="85">
        <f>'Normalized Annual Summary'!C4</f>
        <v>196461749.94190001</v>
      </c>
      <c r="D6" s="86">
        <f>'Normalized Annual Summary'!K4</f>
        <v>93350686.924999997</v>
      </c>
      <c r="E6" s="86">
        <f>'Normalized Annual Summary'!S4</f>
        <v>270117289.67619997</v>
      </c>
      <c r="F6" s="86">
        <f>'Normalized Annual Summary'!AA4</f>
        <v>148002868.85999998</v>
      </c>
      <c r="G6" s="86">
        <f>'Normalized Annual Summary'!AI4</f>
        <v>3992184.5421686745</v>
      </c>
      <c r="H6" s="87">
        <f>'Normalized Annual Summary'!AN4</f>
        <v>2256948.7499999995</v>
      </c>
      <c r="I6" s="46">
        <f>SUM(C6:H6)</f>
        <v>714181728.69526863</v>
      </c>
    </row>
    <row r="7" spans="1:9" s="30" customFormat="1">
      <c r="B7" s="49" t="s">
        <v>196</v>
      </c>
      <c r="C7" s="85">
        <f>'Normalized Annual Summary'!C5</f>
        <v>197410764.39520001</v>
      </c>
      <c r="D7" s="86">
        <f>'Normalized Annual Summary'!K5</f>
        <v>94126083.127000004</v>
      </c>
      <c r="E7" s="86">
        <f>'Normalized Annual Summary'!S5</f>
        <v>273806097.95489997</v>
      </c>
      <c r="F7" s="86">
        <f>'Normalized Annual Summary'!AA5</f>
        <v>149058789.9682</v>
      </c>
      <c r="G7" s="86">
        <f>'Normalized Annual Summary'!AI5</f>
        <v>4076824</v>
      </c>
      <c r="H7" s="87">
        <f>'Normalized Annual Summary'!AN5</f>
        <v>2229012.04</v>
      </c>
      <c r="I7" s="46">
        <f>SUM(C7:H7)</f>
        <v>720707571.48529983</v>
      </c>
    </row>
    <row r="8" spans="1:9" s="30" customFormat="1">
      <c r="B8" s="49" t="s">
        <v>197</v>
      </c>
      <c r="C8" s="85">
        <f>'Normalized Annual Summary'!C6</f>
        <v>191104338.41010001</v>
      </c>
      <c r="D8" s="86">
        <f>'Normalized Annual Summary'!K6</f>
        <v>93008634.910999998</v>
      </c>
      <c r="E8" s="86">
        <f>'Normalized Annual Summary'!S6</f>
        <v>273712584.15109998</v>
      </c>
      <c r="F8" s="86">
        <f>'Normalized Annual Summary'!AA6</f>
        <v>154491718.44549999</v>
      </c>
      <c r="G8" s="86">
        <f>'Normalized Annual Summary'!AI6</f>
        <v>4142238</v>
      </c>
      <c r="H8" s="87">
        <f>'Normalized Annual Summary'!AN6</f>
        <v>1517655.06</v>
      </c>
      <c r="I8" s="46">
        <f>SUM(C8:H8)</f>
        <v>717977168.97769988</v>
      </c>
    </row>
    <row r="9" spans="1:9" s="30" customFormat="1">
      <c r="B9" s="49" t="s">
        <v>198</v>
      </c>
      <c r="C9" s="85">
        <f>'Normalized Annual Summary'!C7</f>
        <v>184953208.6112</v>
      </c>
      <c r="D9" s="86">
        <f>'Normalized Annual Summary'!K7</f>
        <v>88608640.897100002</v>
      </c>
      <c r="E9" s="86">
        <f>'Normalized Annual Summary'!S7</f>
        <v>274473667.94679999</v>
      </c>
      <c r="F9" s="86">
        <f>'Normalized Annual Summary'!AA7</f>
        <v>155448434.65640002</v>
      </c>
      <c r="G9" s="86">
        <f>'Normalized Annual Summary'!AI7</f>
        <v>4555371</v>
      </c>
      <c r="H9" s="87">
        <f>'Normalized Annual Summary'!AN7</f>
        <v>1484560.47</v>
      </c>
      <c r="I9" s="46">
        <f>SUM(C9:H9)</f>
        <v>709523883.58150005</v>
      </c>
    </row>
    <row r="10" spans="1:9" s="30" customFormat="1">
      <c r="B10" s="49" t="s">
        <v>119</v>
      </c>
      <c r="C10" s="85">
        <f>'Normalized Annual Summary'!C8</f>
        <v>189348695.8743</v>
      </c>
      <c r="D10" s="86">
        <f>'Normalized Annual Summary'!K8</f>
        <v>86375577.059599996</v>
      </c>
      <c r="E10" s="86">
        <f>'Normalized Annual Summary'!S8</f>
        <v>279458000.47820002</v>
      </c>
      <c r="F10" s="86">
        <f>'Normalized Annual Summary'!AA8</f>
        <v>153943745.77000001</v>
      </c>
      <c r="G10" s="86">
        <f>'Normalized Annual Summary'!AI8</f>
        <v>3336835</v>
      </c>
      <c r="H10" s="87">
        <f>'Normalized Annual Summary'!AN8</f>
        <v>1499819.8</v>
      </c>
      <c r="I10" s="46">
        <f>SUM(C10:H10)</f>
        <v>713962673.98210001</v>
      </c>
    </row>
    <row r="11" spans="1:9">
      <c r="A11"/>
      <c r="B11" s="49" t="s">
        <v>117</v>
      </c>
      <c r="C11" s="85">
        <f>'Normalized Annual Summary'!C9</f>
        <v>192061408.34380001</v>
      </c>
      <c r="D11" s="86">
        <f>'Normalized Annual Summary'!K9</f>
        <v>91470554.884800017</v>
      </c>
      <c r="E11" s="86">
        <f>'Normalized Annual Summary'!S9</f>
        <v>272498127.16669995</v>
      </c>
      <c r="F11" s="86">
        <f>'Normalized Annual Summary'!AA9</f>
        <v>151518193.477</v>
      </c>
      <c r="G11" s="86">
        <f>'Normalized Annual Summary'!AI9</f>
        <v>1817916.7936968291</v>
      </c>
      <c r="H11" s="87">
        <f>'Normalized Annual Summary'!AN9</f>
        <v>1247036.4200000002</v>
      </c>
      <c r="I11" s="46">
        <f t="shared" ref="I11:I23" si="0">SUM(C11:H11)</f>
        <v>710613237.08599675</v>
      </c>
    </row>
    <row r="12" spans="1:9" s="30" customFormat="1">
      <c r="B12" s="49" t="s">
        <v>202</v>
      </c>
      <c r="C12" s="85">
        <f ca="1">'Normalized Annual Summary'!G4</f>
        <v>198958273.94464436</v>
      </c>
      <c r="D12" s="86">
        <f ca="1">'Normalized Annual Summary'!O4</f>
        <v>96063694.157554254</v>
      </c>
      <c r="E12" s="86">
        <f ca="1">'Normalized Annual Summary'!W4</f>
        <v>271405597.29040021</v>
      </c>
      <c r="F12" s="86">
        <f ca="1">'Normalized Annual Summary'!AE4</f>
        <v>148686446.22546479</v>
      </c>
      <c r="G12" s="86">
        <f>'Normalized Annual Summary'!AJ4</f>
        <v>3992184.5421686745</v>
      </c>
      <c r="H12" s="87">
        <f>'Normalized Annual Summary'!AO4</f>
        <v>2256948.7499999995</v>
      </c>
      <c r="I12" s="46">
        <f t="shared" ca="1" si="0"/>
        <v>721363144.91023231</v>
      </c>
    </row>
    <row r="13" spans="1:9" s="30" customFormat="1">
      <c r="B13" s="49" t="s">
        <v>203</v>
      </c>
      <c r="C13" s="85">
        <f ca="1">'Normalized Annual Summary'!G5</f>
        <v>195624799.88426104</v>
      </c>
      <c r="D13" s="86">
        <f ca="1">'Normalized Annual Summary'!O5</f>
        <v>94489375.711892679</v>
      </c>
      <c r="E13" s="86">
        <f ca="1">'Normalized Annual Summary'!W5</f>
        <v>272384836.00354624</v>
      </c>
      <c r="F13" s="86">
        <f ca="1">'Normalized Annual Summary'!AE5</f>
        <v>150173208.29455435</v>
      </c>
      <c r="G13" s="86">
        <f>'Normalized Annual Summary'!AJ5</f>
        <v>4076824</v>
      </c>
      <c r="H13" s="87">
        <f>'Normalized Annual Summary'!AO5</f>
        <v>2229012.04</v>
      </c>
      <c r="I13" s="46">
        <f t="shared" ca="1" si="0"/>
        <v>718978055.93425429</v>
      </c>
    </row>
    <row r="14" spans="1:9" s="30" customFormat="1">
      <c r="B14" s="49" t="s">
        <v>204</v>
      </c>
      <c r="C14" s="85">
        <f ca="1">'Normalized Annual Summary'!G6</f>
        <v>192153156.59533206</v>
      </c>
      <c r="D14" s="86">
        <f ca="1">'Normalized Annual Summary'!O6</f>
        <v>93775437.058321089</v>
      </c>
      <c r="E14" s="86">
        <f ca="1">'Normalized Annual Summary'!W6</f>
        <v>276291302.35877836</v>
      </c>
      <c r="F14" s="86">
        <f ca="1">'Normalized Annual Summary'!AE6</f>
        <v>154138614.79186413</v>
      </c>
      <c r="G14" s="86">
        <f>'Normalized Annual Summary'!AJ6</f>
        <v>4142238</v>
      </c>
      <c r="H14" s="87">
        <f>'Normalized Annual Summary'!AO6</f>
        <v>1517655.06</v>
      </c>
      <c r="I14" s="46">
        <f t="shared" ca="1" si="0"/>
        <v>722018403.8642956</v>
      </c>
    </row>
    <row r="15" spans="1:9" s="30" customFormat="1">
      <c r="B15" s="49" t="s">
        <v>205</v>
      </c>
      <c r="C15" s="85">
        <f ca="1">'Normalized Annual Summary'!G7</f>
        <v>187402174.2487331</v>
      </c>
      <c r="D15" s="86">
        <f ca="1">'Normalized Annual Summary'!O7</f>
        <v>90458342.606712252</v>
      </c>
      <c r="E15" s="86">
        <f ca="1">'Normalized Annual Summary'!W7</f>
        <v>275229805.7752741</v>
      </c>
      <c r="F15" s="86">
        <f ca="1">'Normalized Annual Summary'!AE7</f>
        <v>152025924.89650714</v>
      </c>
      <c r="G15" s="86">
        <f>'Normalized Annual Summary'!AJ7</f>
        <v>4555371</v>
      </c>
      <c r="H15" s="87">
        <f>'Normalized Annual Summary'!AO7</f>
        <v>1484560.47</v>
      </c>
      <c r="I15" s="46">
        <f t="shared" ca="1" si="0"/>
        <v>711156178.9972266</v>
      </c>
    </row>
    <row r="16" spans="1:9" s="30" customFormat="1">
      <c r="B16" s="49" t="s">
        <v>201</v>
      </c>
      <c r="C16" s="85">
        <f ca="1">'Normalized Annual Summary'!G8</f>
        <v>188206092.28869328</v>
      </c>
      <c r="D16" s="86">
        <f ca="1">'Normalized Annual Summary'!O8</f>
        <v>87795092.397601336</v>
      </c>
      <c r="E16" s="86">
        <f ca="1">'Normalized Annual Summary'!W8</f>
        <v>278460127.21357238</v>
      </c>
      <c r="F16" s="86">
        <f ca="1">'Normalized Annual Summary'!AE8</f>
        <v>154964940.3952834</v>
      </c>
      <c r="G16" s="86">
        <f>'Normalized Annual Summary'!AJ8</f>
        <v>3336835</v>
      </c>
      <c r="H16" s="87">
        <f>'Normalized Annual Summary'!AO8</f>
        <v>1499819.8</v>
      </c>
      <c r="I16" s="46">
        <f t="shared" ca="1" si="0"/>
        <v>714262907.09515047</v>
      </c>
    </row>
    <row r="17" spans="1:9">
      <c r="A17"/>
      <c r="B17" s="49" t="s">
        <v>120</v>
      </c>
      <c r="C17" s="85">
        <f ca="1">'Normalized Annual Summary'!G9</f>
        <v>190844180.13022214</v>
      </c>
      <c r="D17" s="86">
        <f ca="1">'Normalized Annual Summary'!O9</f>
        <v>92804874.116647243</v>
      </c>
      <c r="E17" s="86">
        <f ca="1">'Normalized Annual Summary'!W9</f>
        <v>272235855.3220126</v>
      </c>
      <c r="F17" s="86">
        <f ca="1">'Normalized Annual Summary'!AE9</f>
        <v>153803179.68128556</v>
      </c>
      <c r="G17" s="86">
        <f>'Normalized Annual Summary'!AJ9</f>
        <v>1817916.7936968291</v>
      </c>
      <c r="H17" s="87">
        <f>'Normalized Annual Summary'!AO9</f>
        <v>1247036.4200000002</v>
      </c>
      <c r="I17" s="46">
        <f t="shared" ca="1" si="0"/>
        <v>712753042.46386445</v>
      </c>
    </row>
    <row r="18" spans="1:9">
      <c r="A18"/>
      <c r="B18" s="49" t="s">
        <v>118</v>
      </c>
      <c r="C18" s="85">
        <f ca="1">'Normalized Annual Summary'!G10</f>
        <v>189443308.96773425</v>
      </c>
      <c r="D18" s="86">
        <f ca="1">'Normalized Annual Summary'!O10</f>
        <v>90168614.170137078</v>
      </c>
      <c r="E18" s="86">
        <f ca="1">'Normalized Annual Summary'!W10</f>
        <v>273748533.95650232</v>
      </c>
      <c r="F18" s="86">
        <f ca="1">'Normalized Annual Summary'!AE10</f>
        <v>154608449.63329509</v>
      </c>
      <c r="G18" s="86">
        <f>'Normalized Annual Summary'!AJ10</f>
        <v>1814577.0773553622</v>
      </c>
      <c r="H18" s="87">
        <f>'Normalized Annual Summary'!AO10</f>
        <v>1221325.5922377929</v>
      </c>
      <c r="I18" s="46">
        <f t="shared" ca="1" si="0"/>
        <v>711004809.39726198</v>
      </c>
    </row>
    <row r="19" spans="1:9">
      <c r="A19"/>
      <c r="B19" s="49" t="s">
        <v>121</v>
      </c>
      <c r="C19" s="41">
        <f ca="1">'Normalized Annual Summary'!G11</f>
        <v>188569905.37743795</v>
      </c>
      <c r="D19" s="39">
        <f ca="1">'Normalized Annual Summary'!O11</f>
        <v>87786118.915764078</v>
      </c>
      <c r="E19" s="39">
        <f ca="1">'Normalized Annual Summary'!W11</f>
        <v>277111320.66699499</v>
      </c>
      <c r="F19" s="39">
        <f ca="1">'Normalized Annual Summary'!AE11</f>
        <v>156975907.95068988</v>
      </c>
      <c r="G19" s="39">
        <f>'Normalized Annual Summary'!AJ11</f>
        <v>1818158.4601505373</v>
      </c>
      <c r="H19" s="43">
        <f>'Normalized Annual Summary'!AO11</f>
        <v>1196144.8585880077</v>
      </c>
      <c r="I19" s="46">
        <f t="shared" ca="1" si="0"/>
        <v>713457556.22962534</v>
      </c>
    </row>
    <row r="20" spans="1:9">
      <c r="A20"/>
      <c r="B20" s="49" t="s">
        <v>122</v>
      </c>
      <c r="C20" s="41">
        <f ca="1">'Normalized Annual Summary'!G12</f>
        <v>187803715.12183088</v>
      </c>
      <c r="D20" s="39">
        <f ca="1">'Normalized Annual Summary'!O12</f>
        <v>86684641.852639943</v>
      </c>
      <c r="E20" s="39">
        <f ca="1">'Normalized Annual Summary'!W12</f>
        <v>281134399.79727244</v>
      </c>
      <c r="F20" s="39">
        <f ca="1">'Normalized Annual Summary'!AE12</f>
        <v>159595988.02808896</v>
      </c>
      <c r="G20" s="39">
        <f>'Normalized Annual Summary'!AJ12</f>
        <v>1821739.8429457126</v>
      </c>
      <c r="H20" s="43">
        <f>'Normalized Annual Summary'!AO12</f>
        <v>1171483.2898121688</v>
      </c>
      <c r="I20" s="46">
        <f t="shared" ca="1" si="0"/>
        <v>718211967.93259013</v>
      </c>
    </row>
    <row r="21" spans="1:9">
      <c r="A21"/>
      <c r="B21" s="49" t="s">
        <v>123</v>
      </c>
      <c r="C21" s="41">
        <f ca="1">'Normalized Annual Summary'!G13</f>
        <v>186833546.47174954</v>
      </c>
      <c r="D21" s="39">
        <f ca="1">'Normalized Annual Summary'!O13</f>
        <v>85098474.924981415</v>
      </c>
      <c r="E21" s="39">
        <f ca="1">'Normalized Annual Summary'!W13</f>
        <v>284556078.57407808</v>
      </c>
      <c r="F21" s="39">
        <f ca="1">'Normalized Annual Summary'!AE13</f>
        <v>161738180.4980275</v>
      </c>
      <c r="G21" s="39">
        <f>'Normalized Annual Summary'!AJ13</f>
        <v>1825321.2257408875</v>
      </c>
      <c r="H21" s="43">
        <f>'Normalized Annual Summary'!AO13</f>
        <v>1147330.1820058511</v>
      </c>
      <c r="I21" s="46">
        <f t="shared" ca="1" si="0"/>
        <v>721198931.87658334</v>
      </c>
    </row>
    <row r="22" spans="1:9">
      <c r="A22"/>
      <c r="B22" s="49" t="s">
        <v>124</v>
      </c>
      <c r="C22" s="41">
        <f ca="1">'Normalized Annual Summary'!G14</f>
        <v>185896905.49487236</v>
      </c>
      <c r="D22" s="39">
        <f ca="1">'Normalized Annual Summary'!O14</f>
        <v>82735586.038014501</v>
      </c>
      <c r="E22" s="39">
        <f ca="1">'Normalized Annual Summary'!W14</f>
        <v>288057108.86130565</v>
      </c>
      <c r="F22" s="39">
        <f ca="1">'Normalized Annual Summary'!AE14</f>
        <v>163968065.7296285</v>
      </c>
      <c r="G22" s="39">
        <f>'Normalized Annual Summary'!AJ14</f>
        <v>1828902.6085360628</v>
      </c>
      <c r="H22" s="43">
        <f>'Normalized Annual Summary'!AO14</f>
        <v>1123675.0519528456</v>
      </c>
      <c r="I22" s="46">
        <f t="shared" ca="1" si="0"/>
        <v>723610243.78430986</v>
      </c>
    </row>
    <row r="23" spans="1:9" ht="13.5" thickBot="1">
      <c r="A23"/>
      <c r="B23" s="50" t="s">
        <v>125</v>
      </c>
      <c r="C23" s="42">
        <f ca="1">'Normalized Annual Summary'!G15</f>
        <v>185045761.48540792</v>
      </c>
      <c r="D23" s="40">
        <f ca="1">'Normalized Annual Summary'!O15</f>
        <v>80532114.427670196</v>
      </c>
      <c r="E23" s="40">
        <f ca="1">'Normalized Annual Summary'!W15</f>
        <v>292168850.51814729</v>
      </c>
      <c r="F23" s="40">
        <f ca="1">'Normalized Annual Summary'!AE15</f>
        <v>166460328.47111398</v>
      </c>
      <c r="G23" s="40">
        <f>'Normalized Annual Summary'!AJ15</f>
        <v>1832483.9913312381</v>
      </c>
      <c r="H23" s="44">
        <f>'Normalized Annual Summary'!AO15</f>
        <v>1100507.632575111</v>
      </c>
      <c r="I23" s="47">
        <f t="shared" ca="1" si="0"/>
        <v>727140046.52624583</v>
      </c>
    </row>
    <row r="25" spans="1:9" ht="16.5" thickBot="1">
      <c r="A25"/>
      <c r="B25" s="54" t="s">
        <v>126</v>
      </c>
    </row>
    <row r="26" spans="1:9">
      <c r="A26"/>
      <c r="B26" s="48" t="s">
        <v>106</v>
      </c>
      <c r="C26" s="51" t="s">
        <v>96</v>
      </c>
      <c r="D26" s="52" t="s">
        <v>97</v>
      </c>
      <c r="E26" s="52" t="s">
        <v>98</v>
      </c>
      <c r="F26" s="52" t="s">
        <v>88</v>
      </c>
      <c r="G26" s="52" t="s">
        <v>89</v>
      </c>
      <c r="H26" s="53" t="s">
        <v>95</v>
      </c>
      <c r="I26" s="45" t="s">
        <v>105</v>
      </c>
    </row>
    <row r="27" spans="1:9" s="30" customFormat="1">
      <c r="B27" s="49" t="s">
        <v>118</v>
      </c>
      <c r="C27" s="90">
        <f ca="1">'CDM Adjustments'!D3</f>
        <v>189260682.58418497</v>
      </c>
      <c r="D27" s="91">
        <f ca="1">'CDM Adjustments'!D4</f>
        <v>90006477.777340561</v>
      </c>
      <c r="E27" s="91">
        <f ca="1">'CDM Adjustments'!D5</f>
        <v>273016700.12926662</v>
      </c>
      <c r="F27" s="91">
        <f ca="1">'CDM Adjustments'!D6</f>
        <v>154261918.75612912</v>
      </c>
      <c r="G27" s="91">
        <f t="shared" ref="G27:H32" si="1">G18</f>
        <v>1814577.0773553622</v>
      </c>
      <c r="H27" s="92">
        <f t="shared" si="1"/>
        <v>1221325.5922377929</v>
      </c>
      <c r="I27" s="46">
        <f t="shared" ref="I27:I32" ca="1" si="2">SUM(C27:H27)</f>
        <v>709581681.91651452</v>
      </c>
    </row>
    <row r="28" spans="1:9">
      <c r="A28"/>
      <c r="B28" s="49" t="s">
        <v>121</v>
      </c>
      <c r="C28" s="41">
        <f ca="1">'CDM Adjustments'!D11</f>
        <v>188126171.85838541</v>
      </c>
      <c r="D28" s="39">
        <f ca="1">'CDM Adjustments'!D12</f>
        <v>87064278.142881781</v>
      </c>
      <c r="E28" s="39">
        <f ca="1">'CDM Adjustments'!D13</f>
        <v>274466438.02355784</v>
      </c>
      <c r="F28" s="39">
        <f ca="1">'CDM Adjustments'!D14</f>
        <v>151904395.50539833</v>
      </c>
      <c r="G28" s="39">
        <f t="shared" si="1"/>
        <v>1818158.4601505373</v>
      </c>
      <c r="H28" s="43">
        <f t="shared" si="1"/>
        <v>1196144.8585880077</v>
      </c>
      <c r="I28" s="46">
        <f t="shared" ca="1" si="2"/>
        <v>704575586.84896183</v>
      </c>
    </row>
    <row r="29" spans="1:9">
      <c r="A29"/>
      <c r="B29" s="49" t="s">
        <v>122</v>
      </c>
      <c r="C29" s="41">
        <f ca="1">'CDM Adjustments'!D19</f>
        <v>187248352.69867456</v>
      </c>
      <c r="D29" s="39">
        <f ca="1">'CDM Adjustments'!D20</f>
        <v>85127653.331967831</v>
      </c>
      <c r="E29" s="39">
        <f ca="1">'CDM Adjustments'!D21</f>
        <v>276008398.96579403</v>
      </c>
      <c r="F29" s="39">
        <f ca="1">'CDM Adjustments'!D22</f>
        <v>148182653.36253205</v>
      </c>
      <c r="G29" s="39">
        <f t="shared" si="1"/>
        <v>1821739.8429457126</v>
      </c>
      <c r="H29" s="43">
        <f t="shared" si="1"/>
        <v>1171483.2898121688</v>
      </c>
      <c r="I29" s="46">
        <f t="shared" ca="1" si="2"/>
        <v>699560281.49172628</v>
      </c>
    </row>
    <row r="30" spans="1:9">
      <c r="A30"/>
      <c r="B30" s="49" t="s">
        <v>123</v>
      </c>
      <c r="C30" s="41">
        <f ca="1">'CDM Adjustments'!D27</f>
        <v>186210870.92553759</v>
      </c>
      <c r="D30" s="39">
        <f ca="1">'CDM Adjustments'!D28</f>
        <v>82620793.873968139</v>
      </c>
      <c r="E30" s="39">
        <f ca="1">'CDM Adjustments'!D29</f>
        <v>276684266.07350218</v>
      </c>
      <c r="F30" s="39">
        <f ca="1">'CDM Adjustments'!D30</f>
        <v>147665995.24737543</v>
      </c>
      <c r="G30" s="39">
        <f t="shared" si="1"/>
        <v>1825321.2257408875</v>
      </c>
      <c r="H30" s="43">
        <f t="shared" si="1"/>
        <v>1147330.1820058511</v>
      </c>
      <c r="I30" s="46">
        <f t="shared" ca="1" si="2"/>
        <v>696154577.52813005</v>
      </c>
    </row>
    <row r="31" spans="1:9">
      <c r="A31"/>
      <c r="B31" s="49" t="s">
        <v>124</v>
      </c>
      <c r="C31" s="41">
        <f ca="1">'CDM Adjustments'!D35</f>
        <v>185204883.1880928</v>
      </c>
      <c r="D31" s="39">
        <f ca="1">'CDM Adjustments'!D36</f>
        <v>79258718.707347095</v>
      </c>
      <c r="E31" s="39">
        <f ca="1">'CDM Adjustments'!D37</f>
        <v>277210271.8812061</v>
      </c>
      <c r="F31" s="39">
        <f ca="1">'CDM Adjustments'!D38</f>
        <v>148528259.69777662</v>
      </c>
      <c r="G31" s="39">
        <f t="shared" si="1"/>
        <v>1828902.6085360628</v>
      </c>
      <c r="H31" s="43">
        <f t="shared" si="1"/>
        <v>1123675.0519528456</v>
      </c>
      <c r="I31" s="46">
        <f t="shared" ca="1" si="2"/>
        <v>693154711.13491154</v>
      </c>
    </row>
    <row r="32" spans="1:9" ht="13.5" thickBot="1">
      <c r="A32"/>
      <c r="B32" s="50" t="s">
        <v>125</v>
      </c>
      <c r="C32" s="80">
        <f ca="1">'CDM Adjustments'!D43</f>
        <v>184282358.78054878</v>
      </c>
      <c r="D32" s="81">
        <f ca="1">'CDM Adjustments'!D44</f>
        <v>75984043.691649064</v>
      </c>
      <c r="E32" s="81">
        <f ca="1">'CDM Adjustments'!D45</f>
        <v>278124252.87171125</v>
      </c>
      <c r="F32" s="81">
        <f ca="1">'CDM Adjustments'!D46</f>
        <v>149637159.56521314</v>
      </c>
      <c r="G32" s="81">
        <f t="shared" si="1"/>
        <v>1832483.9913312381</v>
      </c>
      <c r="H32" s="82">
        <f t="shared" si="1"/>
        <v>1100507.632575111</v>
      </c>
      <c r="I32" s="47">
        <f t="shared" ca="1" si="2"/>
        <v>690960806.5330286</v>
      </c>
    </row>
    <row r="34" spans="1:8" ht="16.5" thickBot="1">
      <c r="A34"/>
      <c r="B34" s="54" t="s">
        <v>127</v>
      </c>
      <c r="C34" s="30"/>
      <c r="D34" s="30"/>
      <c r="E34" s="30"/>
      <c r="F34" s="30"/>
      <c r="G34" s="30"/>
      <c r="H34" s="30"/>
    </row>
    <row r="35" spans="1:8">
      <c r="A35"/>
      <c r="B35" s="48" t="s">
        <v>111</v>
      </c>
      <c r="C35" s="51" t="s">
        <v>98</v>
      </c>
      <c r="D35" s="52" t="s">
        <v>88</v>
      </c>
      <c r="E35" s="53" t="s">
        <v>89</v>
      </c>
      <c r="F35" s="45" t="s">
        <v>105</v>
      </c>
    </row>
    <row r="36" spans="1:8">
      <c r="A36"/>
      <c r="B36" s="49" t="s">
        <v>195</v>
      </c>
      <c r="C36" s="41">
        <f>'kW Forecast'!E5</f>
        <v>721617</v>
      </c>
      <c r="D36" s="39">
        <f>'kW Forecast'!J5</f>
        <v>240786</v>
      </c>
      <c r="E36" s="43">
        <f>'kW Forecast'!O5</f>
        <v>11246.296000000002</v>
      </c>
      <c r="F36" s="46">
        <f>SUM(C36:E36)</f>
        <v>973649.29599999997</v>
      </c>
    </row>
    <row r="37" spans="1:8" s="30" customFormat="1">
      <c r="B37" s="49" t="s">
        <v>196</v>
      </c>
      <c r="C37" s="41">
        <f>'kW Forecast'!E6</f>
        <v>747917</v>
      </c>
      <c r="D37" s="39">
        <f>'kW Forecast'!J6</f>
        <v>289659</v>
      </c>
      <c r="E37" s="43">
        <f>'kW Forecast'!O6</f>
        <v>11251.134999999998</v>
      </c>
      <c r="F37" s="46">
        <f>SUM(C37:E37)</f>
        <v>1048827.135</v>
      </c>
    </row>
    <row r="38" spans="1:8" s="30" customFormat="1">
      <c r="B38" s="49" t="s">
        <v>197</v>
      </c>
      <c r="C38" s="41">
        <f>'kW Forecast'!E7</f>
        <v>766581</v>
      </c>
      <c r="D38" s="39">
        <f>'kW Forecast'!J7</f>
        <v>294114</v>
      </c>
      <c r="E38" s="43">
        <f>'kW Forecast'!O7</f>
        <v>11236.715</v>
      </c>
      <c r="F38" s="46">
        <f>SUM(C38:E38)</f>
        <v>1071931.7150000001</v>
      </c>
    </row>
    <row r="39" spans="1:8" s="30" customFormat="1">
      <c r="B39" s="49" t="s">
        <v>198</v>
      </c>
      <c r="C39" s="41">
        <f>'kW Forecast'!E8</f>
        <v>781260</v>
      </c>
      <c r="D39" s="39">
        <f>'kW Forecast'!J8</f>
        <v>323212</v>
      </c>
      <c r="E39" s="43">
        <f>'kW Forecast'!O8</f>
        <v>10983.794</v>
      </c>
      <c r="F39" s="46">
        <f>SUM(C39:E39)</f>
        <v>1115455.794</v>
      </c>
    </row>
    <row r="40" spans="1:8" s="30" customFormat="1">
      <c r="B40" s="49" t="s">
        <v>119</v>
      </c>
      <c r="C40" s="41">
        <f>'kW Forecast'!E9</f>
        <v>767156</v>
      </c>
      <c r="D40" s="39">
        <f>'kW Forecast'!J9</f>
        <v>291732</v>
      </c>
      <c r="E40" s="43">
        <f>'kW Forecast'!O9</f>
        <v>8303.8459999999995</v>
      </c>
      <c r="F40" s="46">
        <f>SUM(C40:E40)</f>
        <v>1067191.8459999999</v>
      </c>
    </row>
    <row r="41" spans="1:8">
      <c r="A41"/>
      <c r="B41" s="49" t="s">
        <v>117</v>
      </c>
      <c r="C41" s="41">
        <f>'kW Forecast'!E10</f>
        <v>743905</v>
      </c>
      <c r="D41" s="39">
        <f>'kW Forecast'!J10</f>
        <v>286452</v>
      </c>
      <c r="E41" s="43">
        <f>'kW Forecast'!O10</f>
        <v>5045.1949999999997</v>
      </c>
      <c r="F41" s="46">
        <f t="shared" ref="F41:F47" si="3">SUM(C41:E41)</f>
        <v>1035402.1949999999</v>
      </c>
    </row>
    <row r="42" spans="1:8">
      <c r="A42"/>
      <c r="B42" s="49" t="s">
        <v>118</v>
      </c>
      <c r="C42" s="41">
        <f ca="1">'kW Forecast'!E14</f>
        <v>747318.54222371918</v>
      </c>
      <c r="D42" s="39">
        <f ca="1">'kW Forecast'!J14</f>
        <v>292294.26907785441</v>
      </c>
      <c r="E42" s="43">
        <f>'kW Forecast'!O14</f>
        <v>4742.3099999999995</v>
      </c>
      <c r="F42" s="46">
        <f t="shared" ca="1" si="3"/>
        <v>1044355.1213015737</v>
      </c>
    </row>
    <row r="43" spans="1:8">
      <c r="A43"/>
      <c r="B43" s="49" t="s">
        <v>121</v>
      </c>
      <c r="C43" s="41">
        <f ca="1">'kW Forecast'!E15</f>
        <v>756498.76622701553</v>
      </c>
      <c r="D43" s="39">
        <f ca="1">'kW Forecast'!J15</f>
        <v>296770.0561392763</v>
      </c>
      <c r="E43" s="43">
        <f>'kW Forecast'!O15</f>
        <v>4751.6699999999992</v>
      </c>
      <c r="F43" s="46">
        <f t="shared" ca="1" si="3"/>
        <v>1058020.4923662918</v>
      </c>
    </row>
    <row r="44" spans="1:8">
      <c r="A44"/>
      <c r="B44" s="49" t="s">
        <v>122</v>
      </c>
      <c r="C44" s="41">
        <f ca="1">'kW Forecast'!E16</f>
        <v>767481.55246311403</v>
      </c>
      <c r="D44" s="39">
        <f ca="1">'kW Forecast'!J16</f>
        <v>301723.43606750946</v>
      </c>
      <c r="E44" s="43">
        <f>'kW Forecast'!O16</f>
        <v>4761.0299999999988</v>
      </c>
      <c r="F44" s="46">
        <f t="shared" ca="1" si="3"/>
        <v>1073966.0185306235</v>
      </c>
    </row>
    <row r="45" spans="1:8">
      <c r="A45"/>
      <c r="B45" s="49" t="s">
        <v>123</v>
      </c>
      <c r="C45" s="41">
        <f ca="1">'kW Forecast'!E17</f>
        <v>776822.54859004321</v>
      </c>
      <c r="D45" s="39">
        <f ca="1">'kW Forecast'!J17</f>
        <v>305773.34785247268</v>
      </c>
      <c r="E45" s="43">
        <f>'kW Forecast'!O17</f>
        <v>4770.3899999999994</v>
      </c>
      <c r="F45" s="46">
        <f t="shared" ca="1" si="3"/>
        <v>1087366.2864425157</v>
      </c>
    </row>
    <row r="46" spans="1:8">
      <c r="A46"/>
      <c r="B46" s="49" t="s">
        <v>124</v>
      </c>
      <c r="C46" s="41">
        <f ca="1">'kW Forecast'!E18</f>
        <v>786380.17000527878</v>
      </c>
      <c r="D46" s="39">
        <f ca="1">'kW Forecast'!J18</f>
        <v>309989.04677089682</v>
      </c>
      <c r="E46" s="43">
        <f>'kW Forecast'!O18</f>
        <v>4779.7499999999982</v>
      </c>
      <c r="F46" s="46">
        <f t="shared" ca="1" si="3"/>
        <v>1101148.9667761757</v>
      </c>
    </row>
    <row r="47" spans="1:8" ht="13.5" thickBot="1">
      <c r="A47"/>
      <c r="B47" s="50" t="s">
        <v>125</v>
      </c>
      <c r="C47" s="42">
        <f ca="1">'kW Forecast'!E19</f>
        <v>797605.00009507092</v>
      </c>
      <c r="D47" s="40">
        <f ca="1">'kW Forecast'!J19</f>
        <v>314700.78224266617</v>
      </c>
      <c r="E47" s="44">
        <f>'kW Forecast'!O19</f>
        <v>4789.1099999999979</v>
      </c>
      <c r="F47" s="47">
        <f t="shared" ca="1" si="3"/>
        <v>1117094.8923377371</v>
      </c>
    </row>
    <row r="48" spans="1:8">
      <c r="A48"/>
      <c r="B48" s="30"/>
      <c r="C48" s="30"/>
      <c r="D48" s="30"/>
      <c r="E48" s="30"/>
      <c r="F48" s="30"/>
    </row>
    <row r="49" spans="1:9" ht="16.5" thickBot="1">
      <c r="A49"/>
      <c r="B49" s="54" t="s">
        <v>126</v>
      </c>
      <c r="C49" s="30"/>
      <c r="D49" s="30"/>
      <c r="E49" s="30"/>
      <c r="F49" s="30"/>
    </row>
    <row r="50" spans="1:9">
      <c r="A50"/>
      <c r="B50" s="89" t="s">
        <v>111</v>
      </c>
      <c r="C50" s="51" t="s">
        <v>98</v>
      </c>
      <c r="D50" s="52" t="s">
        <v>88</v>
      </c>
      <c r="E50" s="53" t="s">
        <v>89</v>
      </c>
      <c r="F50" s="45" t="s">
        <v>105</v>
      </c>
    </row>
    <row r="51" spans="1:9">
      <c r="A51"/>
      <c r="B51" s="49" t="s">
        <v>118</v>
      </c>
      <c r="C51" s="41">
        <f ca="1">'CDM Adjustments'!M4</f>
        <v>745320.6758570387</v>
      </c>
      <c r="D51" s="39">
        <f ca="1">'CDM Adjustments'!M5</f>
        <v>291639.13677626039</v>
      </c>
      <c r="E51" s="43">
        <f t="shared" ref="E51:E56" si="4">E42</f>
        <v>4742.3099999999995</v>
      </c>
      <c r="F51" s="46">
        <f t="shared" ref="F51:F56" ca="1" si="5">SUM(C51:E51)</f>
        <v>1041702.1226332991</v>
      </c>
    </row>
    <row r="52" spans="1:9" s="30" customFormat="1">
      <c r="B52" s="49" t="s">
        <v>121</v>
      </c>
      <c r="C52" s="41">
        <f ca="1">'CDM Adjustments'!M12</f>
        <v>749278.38110612088</v>
      </c>
      <c r="D52" s="39">
        <f ca="1">'CDM Adjustments'!M13</f>
        <v>287182.13240786531</v>
      </c>
      <c r="E52" s="43">
        <f t="shared" si="4"/>
        <v>4751.6699999999992</v>
      </c>
      <c r="F52" s="46">
        <f t="shared" ca="1" si="5"/>
        <v>1041212.1835139863</v>
      </c>
    </row>
    <row r="53" spans="1:9">
      <c r="A53"/>
      <c r="B53" s="49" t="s">
        <v>122</v>
      </c>
      <c r="C53" s="41">
        <f ca="1">'CDM Adjustments'!M20</f>
        <v>753487.85023774719</v>
      </c>
      <c r="D53" s="39">
        <f ca="1">'CDM Adjustments'!M21</f>
        <v>280146.01050168532</v>
      </c>
      <c r="E53" s="43">
        <f t="shared" si="4"/>
        <v>4761.0299999999988</v>
      </c>
      <c r="F53" s="46">
        <f t="shared" ca="1" si="5"/>
        <v>1038394.8907394325</v>
      </c>
    </row>
    <row r="54" spans="1:9">
      <c r="A54"/>
      <c r="B54" s="49" t="s">
        <v>123</v>
      </c>
      <c r="C54" s="41">
        <f ca="1">'CDM Adjustments'!M27</f>
        <v>755332.93051770097</v>
      </c>
      <c r="D54" s="39">
        <f ca="1">'CDM Adjustments'!M28</f>
        <v>279169.24495949777</v>
      </c>
      <c r="E54" s="43">
        <f t="shared" si="4"/>
        <v>4770.3899999999994</v>
      </c>
      <c r="F54" s="46">
        <f t="shared" ca="1" si="5"/>
        <v>1039272.5654771988</v>
      </c>
    </row>
    <row r="55" spans="1:9">
      <c r="A55"/>
      <c r="B55" s="49" t="s">
        <v>124</v>
      </c>
      <c r="C55" s="41">
        <f ca="1">'CDM Adjustments'!M36</f>
        <v>756768.89763589192</v>
      </c>
      <c r="D55" s="39">
        <f ca="1">'CDM Adjustments'!M37</f>
        <v>280799.39491494728</v>
      </c>
      <c r="E55" s="43">
        <f t="shared" si="4"/>
        <v>4779.7499999999982</v>
      </c>
      <c r="F55" s="46">
        <f t="shared" ca="1" si="5"/>
        <v>1042348.0425508393</v>
      </c>
    </row>
    <row r="56" spans="1:9" ht="13.5" thickBot="1">
      <c r="A56"/>
      <c r="B56" s="50" t="s">
        <v>125</v>
      </c>
      <c r="C56" s="42">
        <f ca="1">'CDM Adjustments'!M44</f>
        <v>759264.01580720255</v>
      </c>
      <c r="D56" s="40">
        <f ca="1">'CDM Adjustments'!M45</f>
        <v>282895.8202849814</v>
      </c>
      <c r="E56" s="44">
        <f t="shared" si="4"/>
        <v>4789.1099999999979</v>
      </c>
      <c r="F56" s="47">
        <f t="shared" ca="1" si="5"/>
        <v>1046948.9460921839</v>
      </c>
    </row>
    <row r="57" spans="1:9">
      <c r="A57"/>
      <c r="B57" s="30"/>
      <c r="C57" s="30"/>
      <c r="D57" s="30"/>
      <c r="E57" s="30"/>
      <c r="F57" s="30"/>
      <c r="G57" s="30"/>
      <c r="H57" s="30"/>
    </row>
    <row r="58" spans="1:9" ht="16.5" thickBot="1">
      <c r="A58"/>
      <c r="B58" s="54" t="s">
        <v>128</v>
      </c>
      <c r="C58" s="30"/>
      <c r="D58" s="30"/>
      <c r="E58" s="30"/>
      <c r="F58" s="30"/>
      <c r="G58" s="30"/>
      <c r="H58" s="30"/>
      <c r="I58" s="30"/>
    </row>
    <row r="59" spans="1:9">
      <c r="A59"/>
      <c r="B59" s="89"/>
      <c r="C59" s="51" t="s">
        <v>96</v>
      </c>
      <c r="D59" s="52" t="s">
        <v>97</v>
      </c>
      <c r="E59" s="52" t="s">
        <v>98</v>
      </c>
      <c r="F59" s="52" t="s">
        <v>88</v>
      </c>
      <c r="G59" s="52" t="s">
        <v>89</v>
      </c>
      <c r="H59" s="53" t="s">
        <v>95</v>
      </c>
      <c r="I59" s="45" t="s">
        <v>105</v>
      </c>
    </row>
    <row r="60" spans="1:9">
      <c r="A60"/>
      <c r="B60" s="49" t="s">
        <v>195</v>
      </c>
      <c r="C60" s="41">
        <f>'Connection count '!C4</f>
        <v>23107.416666666668</v>
      </c>
      <c r="D60" s="39">
        <f>'Connection count '!H4</f>
        <v>3319.4166666666665</v>
      </c>
      <c r="E60" s="39">
        <f>'Connection count '!M4</f>
        <v>295.16666666666669</v>
      </c>
      <c r="F60" s="39">
        <f>'Connection count '!R4</f>
        <v>3</v>
      </c>
      <c r="G60" s="39">
        <f>'Connection count '!V4</f>
        <v>5114</v>
      </c>
      <c r="H60" s="43">
        <f>'Connection count '!AA4</f>
        <v>162.58333333333334</v>
      </c>
      <c r="I60" s="46">
        <f>SUM(C60:H60)</f>
        <v>32001.583333333336</v>
      </c>
    </row>
    <row r="61" spans="1:9" s="30" customFormat="1">
      <c r="B61" s="49" t="s">
        <v>196</v>
      </c>
      <c r="C61" s="41">
        <f>'Connection count '!C5</f>
        <v>23163.416666666668</v>
      </c>
      <c r="D61" s="39">
        <f>'Connection count '!H5</f>
        <v>3300</v>
      </c>
      <c r="E61" s="39">
        <f>'Connection count '!M5</f>
        <v>293.83333333333331</v>
      </c>
      <c r="F61" s="39">
        <f>'Connection count '!R5</f>
        <v>3</v>
      </c>
      <c r="G61" s="39">
        <f>'Connection count '!V5</f>
        <v>5117.25</v>
      </c>
      <c r="H61" s="43">
        <f>'Connection count '!AA5</f>
        <v>158.25</v>
      </c>
      <c r="I61" s="46">
        <f>SUM(C61:H61)</f>
        <v>32035.75</v>
      </c>
    </row>
    <row r="62" spans="1:9" s="30" customFormat="1">
      <c r="B62" s="49" t="s">
        <v>197</v>
      </c>
      <c r="C62" s="41">
        <f>'Connection count '!C6</f>
        <v>23212.083333333332</v>
      </c>
      <c r="D62" s="39">
        <f>'Connection count '!H6</f>
        <v>3297.75</v>
      </c>
      <c r="E62" s="39">
        <f>'Connection count '!M6</f>
        <v>291.08333333333331</v>
      </c>
      <c r="F62" s="39">
        <f>'Connection count '!R6</f>
        <v>3</v>
      </c>
      <c r="G62" s="39">
        <f>'Connection count '!V6</f>
        <v>5119.583333333333</v>
      </c>
      <c r="H62" s="43">
        <f>'Connection count '!AA6</f>
        <v>155.5</v>
      </c>
      <c r="I62" s="46">
        <f>SUM(C62:H62)</f>
        <v>32078.999999999996</v>
      </c>
    </row>
    <row r="63" spans="1:9" s="30" customFormat="1">
      <c r="B63" s="88" t="s">
        <v>198</v>
      </c>
      <c r="C63" s="41">
        <f>'Connection count '!C7</f>
        <v>23192.5</v>
      </c>
      <c r="D63" s="39">
        <f>'Connection count '!H7</f>
        <v>3249.8333333333335</v>
      </c>
      <c r="E63" s="39">
        <f>'Connection count '!M7</f>
        <v>306.58333333333331</v>
      </c>
      <c r="F63" s="39">
        <f>'Connection count '!R7</f>
        <v>3</v>
      </c>
      <c r="G63" s="39">
        <f>'Connection count '!V7</f>
        <v>5126</v>
      </c>
      <c r="H63" s="43">
        <f>'Connection count '!AA7</f>
        <v>152</v>
      </c>
      <c r="I63" s="46">
        <f>SUM(C63:H63)</f>
        <v>32029.916666666664</v>
      </c>
    </row>
    <row r="64" spans="1:9" s="30" customFormat="1">
      <c r="B64" s="49" t="s">
        <v>119</v>
      </c>
      <c r="C64" s="41">
        <f>'Connection count '!C8</f>
        <v>23467.5</v>
      </c>
      <c r="D64" s="39">
        <f>'Connection count '!H8</f>
        <v>3212.75</v>
      </c>
      <c r="E64" s="39">
        <f>'Connection count '!M8</f>
        <v>317.75</v>
      </c>
      <c r="F64" s="39">
        <f>'Connection count '!R8</f>
        <v>3</v>
      </c>
      <c r="G64" s="39">
        <f>'Connection count '!V8</f>
        <v>5384.916666666667</v>
      </c>
      <c r="H64" s="43">
        <f>'Connection count '!AA8</f>
        <v>150.83333333333334</v>
      </c>
      <c r="I64" s="46">
        <f>SUM(C64:H64)</f>
        <v>32536.75</v>
      </c>
    </row>
    <row r="65" spans="1:9">
      <c r="A65"/>
      <c r="B65" s="49" t="s">
        <v>117</v>
      </c>
      <c r="C65" s="41">
        <f>'Connection count '!C9</f>
        <v>23852.583333333332</v>
      </c>
      <c r="D65" s="39">
        <f>'Connection count '!H9</f>
        <v>3051.3333333333335</v>
      </c>
      <c r="E65" s="39">
        <f>'Connection count '!M9</f>
        <v>324.5</v>
      </c>
      <c r="F65" s="39">
        <f>'Connection count '!R9</f>
        <v>3</v>
      </c>
      <c r="G65" s="39">
        <f>'Connection count '!V9</f>
        <v>5228.083333333333</v>
      </c>
      <c r="H65" s="43">
        <f>'Connection count '!AA9</f>
        <v>146.5</v>
      </c>
      <c r="I65" s="46">
        <f t="shared" ref="I65:I71" si="6">SUM(C65:H65)</f>
        <v>32605.999999999996</v>
      </c>
    </row>
    <row r="66" spans="1:9">
      <c r="A66"/>
      <c r="B66" s="49" t="s">
        <v>118</v>
      </c>
      <c r="C66" s="41">
        <f>'Connection count '!C10</f>
        <v>24004.475833780409</v>
      </c>
      <c r="D66" s="39">
        <f>'Connection count '!H10</f>
        <v>3000.3728711861681</v>
      </c>
      <c r="E66" s="39">
        <f>'Connection count '!M10</f>
        <v>330.70760277267368</v>
      </c>
      <c r="F66" s="39">
        <f>'Connection count '!R10</f>
        <v>3</v>
      </c>
      <c r="G66" s="39">
        <f>'Connection count '!V10</f>
        <v>5336.5</v>
      </c>
      <c r="H66" s="43">
        <f>'Connection count '!AA10</f>
        <v>143.47952986235688</v>
      </c>
      <c r="I66" s="46">
        <f t="shared" si="6"/>
        <v>32818.535837601608</v>
      </c>
    </row>
    <row r="67" spans="1:9">
      <c r="A67"/>
      <c r="B67" s="49" t="s">
        <v>121</v>
      </c>
      <c r="C67" s="41">
        <f>'Connection count '!C11</f>
        <v>24157.335580892955</v>
      </c>
      <c r="D67" s="39">
        <f>'Connection count '!H11</f>
        <v>2950.2635021247315</v>
      </c>
      <c r="E67" s="39">
        <f>'Connection count '!M11</f>
        <v>337.03395541340069</v>
      </c>
      <c r="F67" s="39">
        <f>'Connection count '!R11</f>
        <v>3</v>
      </c>
      <c r="G67" s="39">
        <f>'Connection count '!V11</f>
        <v>5348.5</v>
      </c>
      <c r="H67" s="43">
        <f>'Connection count '!AA11</f>
        <v>140.52133439947414</v>
      </c>
      <c r="I67" s="46">
        <f t="shared" si="6"/>
        <v>32936.654372830562</v>
      </c>
    </row>
    <row r="68" spans="1:9">
      <c r="A68"/>
      <c r="B68" s="49" t="s">
        <v>122</v>
      </c>
      <c r="C68" s="41">
        <f>'Connection count '!C12</f>
        <v>24311.16873406732</v>
      </c>
      <c r="D68" s="39">
        <f>'Connection count '!H12</f>
        <v>2900.9910120031923</v>
      </c>
      <c r="E68" s="39">
        <f>'Connection count '!M12</f>
        <v>343.48132957706599</v>
      </c>
      <c r="F68" s="39">
        <f>'Connection count '!R12</f>
        <v>3</v>
      </c>
      <c r="G68" s="39">
        <f>'Connection count '!V12</f>
        <v>5360.5</v>
      </c>
      <c r="H68" s="43">
        <f>'Connection count '!AA12</f>
        <v>137.6241296605296</v>
      </c>
      <c r="I68" s="46">
        <f t="shared" si="6"/>
        <v>33056.765205308111</v>
      </c>
    </row>
    <row r="69" spans="1:9">
      <c r="A69"/>
      <c r="B69" s="49" t="s">
        <v>123</v>
      </c>
      <c r="C69" s="41">
        <f>'Connection count '!C13</f>
        <v>24465.981491922685</v>
      </c>
      <c r="D69" s="39">
        <f>'Connection count '!H13</f>
        <v>2852.5414240668401</v>
      </c>
      <c r="E69" s="39">
        <f>'Connection count '!M13</f>
        <v>350.05204037473698</v>
      </c>
      <c r="F69" s="39">
        <f>'Connection count '!R13</f>
        <v>3</v>
      </c>
      <c r="G69" s="39">
        <f>'Connection count '!V13</f>
        <v>5372.5</v>
      </c>
      <c r="H69" s="43">
        <f>'Connection count '!AA13</f>
        <v>134.78665816661319</v>
      </c>
      <c r="I69" s="46">
        <f t="shared" si="6"/>
        <v>33178.861614530877</v>
      </c>
    </row>
    <row r="70" spans="1:9">
      <c r="A70"/>
      <c r="B70" s="49" t="s">
        <v>124</v>
      </c>
      <c r="C70" s="41">
        <f>'Connection count '!C14</f>
        <v>24621.780092550849</v>
      </c>
      <c r="D70" s="39">
        <f>'Connection count '!H14</f>
        <v>2804.9009949874062</v>
      </c>
      <c r="E70" s="39">
        <f>'Connection count '!M14</f>
        <v>356.74844720496901</v>
      </c>
      <c r="F70" s="39">
        <f>'Connection count '!R14</f>
        <v>3</v>
      </c>
      <c r="G70" s="39">
        <f>'Connection count '!V14</f>
        <v>5384.5</v>
      </c>
      <c r="H70" s="43">
        <f>'Connection count '!AA14</f>
        <v>132.00768836494109</v>
      </c>
      <c r="I70" s="46">
        <f t="shared" si="6"/>
        <v>33302.937223108158</v>
      </c>
    </row>
    <row r="71" spans="1:9" ht="13.5" thickBot="1">
      <c r="A71"/>
      <c r="B71" s="50" t="s">
        <v>125</v>
      </c>
      <c r="C71" s="42">
        <f>'Connection count '!C15</f>
        <v>24778.570813767583</v>
      </c>
      <c r="D71" s="40">
        <f>'Connection count '!H15</f>
        <v>2758.0562109645957</v>
      </c>
      <c r="E71" s="40">
        <f>'Connection count '!M15</f>
        <v>363.57295460101398</v>
      </c>
      <c r="F71" s="40">
        <f>'Connection count '!R15</f>
        <v>3</v>
      </c>
      <c r="G71" s="40">
        <f>'Connection count '!V15</f>
        <v>5396.5</v>
      </c>
      <c r="H71" s="44">
        <f>'Connection count '!AA15</f>
        <v>129.28601409432264</v>
      </c>
      <c r="I71" s="47">
        <f t="shared" si="6"/>
        <v>33428.985993427515</v>
      </c>
    </row>
  </sheetData>
  <mergeCells count="1">
    <mergeCell ref="B4:C4"/>
  </mergeCells>
  <pageMargins left="0.7" right="0.7" top="0.75" bottom="0.75" header="0.3" footer="0.3"/>
  <pageSetup paperSize="9"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G5" sqref="G5"/>
    </sheetView>
  </sheetViews>
  <sheetFormatPr defaultRowHeight="12.75"/>
  <sheetData>
    <row r="1" spans="2:7" s="30" customFormat="1" ht="15.75">
      <c r="B1" s="54" t="s">
        <v>161</v>
      </c>
    </row>
    <row r="2" spans="2:7" s="30" customFormat="1">
      <c r="B2" s="68" t="s">
        <v>162</v>
      </c>
    </row>
    <row r="3" spans="2:7">
      <c r="C3" t="s">
        <v>90</v>
      </c>
      <c r="D3" t="s">
        <v>92</v>
      </c>
      <c r="E3" t="s">
        <v>91</v>
      </c>
      <c r="F3" t="s">
        <v>93</v>
      </c>
      <c r="G3" t="s">
        <v>94</v>
      </c>
    </row>
    <row r="4" spans="2:7" s="30" customFormat="1">
      <c r="C4" s="61">
        <v>42069</v>
      </c>
      <c r="D4" s="61">
        <v>42030</v>
      </c>
      <c r="E4" s="61">
        <v>42061</v>
      </c>
      <c r="F4" s="61">
        <v>42061</v>
      </c>
    </row>
    <row r="5" spans="2:7">
      <c r="B5">
        <v>2015</v>
      </c>
      <c r="C5" s="14">
        <v>8.9999999999999993E-3</v>
      </c>
      <c r="D5" s="14">
        <v>1.4E-2</v>
      </c>
      <c r="E5" s="14">
        <v>8.9999999999999993E-3</v>
      </c>
      <c r="F5" s="14">
        <v>1.4E-2</v>
      </c>
      <c r="G5" s="14">
        <v>1.0999999999999999E-2</v>
      </c>
    </row>
    <row r="6" spans="2:7">
      <c r="B6">
        <v>2016</v>
      </c>
      <c r="C6" s="14">
        <v>1.2E-2</v>
      </c>
      <c r="D6" s="14">
        <v>1.0999999999999999E-2</v>
      </c>
      <c r="E6" s="14">
        <v>0.01</v>
      </c>
      <c r="F6" s="14">
        <v>1.2E-2</v>
      </c>
      <c r="G6" s="14">
        <v>1.2999999999999999E-2</v>
      </c>
    </row>
    <row r="7" spans="2:7">
      <c r="B7" s="30">
        <v>2017</v>
      </c>
      <c r="C7" s="14"/>
      <c r="D7" s="14"/>
      <c r="E7" s="14"/>
      <c r="F7" s="14"/>
      <c r="G7" s="14">
        <v>1.4E-2</v>
      </c>
    </row>
    <row r="8" spans="2:7">
      <c r="B8" s="30">
        <v>2018</v>
      </c>
      <c r="C8" s="14"/>
      <c r="D8" s="14"/>
      <c r="E8" s="14"/>
      <c r="F8" s="14"/>
      <c r="G8" s="14">
        <v>1.2999999999999999E-2</v>
      </c>
    </row>
    <row r="9" spans="2:7">
      <c r="B9" s="30">
        <v>2019</v>
      </c>
      <c r="C9" s="14"/>
      <c r="D9" s="14"/>
      <c r="E9" s="14"/>
      <c r="F9" s="14"/>
      <c r="G9" s="14">
        <f>G8</f>
        <v>1.2999999999999999E-2</v>
      </c>
    </row>
    <row r="10" spans="2:7">
      <c r="B10" s="30">
        <v>2020</v>
      </c>
      <c r="C10" s="14"/>
      <c r="D10" s="14"/>
      <c r="E10" s="14"/>
      <c r="F10" s="14"/>
      <c r="G10" s="14">
        <f>G9</f>
        <v>1.2999999999999999E-2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defaultRowHeight="12.75"/>
  <cols>
    <col min="1" max="1" width="19.42578125" customWidth="1"/>
    <col min="2" max="2" width="14" bestFit="1" customWidth="1"/>
    <col min="3" max="3" width="17.7109375" bestFit="1" customWidth="1"/>
    <col min="4" max="4" width="12.5703125" bestFit="1" customWidth="1"/>
    <col min="5" max="5" width="12" bestFit="1" customWidth="1"/>
  </cols>
  <sheetData>
    <row r="1" spans="1:5">
      <c r="A1" t="s">
        <v>206</v>
      </c>
    </row>
    <row r="2" spans="1:5">
      <c r="A2" t="s">
        <v>173</v>
      </c>
    </row>
    <row r="4" spans="1:5">
      <c r="B4" t="s">
        <v>45</v>
      </c>
      <c r="C4" t="s">
        <v>44</v>
      </c>
      <c r="D4" t="s">
        <v>46</v>
      </c>
      <c r="E4" t="s">
        <v>14</v>
      </c>
    </row>
    <row r="5" spans="1:5">
      <c r="A5" t="s">
        <v>13</v>
      </c>
      <c r="B5" s="23">
        <v>-23168470.016197301</v>
      </c>
      <c r="C5" s="23">
        <v>10718181.499942699</v>
      </c>
      <c r="D5" s="71">
        <v>-2.1616045610275498</v>
      </c>
      <c r="E5" s="5">
        <v>3.4455427139889597E-2</v>
      </c>
    </row>
    <row r="6" spans="1:5">
      <c r="A6" t="s">
        <v>9</v>
      </c>
      <c r="B6" s="23">
        <v>11977.367431553201</v>
      </c>
      <c r="C6" s="23">
        <v>787.03789864563896</v>
      </c>
      <c r="D6" s="71">
        <v>15.2182854881121</v>
      </c>
      <c r="E6" s="5">
        <v>8.9036187281587605E-23</v>
      </c>
    </row>
    <row r="7" spans="1:5">
      <c r="A7" t="s">
        <v>10</v>
      </c>
      <c r="B7" s="23">
        <v>33372.537266946201</v>
      </c>
      <c r="C7" s="23">
        <v>3256.4092368564902</v>
      </c>
      <c r="D7" s="71">
        <v>10.2482626843184</v>
      </c>
      <c r="E7" s="5">
        <v>4.7693472178578401E-15</v>
      </c>
    </row>
    <row r="8" spans="1:5">
      <c r="A8" s="12" t="s">
        <v>76</v>
      </c>
      <c r="B8" s="23">
        <v>-27485.737428065899</v>
      </c>
      <c r="C8" s="23">
        <v>6115.3524694602702</v>
      </c>
      <c r="D8" s="71">
        <v>-4.4945467273273501</v>
      </c>
      <c r="E8" s="5">
        <v>3.0497991049655301E-5</v>
      </c>
    </row>
    <row r="9" spans="1:5">
      <c r="A9" t="s">
        <v>207</v>
      </c>
      <c r="B9" s="23">
        <v>1560.3973074338201</v>
      </c>
      <c r="C9" s="23">
        <v>467.30607847322</v>
      </c>
      <c r="D9" s="71">
        <v>3.3391333417530999</v>
      </c>
      <c r="E9" s="5">
        <v>1.4151235992257299E-3</v>
      </c>
    </row>
    <row r="10" spans="1:5">
      <c r="A10" t="s">
        <v>141</v>
      </c>
      <c r="B10" s="23">
        <v>-1279656.8259476901</v>
      </c>
      <c r="C10" s="23">
        <v>337795.32430536201</v>
      </c>
      <c r="D10" s="71">
        <v>-3.7882609197719401</v>
      </c>
      <c r="E10" s="5">
        <v>3.4142061987195801E-4</v>
      </c>
    </row>
    <row r="11" spans="1:5">
      <c r="A11" t="s">
        <v>31</v>
      </c>
      <c r="B11" s="23">
        <v>-1218613.41007658</v>
      </c>
      <c r="C11" s="23">
        <v>359124.05558223499</v>
      </c>
      <c r="D11" s="71">
        <v>-3.3932937410747401</v>
      </c>
      <c r="E11">
        <v>1.19850418209505E-3</v>
      </c>
    </row>
    <row r="12" spans="1:5">
      <c r="A12" t="s">
        <v>160</v>
      </c>
      <c r="B12" s="23">
        <v>-1511757.2538914999</v>
      </c>
      <c r="C12" s="23">
        <v>462214.33207271202</v>
      </c>
      <c r="D12" s="71">
        <v>-3.2706845049834499</v>
      </c>
      <c r="E12" s="5">
        <v>1.7419253038508701E-3</v>
      </c>
    </row>
    <row r="13" spans="1:5">
      <c r="A13" t="s">
        <v>145</v>
      </c>
      <c r="B13" s="23">
        <v>1122371.81652903</v>
      </c>
      <c r="C13" s="23">
        <v>305247.64628881298</v>
      </c>
      <c r="D13" s="71">
        <v>3.6769220997271499</v>
      </c>
      <c r="E13">
        <v>4.9012854783475504E-4</v>
      </c>
    </row>
    <row r="14" spans="1:5">
      <c r="B14" s="23"/>
      <c r="C14" s="23"/>
      <c r="D14" s="71"/>
    </row>
    <row r="15" spans="1:5">
      <c r="A15" t="s">
        <v>47</v>
      </c>
      <c r="B15" s="23">
        <v>16102466.3300658</v>
      </c>
      <c r="C15" s="23" t="s">
        <v>48</v>
      </c>
      <c r="D15" s="71">
        <v>3690121.3921412001</v>
      </c>
    </row>
    <row r="16" spans="1:5">
      <c r="A16" t="s">
        <v>49</v>
      </c>
      <c r="B16">
        <v>21378487121672.602</v>
      </c>
      <c r="C16" t="s">
        <v>50</v>
      </c>
      <c r="D16">
        <v>582529.88371702796</v>
      </c>
    </row>
    <row r="17" spans="1:4">
      <c r="A17" s="12" t="s">
        <v>15</v>
      </c>
      <c r="B17">
        <v>0.97788752711110405</v>
      </c>
      <c r="C17" t="s">
        <v>16</v>
      </c>
      <c r="D17">
        <v>0.97507959404584699</v>
      </c>
    </row>
    <row r="18" spans="1:4">
      <c r="A18" s="31" t="s">
        <v>208</v>
      </c>
      <c r="B18">
        <v>348.25884534456799</v>
      </c>
      <c r="C18" t="s">
        <v>17</v>
      </c>
      <c r="D18" s="96">
        <v>4.2115784012847696E-49</v>
      </c>
    </row>
    <row r="19" spans="1:4">
      <c r="A19" t="s">
        <v>51</v>
      </c>
      <c r="B19">
        <v>-1053.1662193812199</v>
      </c>
      <c r="C19" t="s">
        <v>52</v>
      </c>
      <c r="D19">
        <v>2124.3324387624398</v>
      </c>
    </row>
    <row r="20" spans="1:4">
      <c r="A20" t="s">
        <v>53</v>
      </c>
      <c r="B20">
        <v>2144.8224338335899</v>
      </c>
      <c r="C20" t="s">
        <v>54</v>
      </c>
      <c r="D20" s="5">
        <v>2132.48956647672</v>
      </c>
    </row>
    <row r="21" spans="1:4">
      <c r="A21" t="s">
        <v>55</v>
      </c>
      <c r="B21">
        <v>0.112995904658567</v>
      </c>
      <c r="C21" t="s">
        <v>18</v>
      </c>
      <c r="D21">
        <v>1.7571145170070499</v>
      </c>
    </row>
    <row r="22" spans="1:4">
      <c r="A22" t="s">
        <v>143</v>
      </c>
      <c r="B22">
        <v>0.24077999999999999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workbookViewId="0"/>
  </sheetViews>
  <sheetFormatPr defaultRowHeight="12.75"/>
  <cols>
    <col min="1" max="1" width="7.140625" style="11" bestFit="1" customWidth="1"/>
    <col min="2" max="2" width="7.140625" style="11" customWidth="1"/>
    <col min="3" max="3" width="12" bestFit="1" customWidth="1"/>
    <col min="4" max="5" width="12.7109375" bestFit="1" customWidth="1"/>
    <col min="6" max="6" width="5.5703125" bestFit="1" customWidth="1"/>
    <col min="7" max="7" width="8.7109375" style="30" bestFit="1" customWidth="1"/>
    <col min="8" max="11" width="8.7109375" style="30" customWidth="1"/>
    <col min="13" max="14" width="14" style="62" bestFit="1" customWidth="1"/>
    <col min="15" max="16" width="12.85546875" style="62" bestFit="1" customWidth="1"/>
    <col min="17" max="17" width="14" style="62" bestFit="1" customWidth="1"/>
    <col min="18" max="21" width="14" style="62" customWidth="1"/>
    <col min="22" max="22" width="14.42578125" style="62" bestFit="1" customWidth="1"/>
  </cols>
  <sheetData>
    <row r="1" spans="1:23">
      <c r="A1" s="11" t="str">
        <f>'Monthly Data'!A1</f>
        <v>Date</v>
      </c>
      <c r="B1" s="15" t="s">
        <v>33</v>
      </c>
      <c r="C1" t="str">
        <f>'Monthly Data'!D1</f>
        <v>ReskWh</v>
      </c>
      <c r="D1" t="str">
        <f>'Monthly Data'!U1</f>
        <v>HDD</v>
      </c>
      <c r="E1" t="str">
        <f>'Monthly Data'!V1</f>
        <v>CDD</v>
      </c>
      <c r="F1" t="str">
        <f>'Monthly Data'!AA1</f>
        <v>Trend</v>
      </c>
      <c r="G1" s="30" t="str">
        <f>'Monthly Data'!AB1</f>
        <v>Res Cust</v>
      </c>
      <c r="H1" s="30" t="str">
        <f>'Monthly Data'!AM1</f>
        <v>Fall</v>
      </c>
      <c r="I1" s="30" t="str">
        <f>'Monthly Data'!AO1</f>
        <v>DAPR</v>
      </c>
      <c r="J1" s="30" t="str">
        <f>'Monthly Data'!AQ1</f>
        <v>PostSecondarySummer</v>
      </c>
      <c r="K1" s="30" t="str">
        <f>'Monthly Data'!AR1</f>
        <v>DJAN</v>
      </c>
      <c r="M1" s="62" t="s">
        <v>13</v>
      </c>
      <c r="N1" s="62" t="str">
        <f t="shared" ref="N1:U1" si="0">D1</f>
        <v>HDD</v>
      </c>
      <c r="O1" s="62" t="str">
        <f t="shared" si="0"/>
        <v>CDD</v>
      </c>
      <c r="P1" s="62" t="str">
        <f t="shared" si="0"/>
        <v>Trend</v>
      </c>
      <c r="Q1" s="62" t="str">
        <f t="shared" si="0"/>
        <v>Res Cust</v>
      </c>
      <c r="R1" s="62" t="str">
        <f t="shared" si="0"/>
        <v>Fall</v>
      </c>
      <c r="S1" s="62" t="str">
        <f t="shared" si="0"/>
        <v>DAPR</v>
      </c>
      <c r="T1" s="62" t="str">
        <f t="shared" si="0"/>
        <v>PostSecondarySummer</v>
      </c>
      <c r="U1" s="62" t="str">
        <f t="shared" si="0"/>
        <v>DJAN</v>
      </c>
      <c r="V1" s="63" t="s">
        <v>56</v>
      </c>
      <c r="W1" s="12" t="s">
        <v>57</v>
      </c>
    </row>
    <row r="2" spans="1:23">
      <c r="A2" s="11">
        <f>'Monthly Data'!A2</f>
        <v>39814</v>
      </c>
      <c r="B2" s="6">
        <f>YEAR(A2)</f>
        <v>2009</v>
      </c>
      <c r="C2">
        <f>'Monthly Data'!F2</f>
        <v>24635161.167892549</v>
      </c>
      <c r="D2">
        <f>'Monthly Data'!U2</f>
        <v>887.09999999999991</v>
      </c>
      <c r="E2">
        <f>'Monthly Data'!V2</f>
        <v>0</v>
      </c>
      <c r="F2">
        <f>'Monthly Data'!AA2</f>
        <v>1</v>
      </c>
      <c r="G2" s="30">
        <f>'Monthly Data'!AB2</f>
        <v>23190</v>
      </c>
      <c r="H2" s="30">
        <f>'Monthly Data'!AM2</f>
        <v>0</v>
      </c>
      <c r="I2" s="30">
        <f>'Monthly Data'!AO2</f>
        <v>0</v>
      </c>
      <c r="J2" s="30">
        <f>'Monthly Data'!AQ2</f>
        <v>0</v>
      </c>
      <c r="K2" s="94">
        <f>'Monthly Data'!AR2</f>
        <v>1</v>
      </c>
      <c r="M2" s="62">
        <f>'Res OLS Model'!$B$5</f>
        <v>-23168470.016197301</v>
      </c>
      <c r="N2" s="62">
        <f>'Res OLS Model'!$B$6*D2</f>
        <v>10625122.648530843</v>
      </c>
      <c r="O2" s="62">
        <f>'Res OLS Model'!$B$7*E2</f>
        <v>0</v>
      </c>
      <c r="P2" s="62">
        <f>'Res OLS Model'!$B$8*F2</f>
        <v>-27485.737428065899</v>
      </c>
      <c r="Q2" s="62">
        <f>'Res OLS Model'!$B$9*G2</f>
        <v>36185613.559390284</v>
      </c>
      <c r="R2" s="62">
        <f>'Res OLS Model'!$B$10*H2</f>
        <v>0</v>
      </c>
      <c r="S2" s="62">
        <f>'Res OLS Model'!$B$11*I2</f>
        <v>0</v>
      </c>
      <c r="T2" s="62">
        <f>'Res OLS Model'!$B$12*J2</f>
        <v>0</v>
      </c>
      <c r="U2" s="62">
        <f>'Res OLS Model'!$B$13*K2</f>
        <v>1122371.81652903</v>
      </c>
      <c r="V2" s="62">
        <f t="shared" ref="V2:V33" si="1">SUM(M2:U2)</f>
        <v>24737152.27082479</v>
      </c>
      <c r="W2" s="13">
        <f t="shared" ref="W2:W33" si="2">ABS(V2-C2)/C2</f>
        <v>4.1400623376139168E-3</v>
      </c>
    </row>
    <row r="3" spans="1:23">
      <c r="A3" s="11">
        <f>'Monthly Data'!A3</f>
        <v>39845</v>
      </c>
      <c r="B3" s="6">
        <f t="shared" ref="B3:B61" si="3">YEAR(A3)</f>
        <v>2009</v>
      </c>
      <c r="C3" s="30">
        <f>'Monthly Data'!F3</f>
        <v>21264941.095677644</v>
      </c>
      <c r="D3">
        <f>'Monthly Data'!U3</f>
        <v>653.80000000000007</v>
      </c>
      <c r="E3">
        <f>'Monthly Data'!V3</f>
        <v>0</v>
      </c>
      <c r="F3">
        <f>'Monthly Data'!AA3</f>
        <v>2</v>
      </c>
      <c r="G3" s="30">
        <f>'Monthly Data'!AB3</f>
        <v>23198</v>
      </c>
      <c r="H3" s="30">
        <f>'Monthly Data'!AM3</f>
        <v>0</v>
      </c>
      <c r="I3" s="30">
        <f>'Monthly Data'!AO3</f>
        <v>0</v>
      </c>
      <c r="J3" s="30">
        <f>'Monthly Data'!AQ3</f>
        <v>0</v>
      </c>
      <c r="K3" s="94">
        <f>'Monthly Data'!AR3</f>
        <v>0</v>
      </c>
      <c r="M3" s="62">
        <f>'Res OLS Model'!$B$5</f>
        <v>-23168470.016197301</v>
      </c>
      <c r="N3" s="62">
        <f>'Res OLS Model'!$B$6*D3</f>
        <v>7830802.8267494831</v>
      </c>
      <c r="O3" s="62">
        <f>'Res OLS Model'!$B$7*E3</f>
        <v>0</v>
      </c>
      <c r="P3" s="62">
        <f>'Res OLS Model'!$B$8*F3</f>
        <v>-54971.474856131797</v>
      </c>
      <c r="Q3" s="62">
        <f>'Res OLS Model'!$B$9*G3</f>
        <v>36198096.737849757</v>
      </c>
      <c r="R3" s="62">
        <f>'Res OLS Model'!$B$10*H3</f>
        <v>0</v>
      </c>
      <c r="S3" s="62">
        <f>'Res OLS Model'!$B$11*I3</f>
        <v>0</v>
      </c>
      <c r="T3" s="62">
        <f>'Res OLS Model'!$B$12*J3</f>
        <v>0</v>
      </c>
      <c r="U3" s="62">
        <f>'Res OLS Model'!$B$13*K3</f>
        <v>0</v>
      </c>
      <c r="V3" s="62">
        <f t="shared" si="1"/>
        <v>20805458.073545806</v>
      </c>
      <c r="W3" s="13">
        <f t="shared" si="2"/>
        <v>2.1607537968926394E-2</v>
      </c>
    </row>
    <row r="4" spans="1:23">
      <c r="A4" s="11">
        <f>'Monthly Data'!A4</f>
        <v>39873</v>
      </c>
      <c r="B4" s="6">
        <f t="shared" si="3"/>
        <v>2009</v>
      </c>
      <c r="C4" s="30">
        <f>'Monthly Data'!F4</f>
        <v>20320467.289462749</v>
      </c>
      <c r="D4">
        <f>'Monthly Data'!U4</f>
        <v>555.60000000000014</v>
      </c>
      <c r="E4">
        <f>'Monthly Data'!V4</f>
        <v>0</v>
      </c>
      <c r="F4">
        <f>'Monthly Data'!AA4</f>
        <v>3</v>
      </c>
      <c r="G4" s="30">
        <f>'Monthly Data'!AB4</f>
        <v>23222</v>
      </c>
      <c r="H4" s="30">
        <f>'Monthly Data'!AM4</f>
        <v>0</v>
      </c>
      <c r="I4" s="30">
        <f>'Monthly Data'!AO4</f>
        <v>0</v>
      </c>
      <c r="J4" s="30">
        <f>'Monthly Data'!AQ4</f>
        <v>0</v>
      </c>
      <c r="K4" s="94">
        <f>'Monthly Data'!AR4</f>
        <v>0</v>
      </c>
      <c r="M4" s="62">
        <f>'Res OLS Model'!$B$5</f>
        <v>-23168470.016197301</v>
      </c>
      <c r="N4" s="62">
        <f>'Res OLS Model'!$B$6*D4</f>
        <v>6654625.3449709602</v>
      </c>
      <c r="O4" s="62">
        <f>'Res OLS Model'!$B$7*E4</f>
        <v>0</v>
      </c>
      <c r="P4" s="62">
        <f>'Res OLS Model'!$B$8*F4</f>
        <v>-82457.212284197696</v>
      </c>
      <c r="Q4" s="62">
        <f>'Res OLS Model'!$B$9*G4</f>
        <v>36235546.273228168</v>
      </c>
      <c r="R4" s="62">
        <f>'Res OLS Model'!$B$10*H4</f>
        <v>0</v>
      </c>
      <c r="S4" s="62">
        <f>'Res OLS Model'!$B$11*I4</f>
        <v>0</v>
      </c>
      <c r="T4" s="62">
        <f>'Res OLS Model'!$B$12*J4</f>
        <v>0</v>
      </c>
      <c r="U4" s="62">
        <f>'Res OLS Model'!$B$13*K4</f>
        <v>0</v>
      </c>
      <c r="V4" s="62">
        <f t="shared" si="1"/>
        <v>19639244.389717631</v>
      </c>
      <c r="W4" s="13">
        <f t="shared" si="2"/>
        <v>3.3523978068081557E-2</v>
      </c>
    </row>
    <row r="5" spans="1:23">
      <c r="A5" s="11">
        <f>'Monthly Data'!A5</f>
        <v>39904</v>
      </c>
      <c r="B5" s="6">
        <f t="shared" si="3"/>
        <v>2009</v>
      </c>
      <c r="C5" s="30">
        <f>'Monthly Data'!F5</f>
        <v>15368223.968047846</v>
      </c>
      <c r="D5">
        <f>'Monthly Data'!U5</f>
        <v>326.29999999999995</v>
      </c>
      <c r="E5">
        <f>'Monthly Data'!V5</f>
        <v>0.8</v>
      </c>
      <c r="F5">
        <f>'Monthly Data'!AA5</f>
        <v>4</v>
      </c>
      <c r="G5" s="30">
        <f>'Monthly Data'!AB5</f>
        <v>23086</v>
      </c>
      <c r="H5" s="30">
        <f>'Monthly Data'!AM5</f>
        <v>0</v>
      </c>
      <c r="I5" s="30">
        <f>'Monthly Data'!AO5</f>
        <v>1</v>
      </c>
      <c r="J5" s="30">
        <f>'Monthly Data'!AQ5</f>
        <v>0</v>
      </c>
      <c r="K5" s="94">
        <f>'Monthly Data'!AR5</f>
        <v>0</v>
      </c>
      <c r="M5" s="62">
        <f>'Res OLS Model'!$B$5</f>
        <v>-23168470.016197301</v>
      </c>
      <c r="N5" s="62">
        <f>'Res OLS Model'!$B$6*D5</f>
        <v>3908214.9929158087</v>
      </c>
      <c r="O5" s="62">
        <f>'Res OLS Model'!$B$7*E5</f>
        <v>26698.029813556961</v>
      </c>
      <c r="P5" s="62">
        <f>'Res OLS Model'!$B$8*F5</f>
        <v>-109942.94971226359</v>
      </c>
      <c r="Q5" s="62">
        <f>'Res OLS Model'!$B$9*G5</f>
        <v>36023332.239417173</v>
      </c>
      <c r="R5" s="62">
        <f>'Res OLS Model'!$B$10*H5</f>
        <v>0</v>
      </c>
      <c r="S5" s="62">
        <f>'Res OLS Model'!$B$11*I5</f>
        <v>-1218613.41007658</v>
      </c>
      <c r="T5" s="62">
        <f>'Res OLS Model'!$B$12*J5</f>
        <v>0</v>
      </c>
      <c r="U5" s="62">
        <f>'Res OLS Model'!$B$13*K5</f>
        <v>0</v>
      </c>
      <c r="V5" s="62">
        <f t="shared" si="1"/>
        <v>15461218.886160392</v>
      </c>
      <c r="W5" s="13">
        <f t="shared" si="2"/>
        <v>6.0511167917576174E-3</v>
      </c>
    </row>
    <row r="6" spans="1:23">
      <c r="A6" s="11">
        <f>'Monthly Data'!A6</f>
        <v>39934</v>
      </c>
      <c r="B6" s="6">
        <f t="shared" si="3"/>
        <v>2009</v>
      </c>
      <c r="C6" s="30">
        <f>'Monthly Data'!F6</f>
        <v>13133840.142032944</v>
      </c>
      <c r="D6">
        <f>'Monthly Data'!U6</f>
        <v>165.29999999999995</v>
      </c>
      <c r="E6">
        <f>'Monthly Data'!V6</f>
        <v>0</v>
      </c>
      <c r="F6">
        <f>'Monthly Data'!AA6</f>
        <v>5</v>
      </c>
      <c r="G6" s="30">
        <f>'Monthly Data'!AB6</f>
        <v>22950</v>
      </c>
      <c r="H6" s="30">
        <f>'Monthly Data'!AM6</f>
        <v>0</v>
      </c>
      <c r="I6" s="30">
        <f>'Monthly Data'!AO6</f>
        <v>0</v>
      </c>
      <c r="J6" s="30">
        <f>'Monthly Data'!AQ6</f>
        <v>1</v>
      </c>
      <c r="K6" s="94">
        <f>'Monthly Data'!AR6</f>
        <v>0</v>
      </c>
      <c r="M6" s="62">
        <f>'Res OLS Model'!$B$5</f>
        <v>-23168470.016197301</v>
      </c>
      <c r="N6" s="62">
        <f>'Res OLS Model'!$B$6*D6</f>
        <v>1979858.8364357436</v>
      </c>
      <c r="O6" s="62">
        <f>'Res OLS Model'!$B$7*E6</f>
        <v>0</v>
      </c>
      <c r="P6" s="62">
        <f>'Res OLS Model'!$B$8*F6</f>
        <v>-137428.68714032951</v>
      </c>
      <c r="Q6" s="62">
        <f>'Res OLS Model'!$B$9*G6</f>
        <v>35811118.20560617</v>
      </c>
      <c r="R6" s="62">
        <f>'Res OLS Model'!$B$10*H6</f>
        <v>0</v>
      </c>
      <c r="S6" s="62">
        <f>'Res OLS Model'!$B$11*I6</f>
        <v>0</v>
      </c>
      <c r="T6" s="62">
        <f>'Res OLS Model'!$B$12*J6</f>
        <v>-1511757.2538914999</v>
      </c>
      <c r="U6" s="62">
        <f>'Res OLS Model'!$B$13*K6</f>
        <v>0</v>
      </c>
      <c r="V6" s="62">
        <f t="shared" si="1"/>
        <v>12973321.084812781</v>
      </c>
      <c r="W6" s="13">
        <f t="shared" si="2"/>
        <v>1.222179160734909E-2</v>
      </c>
    </row>
    <row r="7" spans="1:23">
      <c r="A7" s="11">
        <f>'Monthly Data'!A7</f>
        <v>39965</v>
      </c>
      <c r="B7" s="6">
        <f t="shared" si="3"/>
        <v>2009</v>
      </c>
      <c r="C7" s="30">
        <f>'Monthly Data'!F7</f>
        <v>11976785.90551804</v>
      </c>
      <c r="D7">
        <f>'Monthly Data'!U7</f>
        <v>59.20000000000001</v>
      </c>
      <c r="E7">
        <f>'Monthly Data'!V7</f>
        <v>32.6</v>
      </c>
      <c r="F7">
        <f>'Monthly Data'!AA7</f>
        <v>6</v>
      </c>
      <c r="G7" s="30">
        <f>'Monthly Data'!AB7</f>
        <v>22947</v>
      </c>
      <c r="H7" s="30">
        <f>'Monthly Data'!AM7</f>
        <v>0</v>
      </c>
      <c r="I7" s="30">
        <f>'Monthly Data'!AO7</f>
        <v>0</v>
      </c>
      <c r="J7" s="30">
        <f>'Monthly Data'!AQ7</f>
        <v>1</v>
      </c>
      <c r="K7" s="94">
        <f>'Monthly Data'!AR7</f>
        <v>0</v>
      </c>
      <c r="M7" s="62">
        <f>'Res OLS Model'!$B$5</f>
        <v>-23168470.016197301</v>
      </c>
      <c r="N7" s="62">
        <f>'Res OLS Model'!$B$6*D7</f>
        <v>709060.15194794955</v>
      </c>
      <c r="O7" s="62">
        <f>'Res OLS Model'!$B$7*E7</f>
        <v>1087944.7149024461</v>
      </c>
      <c r="P7" s="62">
        <f>'Res OLS Model'!$B$8*F7</f>
        <v>-164914.42456839539</v>
      </c>
      <c r="Q7" s="62">
        <f>'Res OLS Model'!$B$9*G7</f>
        <v>35806437.01368387</v>
      </c>
      <c r="R7" s="62">
        <f>'Res OLS Model'!$B$10*H7</f>
        <v>0</v>
      </c>
      <c r="S7" s="62">
        <f>'Res OLS Model'!$B$11*I7</f>
        <v>0</v>
      </c>
      <c r="T7" s="62">
        <f>'Res OLS Model'!$B$12*J7</f>
        <v>-1511757.2538914999</v>
      </c>
      <c r="U7" s="62">
        <f>'Res OLS Model'!$B$13*K7</f>
        <v>0</v>
      </c>
      <c r="V7" s="62">
        <f t="shared" si="1"/>
        <v>12758300.185877068</v>
      </c>
      <c r="W7" s="13">
        <f t="shared" si="2"/>
        <v>6.525242135279069E-2</v>
      </c>
    </row>
    <row r="8" spans="1:23">
      <c r="A8" s="11">
        <f>'Monthly Data'!A8</f>
        <v>39995</v>
      </c>
      <c r="B8" s="6">
        <f t="shared" si="3"/>
        <v>2009</v>
      </c>
      <c r="C8" s="30">
        <f>'Monthly Data'!F8</f>
        <v>12446989.012403144</v>
      </c>
      <c r="D8">
        <f>'Monthly Data'!U8</f>
        <v>11.799999999999999</v>
      </c>
      <c r="E8">
        <f>'Monthly Data'!V8</f>
        <v>35.6</v>
      </c>
      <c r="F8">
        <f>'Monthly Data'!AA8</f>
        <v>7</v>
      </c>
      <c r="G8" s="30">
        <f>'Monthly Data'!AB8</f>
        <v>22995</v>
      </c>
      <c r="H8" s="30">
        <f>'Monthly Data'!AM8</f>
        <v>0</v>
      </c>
      <c r="I8" s="30">
        <f>'Monthly Data'!AO8</f>
        <v>0</v>
      </c>
      <c r="J8" s="30">
        <f>'Monthly Data'!AQ8</f>
        <v>1</v>
      </c>
      <c r="K8" s="94">
        <f>'Monthly Data'!AR8</f>
        <v>0</v>
      </c>
      <c r="M8" s="62">
        <f>'Res OLS Model'!$B$5</f>
        <v>-23168470.016197301</v>
      </c>
      <c r="N8" s="62">
        <f>'Res OLS Model'!$B$6*D8</f>
        <v>141332.93569232777</v>
      </c>
      <c r="O8" s="62">
        <f>'Res OLS Model'!$B$7*E8</f>
        <v>1188062.3267032849</v>
      </c>
      <c r="P8" s="62">
        <f>'Res OLS Model'!$B$8*F8</f>
        <v>-192400.16199646128</v>
      </c>
      <c r="Q8" s="62">
        <f>'Res OLS Model'!$B$9*G8</f>
        <v>35881336.084440693</v>
      </c>
      <c r="R8" s="62">
        <f>'Res OLS Model'!$B$10*H8</f>
        <v>0</v>
      </c>
      <c r="S8" s="62">
        <f>'Res OLS Model'!$B$11*I8</f>
        <v>0</v>
      </c>
      <c r="T8" s="62">
        <f>'Res OLS Model'!$B$12*J8</f>
        <v>-1511757.2538914999</v>
      </c>
      <c r="U8" s="62">
        <f>'Res OLS Model'!$B$13*K8</f>
        <v>0</v>
      </c>
      <c r="V8" s="62">
        <f t="shared" si="1"/>
        <v>12338103.914751044</v>
      </c>
      <c r="W8" s="13">
        <f t="shared" si="2"/>
        <v>8.7479066257388424E-3</v>
      </c>
    </row>
    <row r="9" spans="1:23">
      <c r="A9" s="11">
        <f>'Monthly Data'!A9</f>
        <v>40026</v>
      </c>
      <c r="B9" s="6">
        <f t="shared" si="3"/>
        <v>2009</v>
      </c>
      <c r="C9" s="30">
        <f>'Monthly Data'!F9</f>
        <v>13097395.633788241</v>
      </c>
      <c r="D9">
        <f>'Monthly Data'!U9</f>
        <v>20.6</v>
      </c>
      <c r="E9">
        <f>'Monthly Data'!V9</f>
        <v>85.199999999999989</v>
      </c>
      <c r="F9">
        <f>'Monthly Data'!AA9</f>
        <v>8</v>
      </c>
      <c r="G9" s="30">
        <f>'Monthly Data'!AB9</f>
        <v>22990</v>
      </c>
      <c r="H9" s="30">
        <f>'Monthly Data'!AM9</f>
        <v>0</v>
      </c>
      <c r="I9" s="30">
        <f>'Monthly Data'!AO9</f>
        <v>0</v>
      </c>
      <c r="J9" s="30">
        <f>'Monthly Data'!AQ9</f>
        <v>1</v>
      </c>
      <c r="K9" s="94">
        <f>'Monthly Data'!AR9</f>
        <v>0</v>
      </c>
      <c r="M9" s="62">
        <f>'Res OLS Model'!$B$5</f>
        <v>-23168470.016197301</v>
      </c>
      <c r="N9" s="62">
        <f>'Res OLS Model'!$B$6*D9</f>
        <v>246733.76908999594</v>
      </c>
      <c r="O9" s="62">
        <f>'Res OLS Model'!$B$7*E9</f>
        <v>2843340.175143816</v>
      </c>
      <c r="P9" s="62">
        <f>'Res OLS Model'!$B$8*F9</f>
        <v>-219885.89942452719</v>
      </c>
      <c r="Q9" s="62">
        <f>'Res OLS Model'!$B$9*G9</f>
        <v>35873534.09790352</v>
      </c>
      <c r="R9" s="62">
        <f>'Res OLS Model'!$B$10*H9</f>
        <v>0</v>
      </c>
      <c r="S9" s="62">
        <f>'Res OLS Model'!$B$11*I9</f>
        <v>0</v>
      </c>
      <c r="T9" s="62">
        <f>'Res OLS Model'!$B$12*J9</f>
        <v>-1511757.2538914999</v>
      </c>
      <c r="U9" s="62">
        <f>'Res OLS Model'!$B$13*K9</f>
        <v>0</v>
      </c>
      <c r="V9" s="62">
        <f t="shared" si="1"/>
        <v>14063494.872624004</v>
      </c>
      <c r="W9" s="13">
        <f t="shared" si="2"/>
        <v>7.3762698008713379E-2</v>
      </c>
    </row>
    <row r="10" spans="1:23">
      <c r="A10" s="11">
        <f>'Monthly Data'!A10</f>
        <v>40057</v>
      </c>
      <c r="B10" s="6">
        <f t="shared" si="3"/>
        <v>2009</v>
      </c>
      <c r="C10" s="30">
        <f>'Monthly Data'!F10</f>
        <v>13232685.497473339</v>
      </c>
      <c r="D10">
        <f>'Monthly Data'!U10</f>
        <v>100.9</v>
      </c>
      <c r="E10">
        <f>'Monthly Data'!V10</f>
        <v>4.5999999999999996</v>
      </c>
      <c r="F10">
        <f>'Monthly Data'!AA10</f>
        <v>9</v>
      </c>
      <c r="G10" s="30">
        <f>'Monthly Data'!AB10</f>
        <v>23114</v>
      </c>
      <c r="H10" s="30">
        <f>'Monthly Data'!AM10</f>
        <v>1</v>
      </c>
      <c r="I10" s="30">
        <f>'Monthly Data'!AO10</f>
        <v>0</v>
      </c>
      <c r="J10" s="30">
        <f>'Monthly Data'!AQ10</f>
        <v>0</v>
      </c>
      <c r="K10" s="94">
        <f>'Monthly Data'!AR10</f>
        <v>0</v>
      </c>
      <c r="M10" s="62">
        <f>'Res OLS Model'!$B$5</f>
        <v>-23168470.016197301</v>
      </c>
      <c r="N10" s="62">
        <f>'Res OLS Model'!$B$6*D10</f>
        <v>1208516.3738437181</v>
      </c>
      <c r="O10" s="62">
        <f>'Res OLS Model'!$B$7*E10</f>
        <v>153513.6714279525</v>
      </c>
      <c r="P10" s="62">
        <f>'Res OLS Model'!$B$8*F10</f>
        <v>-247371.6368525931</v>
      </c>
      <c r="Q10" s="62">
        <f>'Res OLS Model'!$B$9*G10</f>
        <v>36067023.364025317</v>
      </c>
      <c r="R10" s="62">
        <f>'Res OLS Model'!$B$10*H10</f>
        <v>-1279656.8259476901</v>
      </c>
      <c r="S10" s="62">
        <f>'Res OLS Model'!$B$11*I10</f>
        <v>0</v>
      </c>
      <c r="T10" s="62">
        <f>'Res OLS Model'!$B$12*J10</f>
        <v>0</v>
      </c>
      <c r="U10" s="62">
        <f>'Res OLS Model'!$B$13*K10</f>
        <v>0</v>
      </c>
      <c r="V10" s="62">
        <f t="shared" si="1"/>
        <v>12733554.930299405</v>
      </c>
      <c r="W10" s="13">
        <f t="shared" si="2"/>
        <v>3.7719521654862732E-2</v>
      </c>
    </row>
    <row r="11" spans="1:23">
      <c r="A11" s="11">
        <f>'Monthly Data'!A11</f>
        <v>40087</v>
      </c>
      <c r="B11" s="6">
        <f t="shared" si="3"/>
        <v>2009</v>
      </c>
      <c r="C11" s="30">
        <f>'Monthly Data'!F11</f>
        <v>14845613.483858436</v>
      </c>
      <c r="D11">
        <f>'Monthly Data'!U11</f>
        <v>330.19999999999993</v>
      </c>
      <c r="E11">
        <f>'Monthly Data'!V11</f>
        <v>0</v>
      </c>
      <c r="F11">
        <f>'Monthly Data'!AA11</f>
        <v>10</v>
      </c>
      <c r="G11" s="30">
        <f>'Monthly Data'!AB11</f>
        <v>23172</v>
      </c>
      <c r="H11" s="30">
        <f>'Monthly Data'!AM11</f>
        <v>1</v>
      </c>
      <c r="I11" s="30">
        <f>'Monthly Data'!AO11</f>
        <v>0</v>
      </c>
      <c r="J11" s="30">
        <f>'Monthly Data'!AQ11</f>
        <v>0</v>
      </c>
      <c r="K11" s="94">
        <f>'Monthly Data'!AR11</f>
        <v>0</v>
      </c>
      <c r="M11" s="62">
        <f>'Res OLS Model'!$B$5</f>
        <v>-23168470.016197301</v>
      </c>
      <c r="N11" s="62">
        <f>'Res OLS Model'!$B$6*D11</f>
        <v>3954926.7258988661</v>
      </c>
      <c r="O11" s="62">
        <f>'Res OLS Model'!$B$7*E11</f>
        <v>0</v>
      </c>
      <c r="P11" s="62">
        <f>'Res OLS Model'!$B$8*F11</f>
        <v>-274857.37428065902</v>
      </c>
      <c r="Q11" s="62">
        <f>'Res OLS Model'!$B$9*G11</f>
        <v>36157526.407856479</v>
      </c>
      <c r="R11" s="62">
        <f>'Res OLS Model'!$B$10*H11</f>
        <v>-1279656.8259476901</v>
      </c>
      <c r="S11" s="62">
        <f>'Res OLS Model'!$B$11*I11</f>
        <v>0</v>
      </c>
      <c r="T11" s="62">
        <f>'Res OLS Model'!$B$12*J11</f>
        <v>0</v>
      </c>
      <c r="U11" s="62">
        <f>'Res OLS Model'!$B$13*K11</f>
        <v>0</v>
      </c>
      <c r="V11" s="62">
        <f t="shared" si="1"/>
        <v>15389468.917329695</v>
      </c>
      <c r="W11" s="13">
        <f t="shared" si="2"/>
        <v>3.6634082792374331E-2</v>
      </c>
    </row>
    <row r="12" spans="1:23">
      <c r="A12" s="11">
        <f>'Monthly Data'!A12</f>
        <v>40118</v>
      </c>
      <c r="B12" s="6">
        <f t="shared" si="3"/>
        <v>2009</v>
      </c>
      <c r="C12" s="30">
        <f>'Monthly Data'!F12</f>
        <v>16496996.886043534</v>
      </c>
      <c r="D12">
        <f>'Monthly Data'!U12</f>
        <v>384.49999999999989</v>
      </c>
      <c r="E12">
        <f>'Monthly Data'!V12</f>
        <v>0</v>
      </c>
      <c r="F12">
        <f>'Monthly Data'!AA12</f>
        <v>11</v>
      </c>
      <c r="G12" s="30">
        <f>'Monthly Data'!AB12</f>
        <v>23202</v>
      </c>
      <c r="H12" s="30">
        <f>'Monthly Data'!AM12</f>
        <v>1</v>
      </c>
      <c r="I12" s="30">
        <f>'Monthly Data'!AO12</f>
        <v>0</v>
      </c>
      <c r="J12" s="30">
        <f>'Monthly Data'!AQ12</f>
        <v>0</v>
      </c>
      <c r="K12" s="94">
        <f>'Monthly Data'!AR12</f>
        <v>0</v>
      </c>
      <c r="M12" s="62">
        <f>'Res OLS Model'!$B$5</f>
        <v>-23168470.016197301</v>
      </c>
      <c r="N12" s="62">
        <f>'Res OLS Model'!$B$6*D12</f>
        <v>4605297.7774322042</v>
      </c>
      <c r="O12" s="62">
        <f>'Res OLS Model'!$B$7*E12</f>
        <v>0</v>
      </c>
      <c r="P12" s="62">
        <f>'Res OLS Model'!$B$8*F12</f>
        <v>-302343.11170872487</v>
      </c>
      <c r="Q12" s="62">
        <f>'Res OLS Model'!$B$9*G12</f>
        <v>36204338.32707949</v>
      </c>
      <c r="R12" s="62">
        <f>'Res OLS Model'!$B$10*H12</f>
        <v>-1279656.8259476901</v>
      </c>
      <c r="S12" s="62">
        <f>'Res OLS Model'!$B$11*I12</f>
        <v>0</v>
      </c>
      <c r="T12" s="62">
        <f>'Res OLS Model'!$B$12*J12</f>
        <v>0</v>
      </c>
      <c r="U12" s="62">
        <f>'Res OLS Model'!$B$13*K12</f>
        <v>0</v>
      </c>
      <c r="V12" s="62">
        <f t="shared" si="1"/>
        <v>16059166.150657978</v>
      </c>
      <c r="W12" s="13">
        <f t="shared" si="2"/>
        <v>2.6540026552102993E-2</v>
      </c>
    </row>
    <row r="13" spans="1:23">
      <c r="A13" s="11">
        <f>'Monthly Data'!A13</f>
        <v>40148</v>
      </c>
      <c r="B13" s="6">
        <f t="shared" si="3"/>
        <v>2009</v>
      </c>
      <c r="C13" s="30">
        <f>'Monthly Data'!F13</f>
        <v>19900729.077828635</v>
      </c>
      <c r="D13">
        <f>'Monthly Data'!U13</f>
        <v>696.79999999999984</v>
      </c>
      <c r="E13">
        <f>'Monthly Data'!V13</f>
        <v>0</v>
      </c>
      <c r="F13">
        <f>'Monthly Data'!AA13</f>
        <v>12</v>
      </c>
      <c r="G13" s="30">
        <f>'Monthly Data'!AB13</f>
        <v>23223</v>
      </c>
      <c r="H13" s="30">
        <f>'Monthly Data'!AM13</f>
        <v>0</v>
      </c>
      <c r="I13" s="30">
        <f>'Monthly Data'!AO13</f>
        <v>0</v>
      </c>
      <c r="J13" s="30">
        <f>'Monthly Data'!AQ13</f>
        <v>0</v>
      </c>
      <c r="K13" s="94">
        <f>'Monthly Data'!AR13</f>
        <v>0</v>
      </c>
      <c r="M13" s="62">
        <f>'Res OLS Model'!$B$5</f>
        <v>-23168470.016197301</v>
      </c>
      <c r="N13" s="62">
        <f>'Res OLS Model'!$B$6*D13</f>
        <v>8345829.6263062684</v>
      </c>
      <c r="O13" s="62">
        <f>'Res OLS Model'!$B$7*E13</f>
        <v>0</v>
      </c>
      <c r="P13" s="62">
        <f>'Res OLS Model'!$B$8*F13</f>
        <v>-329828.84913679078</v>
      </c>
      <c r="Q13" s="62">
        <f>'Res OLS Model'!$B$9*G13</f>
        <v>36237106.670535602</v>
      </c>
      <c r="R13" s="62">
        <f>'Res OLS Model'!$B$10*H13</f>
        <v>0</v>
      </c>
      <c r="S13" s="62">
        <f>'Res OLS Model'!$B$11*I13</f>
        <v>0</v>
      </c>
      <c r="T13" s="62">
        <f>'Res OLS Model'!$B$12*J13</f>
        <v>0</v>
      </c>
      <c r="U13" s="62">
        <f>'Res OLS Model'!$B$13*K13</f>
        <v>0</v>
      </c>
      <c r="V13" s="62">
        <f t="shared" si="1"/>
        <v>21084637.431507781</v>
      </c>
      <c r="W13" s="13">
        <f t="shared" si="2"/>
        <v>5.94907025289911E-2</v>
      </c>
    </row>
    <row r="14" spans="1:23">
      <c r="A14" s="11">
        <f>'Monthly Data'!A14</f>
        <v>40179</v>
      </c>
      <c r="B14" s="6">
        <f t="shared" si="3"/>
        <v>2010</v>
      </c>
      <c r="C14" s="30">
        <f>'Monthly Data'!F14</f>
        <v>23650215.715997804</v>
      </c>
      <c r="D14">
        <f>'Monthly Data'!U14</f>
        <v>750.59999999999991</v>
      </c>
      <c r="E14">
        <f>'Monthly Data'!V14</f>
        <v>0</v>
      </c>
      <c r="F14">
        <f>'Monthly Data'!AA14</f>
        <v>13</v>
      </c>
      <c r="G14" s="30">
        <f>'Monthly Data'!AB14</f>
        <v>23244</v>
      </c>
      <c r="H14" s="30">
        <f>'Monthly Data'!AM14</f>
        <v>0</v>
      </c>
      <c r="I14" s="30">
        <f>'Monthly Data'!AO14</f>
        <v>0</v>
      </c>
      <c r="J14" s="30">
        <f>'Monthly Data'!AQ14</f>
        <v>0</v>
      </c>
      <c r="K14" s="94">
        <f>'Monthly Data'!AR14</f>
        <v>1</v>
      </c>
      <c r="M14" s="62">
        <f>'Res OLS Model'!$B$5</f>
        <v>-23168470.016197301</v>
      </c>
      <c r="N14" s="62">
        <f>'Res OLS Model'!$B$6*D14</f>
        <v>8990211.9941238314</v>
      </c>
      <c r="O14" s="62">
        <f>'Res OLS Model'!$B$7*E14</f>
        <v>0</v>
      </c>
      <c r="P14" s="62">
        <f>'Res OLS Model'!$B$8*F14</f>
        <v>-357314.5865648567</v>
      </c>
      <c r="Q14" s="62">
        <f>'Res OLS Model'!$B$9*G14</f>
        <v>36269875.013991714</v>
      </c>
      <c r="R14" s="62">
        <f>'Res OLS Model'!$B$10*H14</f>
        <v>0</v>
      </c>
      <c r="S14" s="62">
        <f>'Res OLS Model'!$B$11*I14</f>
        <v>0</v>
      </c>
      <c r="T14" s="62">
        <f>'Res OLS Model'!$B$12*J14</f>
        <v>0</v>
      </c>
      <c r="U14" s="62">
        <f>'Res OLS Model'!$B$13*K14</f>
        <v>1122371.81652903</v>
      </c>
      <c r="V14" s="62">
        <f t="shared" si="1"/>
        <v>22856674.221882418</v>
      </c>
      <c r="W14" s="13">
        <f t="shared" si="2"/>
        <v>3.3553245502898642E-2</v>
      </c>
    </row>
    <row r="15" spans="1:23">
      <c r="A15" s="11">
        <f>'Monthly Data'!A15</f>
        <v>40210</v>
      </c>
      <c r="B15" s="6">
        <f t="shared" si="3"/>
        <v>2010</v>
      </c>
      <c r="C15" s="30">
        <f>'Monthly Data'!F15</f>
        <v>21137330.052274939</v>
      </c>
      <c r="D15">
        <f>'Monthly Data'!U15</f>
        <v>620.40000000000009</v>
      </c>
      <c r="E15">
        <f>'Monthly Data'!V15</f>
        <v>0</v>
      </c>
      <c r="F15">
        <f>'Monthly Data'!AA15</f>
        <v>14</v>
      </c>
      <c r="G15" s="30">
        <f>'Monthly Data'!AB15</f>
        <v>23206</v>
      </c>
      <c r="H15" s="30">
        <f>'Monthly Data'!AM15</f>
        <v>0</v>
      </c>
      <c r="I15" s="30">
        <f>'Monthly Data'!AO15</f>
        <v>0</v>
      </c>
      <c r="J15" s="30">
        <f>'Monthly Data'!AQ15</f>
        <v>0</v>
      </c>
      <c r="K15" s="94">
        <f>'Monthly Data'!AR15</f>
        <v>0</v>
      </c>
      <c r="M15" s="62">
        <f>'Res OLS Model'!$B$5</f>
        <v>-23168470.016197301</v>
      </c>
      <c r="N15" s="62">
        <f>'Res OLS Model'!$B$6*D15</f>
        <v>7430758.7545356071</v>
      </c>
      <c r="O15" s="62">
        <f>'Res OLS Model'!$B$7*E15</f>
        <v>0</v>
      </c>
      <c r="P15" s="62">
        <f>'Res OLS Model'!$B$8*F15</f>
        <v>-384800.32399292255</v>
      </c>
      <c r="Q15" s="62">
        <f>'Res OLS Model'!$B$9*G15</f>
        <v>36210579.91630923</v>
      </c>
      <c r="R15" s="62">
        <f>'Res OLS Model'!$B$10*H15</f>
        <v>0</v>
      </c>
      <c r="S15" s="62">
        <f>'Res OLS Model'!$B$11*I15</f>
        <v>0</v>
      </c>
      <c r="T15" s="62">
        <f>'Res OLS Model'!$B$12*J15</f>
        <v>0</v>
      </c>
      <c r="U15" s="62">
        <f>'Res OLS Model'!$B$13*K15</f>
        <v>0</v>
      </c>
      <c r="V15" s="62">
        <f t="shared" si="1"/>
        <v>20088068.330654614</v>
      </c>
      <c r="W15" s="13">
        <f t="shared" si="2"/>
        <v>4.9640220360158333E-2</v>
      </c>
    </row>
    <row r="16" spans="1:23">
      <c r="A16" s="11">
        <f>'Monthly Data'!A16</f>
        <v>40238</v>
      </c>
      <c r="B16" s="6">
        <f t="shared" si="3"/>
        <v>2010</v>
      </c>
      <c r="C16" s="30">
        <f>'Monthly Data'!F16</f>
        <v>19339569.887852073</v>
      </c>
      <c r="D16">
        <f>'Monthly Data'!U16</f>
        <v>451.89999999999992</v>
      </c>
      <c r="E16">
        <f>'Monthly Data'!V16</f>
        <v>0</v>
      </c>
      <c r="F16">
        <f>'Monthly Data'!AA16</f>
        <v>15</v>
      </c>
      <c r="G16" s="30">
        <f>'Monthly Data'!AB16</f>
        <v>23227</v>
      </c>
      <c r="H16" s="30">
        <f>'Monthly Data'!AM16</f>
        <v>0</v>
      </c>
      <c r="I16" s="30">
        <f>'Monthly Data'!AO16</f>
        <v>0</v>
      </c>
      <c r="J16" s="30">
        <f>'Monthly Data'!AQ16</f>
        <v>0</v>
      </c>
      <c r="K16" s="94">
        <f>'Monthly Data'!AR16</f>
        <v>0</v>
      </c>
      <c r="M16" s="62">
        <f>'Res OLS Model'!$B$5</f>
        <v>-23168470.016197301</v>
      </c>
      <c r="N16" s="62">
        <f>'Res OLS Model'!$B$6*D16</f>
        <v>5412572.3423188906</v>
      </c>
      <c r="O16" s="62">
        <f>'Res OLS Model'!$B$7*E16</f>
        <v>0</v>
      </c>
      <c r="P16" s="62">
        <f>'Res OLS Model'!$B$8*F16</f>
        <v>-412286.06142098847</v>
      </c>
      <c r="Q16" s="62">
        <f>'Res OLS Model'!$B$9*G16</f>
        <v>36243348.259765342</v>
      </c>
      <c r="R16" s="62">
        <f>'Res OLS Model'!$B$10*H16</f>
        <v>0</v>
      </c>
      <c r="S16" s="62">
        <f>'Res OLS Model'!$B$11*I16</f>
        <v>0</v>
      </c>
      <c r="T16" s="62">
        <f>'Res OLS Model'!$B$12*J16</f>
        <v>0</v>
      </c>
      <c r="U16" s="62">
        <f>'Res OLS Model'!$B$13*K16</f>
        <v>0</v>
      </c>
      <c r="V16" s="62">
        <f t="shared" si="1"/>
        <v>18075164.524465945</v>
      </c>
      <c r="W16" s="13">
        <f t="shared" si="2"/>
        <v>6.5379187371708294E-2</v>
      </c>
    </row>
    <row r="17" spans="1:23">
      <c r="A17" s="11">
        <f>'Monthly Data'!A17</f>
        <v>40269</v>
      </c>
      <c r="B17" s="6">
        <f t="shared" si="3"/>
        <v>2010</v>
      </c>
      <c r="C17" s="30">
        <f>'Monthly Data'!F17</f>
        <v>14339897.801129207</v>
      </c>
      <c r="D17">
        <f>'Monthly Data'!U17</f>
        <v>243.49999999999989</v>
      </c>
      <c r="E17">
        <f>'Monthly Data'!V17</f>
        <v>1.3</v>
      </c>
      <c r="F17">
        <f>'Monthly Data'!AA17</f>
        <v>16</v>
      </c>
      <c r="G17" s="30">
        <f>'Monthly Data'!AB17</f>
        <v>23169</v>
      </c>
      <c r="H17" s="30">
        <f>'Monthly Data'!AM17</f>
        <v>0</v>
      </c>
      <c r="I17" s="30">
        <f>'Monthly Data'!AO17</f>
        <v>1</v>
      </c>
      <c r="J17" s="30">
        <f>'Monthly Data'!AQ17</f>
        <v>0</v>
      </c>
      <c r="K17" s="94">
        <f>'Monthly Data'!AR17</f>
        <v>0</v>
      </c>
      <c r="M17" s="62">
        <f>'Res OLS Model'!$B$5</f>
        <v>-23168470.016197301</v>
      </c>
      <c r="N17" s="62">
        <f>'Res OLS Model'!$B$6*D17</f>
        <v>2916488.9695832031</v>
      </c>
      <c r="O17" s="62">
        <f>'Res OLS Model'!$B$7*E17</f>
        <v>43384.298447030065</v>
      </c>
      <c r="P17" s="62">
        <f>'Res OLS Model'!$B$8*F17</f>
        <v>-439771.79884905438</v>
      </c>
      <c r="Q17" s="62">
        <f>'Res OLS Model'!$B$9*G17</f>
        <v>36152845.21593418</v>
      </c>
      <c r="R17" s="62">
        <f>'Res OLS Model'!$B$10*H17</f>
        <v>0</v>
      </c>
      <c r="S17" s="62">
        <f>'Res OLS Model'!$B$11*I17</f>
        <v>-1218613.41007658</v>
      </c>
      <c r="T17" s="62">
        <f>'Res OLS Model'!$B$12*J17</f>
        <v>0</v>
      </c>
      <c r="U17" s="62">
        <f>'Res OLS Model'!$B$13*K17</f>
        <v>0</v>
      </c>
      <c r="V17" s="62">
        <f t="shared" si="1"/>
        <v>14285863.258841477</v>
      </c>
      <c r="W17" s="13">
        <f t="shared" si="2"/>
        <v>3.7681260380722299E-3</v>
      </c>
    </row>
    <row r="18" spans="1:23">
      <c r="A18" s="11">
        <f>'Monthly Data'!A18</f>
        <v>40299</v>
      </c>
      <c r="B18" s="6">
        <f t="shared" si="3"/>
        <v>2010</v>
      </c>
      <c r="C18" s="30">
        <f>'Monthly Data'!F18</f>
        <v>12579503.733506339</v>
      </c>
      <c r="D18">
        <f>'Monthly Data'!U18</f>
        <v>110.2</v>
      </c>
      <c r="E18">
        <f>'Monthly Data'!V18</f>
        <v>26.100000000000005</v>
      </c>
      <c r="F18">
        <f>'Monthly Data'!AA18</f>
        <v>17</v>
      </c>
      <c r="G18" s="30">
        <f>'Monthly Data'!AB18</f>
        <v>22966</v>
      </c>
      <c r="H18" s="30">
        <f>'Monthly Data'!AM18</f>
        <v>0</v>
      </c>
      <c r="I18" s="30">
        <f>'Monthly Data'!AO18</f>
        <v>0</v>
      </c>
      <c r="J18" s="30">
        <f>'Monthly Data'!AQ18</f>
        <v>1</v>
      </c>
      <c r="K18" s="94">
        <f>'Monthly Data'!AR18</f>
        <v>0</v>
      </c>
      <c r="M18" s="62">
        <f>'Res OLS Model'!$B$5</f>
        <v>-23168470.016197301</v>
      </c>
      <c r="N18" s="62">
        <f>'Res OLS Model'!$B$6*D18</f>
        <v>1319905.8909571627</v>
      </c>
      <c r="O18" s="62">
        <f>'Res OLS Model'!$B$7*E18</f>
        <v>871023.22266729607</v>
      </c>
      <c r="P18" s="62">
        <f>'Res OLS Model'!$B$8*F18</f>
        <v>-467257.53627712029</v>
      </c>
      <c r="Q18" s="62">
        <f>'Res OLS Model'!$B$9*G18</f>
        <v>35836084.562525108</v>
      </c>
      <c r="R18" s="62">
        <f>'Res OLS Model'!$B$10*H18</f>
        <v>0</v>
      </c>
      <c r="S18" s="62">
        <f>'Res OLS Model'!$B$11*I18</f>
        <v>0</v>
      </c>
      <c r="T18" s="62">
        <f>'Res OLS Model'!$B$12*J18</f>
        <v>-1511757.2538914999</v>
      </c>
      <c r="U18" s="62">
        <f>'Res OLS Model'!$B$13*K18</f>
        <v>0</v>
      </c>
      <c r="V18" s="62">
        <f t="shared" si="1"/>
        <v>12879528.869783645</v>
      </c>
      <c r="W18" s="13">
        <f t="shared" si="2"/>
        <v>2.3850315770261275E-2</v>
      </c>
    </row>
    <row r="19" spans="1:23">
      <c r="A19" s="11">
        <f>'Monthly Data'!A19</f>
        <v>40330</v>
      </c>
      <c r="B19" s="6">
        <f t="shared" si="3"/>
        <v>2010</v>
      </c>
      <c r="C19" s="30">
        <f>'Monthly Data'!F19</f>
        <v>12709669.92388347</v>
      </c>
      <c r="D19">
        <f>'Monthly Data'!U19</f>
        <v>38.300000000000004</v>
      </c>
      <c r="E19">
        <f>'Monthly Data'!V19</f>
        <v>33.700000000000003</v>
      </c>
      <c r="F19">
        <f>'Monthly Data'!AA19</f>
        <v>18</v>
      </c>
      <c r="G19" s="30">
        <f>'Monthly Data'!AB19</f>
        <v>23006</v>
      </c>
      <c r="H19" s="30">
        <f>'Monthly Data'!AM19</f>
        <v>0</v>
      </c>
      <c r="I19" s="30">
        <f>'Monthly Data'!AO19</f>
        <v>0</v>
      </c>
      <c r="J19" s="30">
        <f>'Monthly Data'!AQ19</f>
        <v>1</v>
      </c>
      <c r="K19" s="94">
        <f>'Monthly Data'!AR19</f>
        <v>0</v>
      </c>
      <c r="M19" s="62">
        <f>'Res OLS Model'!$B$5</f>
        <v>-23168470.016197301</v>
      </c>
      <c r="N19" s="62">
        <f>'Res OLS Model'!$B$6*D19</f>
        <v>458733.17262848763</v>
      </c>
      <c r="O19" s="62">
        <f>'Res OLS Model'!$B$7*E19</f>
        <v>1124654.505896087</v>
      </c>
      <c r="P19" s="62">
        <f>'Res OLS Model'!$B$8*F19</f>
        <v>-494743.27370518621</v>
      </c>
      <c r="Q19" s="62">
        <f>'Res OLS Model'!$B$9*G19</f>
        <v>35898500.454822466</v>
      </c>
      <c r="R19" s="62">
        <f>'Res OLS Model'!$B$10*H19</f>
        <v>0</v>
      </c>
      <c r="S19" s="62">
        <f>'Res OLS Model'!$B$11*I19</f>
        <v>0</v>
      </c>
      <c r="T19" s="62">
        <f>'Res OLS Model'!$B$12*J19</f>
        <v>-1511757.2538914999</v>
      </c>
      <c r="U19" s="62">
        <f>'Res OLS Model'!$B$13*K19</f>
        <v>0</v>
      </c>
      <c r="V19" s="62">
        <f t="shared" si="1"/>
        <v>12306917.589553056</v>
      </c>
      <c r="W19" s="13">
        <f t="shared" si="2"/>
        <v>3.1688654130472615E-2</v>
      </c>
    </row>
    <row r="20" spans="1:23">
      <c r="A20" s="11">
        <f>'Monthly Data'!A20</f>
        <v>40360</v>
      </c>
      <c r="B20" s="6">
        <f t="shared" si="3"/>
        <v>2010</v>
      </c>
      <c r="C20" s="30">
        <f>'Monthly Data'!F20</f>
        <v>14680147.484760607</v>
      </c>
      <c r="D20">
        <f>'Monthly Data'!U20</f>
        <v>3.4000000000000004</v>
      </c>
      <c r="E20">
        <f>'Monthly Data'!V20</f>
        <v>139.79999999999995</v>
      </c>
      <c r="F20">
        <f>'Monthly Data'!AA20</f>
        <v>19</v>
      </c>
      <c r="G20" s="30">
        <f>'Monthly Data'!AB20</f>
        <v>23113</v>
      </c>
      <c r="H20" s="30">
        <f>'Monthly Data'!AM20</f>
        <v>0</v>
      </c>
      <c r="I20" s="30">
        <f>'Monthly Data'!AO20</f>
        <v>0</v>
      </c>
      <c r="J20" s="30">
        <f>'Monthly Data'!AQ20</f>
        <v>1</v>
      </c>
      <c r="K20" s="94">
        <f>'Monthly Data'!AR20</f>
        <v>0</v>
      </c>
      <c r="M20" s="62">
        <f>'Res OLS Model'!$B$5</f>
        <v>-23168470.016197301</v>
      </c>
      <c r="N20" s="62">
        <f>'Res OLS Model'!$B$6*D20</f>
        <v>40723.049267280883</v>
      </c>
      <c r="O20" s="62">
        <f>'Res OLS Model'!$B$7*E20</f>
        <v>4665480.7099190773</v>
      </c>
      <c r="P20" s="62">
        <f>'Res OLS Model'!$B$8*F20</f>
        <v>-522229.01113325206</v>
      </c>
      <c r="Q20" s="62">
        <f>'Res OLS Model'!$B$9*G20</f>
        <v>36065462.966717884</v>
      </c>
      <c r="R20" s="62">
        <f>'Res OLS Model'!$B$10*H20</f>
        <v>0</v>
      </c>
      <c r="S20" s="62">
        <f>'Res OLS Model'!$B$11*I20</f>
        <v>0</v>
      </c>
      <c r="T20" s="62">
        <f>'Res OLS Model'!$B$12*J20</f>
        <v>-1511757.2538914999</v>
      </c>
      <c r="U20" s="62">
        <f>'Res OLS Model'!$B$13*K20</f>
        <v>0</v>
      </c>
      <c r="V20" s="62">
        <f t="shared" si="1"/>
        <v>15569210.444682186</v>
      </c>
      <c r="W20" s="13">
        <f t="shared" si="2"/>
        <v>6.05622634816518E-2</v>
      </c>
    </row>
    <row r="21" spans="1:23">
      <c r="A21" s="11">
        <f>'Monthly Data'!A21</f>
        <v>40391</v>
      </c>
      <c r="B21" s="6">
        <f t="shared" si="3"/>
        <v>2010</v>
      </c>
      <c r="C21" s="30">
        <f>'Monthly Data'!F21</f>
        <v>14024711.74603774</v>
      </c>
      <c r="D21">
        <f>'Monthly Data'!U21</f>
        <v>10.100000000000001</v>
      </c>
      <c r="E21">
        <f>'Monthly Data'!V21</f>
        <v>90.299999999999969</v>
      </c>
      <c r="F21">
        <f>'Monthly Data'!AA21</f>
        <v>20</v>
      </c>
      <c r="G21" s="30">
        <f>'Monthly Data'!AB21</f>
        <v>23035</v>
      </c>
      <c r="H21" s="30">
        <f>'Monthly Data'!AM21</f>
        <v>0</v>
      </c>
      <c r="I21" s="30">
        <f>'Monthly Data'!AO21</f>
        <v>0</v>
      </c>
      <c r="J21" s="30">
        <f>'Monthly Data'!AQ21</f>
        <v>1</v>
      </c>
      <c r="K21" s="94">
        <f>'Monthly Data'!AR21</f>
        <v>0</v>
      </c>
      <c r="M21" s="62">
        <f>'Res OLS Model'!$B$5</f>
        <v>-23168470.016197301</v>
      </c>
      <c r="N21" s="62">
        <f>'Res OLS Model'!$B$6*D21</f>
        <v>120971.41105868734</v>
      </c>
      <c r="O21" s="62">
        <f>'Res OLS Model'!$B$7*E21</f>
        <v>3013540.1152052409</v>
      </c>
      <c r="P21" s="62">
        <f>'Res OLS Model'!$B$8*F21</f>
        <v>-549714.74856131803</v>
      </c>
      <c r="Q21" s="62">
        <f>'Res OLS Model'!$B$9*G21</f>
        <v>35943751.976738043</v>
      </c>
      <c r="R21" s="62">
        <f>'Res OLS Model'!$B$10*H21</f>
        <v>0</v>
      </c>
      <c r="S21" s="62">
        <f>'Res OLS Model'!$B$11*I21</f>
        <v>0</v>
      </c>
      <c r="T21" s="62">
        <f>'Res OLS Model'!$B$12*J21</f>
        <v>-1511757.2538914999</v>
      </c>
      <c r="U21" s="62">
        <f>'Res OLS Model'!$B$13*K21</f>
        <v>0</v>
      </c>
      <c r="V21" s="62">
        <f t="shared" si="1"/>
        <v>13848321.484351849</v>
      </c>
      <c r="W21" s="13">
        <f t="shared" si="2"/>
        <v>1.2577104248557895E-2</v>
      </c>
    </row>
    <row r="22" spans="1:23">
      <c r="A22" s="11">
        <f>'Monthly Data'!A22</f>
        <v>40422</v>
      </c>
      <c r="B22" s="6">
        <f t="shared" si="3"/>
        <v>2010</v>
      </c>
      <c r="C22" s="30">
        <f>'Monthly Data'!F22</f>
        <v>13142688.407314872</v>
      </c>
      <c r="D22">
        <f>'Monthly Data'!U22</f>
        <v>99.40000000000002</v>
      </c>
      <c r="E22">
        <f>'Monthly Data'!V22</f>
        <v>29.400000000000002</v>
      </c>
      <c r="F22">
        <f>'Monthly Data'!AA22</f>
        <v>21</v>
      </c>
      <c r="G22" s="30">
        <f>'Monthly Data'!AB22</f>
        <v>23146</v>
      </c>
      <c r="H22" s="30">
        <f>'Monthly Data'!AM22</f>
        <v>1</v>
      </c>
      <c r="I22" s="30">
        <f>'Monthly Data'!AO22</f>
        <v>0</v>
      </c>
      <c r="J22" s="30">
        <f>'Monthly Data'!AQ22</f>
        <v>0</v>
      </c>
      <c r="K22" s="94">
        <f>'Monthly Data'!AR22</f>
        <v>0</v>
      </c>
      <c r="M22" s="62">
        <f>'Res OLS Model'!$B$5</f>
        <v>-23168470.016197301</v>
      </c>
      <c r="N22" s="62">
        <f>'Res OLS Model'!$B$6*D22</f>
        <v>1190550.3226963885</v>
      </c>
      <c r="O22" s="62">
        <f>'Res OLS Model'!$B$7*E22</f>
        <v>981152.59564821841</v>
      </c>
      <c r="P22" s="62">
        <f>'Res OLS Model'!$B$8*F22</f>
        <v>-577200.48598938389</v>
      </c>
      <c r="Q22" s="62">
        <f>'Res OLS Model'!$B$9*G22</f>
        <v>36116956.077863201</v>
      </c>
      <c r="R22" s="62">
        <f>'Res OLS Model'!$B$10*H22</f>
        <v>-1279656.8259476901</v>
      </c>
      <c r="S22" s="62">
        <f>'Res OLS Model'!$B$11*I22</f>
        <v>0</v>
      </c>
      <c r="T22" s="62">
        <f>'Res OLS Model'!$B$12*J22</f>
        <v>0</v>
      </c>
      <c r="U22" s="62">
        <f>'Res OLS Model'!$B$13*K22</f>
        <v>0</v>
      </c>
      <c r="V22" s="62">
        <f t="shared" si="1"/>
        <v>13263331.668073431</v>
      </c>
      <c r="W22" s="13">
        <f t="shared" si="2"/>
        <v>9.1794963876197077E-3</v>
      </c>
    </row>
    <row r="23" spans="1:23">
      <c r="A23" s="11">
        <f>'Monthly Data'!A23</f>
        <v>40452</v>
      </c>
      <c r="B23" s="6">
        <f t="shared" si="3"/>
        <v>2010</v>
      </c>
      <c r="C23" s="30">
        <f>'Monthly Data'!F23</f>
        <v>14485777.508292003</v>
      </c>
      <c r="D23">
        <f>'Monthly Data'!U23</f>
        <v>284.69999999999993</v>
      </c>
      <c r="E23">
        <f>'Monthly Data'!V23</f>
        <v>0</v>
      </c>
      <c r="F23">
        <f>'Monthly Data'!AA23</f>
        <v>22</v>
      </c>
      <c r="G23" s="30">
        <f>'Monthly Data'!AB23</f>
        <v>23213</v>
      </c>
      <c r="H23" s="30">
        <f>'Monthly Data'!AM23</f>
        <v>1</v>
      </c>
      <c r="I23" s="30">
        <f>'Monthly Data'!AO23</f>
        <v>0</v>
      </c>
      <c r="J23" s="30">
        <f>'Monthly Data'!AQ23</f>
        <v>0</v>
      </c>
      <c r="K23" s="94">
        <f>'Monthly Data'!AR23</f>
        <v>0</v>
      </c>
      <c r="M23" s="62">
        <f>'Res OLS Model'!$B$5</f>
        <v>-23168470.016197301</v>
      </c>
      <c r="N23" s="62">
        <f>'Res OLS Model'!$B$6*D23</f>
        <v>3409956.5077631953</v>
      </c>
      <c r="O23" s="62">
        <f>'Res OLS Model'!$B$7*E23</f>
        <v>0</v>
      </c>
      <c r="P23" s="62">
        <f>'Res OLS Model'!$B$8*F23</f>
        <v>-604686.22341744974</v>
      </c>
      <c r="Q23" s="62">
        <f>'Res OLS Model'!$B$9*G23</f>
        <v>36221502.697461262</v>
      </c>
      <c r="R23" s="62">
        <f>'Res OLS Model'!$B$10*H23</f>
        <v>-1279656.8259476901</v>
      </c>
      <c r="S23" s="62">
        <f>'Res OLS Model'!$B$11*I23</f>
        <v>0</v>
      </c>
      <c r="T23" s="62">
        <f>'Res OLS Model'!$B$12*J23</f>
        <v>0</v>
      </c>
      <c r="U23" s="62">
        <f>'Res OLS Model'!$B$13*K23</f>
        <v>0</v>
      </c>
      <c r="V23" s="62">
        <f t="shared" si="1"/>
        <v>14578646.139662016</v>
      </c>
      <c r="W23" s="13">
        <f t="shared" si="2"/>
        <v>6.4110215221000995E-3</v>
      </c>
    </row>
    <row r="24" spans="1:23">
      <c r="A24" s="11">
        <f>'Monthly Data'!A24</f>
        <v>40483</v>
      </c>
      <c r="B24" s="6">
        <f t="shared" si="3"/>
        <v>2010</v>
      </c>
      <c r="C24" s="30">
        <f>'Monthly Data'!F24</f>
        <v>16983251.713569138</v>
      </c>
      <c r="D24">
        <f>'Monthly Data'!U24</f>
        <v>451.4</v>
      </c>
      <c r="E24">
        <f>'Monthly Data'!V24</f>
        <v>0</v>
      </c>
      <c r="F24">
        <f>'Monthly Data'!AA24</f>
        <v>23</v>
      </c>
      <c r="G24" s="30">
        <f>'Monthly Data'!AB24</f>
        <v>23299</v>
      </c>
      <c r="H24" s="30">
        <f>'Monthly Data'!AM24</f>
        <v>1</v>
      </c>
      <c r="I24" s="30">
        <f>'Monthly Data'!AO24</f>
        <v>0</v>
      </c>
      <c r="J24" s="30">
        <f>'Monthly Data'!AQ24</f>
        <v>0</v>
      </c>
      <c r="K24" s="94">
        <f>'Monthly Data'!AR24</f>
        <v>0</v>
      </c>
      <c r="M24" s="62">
        <f>'Res OLS Model'!$B$5</f>
        <v>-23168470.016197301</v>
      </c>
      <c r="N24" s="62">
        <f>'Res OLS Model'!$B$6*D24</f>
        <v>5406583.6586031141</v>
      </c>
      <c r="O24" s="62">
        <f>'Res OLS Model'!$B$7*E24</f>
        <v>0</v>
      </c>
      <c r="P24" s="62">
        <f>'Res OLS Model'!$B$8*F24</f>
        <v>-632171.96084551571</v>
      </c>
      <c r="Q24" s="62">
        <f>'Res OLS Model'!$B$9*G24</f>
        <v>36355696.865900576</v>
      </c>
      <c r="R24" s="62">
        <f>'Res OLS Model'!$B$10*H24</f>
        <v>-1279656.8259476901</v>
      </c>
      <c r="S24" s="62">
        <f>'Res OLS Model'!$B$11*I24</f>
        <v>0</v>
      </c>
      <c r="T24" s="62">
        <f>'Res OLS Model'!$B$12*J24</f>
        <v>0</v>
      </c>
      <c r="U24" s="62">
        <f>'Res OLS Model'!$B$13*K24</f>
        <v>0</v>
      </c>
      <c r="V24" s="62">
        <f t="shared" si="1"/>
        <v>16681981.721513182</v>
      </c>
      <c r="W24" s="13">
        <f t="shared" si="2"/>
        <v>1.7739240820133995E-2</v>
      </c>
    </row>
    <row r="25" spans="1:23">
      <c r="A25" s="11">
        <f>'Monthly Data'!A25</f>
        <v>40513</v>
      </c>
      <c r="B25" s="6">
        <f t="shared" si="3"/>
        <v>2010</v>
      </c>
      <c r="C25" s="30">
        <f>'Monthly Data'!F25</f>
        <v>21020194.500046272</v>
      </c>
      <c r="D25">
        <f>'Monthly Data'!U25</f>
        <v>713.49999999999989</v>
      </c>
      <c r="E25">
        <f>'Monthly Data'!V25</f>
        <v>0</v>
      </c>
      <c r="F25">
        <f>'Monthly Data'!AA25</f>
        <v>24</v>
      </c>
      <c r="G25" s="30">
        <f>'Monthly Data'!AB25</f>
        <v>23337</v>
      </c>
      <c r="H25" s="30">
        <f>'Monthly Data'!AM25</f>
        <v>0</v>
      </c>
      <c r="I25" s="30">
        <f>'Monthly Data'!AO25</f>
        <v>0</v>
      </c>
      <c r="J25" s="30">
        <f>'Monthly Data'!AQ25</f>
        <v>0</v>
      </c>
      <c r="K25" s="94">
        <f>'Monthly Data'!AR25</f>
        <v>0</v>
      </c>
      <c r="M25" s="62">
        <f>'Res OLS Model'!$B$5</f>
        <v>-23168470.016197301</v>
      </c>
      <c r="N25" s="62">
        <f>'Res OLS Model'!$B$6*D25</f>
        <v>8545851.6624132078</v>
      </c>
      <c r="O25" s="62">
        <f>'Res OLS Model'!$B$7*E25</f>
        <v>0</v>
      </c>
      <c r="P25" s="62">
        <f>'Res OLS Model'!$B$8*F25</f>
        <v>-659657.69827358157</v>
      </c>
      <c r="Q25" s="62">
        <f>'Res OLS Model'!$B$9*G25</f>
        <v>36414991.96358306</v>
      </c>
      <c r="R25" s="62">
        <f>'Res OLS Model'!$B$10*H25</f>
        <v>0</v>
      </c>
      <c r="S25" s="62">
        <f>'Res OLS Model'!$B$11*I25</f>
        <v>0</v>
      </c>
      <c r="T25" s="62">
        <f>'Res OLS Model'!$B$12*J25</f>
        <v>0</v>
      </c>
      <c r="U25" s="62">
        <f>'Res OLS Model'!$B$13*K25</f>
        <v>0</v>
      </c>
      <c r="V25" s="62">
        <f t="shared" si="1"/>
        <v>21132715.911525384</v>
      </c>
      <c r="W25" s="13">
        <f t="shared" si="2"/>
        <v>5.353014762963495E-3</v>
      </c>
    </row>
    <row r="26" spans="1:23">
      <c r="A26" s="11">
        <f>'Monthly Data'!A26</f>
        <v>40544</v>
      </c>
      <c r="B26" s="6">
        <f t="shared" si="3"/>
        <v>2011</v>
      </c>
      <c r="C26" s="30">
        <f>'Monthly Data'!F26</f>
        <v>23022326.42784144</v>
      </c>
      <c r="D26">
        <f>'Monthly Data'!U26</f>
        <v>853.19999999999982</v>
      </c>
      <c r="E26">
        <f>'Monthly Data'!V26</f>
        <v>0</v>
      </c>
      <c r="F26">
        <f>'Monthly Data'!AA26</f>
        <v>25</v>
      </c>
      <c r="G26" s="30">
        <f>'Monthly Data'!AB26</f>
        <v>23342</v>
      </c>
      <c r="H26" s="30">
        <f>'Monthly Data'!AM26</f>
        <v>0</v>
      </c>
      <c r="I26" s="30">
        <f>'Monthly Data'!AO26</f>
        <v>0</v>
      </c>
      <c r="J26" s="30">
        <f>'Monthly Data'!AQ26</f>
        <v>0</v>
      </c>
      <c r="K26" s="94">
        <f>'Monthly Data'!AR26</f>
        <v>1</v>
      </c>
      <c r="M26" s="62">
        <f>'Res OLS Model'!$B$5</f>
        <v>-23168470.016197301</v>
      </c>
      <c r="N26" s="62">
        <f>'Res OLS Model'!$B$6*D26</f>
        <v>10219089.892601188</v>
      </c>
      <c r="O26" s="62">
        <f>'Res OLS Model'!$B$7*E26</f>
        <v>0</v>
      </c>
      <c r="P26" s="62">
        <f>'Res OLS Model'!$B$8*F26</f>
        <v>-687143.43570164742</v>
      </c>
      <c r="Q26" s="62">
        <f>'Res OLS Model'!$B$9*G26</f>
        <v>36422793.950120226</v>
      </c>
      <c r="R26" s="62">
        <f>'Res OLS Model'!$B$10*H26</f>
        <v>0</v>
      </c>
      <c r="S26" s="62">
        <f>'Res OLS Model'!$B$11*I26</f>
        <v>0</v>
      </c>
      <c r="T26" s="62">
        <f>'Res OLS Model'!$B$12*J26</f>
        <v>0</v>
      </c>
      <c r="U26" s="62">
        <f>'Res OLS Model'!$B$13*K26</f>
        <v>1122371.81652903</v>
      </c>
      <c r="V26" s="62">
        <f t="shared" si="1"/>
        <v>23908642.207351491</v>
      </c>
      <c r="W26" s="13">
        <f t="shared" si="2"/>
        <v>3.8498098021849281E-2</v>
      </c>
    </row>
    <row r="27" spans="1:23">
      <c r="A27" s="11">
        <f>'Monthly Data'!A27</f>
        <v>40575</v>
      </c>
      <c r="B27" s="6">
        <f t="shared" si="3"/>
        <v>2011</v>
      </c>
      <c r="C27" s="30">
        <f>'Monthly Data'!F27</f>
        <v>20206438.193256531</v>
      </c>
      <c r="D27">
        <f>'Monthly Data'!U27</f>
        <v>700.39999999999986</v>
      </c>
      <c r="E27">
        <f>'Monthly Data'!V27</f>
        <v>0</v>
      </c>
      <c r="F27">
        <f>'Monthly Data'!AA27</f>
        <v>26</v>
      </c>
      <c r="G27" s="30">
        <f>'Monthly Data'!AB27</f>
        <v>23363</v>
      </c>
      <c r="H27" s="30">
        <f>'Monthly Data'!AM27</f>
        <v>0</v>
      </c>
      <c r="I27" s="30">
        <f>'Monthly Data'!AO27</f>
        <v>0</v>
      </c>
      <c r="J27" s="30">
        <f>'Monthly Data'!AQ27</f>
        <v>0</v>
      </c>
      <c r="K27" s="94">
        <f>'Monthly Data'!AR27</f>
        <v>0</v>
      </c>
      <c r="M27" s="62">
        <f>'Res OLS Model'!$B$5</f>
        <v>-23168470.016197301</v>
      </c>
      <c r="N27" s="62">
        <f>'Res OLS Model'!$B$6*D27</f>
        <v>8388948.14905986</v>
      </c>
      <c r="O27" s="62">
        <f>'Res OLS Model'!$B$7*E27</f>
        <v>0</v>
      </c>
      <c r="P27" s="62">
        <f>'Res OLS Model'!$B$8*F27</f>
        <v>-714629.1731297134</v>
      </c>
      <c r="Q27" s="62">
        <f>'Res OLS Model'!$B$9*G27</f>
        <v>36455562.293576337</v>
      </c>
      <c r="R27" s="62">
        <f>'Res OLS Model'!$B$10*H27</f>
        <v>0</v>
      </c>
      <c r="S27" s="62">
        <f>'Res OLS Model'!$B$11*I27</f>
        <v>0</v>
      </c>
      <c r="T27" s="62">
        <f>'Res OLS Model'!$B$12*J27</f>
        <v>0</v>
      </c>
      <c r="U27" s="62">
        <f>'Res OLS Model'!$B$13*K27</f>
        <v>0</v>
      </c>
      <c r="V27" s="62">
        <f t="shared" si="1"/>
        <v>20961411.253309183</v>
      </c>
      <c r="W27" s="13">
        <f t="shared" si="2"/>
        <v>3.736299553795721E-2</v>
      </c>
    </row>
    <row r="28" spans="1:23">
      <c r="A28" s="11">
        <f>'Monthly Data'!A28</f>
        <v>40603</v>
      </c>
      <c r="B28" s="6">
        <f t="shared" si="3"/>
        <v>2011</v>
      </c>
      <c r="C28" s="30">
        <f>'Monthly Data'!F28</f>
        <v>19343947.481271625</v>
      </c>
      <c r="D28">
        <f>'Monthly Data'!U28</f>
        <v>595.70000000000016</v>
      </c>
      <c r="E28">
        <f>'Monthly Data'!V28</f>
        <v>0</v>
      </c>
      <c r="F28">
        <f>'Monthly Data'!AA28</f>
        <v>27</v>
      </c>
      <c r="G28" s="30">
        <f>'Monthly Data'!AB28</f>
        <v>23358</v>
      </c>
      <c r="H28" s="30">
        <f>'Monthly Data'!AM28</f>
        <v>0</v>
      </c>
      <c r="I28" s="30">
        <f>'Monthly Data'!AO28</f>
        <v>0</v>
      </c>
      <c r="J28" s="30">
        <f>'Monthly Data'!AQ28</f>
        <v>0</v>
      </c>
      <c r="K28" s="94">
        <f>'Monthly Data'!AR28</f>
        <v>0</v>
      </c>
      <c r="M28" s="62">
        <f>'Res OLS Model'!$B$5</f>
        <v>-23168470.016197301</v>
      </c>
      <c r="N28" s="62">
        <f>'Res OLS Model'!$B$6*D28</f>
        <v>7134917.7789762439</v>
      </c>
      <c r="O28" s="62">
        <f>'Res OLS Model'!$B$7*E28</f>
        <v>0</v>
      </c>
      <c r="P28" s="62">
        <f>'Res OLS Model'!$B$8*F28</f>
        <v>-742114.91055777925</v>
      </c>
      <c r="Q28" s="62">
        <f>'Res OLS Model'!$B$9*G28</f>
        <v>36447760.307039171</v>
      </c>
      <c r="R28" s="62">
        <f>'Res OLS Model'!$B$10*H28</f>
        <v>0</v>
      </c>
      <c r="S28" s="62">
        <f>'Res OLS Model'!$B$11*I28</f>
        <v>0</v>
      </c>
      <c r="T28" s="62">
        <f>'Res OLS Model'!$B$12*J28</f>
        <v>0</v>
      </c>
      <c r="U28" s="62">
        <f>'Res OLS Model'!$B$13*K28</f>
        <v>0</v>
      </c>
      <c r="V28" s="62">
        <f t="shared" si="1"/>
        <v>19672093.159260333</v>
      </c>
      <c r="W28" s="13">
        <f t="shared" si="2"/>
        <v>1.6963739087195687E-2</v>
      </c>
    </row>
    <row r="29" spans="1:23">
      <c r="A29" s="11">
        <f>'Monthly Data'!A29</f>
        <v>40634</v>
      </c>
      <c r="B29" s="6">
        <f t="shared" si="3"/>
        <v>2011</v>
      </c>
      <c r="C29" s="30">
        <f>'Monthly Data'!F29</f>
        <v>15358267.267086715</v>
      </c>
      <c r="D29">
        <f>'Monthly Data'!U29</f>
        <v>350.99999999999989</v>
      </c>
      <c r="E29">
        <f>'Monthly Data'!V29</f>
        <v>0</v>
      </c>
      <c r="F29">
        <f>'Monthly Data'!AA29</f>
        <v>28</v>
      </c>
      <c r="G29" s="30">
        <f>'Monthly Data'!AB29</f>
        <v>23357</v>
      </c>
      <c r="H29" s="30">
        <f>'Monthly Data'!AM29</f>
        <v>0</v>
      </c>
      <c r="I29" s="30">
        <f>'Monthly Data'!AO29</f>
        <v>1</v>
      </c>
      <c r="J29" s="30">
        <f>'Monthly Data'!AQ29</f>
        <v>0</v>
      </c>
      <c r="K29" s="94">
        <f>'Monthly Data'!AR29</f>
        <v>0</v>
      </c>
      <c r="M29" s="62">
        <f>'Res OLS Model'!$B$5</f>
        <v>-23168470.016197301</v>
      </c>
      <c r="N29" s="62">
        <f>'Res OLS Model'!$B$6*D29</f>
        <v>4204055.9684751723</v>
      </c>
      <c r="O29" s="62">
        <f>'Res OLS Model'!$B$7*E29</f>
        <v>0</v>
      </c>
      <c r="P29" s="62">
        <f>'Res OLS Model'!$B$8*F29</f>
        <v>-769600.64798584511</v>
      </c>
      <c r="Q29" s="62">
        <f>'Res OLS Model'!$B$9*G29</f>
        <v>36446199.909731738</v>
      </c>
      <c r="R29" s="62">
        <f>'Res OLS Model'!$B$10*H29</f>
        <v>0</v>
      </c>
      <c r="S29" s="62">
        <f>'Res OLS Model'!$B$11*I29</f>
        <v>-1218613.41007658</v>
      </c>
      <c r="T29" s="62">
        <f>'Res OLS Model'!$B$12*J29</f>
        <v>0</v>
      </c>
      <c r="U29" s="62">
        <f>'Res OLS Model'!$B$13*K29</f>
        <v>0</v>
      </c>
      <c r="V29" s="62">
        <f t="shared" si="1"/>
        <v>15493571.803947181</v>
      </c>
      <c r="W29" s="13">
        <f t="shared" si="2"/>
        <v>8.8098829449613884E-3</v>
      </c>
    </row>
    <row r="30" spans="1:23">
      <c r="A30" s="11">
        <f>'Monthly Data'!A30</f>
        <v>40664</v>
      </c>
      <c r="B30" s="6">
        <f t="shared" si="3"/>
        <v>2011</v>
      </c>
      <c r="C30" s="30">
        <f>'Monthly Data'!F30</f>
        <v>13075508.600401806</v>
      </c>
      <c r="D30">
        <f>'Monthly Data'!U30</f>
        <v>150</v>
      </c>
      <c r="E30">
        <f>'Monthly Data'!V30</f>
        <v>1.2999999999999998</v>
      </c>
      <c r="F30">
        <f>'Monthly Data'!AA30</f>
        <v>29</v>
      </c>
      <c r="G30" s="30">
        <f>'Monthly Data'!AB30</f>
        <v>23144</v>
      </c>
      <c r="H30" s="30">
        <f>'Monthly Data'!AM30</f>
        <v>0</v>
      </c>
      <c r="I30" s="30">
        <f>'Monthly Data'!AO30</f>
        <v>0</v>
      </c>
      <c r="J30" s="30">
        <f>'Monthly Data'!AQ30</f>
        <v>1</v>
      </c>
      <c r="K30" s="94">
        <f>'Monthly Data'!AR30</f>
        <v>0</v>
      </c>
      <c r="M30" s="62">
        <f>'Res OLS Model'!$B$5</f>
        <v>-23168470.016197301</v>
      </c>
      <c r="N30" s="62">
        <f>'Res OLS Model'!$B$6*D30</f>
        <v>1796605.11473298</v>
      </c>
      <c r="O30" s="62">
        <f>'Res OLS Model'!$B$7*E30</f>
        <v>43384.298447030058</v>
      </c>
      <c r="P30" s="62">
        <f>'Res OLS Model'!$B$8*F30</f>
        <v>-797086.38541391108</v>
      </c>
      <c r="Q30" s="62">
        <f>'Res OLS Model'!$B$9*G30</f>
        <v>36113835.283248335</v>
      </c>
      <c r="R30" s="62">
        <f>'Res OLS Model'!$B$10*H30</f>
        <v>0</v>
      </c>
      <c r="S30" s="62">
        <f>'Res OLS Model'!$B$11*I30</f>
        <v>0</v>
      </c>
      <c r="T30" s="62">
        <f>'Res OLS Model'!$B$12*J30</f>
        <v>-1511757.2538914999</v>
      </c>
      <c r="U30" s="62">
        <f>'Res OLS Model'!$B$13*K30</f>
        <v>0</v>
      </c>
      <c r="V30" s="62">
        <f t="shared" si="1"/>
        <v>12476511.040925635</v>
      </c>
      <c r="W30" s="13">
        <f t="shared" si="2"/>
        <v>4.5810650872713563E-2</v>
      </c>
    </row>
    <row r="31" spans="1:23">
      <c r="A31" s="11">
        <f>'Monthly Data'!A31</f>
        <v>40695</v>
      </c>
      <c r="B31" s="6">
        <f t="shared" si="3"/>
        <v>2011</v>
      </c>
      <c r="C31" s="30">
        <f>'Monthly Data'!F31</f>
        <v>12318121.995516896</v>
      </c>
      <c r="D31">
        <f>'Monthly Data'!U31</f>
        <v>25.199999999999996</v>
      </c>
      <c r="E31">
        <f>'Monthly Data'!V31</f>
        <v>24.900000000000002</v>
      </c>
      <c r="F31">
        <f>'Monthly Data'!AA31</f>
        <v>30</v>
      </c>
      <c r="G31" s="30">
        <f>'Monthly Data'!AB31</f>
        <v>23078</v>
      </c>
      <c r="H31" s="30">
        <f>'Monthly Data'!AM31</f>
        <v>0</v>
      </c>
      <c r="I31" s="30">
        <f>'Monthly Data'!AO31</f>
        <v>0</v>
      </c>
      <c r="J31" s="30">
        <f>'Monthly Data'!AQ31</f>
        <v>1</v>
      </c>
      <c r="K31" s="94">
        <f>'Monthly Data'!AR31</f>
        <v>0</v>
      </c>
      <c r="M31" s="62">
        <f>'Res OLS Model'!$B$5</f>
        <v>-23168470.016197301</v>
      </c>
      <c r="N31" s="62">
        <f>'Res OLS Model'!$B$6*D31</f>
        <v>301829.65927514061</v>
      </c>
      <c r="O31" s="62">
        <f>'Res OLS Model'!$B$7*E31</f>
        <v>830976.17794696044</v>
      </c>
      <c r="P31" s="62">
        <f>'Res OLS Model'!$B$8*F31</f>
        <v>-824572.12284197693</v>
      </c>
      <c r="Q31" s="62">
        <f>'Res OLS Model'!$B$9*G31</f>
        <v>36010849.0609577</v>
      </c>
      <c r="R31" s="62">
        <f>'Res OLS Model'!$B$10*H31</f>
        <v>0</v>
      </c>
      <c r="S31" s="62">
        <f>'Res OLS Model'!$B$11*I31</f>
        <v>0</v>
      </c>
      <c r="T31" s="62">
        <f>'Res OLS Model'!$B$12*J31</f>
        <v>-1511757.2538914999</v>
      </c>
      <c r="U31" s="62">
        <f>'Res OLS Model'!$B$13*K31</f>
        <v>0</v>
      </c>
      <c r="V31" s="62">
        <f t="shared" si="1"/>
        <v>11638855.505249022</v>
      </c>
      <c r="W31" s="13">
        <f t="shared" si="2"/>
        <v>5.5143672916625558E-2</v>
      </c>
    </row>
    <row r="32" spans="1:23">
      <c r="A32" s="11">
        <f>'Monthly Data'!A32</f>
        <v>40725</v>
      </c>
      <c r="B32" s="6">
        <f t="shared" si="3"/>
        <v>2011</v>
      </c>
      <c r="C32" s="30">
        <f>'Monthly Data'!F32</f>
        <v>14280540.223931987</v>
      </c>
      <c r="D32">
        <f>'Monthly Data'!U32</f>
        <v>0</v>
      </c>
      <c r="E32">
        <f>'Monthly Data'!V32</f>
        <v>118.30000000000003</v>
      </c>
      <c r="F32">
        <f>'Monthly Data'!AA32</f>
        <v>31</v>
      </c>
      <c r="G32" s="30">
        <f>'Monthly Data'!AB32</f>
        <v>23049</v>
      </c>
      <c r="H32" s="30">
        <f>'Monthly Data'!AM32</f>
        <v>0</v>
      </c>
      <c r="I32" s="30">
        <f>'Monthly Data'!AO32</f>
        <v>0</v>
      </c>
      <c r="J32" s="30">
        <f>'Monthly Data'!AQ32</f>
        <v>1</v>
      </c>
      <c r="K32" s="94">
        <f>'Monthly Data'!AR32</f>
        <v>0</v>
      </c>
      <c r="M32" s="62">
        <f>'Res OLS Model'!$B$5</f>
        <v>-23168470.016197301</v>
      </c>
      <c r="N32" s="62">
        <f>'Res OLS Model'!$B$6*D32</f>
        <v>0</v>
      </c>
      <c r="O32" s="62">
        <f>'Res OLS Model'!$B$7*E32</f>
        <v>3947971.1586797363</v>
      </c>
      <c r="P32" s="62">
        <f>'Res OLS Model'!$B$8*F32</f>
        <v>-852057.8602700429</v>
      </c>
      <c r="Q32" s="62">
        <f>'Res OLS Model'!$B$9*G32</f>
        <v>35965597.539042115</v>
      </c>
      <c r="R32" s="62">
        <f>'Res OLS Model'!$B$10*H32</f>
        <v>0</v>
      </c>
      <c r="S32" s="62">
        <f>'Res OLS Model'!$B$11*I32</f>
        <v>0</v>
      </c>
      <c r="T32" s="62">
        <f>'Res OLS Model'!$B$12*J32</f>
        <v>-1511757.2538914999</v>
      </c>
      <c r="U32" s="62">
        <f>'Res OLS Model'!$B$13*K32</f>
        <v>0</v>
      </c>
      <c r="V32" s="62">
        <f t="shared" si="1"/>
        <v>14381283.567363007</v>
      </c>
      <c r="W32" s="13">
        <f t="shared" si="2"/>
        <v>7.054589101761698E-3</v>
      </c>
    </row>
    <row r="33" spans="1:23">
      <c r="A33" s="11">
        <f>'Monthly Data'!A33</f>
        <v>40756</v>
      </c>
      <c r="B33" s="6">
        <f t="shared" si="3"/>
        <v>2011</v>
      </c>
      <c r="C33" s="30">
        <f>'Monthly Data'!F33</f>
        <v>13744542.177247077</v>
      </c>
      <c r="D33">
        <f>'Monthly Data'!U33</f>
        <v>7</v>
      </c>
      <c r="E33">
        <f>'Monthly Data'!V33</f>
        <v>68.2</v>
      </c>
      <c r="F33">
        <f>'Monthly Data'!AA33</f>
        <v>32</v>
      </c>
      <c r="G33" s="30">
        <f>'Monthly Data'!AB33</f>
        <v>23068</v>
      </c>
      <c r="H33" s="30">
        <f>'Monthly Data'!AM33</f>
        <v>0</v>
      </c>
      <c r="I33" s="30">
        <f>'Monthly Data'!AO33</f>
        <v>0</v>
      </c>
      <c r="J33" s="30">
        <f>'Monthly Data'!AQ33</f>
        <v>1</v>
      </c>
      <c r="K33" s="94">
        <f>'Monthly Data'!AR33</f>
        <v>0</v>
      </c>
      <c r="M33" s="62">
        <f>'Res OLS Model'!$B$5</f>
        <v>-23168470.016197301</v>
      </c>
      <c r="N33" s="62">
        <f>'Res OLS Model'!$B$6*D33</f>
        <v>83841.572020872409</v>
      </c>
      <c r="O33" s="62">
        <f>'Res OLS Model'!$B$7*E33</f>
        <v>2276007.041605731</v>
      </c>
      <c r="P33" s="62">
        <f>'Res OLS Model'!$B$8*F33</f>
        <v>-879543.59769810876</v>
      </c>
      <c r="Q33" s="62">
        <f>'Res OLS Model'!$B$9*G33</f>
        <v>35995245.087883361</v>
      </c>
      <c r="R33" s="62">
        <f>'Res OLS Model'!$B$10*H33</f>
        <v>0</v>
      </c>
      <c r="S33" s="62">
        <f>'Res OLS Model'!$B$11*I33</f>
        <v>0</v>
      </c>
      <c r="T33" s="62">
        <f>'Res OLS Model'!$B$12*J33</f>
        <v>-1511757.2538914999</v>
      </c>
      <c r="U33" s="62">
        <f>'Res OLS Model'!$B$13*K33</f>
        <v>0</v>
      </c>
      <c r="V33" s="62">
        <f t="shared" si="1"/>
        <v>12795322.833723055</v>
      </c>
      <c r="W33" s="13">
        <f t="shared" si="2"/>
        <v>6.9061546851329397E-2</v>
      </c>
    </row>
    <row r="34" spans="1:23">
      <c r="A34" s="11">
        <f>'Monthly Data'!A34</f>
        <v>40787</v>
      </c>
      <c r="B34" s="6">
        <f t="shared" si="3"/>
        <v>2011</v>
      </c>
      <c r="C34" s="30">
        <f>'Monthly Data'!F34</f>
        <v>12475644.696762169</v>
      </c>
      <c r="D34">
        <f>'Monthly Data'!U34</f>
        <v>72.5</v>
      </c>
      <c r="E34">
        <f>'Monthly Data'!V34</f>
        <v>24.500000000000004</v>
      </c>
      <c r="F34">
        <f>'Monthly Data'!AA34</f>
        <v>33</v>
      </c>
      <c r="G34" s="30">
        <f>'Monthly Data'!AB34</f>
        <v>23151</v>
      </c>
      <c r="H34" s="30">
        <f>'Monthly Data'!AM34</f>
        <v>1</v>
      </c>
      <c r="I34" s="30">
        <f>'Monthly Data'!AO34</f>
        <v>0</v>
      </c>
      <c r="J34" s="30">
        <f>'Monthly Data'!AQ34</f>
        <v>0</v>
      </c>
      <c r="K34" s="94">
        <f>'Monthly Data'!AR34</f>
        <v>0</v>
      </c>
      <c r="M34" s="62">
        <f>'Res OLS Model'!$B$5</f>
        <v>-23168470.016197301</v>
      </c>
      <c r="N34" s="62">
        <f>'Res OLS Model'!$B$6*D34</f>
        <v>868359.13878760708</v>
      </c>
      <c r="O34" s="62">
        <f>'Res OLS Model'!$B$7*E34</f>
        <v>817627.16304018209</v>
      </c>
      <c r="P34" s="62">
        <f>'Res OLS Model'!$B$8*F34</f>
        <v>-907029.33512617461</v>
      </c>
      <c r="Q34" s="62">
        <f>'Res OLS Model'!$B$9*G34</f>
        <v>36124758.064400367</v>
      </c>
      <c r="R34" s="62">
        <f>'Res OLS Model'!$B$10*H34</f>
        <v>-1279656.8259476901</v>
      </c>
      <c r="S34" s="62">
        <f>'Res OLS Model'!$B$11*I34</f>
        <v>0</v>
      </c>
      <c r="T34" s="62">
        <f>'Res OLS Model'!$B$12*J34</f>
        <v>0</v>
      </c>
      <c r="U34" s="62">
        <f>'Res OLS Model'!$B$13*K34</f>
        <v>0</v>
      </c>
      <c r="V34" s="62">
        <f t="shared" ref="V34:V65" si="4">SUM(M34:U34)</f>
        <v>12455588.188956995</v>
      </c>
      <c r="W34" s="13">
        <f t="shared" ref="W34:W65" si="5">ABS(V34-C34)/C34</f>
        <v>1.607653014547579E-3</v>
      </c>
    </row>
    <row r="35" spans="1:23">
      <c r="A35" s="11">
        <f>'Monthly Data'!A35</f>
        <v>40817</v>
      </c>
      <c r="B35" s="6">
        <f t="shared" si="3"/>
        <v>2011</v>
      </c>
      <c r="C35" s="30">
        <f>'Monthly Data'!F35</f>
        <v>13769534.523777261</v>
      </c>
      <c r="D35">
        <f>'Monthly Data'!U35</f>
        <v>266.49999999999994</v>
      </c>
      <c r="E35">
        <f>'Monthly Data'!V35</f>
        <v>0.5</v>
      </c>
      <c r="F35">
        <f>'Monthly Data'!AA35</f>
        <v>34</v>
      </c>
      <c r="G35" s="30">
        <f>'Monthly Data'!AB35</f>
        <v>23189</v>
      </c>
      <c r="H35" s="30">
        <f>'Monthly Data'!AM35</f>
        <v>1</v>
      </c>
      <c r="I35" s="30">
        <f>'Monthly Data'!AO35</f>
        <v>0</v>
      </c>
      <c r="J35" s="30">
        <f>'Monthly Data'!AQ35</f>
        <v>0</v>
      </c>
      <c r="K35" s="94">
        <f>'Monthly Data'!AR35</f>
        <v>0</v>
      </c>
      <c r="M35" s="62">
        <f>'Res OLS Model'!$B$5</f>
        <v>-23168470.016197301</v>
      </c>
      <c r="N35" s="62">
        <f>'Res OLS Model'!$B$6*D35</f>
        <v>3191968.4205089272</v>
      </c>
      <c r="O35" s="62">
        <f>'Res OLS Model'!$B$7*E35</f>
        <v>16686.268633473101</v>
      </c>
      <c r="P35" s="62">
        <f>'Res OLS Model'!$B$8*F35</f>
        <v>-934515.07255424059</v>
      </c>
      <c r="Q35" s="62">
        <f>'Res OLS Model'!$B$9*G35</f>
        <v>36184053.162082851</v>
      </c>
      <c r="R35" s="62">
        <f>'Res OLS Model'!$B$10*H35</f>
        <v>-1279656.8259476901</v>
      </c>
      <c r="S35" s="62">
        <f>'Res OLS Model'!$B$11*I35</f>
        <v>0</v>
      </c>
      <c r="T35" s="62">
        <f>'Res OLS Model'!$B$12*J35</f>
        <v>0</v>
      </c>
      <c r="U35" s="62">
        <f>'Res OLS Model'!$B$13*K35</f>
        <v>0</v>
      </c>
      <c r="V35" s="62">
        <f t="shared" si="4"/>
        <v>14010065.936526019</v>
      </c>
      <c r="W35" s="13">
        <f t="shared" si="5"/>
        <v>1.7468376460613652E-2</v>
      </c>
    </row>
    <row r="36" spans="1:23">
      <c r="A36" s="11">
        <f>'Monthly Data'!A36</f>
        <v>40848</v>
      </c>
      <c r="B36" s="6">
        <f t="shared" si="3"/>
        <v>2011</v>
      </c>
      <c r="C36" s="30">
        <f>'Monthly Data'!F36</f>
        <v>15620490.438992351</v>
      </c>
      <c r="D36">
        <f>'Monthly Data'!U36</f>
        <v>394.7</v>
      </c>
      <c r="E36">
        <f>'Monthly Data'!V36</f>
        <v>0</v>
      </c>
      <c r="F36">
        <f>'Monthly Data'!AA36</f>
        <v>35</v>
      </c>
      <c r="G36" s="30">
        <f>'Monthly Data'!AB36</f>
        <v>23212</v>
      </c>
      <c r="H36" s="30">
        <f>'Monthly Data'!AM36</f>
        <v>1</v>
      </c>
      <c r="I36" s="30">
        <f>'Monthly Data'!AO36</f>
        <v>0</v>
      </c>
      <c r="J36" s="30">
        <f>'Monthly Data'!AQ36</f>
        <v>0</v>
      </c>
      <c r="K36" s="94">
        <f>'Monthly Data'!AR36</f>
        <v>0</v>
      </c>
      <c r="M36" s="62">
        <f>'Res OLS Model'!$B$5</f>
        <v>-23168470.016197301</v>
      </c>
      <c r="N36" s="62">
        <f>'Res OLS Model'!$B$6*D36</f>
        <v>4727466.9252340486</v>
      </c>
      <c r="O36" s="62">
        <f>'Res OLS Model'!$B$7*E36</f>
        <v>0</v>
      </c>
      <c r="P36" s="62">
        <f>'Res OLS Model'!$B$8*F36</f>
        <v>-962000.80998230644</v>
      </c>
      <c r="Q36" s="62">
        <f>'Res OLS Model'!$B$9*G36</f>
        <v>36219942.300153829</v>
      </c>
      <c r="R36" s="62">
        <f>'Res OLS Model'!$B$10*H36</f>
        <v>-1279656.8259476901</v>
      </c>
      <c r="S36" s="62">
        <f>'Res OLS Model'!$B$11*I36</f>
        <v>0</v>
      </c>
      <c r="T36" s="62">
        <f>'Res OLS Model'!$B$12*J36</f>
        <v>0</v>
      </c>
      <c r="U36" s="62">
        <f>'Res OLS Model'!$B$13*K36</f>
        <v>0</v>
      </c>
      <c r="V36" s="62">
        <f t="shared" si="4"/>
        <v>15537281.573260579</v>
      </c>
      <c r="W36" s="13">
        <f t="shared" si="5"/>
        <v>5.3269048149770949E-3</v>
      </c>
    </row>
    <row r="37" spans="1:23">
      <c r="A37" s="11">
        <f>'Monthly Data'!A37</f>
        <v>40878</v>
      </c>
      <c r="B37" s="6">
        <f t="shared" si="3"/>
        <v>2011</v>
      </c>
      <c r="C37" s="30">
        <f>'Monthly Data'!F37</f>
        <v>18996139.590307444</v>
      </c>
      <c r="D37">
        <f>'Monthly Data'!U37</f>
        <v>623.09999999999991</v>
      </c>
      <c r="E37">
        <f>'Monthly Data'!V37</f>
        <v>0</v>
      </c>
      <c r="F37">
        <f>'Monthly Data'!AA37</f>
        <v>36</v>
      </c>
      <c r="G37" s="30">
        <f>'Monthly Data'!AB37</f>
        <v>23234</v>
      </c>
      <c r="H37" s="30">
        <f>'Monthly Data'!AM37</f>
        <v>0</v>
      </c>
      <c r="I37" s="30">
        <f>'Monthly Data'!AO37</f>
        <v>0</v>
      </c>
      <c r="J37" s="30">
        <f>'Monthly Data'!AQ37</f>
        <v>0</v>
      </c>
      <c r="K37" s="94">
        <f>'Monthly Data'!AR37</f>
        <v>0</v>
      </c>
      <c r="M37" s="62">
        <f>'Res OLS Model'!$B$5</f>
        <v>-23168470.016197301</v>
      </c>
      <c r="N37" s="62">
        <f>'Res OLS Model'!$B$6*D37</f>
        <v>7463097.6466007987</v>
      </c>
      <c r="O37" s="62">
        <f>'Res OLS Model'!$B$7*E37</f>
        <v>0</v>
      </c>
      <c r="P37" s="62">
        <f>'Res OLS Model'!$B$8*F37</f>
        <v>-989486.54741037241</v>
      </c>
      <c r="Q37" s="62">
        <f>'Res OLS Model'!$B$9*G37</f>
        <v>36254271.040917374</v>
      </c>
      <c r="R37" s="62">
        <f>'Res OLS Model'!$B$10*H37</f>
        <v>0</v>
      </c>
      <c r="S37" s="62">
        <f>'Res OLS Model'!$B$11*I37</f>
        <v>0</v>
      </c>
      <c r="T37" s="62">
        <f>'Res OLS Model'!$B$12*J37</f>
        <v>0</v>
      </c>
      <c r="U37" s="62">
        <f>'Res OLS Model'!$B$13*K37</f>
        <v>0</v>
      </c>
      <c r="V37" s="62">
        <f t="shared" si="4"/>
        <v>19559412.123910498</v>
      </c>
      <c r="W37" s="13">
        <f t="shared" si="5"/>
        <v>2.9651947487817826E-2</v>
      </c>
    </row>
    <row r="38" spans="1:23">
      <c r="A38" s="11">
        <f>'Monthly Data'!A38</f>
        <v>40909</v>
      </c>
      <c r="B38" s="6">
        <f t="shared" si="3"/>
        <v>2012</v>
      </c>
      <c r="C38" s="30">
        <f>'Monthly Data'!F38</f>
        <v>20909423.816872794</v>
      </c>
      <c r="D38">
        <f>'Monthly Data'!U38</f>
        <v>712.69999999999993</v>
      </c>
      <c r="E38">
        <f>'Monthly Data'!V38</f>
        <v>0</v>
      </c>
      <c r="F38">
        <f>'Monthly Data'!AA38</f>
        <v>37</v>
      </c>
      <c r="G38" s="30">
        <f>'Monthly Data'!AB38</f>
        <v>23226</v>
      </c>
      <c r="H38" s="30">
        <f>'Monthly Data'!AM38</f>
        <v>0</v>
      </c>
      <c r="I38" s="30">
        <f>'Monthly Data'!AO38</f>
        <v>0</v>
      </c>
      <c r="J38" s="30">
        <f>'Monthly Data'!AQ38</f>
        <v>0</v>
      </c>
      <c r="K38" s="94">
        <f>'Monthly Data'!AR38</f>
        <v>1</v>
      </c>
      <c r="M38" s="62">
        <f>'Res OLS Model'!$B$5</f>
        <v>-23168470.016197301</v>
      </c>
      <c r="N38" s="62">
        <f>'Res OLS Model'!$B$6*D38</f>
        <v>8536269.7684679646</v>
      </c>
      <c r="O38" s="62">
        <f>'Res OLS Model'!$B$7*E38</f>
        <v>0</v>
      </c>
      <c r="P38" s="62">
        <f>'Res OLS Model'!$B$8*F38</f>
        <v>-1016972.2848384383</v>
      </c>
      <c r="Q38" s="62">
        <f>'Res OLS Model'!$B$9*G38</f>
        <v>36241787.862457901</v>
      </c>
      <c r="R38" s="62">
        <f>'Res OLS Model'!$B$10*H38</f>
        <v>0</v>
      </c>
      <c r="S38" s="62">
        <f>'Res OLS Model'!$B$11*I38</f>
        <v>0</v>
      </c>
      <c r="T38" s="62">
        <f>'Res OLS Model'!$B$12*J38</f>
        <v>0</v>
      </c>
      <c r="U38" s="62">
        <f>'Res OLS Model'!$B$13*K38</f>
        <v>1122371.81652903</v>
      </c>
      <c r="V38" s="62">
        <f t="shared" si="4"/>
        <v>21714987.146419153</v>
      </c>
      <c r="W38" s="13">
        <f t="shared" si="5"/>
        <v>3.8526328444130134E-2</v>
      </c>
    </row>
    <row r="39" spans="1:23">
      <c r="A39" s="11">
        <f>'Monthly Data'!A39</f>
        <v>40940</v>
      </c>
      <c r="B39" s="6">
        <f t="shared" si="3"/>
        <v>2012</v>
      </c>
      <c r="C39" s="30">
        <f>'Monthly Data'!F39</f>
        <v>18689053.260874771</v>
      </c>
      <c r="D39">
        <f>'Monthly Data'!U39</f>
        <v>604.40000000000009</v>
      </c>
      <c r="E39">
        <f>'Monthly Data'!V39</f>
        <v>0</v>
      </c>
      <c r="F39">
        <f>'Monthly Data'!AA39</f>
        <v>38</v>
      </c>
      <c r="G39" s="30">
        <f>'Monthly Data'!AB39</f>
        <v>23235</v>
      </c>
      <c r="H39" s="30">
        <f>'Monthly Data'!AM39</f>
        <v>0</v>
      </c>
      <c r="I39" s="30">
        <f>'Monthly Data'!AO39</f>
        <v>0</v>
      </c>
      <c r="J39" s="30">
        <f>'Monthly Data'!AQ39</f>
        <v>0</v>
      </c>
      <c r="K39" s="94">
        <f>'Monthly Data'!AR39</f>
        <v>0</v>
      </c>
      <c r="M39" s="62">
        <f>'Res OLS Model'!$B$5</f>
        <v>-23168470.016197301</v>
      </c>
      <c r="N39" s="62">
        <f>'Res OLS Model'!$B$6*D39</f>
        <v>7239120.8756307559</v>
      </c>
      <c r="O39" s="62">
        <f>'Res OLS Model'!$B$7*E39</f>
        <v>0</v>
      </c>
      <c r="P39" s="62">
        <f>'Res OLS Model'!$B$8*F39</f>
        <v>-1044458.0222665041</v>
      </c>
      <c r="Q39" s="62">
        <f>'Res OLS Model'!$B$9*G39</f>
        <v>36255831.438224807</v>
      </c>
      <c r="R39" s="62">
        <f>'Res OLS Model'!$B$10*H39</f>
        <v>0</v>
      </c>
      <c r="S39" s="62">
        <f>'Res OLS Model'!$B$11*I39</f>
        <v>0</v>
      </c>
      <c r="T39" s="62">
        <f>'Res OLS Model'!$B$12*J39</f>
        <v>0</v>
      </c>
      <c r="U39" s="62">
        <f>'Res OLS Model'!$B$13*K39</f>
        <v>0</v>
      </c>
      <c r="V39" s="62">
        <f t="shared" si="4"/>
        <v>19282024.275391757</v>
      </c>
      <c r="W39" s="13">
        <f t="shared" si="5"/>
        <v>3.1728253231444424E-2</v>
      </c>
    </row>
    <row r="40" spans="1:23">
      <c r="A40" s="11">
        <f>'Monthly Data'!A40</f>
        <v>40969</v>
      </c>
      <c r="B40" s="6">
        <f t="shared" si="3"/>
        <v>2012</v>
      </c>
      <c r="C40" s="30">
        <f>'Monthly Data'!F40</f>
        <v>16791457.429876745</v>
      </c>
      <c r="D40">
        <f>'Monthly Data'!U40</f>
        <v>412.19999999999993</v>
      </c>
      <c r="E40">
        <f>'Monthly Data'!V40</f>
        <v>0</v>
      </c>
      <c r="F40">
        <f>'Monthly Data'!AA40</f>
        <v>39</v>
      </c>
      <c r="G40" s="30">
        <f>'Monthly Data'!AB40</f>
        <v>23259</v>
      </c>
      <c r="H40" s="30">
        <f>'Monthly Data'!AM40</f>
        <v>0</v>
      </c>
      <c r="I40" s="30">
        <f>'Monthly Data'!AO40</f>
        <v>0</v>
      </c>
      <c r="J40" s="30">
        <f>'Monthly Data'!AQ40</f>
        <v>0</v>
      </c>
      <c r="K40" s="94">
        <f>'Monthly Data'!AR40</f>
        <v>0</v>
      </c>
      <c r="M40" s="62">
        <f>'Res OLS Model'!$B$5</f>
        <v>-23168470.016197301</v>
      </c>
      <c r="N40" s="62">
        <f>'Res OLS Model'!$B$6*D40</f>
        <v>4937070.8552862285</v>
      </c>
      <c r="O40" s="62">
        <f>'Res OLS Model'!$B$7*E40</f>
        <v>0</v>
      </c>
      <c r="P40" s="62">
        <f>'Res OLS Model'!$B$8*F40</f>
        <v>-1071943.75969457</v>
      </c>
      <c r="Q40" s="62">
        <f>'Res OLS Model'!$B$9*G40</f>
        <v>36293280.973603219</v>
      </c>
      <c r="R40" s="62">
        <f>'Res OLS Model'!$B$10*H40</f>
        <v>0</v>
      </c>
      <c r="S40" s="62">
        <f>'Res OLS Model'!$B$11*I40</f>
        <v>0</v>
      </c>
      <c r="T40" s="62">
        <f>'Res OLS Model'!$B$12*J40</f>
        <v>0</v>
      </c>
      <c r="U40" s="62">
        <f>'Res OLS Model'!$B$13*K40</f>
        <v>0</v>
      </c>
      <c r="V40" s="62">
        <f t="shared" si="4"/>
        <v>16989938.052997578</v>
      </c>
      <c r="W40" s="13">
        <f t="shared" si="5"/>
        <v>1.1820333282546404E-2</v>
      </c>
    </row>
    <row r="41" spans="1:23">
      <c r="A41" s="11">
        <f>'Monthly Data'!A41</f>
        <v>41000</v>
      </c>
      <c r="B41" s="6">
        <f t="shared" si="3"/>
        <v>2012</v>
      </c>
      <c r="C41" s="30">
        <f>'Monthly Data'!F41</f>
        <v>14517265.894378716</v>
      </c>
      <c r="D41">
        <f>'Monthly Data'!U41</f>
        <v>358.9</v>
      </c>
      <c r="E41">
        <f>'Monthly Data'!V41</f>
        <v>0.8</v>
      </c>
      <c r="F41">
        <f>'Monthly Data'!AA41</f>
        <v>40</v>
      </c>
      <c r="G41" s="30">
        <f>'Monthly Data'!AB41</f>
        <v>23160</v>
      </c>
      <c r="H41" s="30">
        <f>'Monthly Data'!AM41</f>
        <v>0</v>
      </c>
      <c r="I41" s="30">
        <f>'Monthly Data'!AO41</f>
        <v>1</v>
      </c>
      <c r="J41" s="30">
        <f>'Monthly Data'!AQ41</f>
        <v>0</v>
      </c>
      <c r="K41" s="94">
        <f>'Monthly Data'!AR41</f>
        <v>0</v>
      </c>
      <c r="M41" s="62">
        <f>'Res OLS Model'!$B$5</f>
        <v>-23168470.016197301</v>
      </c>
      <c r="N41" s="62">
        <f>'Res OLS Model'!$B$6*D41</f>
        <v>4298677.1711844439</v>
      </c>
      <c r="O41" s="62">
        <f>'Res OLS Model'!$B$7*E41</f>
        <v>26698.029813556961</v>
      </c>
      <c r="P41" s="62">
        <f>'Res OLS Model'!$B$8*F41</f>
        <v>-1099429.4971226361</v>
      </c>
      <c r="Q41" s="62">
        <f>'Res OLS Model'!$B$9*G41</f>
        <v>36138801.640167274</v>
      </c>
      <c r="R41" s="62">
        <f>'Res OLS Model'!$B$10*H41</f>
        <v>0</v>
      </c>
      <c r="S41" s="62">
        <f>'Res OLS Model'!$B$11*I41</f>
        <v>-1218613.41007658</v>
      </c>
      <c r="T41" s="62">
        <f>'Res OLS Model'!$B$12*J41</f>
        <v>0</v>
      </c>
      <c r="U41" s="62">
        <f>'Res OLS Model'!$B$13*K41</f>
        <v>0</v>
      </c>
      <c r="V41" s="62">
        <f t="shared" si="4"/>
        <v>14977663.917768754</v>
      </c>
      <c r="W41" s="13">
        <f t="shared" si="5"/>
        <v>3.1713824541046008E-2</v>
      </c>
    </row>
    <row r="42" spans="1:23">
      <c r="A42" s="11">
        <f>'Monthly Data'!A42</f>
        <v>41030</v>
      </c>
      <c r="B42" s="6">
        <f t="shared" si="3"/>
        <v>2012</v>
      </c>
      <c r="C42" s="30">
        <f>'Monthly Data'!F42</f>
        <v>11855286.068080692</v>
      </c>
      <c r="D42">
        <f>'Monthly Data'!U42</f>
        <v>94.000000000000014</v>
      </c>
      <c r="E42">
        <f>'Monthly Data'!V42</f>
        <v>20.100000000000001</v>
      </c>
      <c r="F42">
        <f>'Monthly Data'!AA42</f>
        <v>41</v>
      </c>
      <c r="G42" s="30">
        <f>'Monthly Data'!AB42</f>
        <v>22994</v>
      </c>
      <c r="H42" s="30">
        <f>'Monthly Data'!AM42</f>
        <v>0</v>
      </c>
      <c r="I42" s="30">
        <f>'Monthly Data'!AO42</f>
        <v>0</v>
      </c>
      <c r="J42" s="30">
        <f>'Monthly Data'!AQ42</f>
        <v>1</v>
      </c>
      <c r="K42" s="94">
        <f>'Monthly Data'!AR42</f>
        <v>0</v>
      </c>
      <c r="M42" s="62">
        <f>'Res OLS Model'!$B$5</f>
        <v>-23168470.016197301</v>
      </c>
      <c r="N42" s="62">
        <f>'Res OLS Model'!$B$6*D42</f>
        <v>1125872.538566001</v>
      </c>
      <c r="O42" s="62">
        <f>'Res OLS Model'!$B$7*E42</f>
        <v>670787.99906561873</v>
      </c>
      <c r="P42" s="62">
        <f>'Res OLS Model'!$B$8*F42</f>
        <v>-1126915.2345507019</v>
      </c>
      <c r="Q42" s="62">
        <f>'Res OLS Model'!$B$9*G42</f>
        <v>35879775.68713326</v>
      </c>
      <c r="R42" s="62">
        <f>'Res OLS Model'!$B$10*H42</f>
        <v>0</v>
      </c>
      <c r="S42" s="62">
        <f>'Res OLS Model'!$B$11*I42</f>
        <v>0</v>
      </c>
      <c r="T42" s="62">
        <f>'Res OLS Model'!$B$12*J42</f>
        <v>-1511757.2538914999</v>
      </c>
      <c r="U42" s="62">
        <f>'Res OLS Model'!$B$13*K42</f>
        <v>0</v>
      </c>
      <c r="V42" s="62">
        <f t="shared" si="4"/>
        <v>11869293.720125375</v>
      </c>
      <c r="W42" s="13">
        <f t="shared" si="5"/>
        <v>1.1815532720376996E-3</v>
      </c>
    </row>
    <row r="43" spans="1:23">
      <c r="A43" s="11">
        <f>'Monthly Data'!A43</f>
        <v>41061</v>
      </c>
      <c r="B43" s="6">
        <f t="shared" si="3"/>
        <v>2012</v>
      </c>
      <c r="C43" s="30">
        <f>'Monthly Data'!F43</f>
        <v>12561226.314682662</v>
      </c>
      <c r="D43">
        <f>'Monthly Data'!U43</f>
        <v>41.300000000000004</v>
      </c>
      <c r="E43">
        <f>'Monthly Data'!V43</f>
        <v>51.8</v>
      </c>
      <c r="F43">
        <f>'Monthly Data'!AA43</f>
        <v>42</v>
      </c>
      <c r="G43" s="30">
        <f>'Monthly Data'!AB43</f>
        <v>23023</v>
      </c>
      <c r="H43" s="30">
        <f>'Monthly Data'!AM43</f>
        <v>0</v>
      </c>
      <c r="I43" s="30">
        <f>'Monthly Data'!AO43</f>
        <v>0</v>
      </c>
      <c r="J43" s="30">
        <f>'Monthly Data'!AQ43</f>
        <v>1</v>
      </c>
      <c r="K43" s="94">
        <f>'Monthly Data'!AR43</f>
        <v>0</v>
      </c>
      <c r="M43" s="62">
        <f>'Res OLS Model'!$B$5</f>
        <v>-23168470.016197301</v>
      </c>
      <c r="N43" s="62">
        <f>'Res OLS Model'!$B$6*D43</f>
        <v>494665.27492314723</v>
      </c>
      <c r="O43" s="62">
        <f>'Res OLS Model'!$B$7*E43</f>
        <v>1728697.4304278132</v>
      </c>
      <c r="P43" s="62">
        <f>'Res OLS Model'!$B$8*F43</f>
        <v>-1154400.9719787678</v>
      </c>
      <c r="Q43" s="62">
        <f>'Res OLS Model'!$B$9*G43</f>
        <v>35925027.209048837</v>
      </c>
      <c r="R43" s="62">
        <f>'Res OLS Model'!$B$10*H43</f>
        <v>0</v>
      </c>
      <c r="S43" s="62">
        <f>'Res OLS Model'!$B$11*I43</f>
        <v>0</v>
      </c>
      <c r="T43" s="62">
        <f>'Res OLS Model'!$B$12*J43</f>
        <v>-1511757.2538914999</v>
      </c>
      <c r="U43" s="62">
        <f>'Res OLS Model'!$B$13*K43</f>
        <v>0</v>
      </c>
      <c r="V43" s="62">
        <f t="shared" si="4"/>
        <v>12313761.672332225</v>
      </c>
      <c r="W43" s="13">
        <f t="shared" si="5"/>
        <v>1.9700675407876279E-2</v>
      </c>
    </row>
    <row r="44" spans="1:23">
      <c r="A44" s="11">
        <f>'Monthly Data'!A44</f>
        <v>41091</v>
      </c>
      <c r="B44" s="6">
        <f t="shared" si="3"/>
        <v>2012</v>
      </c>
      <c r="C44" s="30">
        <f>'Monthly Data'!F44</f>
        <v>14574665.599084636</v>
      </c>
      <c r="D44">
        <f>'Monthly Data'!U44</f>
        <v>0.2</v>
      </c>
      <c r="E44">
        <f>'Monthly Data'!V44</f>
        <v>120.69999999999996</v>
      </c>
      <c r="F44">
        <f>'Monthly Data'!AA44</f>
        <v>43</v>
      </c>
      <c r="G44" s="30">
        <f>'Monthly Data'!AB44</f>
        <v>23070</v>
      </c>
      <c r="H44" s="30">
        <f>'Monthly Data'!AM44</f>
        <v>0</v>
      </c>
      <c r="I44" s="30">
        <f>'Monthly Data'!AO44</f>
        <v>0</v>
      </c>
      <c r="J44" s="30">
        <f>'Monthly Data'!AQ44</f>
        <v>1</v>
      </c>
      <c r="K44" s="94">
        <f>'Monthly Data'!AR44</f>
        <v>0</v>
      </c>
      <c r="M44" s="62">
        <f>'Res OLS Model'!$B$5</f>
        <v>-23168470.016197301</v>
      </c>
      <c r="N44" s="62">
        <f>'Res OLS Model'!$B$6*D44</f>
        <v>2395.4734863106401</v>
      </c>
      <c r="O44" s="62">
        <f>'Res OLS Model'!$B$7*E44</f>
        <v>4028065.2481204052</v>
      </c>
      <c r="P44" s="62">
        <f>'Res OLS Model'!$B$8*F44</f>
        <v>-1181886.7094068336</v>
      </c>
      <c r="Q44" s="62">
        <f>'Res OLS Model'!$B$9*G44</f>
        <v>35998365.882498227</v>
      </c>
      <c r="R44" s="62">
        <f>'Res OLS Model'!$B$10*H44</f>
        <v>0</v>
      </c>
      <c r="S44" s="62">
        <f>'Res OLS Model'!$B$11*I44</f>
        <v>0</v>
      </c>
      <c r="T44" s="62">
        <f>'Res OLS Model'!$B$12*J44</f>
        <v>-1511757.2538914999</v>
      </c>
      <c r="U44" s="62">
        <f>'Res OLS Model'!$B$13*K44</f>
        <v>0</v>
      </c>
      <c r="V44" s="62">
        <f t="shared" si="4"/>
        <v>14166712.624609308</v>
      </c>
      <c r="W44" s="13">
        <f t="shared" si="5"/>
        <v>2.7990554685587393E-2</v>
      </c>
    </row>
    <row r="45" spans="1:23">
      <c r="A45" s="11">
        <f>'Monthly Data'!A45</f>
        <v>41122</v>
      </c>
      <c r="B45" s="6">
        <f t="shared" si="3"/>
        <v>2012</v>
      </c>
      <c r="C45" s="30">
        <f>'Monthly Data'!F45</f>
        <v>13992873.412486609</v>
      </c>
      <c r="D45">
        <f>'Monthly Data'!U45</f>
        <v>7.3000000000000007</v>
      </c>
      <c r="E45">
        <f>'Monthly Data'!V45</f>
        <v>87.199999999999974</v>
      </c>
      <c r="F45">
        <f>'Monthly Data'!AA45</f>
        <v>44</v>
      </c>
      <c r="G45" s="30">
        <f>'Monthly Data'!AB45</f>
        <v>23160</v>
      </c>
      <c r="H45" s="30">
        <f>'Monthly Data'!AM45</f>
        <v>0</v>
      </c>
      <c r="I45" s="30">
        <f>'Monthly Data'!AO45</f>
        <v>0</v>
      </c>
      <c r="J45" s="30">
        <f>'Monthly Data'!AQ45</f>
        <v>1</v>
      </c>
      <c r="K45" s="94">
        <f>'Monthly Data'!AR45</f>
        <v>0</v>
      </c>
      <c r="M45" s="62">
        <f>'Res OLS Model'!$B$5</f>
        <v>-23168470.016197301</v>
      </c>
      <c r="N45" s="62">
        <f>'Res OLS Model'!$B$6*D45</f>
        <v>87434.78225033838</v>
      </c>
      <c r="O45" s="62">
        <f>'Res OLS Model'!$B$7*E45</f>
        <v>2910085.2496777079</v>
      </c>
      <c r="P45" s="62">
        <f>'Res OLS Model'!$B$8*F45</f>
        <v>-1209372.4468348995</v>
      </c>
      <c r="Q45" s="62">
        <f>'Res OLS Model'!$B$9*G45</f>
        <v>36138801.640167274</v>
      </c>
      <c r="R45" s="62">
        <f>'Res OLS Model'!$B$10*H45</f>
        <v>0</v>
      </c>
      <c r="S45" s="62">
        <f>'Res OLS Model'!$B$11*I45</f>
        <v>0</v>
      </c>
      <c r="T45" s="62">
        <f>'Res OLS Model'!$B$12*J45</f>
        <v>-1511757.2538914999</v>
      </c>
      <c r="U45" s="62">
        <f>'Res OLS Model'!$B$13*K45</f>
        <v>0</v>
      </c>
      <c r="V45" s="62">
        <f t="shared" si="4"/>
        <v>13246721.955171617</v>
      </c>
      <c r="W45" s="13">
        <f t="shared" si="5"/>
        <v>5.3323676654514748E-2</v>
      </c>
    </row>
    <row r="46" spans="1:23">
      <c r="A46" s="11">
        <f>'Monthly Data'!A46</f>
        <v>41153</v>
      </c>
      <c r="B46" s="6">
        <f t="shared" si="3"/>
        <v>2012</v>
      </c>
      <c r="C46" s="30">
        <f>'Monthly Data'!F46</f>
        <v>12679818.294088582</v>
      </c>
      <c r="D46">
        <f>'Monthly Data'!U46</f>
        <v>106.30000000000003</v>
      </c>
      <c r="E46">
        <f>'Monthly Data'!V46</f>
        <v>20.200000000000003</v>
      </c>
      <c r="F46">
        <f>'Monthly Data'!AA46</f>
        <v>45</v>
      </c>
      <c r="G46" s="30">
        <f>'Monthly Data'!AB46</f>
        <v>23229</v>
      </c>
      <c r="H46" s="30">
        <f>'Monthly Data'!AM46</f>
        <v>1</v>
      </c>
      <c r="I46" s="30">
        <f>'Monthly Data'!AO46</f>
        <v>0</v>
      </c>
      <c r="J46" s="30">
        <f>'Monthly Data'!AQ46</f>
        <v>0</v>
      </c>
      <c r="K46" s="94">
        <f>'Monthly Data'!AR46</f>
        <v>0</v>
      </c>
      <c r="M46" s="62">
        <f>'Res OLS Model'!$B$5</f>
        <v>-23168470.016197301</v>
      </c>
      <c r="N46" s="62">
        <f>'Res OLS Model'!$B$6*D46</f>
        <v>1273194.1579741056</v>
      </c>
      <c r="O46" s="62">
        <f>'Res OLS Model'!$B$7*E46</f>
        <v>674125.25279231335</v>
      </c>
      <c r="P46" s="62">
        <f>'Res OLS Model'!$B$8*F46</f>
        <v>-1236858.1842629653</v>
      </c>
      <c r="Q46" s="62">
        <f>'Res OLS Model'!$B$9*G46</f>
        <v>36246469.054380208</v>
      </c>
      <c r="R46" s="62">
        <f>'Res OLS Model'!$B$10*H46</f>
        <v>-1279656.8259476901</v>
      </c>
      <c r="S46" s="62">
        <f>'Res OLS Model'!$B$11*I46</f>
        <v>0</v>
      </c>
      <c r="T46" s="62">
        <f>'Res OLS Model'!$B$12*J46</f>
        <v>0</v>
      </c>
      <c r="U46" s="62">
        <f>'Res OLS Model'!$B$13*K46</f>
        <v>0</v>
      </c>
      <c r="V46" s="62">
        <f t="shared" si="4"/>
        <v>12508803.43873867</v>
      </c>
      <c r="W46" s="13">
        <f t="shared" si="5"/>
        <v>1.3487169246710709E-2</v>
      </c>
    </row>
    <row r="47" spans="1:23">
      <c r="A47" s="11">
        <f>'Monthly Data'!A47</f>
        <v>41183</v>
      </c>
      <c r="B47" s="6">
        <f t="shared" si="3"/>
        <v>2012</v>
      </c>
      <c r="C47" s="30">
        <f>'Monthly Data'!F47</f>
        <v>13241344.397090556</v>
      </c>
      <c r="D47">
        <f>'Monthly Data'!U47</f>
        <v>259.09999999999991</v>
      </c>
      <c r="E47">
        <f>'Monthly Data'!V47</f>
        <v>0</v>
      </c>
      <c r="F47">
        <f>'Monthly Data'!AA47</f>
        <v>46</v>
      </c>
      <c r="G47" s="30">
        <f>'Monthly Data'!AB47</f>
        <v>23301</v>
      </c>
      <c r="H47" s="30">
        <f>'Monthly Data'!AM47</f>
        <v>1</v>
      </c>
      <c r="I47" s="30">
        <f>'Monthly Data'!AO47</f>
        <v>0</v>
      </c>
      <c r="J47" s="30">
        <f>'Monthly Data'!AQ47</f>
        <v>0</v>
      </c>
      <c r="K47" s="94">
        <f>'Monthly Data'!AR47</f>
        <v>0</v>
      </c>
      <c r="M47" s="62">
        <f>'Res OLS Model'!$B$5</f>
        <v>-23168470.016197301</v>
      </c>
      <c r="N47" s="62">
        <f>'Res OLS Model'!$B$6*D47</f>
        <v>3103335.9015154331</v>
      </c>
      <c r="O47" s="62">
        <f>'Res OLS Model'!$B$7*E47</f>
        <v>0</v>
      </c>
      <c r="P47" s="62">
        <f>'Res OLS Model'!$B$8*F47</f>
        <v>-1264343.9216910314</v>
      </c>
      <c r="Q47" s="62">
        <f>'Res OLS Model'!$B$9*G47</f>
        <v>36358817.660515442</v>
      </c>
      <c r="R47" s="62">
        <f>'Res OLS Model'!$B$10*H47</f>
        <v>-1279656.8259476901</v>
      </c>
      <c r="S47" s="62">
        <f>'Res OLS Model'!$B$11*I47</f>
        <v>0</v>
      </c>
      <c r="T47" s="62">
        <f>'Res OLS Model'!$B$12*J47</f>
        <v>0</v>
      </c>
      <c r="U47" s="62">
        <f>'Res OLS Model'!$B$13*K47</f>
        <v>0</v>
      </c>
      <c r="V47" s="62">
        <f t="shared" si="4"/>
        <v>13749682.798194852</v>
      </c>
      <c r="W47" s="13">
        <f t="shared" si="5"/>
        <v>3.8390240889436412E-2</v>
      </c>
    </row>
    <row r="48" spans="1:23">
      <c r="A48" s="11">
        <f>'Monthly Data'!A48</f>
        <v>41214</v>
      </c>
      <c r="B48" s="6">
        <f t="shared" si="3"/>
        <v>2012</v>
      </c>
      <c r="C48" s="30">
        <f>'Monthly Data'!F48</f>
        <v>16985573.910692532</v>
      </c>
      <c r="D48">
        <f>'Monthly Data'!U48</f>
        <v>498.9</v>
      </c>
      <c r="E48">
        <f>'Monthly Data'!V48</f>
        <v>0</v>
      </c>
      <c r="F48">
        <f>'Monthly Data'!AA48</f>
        <v>47</v>
      </c>
      <c r="G48" s="30">
        <f>'Monthly Data'!AB48</f>
        <v>23329</v>
      </c>
      <c r="H48" s="30">
        <f>'Monthly Data'!AM48</f>
        <v>1</v>
      </c>
      <c r="I48" s="30">
        <f>'Monthly Data'!AO48</f>
        <v>0</v>
      </c>
      <c r="J48" s="30">
        <f>'Monthly Data'!AQ48</f>
        <v>0</v>
      </c>
      <c r="K48" s="94">
        <f>'Monthly Data'!AR48</f>
        <v>0</v>
      </c>
      <c r="M48" s="62">
        <f>'Res OLS Model'!$B$5</f>
        <v>-23168470.016197301</v>
      </c>
      <c r="N48" s="62">
        <f>'Res OLS Model'!$B$6*D48</f>
        <v>5975508.6116018919</v>
      </c>
      <c r="O48" s="62">
        <f>'Res OLS Model'!$B$7*E48</f>
        <v>0</v>
      </c>
      <c r="P48" s="62">
        <f>'Res OLS Model'!$B$8*F48</f>
        <v>-1291829.6591190973</v>
      </c>
      <c r="Q48" s="62">
        <f>'Res OLS Model'!$B$9*G48</f>
        <v>36402508.785123587</v>
      </c>
      <c r="R48" s="62">
        <f>'Res OLS Model'!$B$10*H48</f>
        <v>-1279656.8259476901</v>
      </c>
      <c r="S48" s="62">
        <f>'Res OLS Model'!$B$11*I48</f>
        <v>0</v>
      </c>
      <c r="T48" s="62">
        <f>'Res OLS Model'!$B$12*J48</f>
        <v>0</v>
      </c>
      <c r="U48" s="62">
        <f>'Res OLS Model'!$B$13*K48</f>
        <v>0</v>
      </c>
      <c r="V48" s="62">
        <f t="shared" si="4"/>
        <v>16638060.895461392</v>
      </c>
      <c r="W48" s="13">
        <f t="shared" si="5"/>
        <v>2.0459303704326304E-2</v>
      </c>
    </row>
    <row r="49" spans="1:23">
      <c r="A49" s="11">
        <f>'Monthly Data'!A49</f>
        <v>41244</v>
      </c>
      <c r="B49" s="6">
        <f t="shared" si="3"/>
        <v>2012</v>
      </c>
      <c r="C49" s="30">
        <f>'Monthly Data'!F49</f>
        <v>19688726.2089945</v>
      </c>
      <c r="D49">
        <f>'Monthly Data'!U49</f>
        <v>648.19999999999993</v>
      </c>
      <c r="E49">
        <f>'Monthly Data'!V49</f>
        <v>0</v>
      </c>
      <c r="F49">
        <f>'Monthly Data'!AA49</f>
        <v>48</v>
      </c>
      <c r="G49" s="30">
        <f>'Monthly Data'!AB49</f>
        <v>23324</v>
      </c>
      <c r="H49" s="30">
        <f>'Monthly Data'!AM49</f>
        <v>0</v>
      </c>
      <c r="I49" s="30">
        <f>'Monthly Data'!AO49</f>
        <v>0</v>
      </c>
      <c r="J49" s="30">
        <f>'Monthly Data'!AQ49</f>
        <v>0</v>
      </c>
      <c r="K49" s="94">
        <f>'Monthly Data'!AR49</f>
        <v>0</v>
      </c>
      <c r="M49" s="62">
        <f>'Res OLS Model'!$B$5</f>
        <v>-23168470.016197301</v>
      </c>
      <c r="N49" s="62">
        <f>'Res OLS Model'!$B$6*D49</f>
        <v>7763729.5691327835</v>
      </c>
      <c r="O49" s="62">
        <f>'Res OLS Model'!$B$7*E49</f>
        <v>0</v>
      </c>
      <c r="P49" s="62">
        <f>'Res OLS Model'!$B$8*F49</f>
        <v>-1319315.3965471631</v>
      </c>
      <c r="Q49" s="62">
        <f>'Res OLS Model'!$B$9*G49</f>
        <v>36394706.798586421</v>
      </c>
      <c r="R49" s="62">
        <f>'Res OLS Model'!$B$10*H49</f>
        <v>0</v>
      </c>
      <c r="S49" s="62">
        <f>'Res OLS Model'!$B$11*I49</f>
        <v>0</v>
      </c>
      <c r="T49" s="62">
        <f>'Res OLS Model'!$B$12*J49</f>
        <v>0</v>
      </c>
      <c r="U49" s="62">
        <f>'Res OLS Model'!$B$13*K49</f>
        <v>0</v>
      </c>
      <c r="V49" s="62">
        <f t="shared" si="4"/>
        <v>19670650.954974741</v>
      </c>
      <c r="W49" s="13">
        <f t="shared" si="5"/>
        <v>9.1805096113847047E-4</v>
      </c>
    </row>
    <row r="50" spans="1:23">
      <c r="A50" s="11">
        <f>'Monthly Data'!A50</f>
        <v>41275</v>
      </c>
      <c r="B50" s="6">
        <f t="shared" si="3"/>
        <v>2013</v>
      </c>
      <c r="C50" s="30">
        <f>'Monthly Data'!F50</f>
        <v>22042229.190884668</v>
      </c>
      <c r="D50">
        <f>'Monthly Data'!U50</f>
        <v>743.9</v>
      </c>
      <c r="E50">
        <f>'Monthly Data'!V50</f>
        <v>0</v>
      </c>
      <c r="F50">
        <f>'Monthly Data'!AA50</f>
        <v>49</v>
      </c>
      <c r="G50" s="30">
        <f>'Monthly Data'!AB50</f>
        <v>23359</v>
      </c>
      <c r="H50" s="30">
        <f>'Monthly Data'!AM50</f>
        <v>0</v>
      </c>
      <c r="I50" s="30">
        <f>'Monthly Data'!AO50</f>
        <v>0</v>
      </c>
      <c r="J50" s="30">
        <f>'Monthly Data'!AQ50</f>
        <v>0</v>
      </c>
      <c r="K50" s="94">
        <f>'Monthly Data'!AR50</f>
        <v>1</v>
      </c>
      <c r="M50" s="62">
        <f>'Res OLS Model'!$B$5</f>
        <v>-23168470.016197301</v>
      </c>
      <c r="N50" s="62">
        <f>'Res OLS Model'!$B$6*D50</f>
        <v>8909963.6323324256</v>
      </c>
      <c r="O50" s="62">
        <f>'Res OLS Model'!$B$7*E50</f>
        <v>0</v>
      </c>
      <c r="P50" s="62">
        <f>'Res OLS Model'!$B$8*F50</f>
        <v>-1346801.133975229</v>
      </c>
      <c r="Q50" s="62">
        <f>'Res OLS Model'!$B$9*G50</f>
        <v>36449320.704346605</v>
      </c>
      <c r="R50" s="62">
        <f>'Res OLS Model'!$B$10*H50</f>
        <v>0</v>
      </c>
      <c r="S50" s="62">
        <f>'Res OLS Model'!$B$11*I50</f>
        <v>0</v>
      </c>
      <c r="T50" s="62">
        <f>'Res OLS Model'!$B$12*J50</f>
        <v>0</v>
      </c>
      <c r="U50" s="62">
        <f>'Res OLS Model'!$B$13*K50</f>
        <v>1122371.81652903</v>
      </c>
      <c r="V50" s="62">
        <f t="shared" si="4"/>
        <v>21966385.00303553</v>
      </c>
      <c r="W50" s="13">
        <f t="shared" si="5"/>
        <v>3.4408583266388728E-3</v>
      </c>
    </row>
    <row r="51" spans="1:23">
      <c r="A51" s="11">
        <f>'Monthly Data'!A51</f>
        <v>41306</v>
      </c>
      <c r="B51" s="6">
        <f t="shared" si="3"/>
        <v>2013</v>
      </c>
      <c r="C51" s="30">
        <f>'Monthly Data'!F51</f>
        <v>19773607.005250089</v>
      </c>
      <c r="D51">
        <f>'Monthly Data'!U51</f>
        <v>693.5</v>
      </c>
      <c r="E51">
        <f>'Monthly Data'!V51</f>
        <v>0</v>
      </c>
      <c r="F51">
        <f>'Monthly Data'!AA51</f>
        <v>50</v>
      </c>
      <c r="G51" s="30">
        <f>'Monthly Data'!AB51</f>
        <v>23474</v>
      </c>
      <c r="H51" s="30">
        <f>'Monthly Data'!AM51</f>
        <v>0</v>
      </c>
      <c r="I51" s="30">
        <f>'Monthly Data'!AO51</f>
        <v>0</v>
      </c>
      <c r="J51" s="30">
        <f>'Monthly Data'!AQ51</f>
        <v>0</v>
      </c>
      <c r="K51" s="94">
        <f>'Monthly Data'!AR51</f>
        <v>0</v>
      </c>
      <c r="M51" s="62">
        <f>'Res OLS Model'!$B$5</f>
        <v>-23168470.016197301</v>
      </c>
      <c r="N51" s="62">
        <f>'Res OLS Model'!$B$6*D51</f>
        <v>8306304.3137821443</v>
      </c>
      <c r="O51" s="62">
        <f>'Res OLS Model'!$B$7*E51</f>
        <v>0</v>
      </c>
      <c r="P51" s="62">
        <f>'Res OLS Model'!$B$8*F51</f>
        <v>-1374286.8714032948</v>
      </c>
      <c r="Q51" s="62">
        <f>'Res OLS Model'!$B$9*G51</f>
        <v>36628766.394701496</v>
      </c>
      <c r="R51" s="62">
        <f>'Res OLS Model'!$B$10*H51</f>
        <v>0</v>
      </c>
      <c r="S51" s="62">
        <f>'Res OLS Model'!$B$11*I51</f>
        <v>0</v>
      </c>
      <c r="T51" s="62">
        <f>'Res OLS Model'!$B$12*J51</f>
        <v>0</v>
      </c>
      <c r="U51" s="62">
        <f>'Res OLS Model'!$B$13*K51</f>
        <v>0</v>
      </c>
      <c r="V51" s="62">
        <f t="shared" si="4"/>
        <v>20392313.820883043</v>
      </c>
      <c r="W51" s="13">
        <f t="shared" si="5"/>
        <v>3.1289527270805043E-2</v>
      </c>
    </row>
    <row r="52" spans="1:23">
      <c r="A52" s="11">
        <f>'Monthly Data'!A52</f>
        <v>41334</v>
      </c>
      <c r="B52" s="6">
        <f t="shared" si="3"/>
        <v>2013</v>
      </c>
      <c r="C52" s="30">
        <f>'Monthly Data'!F52</f>
        <v>19002801.376715507</v>
      </c>
      <c r="D52">
        <f>'Monthly Data'!U52</f>
        <v>588.30000000000018</v>
      </c>
      <c r="E52">
        <f>'Monthly Data'!V52</f>
        <v>0</v>
      </c>
      <c r="F52">
        <f>'Monthly Data'!AA52</f>
        <v>51</v>
      </c>
      <c r="G52" s="30">
        <f>'Monthly Data'!AB52</f>
        <v>23489</v>
      </c>
      <c r="H52" s="30">
        <f>'Monthly Data'!AM52</f>
        <v>0</v>
      </c>
      <c r="I52" s="30">
        <f>'Monthly Data'!AO52</f>
        <v>0</v>
      </c>
      <c r="J52" s="30">
        <f>'Monthly Data'!AQ52</f>
        <v>0</v>
      </c>
      <c r="K52" s="94">
        <f>'Monthly Data'!AR52</f>
        <v>0</v>
      </c>
      <c r="M52" s="62">
        <f>'Res OLS Model'!$B$5</f>
        <v>-23168470.016197301</v>
      </c>
      <c r="N52" s="62">
        <f>'Res OLS Model'!$B$6*D52</f>
        <v>7046285.2599827498</v>
      </c>
      <c r="O52" s="62">
        <f>'Res OLS Model'!$B$7*E52</f>
        <v>0</v>
      </c>
      <c r="P52" s="62">
        <f>'Res OLS Model'!$B$8*F52</f>
        <v>-1401772.6088313609</v>
      </c>
      <c r="Q52" s="62">
        <f>'Res OLS Model'!$B$9*G52</f>
        <v>36652172.354313001</v>
      </c>
      <c r="R52" s="62">
        <f>'Res OLS Model'!$B$10*H52</f>
        <v>0</v>
      </c>
      <c r="S52" s="62">
        <f>'Res OLS Model'!$B$11*I52</f>
        <v>0</v>
      </c>
      <c r="T52" s="62">
        <f>'Res OLS Model'!$B$12*J52</f>
        <v>0</v>
      </c>
      <c r="U52" s="62">
        <f>'Res OLS Model'!$B$13*K52</f>
        <v>0</v>
      </c>
      <c r="V52" s="62">
        <f t="shared" si="4"/>
        <v>19128214.989267088</v>
      </c>
      <c r="W52" s="13">
        <f t="shared" si="5"/>
        <v>6.599743378113334E-3</v>
      </c>
    </row>
    <row r="53" spans="1:23">
      <c r="A53" s="11">
        <f>'Monthly Data'!A53</f>
        <v>41365</v>
      </c>
      <c r="B53" s="6">
        <f t="shared" si="3"/>
        <v>2013</v>
      </c>
      <c r="C53" s="30">
        <f>'Monthly Data'!F53</f>
        <v>15463434.860880928</v>
      </c>
      <c r="D53">
        <f>'Monthly Data'!U53</f>
        <v>386.99999999999989</v>
      </c>
      <c r="E53">
        <f>'Monthly Data'!V53</f>
        <v>0</v>
      </c>
      <c r="F53">
        <f>'Monthly Data'!AA53</f>
        <v>52</v>
      </c>
      <c r="G53" s="30">
        <f>'Monthly Data'!AB53</f>
        <v>23431</v>
      </c>
      <c r="H53" s="30">
        <f>'Monthly Data'!AM53</f>
        <v>0</v>
      </c>
      <c r="I53" s="30">
        <f>'Monthly Data'!AO53</f>
        <v>1</v>
      </c>
      <c r="J53" s="30">
        <f>'Monthly Data'!AQ53</f>
        <v>0</v>
      </c>
      <c r="K53" s="94">
        <f>'Monthly Data'!AR53</f>
        <v>0</v>
      </c>
      <c r="M53" s="62">
        <f>'Res OLS Model'!$B$5</f>
        <v>-23168470.016197301</v>
      </c>
      <c r="N53" s="62">
        <f>'Res OLS Model'!$B$6*D53</f>
        <v>4635241.1960110869</v>
      </c>
      <c r="O53" s="62">
        <f>'Res OLS Model'!$B$7*E53</f>
        <v>0</v>
      </c>
      <c r="P53" s="62">
        <f>'Res OLS Model'!$B$8*F53</f>
        <v>-1429258.3462594268</v>
      </c>
      <c r="Q53" s="62">
        <f>'Res OLS Model'!$B$9*G53</f>
        <v>36561669.310481839</v>
      </c>
      <c r="R53" s="62">
        <f>'Res OLS Model'!$B$10*H53</f>
        <v>0</v>
      </c>
      <c r="S53" s="62">
        <f>'Res OLS Model'!$B$11*I53</f>
        <v>-1218613.41007658</v>
      </c>
      <c r="T53" s="62">
        <f>'Res OLS Model'!$B$12*J53</f>
        <v>0</v>
      </c>
      <c r="U53" s="62">
        <f>'Res OLS Model'!$B$13*K53</f>
        <v>0</v>
      </c>
      <c r="V53" s="62">
        <f t="shared" si="4"/>
        <v>15380568.733959619</v>
      </c>
      <c r="W53" s="13">
        <f t="shared" si="5"/>
        <v>5.3588434695671754E-3</v>
      </c>
    </row>
    <row r="54" spans="1:23">
      <c r="A54" s="11">
        <f>'Monthly Data'!A54</f>
        <v>41395</v>
      </c>
      <c r="B54" s="6">
        <f t="shared" si="3"/>
        <v>2013</v>
      </c>
      <c r="C54" s="30">
        <f>'Monthly Data'!F54</f>
        <v>11411798.742946351</v>
      </c>
      <c r="D54">
        <f>'Monthly Data'!U54</f>
        <v>139.70000000000002</v>
      </c>
      <c r="E54">
        <f>'Monthly Data'!V54</f>
        <v>6.3</v>
      </c>
      <c r="F54">
        <f>'Monthly Data'!AA54</f>
        <v>53</v>
      </c>
      <c r="G54" s="30">
        <f>'Monthly Data'!AB54</f>
        <v>23336</v>
      </c>
      <c r="H54" s="30">
        <f>'Monthly Data'!AM54</f>
        <v>0</v>
      </c>
      <c r="I54" s="30">
        <f>'Monthly Data'!AO54</f>
        <v>0</v>
      </c>
      <c r="J54" s="30">
        <f>'Monthly Data'!AQ54</f>
        <v>1</v>
      </c>
      <c r="K54" s="94">
        <f>'Monthly Data'!AR54</f>
        <v>0</v>
      </c>
      <c r="M54" s="62">
        <f>'Res OLS Model'!$B$5</f>
        <v>-23168470.016197301</v>
      </c>
      <c r="N54" s="62">
        <f>'Res OLS Model'!$B$6*D54</f>
        <v>1673238.2301879823</v>
      </c>
      <c r="O54" s="62">
        <f>'Res OLS Model'!$B$7*E54</f>
        <v>210246.98478176107</v>
      </c>
      <c r="P54" s="62">
        <f>'Res OLS Model'!$B$8*F54</f>
        <v>-1456744.0836874926</v>
      </c>
      <c r="Q54" s="62">
        <f>'Res OLS Model'!$B$9*G54</f>
        <v>36413431.566275626</v>
      </c>
      <c r="R54" s="62">
        <f>'Res OLS Model'!$B$10*H54</f>
        <v>0</v>
      </c>
      <c r="S54" s="62">
        <f>'Res OLS Model'!$B$11*I54</f>
        <v>0</v>
      </c>
      <c r="T54" s="62">
        <f>'Res OLS Model'!$B$12*J54</f>
        <v>-1511757.2538914999</v>
      </c>
      <c r="U54" s="62">
        <f>'Res OLS Model'!$B$13*K54</f>
        <v>0</v>
      </c>
      <c r="V54" s="62">
        <f t="shared" si="4"/>
        <v>12159945.427469077</v>
      </c>
      <c r="W54" s="13">
        <f t="shared" si="5"/>
        <v>6.5559050012615777E-2</v>
      </c>
    </row>
    <row r="55" spans="1:23">
      <c r="A55" s="11">
        <f>'Monthly Data'!A55</f>
        <v>41426</v>
      </c>
      <c r="B55" s="6">
        <f t="shared" si="3"/>
        <v>2013</v>
      </c>
      <c r="C55" s="30">
        <f>'Monthly Data'!F55</f>
        <v>11995475.306811769</v>
      </c>
      <c r="D55">
        <f>'Monthly Data'!U55</f>
        <v>72.200000000000017</v>
      </c>
      <c r="E55">
        <f>'Monthly Data'!V55</f>
        <v>30.800000000000004</v>
      </c>
      <c r="F55">
        <f>'Monthly Data'!AA55</f>
        <v>54</v>
      </c>
      <c r="G55" s="30">
        <f>'Monthly Data'!AB55</f>
        <v>23395</v>
      </c>
      <c r="H55" s="30">
        <f>'Monthly Data'!AM55</f>
        <v>0</v>
      </c>
      <c r="I55" s="30">
        <f>'Monthly Data'!AO55</f>
        <v>0</v>
      </c>
      <c r="J55" s="30">
        <f>'Monthly Data'!AQ55</f>
        <v>1</v>
      </c>
      <c r="K55" s="94">
        <f>'Monthly Data'!AR55</f>
        <v>0</v>
      </c>
      <c r="M55" s="62">
        <f>'Res OLS Model'!$B$5</f>
        <v>-23168470.016197301</v>
      </c>
      <c r="N55" s="62">
        <f>'Res OLS Model'!$B$6*D55</f>
        <v>864765.92855814134</v>
      </c>
      <c r="O55" s="62">
        <f>'Res OLS Model'!$B$7*E55</f>
        <v>1027874.1478219432</v>
      </c>
      <c r="P55" s="62">
        <f>'Res OLS Model'!$B$8*F55</f>
        <v>-1484229.8211155585</v>
      </c>
      <c r="Q55" s="62">
        <f>'Res OLS Model'!$B$9*G55</f>
        <v>36505495.007414222</v>
      </c>
      <c r="R55" s="62">
        <f>'Res OLS Model'!$B$10*H55</f>
        <v>0</v>
      </c>
      <c r="S55" s="62">
        <f>'Res OLS Model'!$B$11*I55</f>
        <v>0</v>
      </c>
      <c r="T55" s="62">
        <f>'Res OLS Model'!$B$12*J55</f>
        <v>-1511757.2538914999</v>
      </c>
      <c r="U55" s="62">
        <f>'Res OLS Model'!$B$13*K55</f>
        <v>0</v>
      </c>
      <c r="V55" s="62">
        <f t="shared" si="4"/>
        <v>12233677.992589949</v>
      </c>
      <c r="W55" s="13">
        <f t="shared" si="5"/>
        <v>1.9857711319109964E-2</v>
      </c>
    </row>
    <row r="56" spans="1:23">
      <c r="A56" s="11">
        <f>'Monthly Data'!A56</f>
        <v>41456</v>
      </c>
      <c r="B56" s="6">
        <f t="shared" si="3"/>
        <v>2013</v>
      </c>
      <c r="C56" s="30">
        <f>'Monthly Data'!F56</f>
        <v>13886742.437877189</v>
      </c>
      <c r="D56">
        <f>'Monthly Data'!U56</f>
        <v>4.8</v>
      </c>
      <c r="E56">
        <f>'Monthly Data'!V56</f>
        <v>97.09999999999998</v>
      </c>
      <c r="F56">
        <f>'Monthly Data'!AA56</f>
        <v>55</v>
      </c>
      <c r="G56" s="30">
        <f>'Monthly Data'!AB56</f>
        <v>23379</v>
      </c>
      <c r="H56" s="30">
        <f>'Monthly Data'!AM56</f>
        <v>0</v>
      </c>
      <c r="I56" s="30">
        <f>'Monthly Data'!AO56</f>
        <v>0</v>
      </c>
      <c r="J56" s="30">
        <f>'Monthly Data'!AQ56</f>
        <v>1</v>
      </c>
      <c r="K56" s="94">
        <f>'Monthly Data'!AR56</f>
        <v>0</v>
      </c>
      <c r="M56" s="62">
        <f>'Res OLS Model'!$B$5</f>
        <v>-23168470.016197301</v>
      </c>
      <c r="N56" s="62">
        <f>'Res OLS Model'!$B$6*D56</f>
        <v>57491.363671455365</v>
      </c>
      <c r="O56" s="62">
        <f>'Res OLS Model'!$B$7*E56</f>
        <v>3240473.3686204753</v>
      </c>
      <c r="P56" s="62">
        <f>'Res OLS Model'!$B$8*F56</f>
        <v>-1511715.5585436244</v>
      </c>
      <c r="Q56" s="62">
        <f>'Res OLS Model'!$B$9*G56</f>
        <v>36480528.650495276</v>
      </c>
      <c r="R56" s="62">
        <f>'Res OLS Model'!$B$10*H56</f>
        <v>0</v>
      </c>
      <c r="S56" s="62">
        <f>'Res OLS Model'!$B$11*I56</f>
        <v>0</v>
      </c>
      <c r="T56" s="62">
        <f>'Res OLS Model'!$B$12*J56</f>
        <v>-1511757.2538914999</v>
      </c>
      <c r="U56" s="62">
        <f>'Res OLS Model'!$B$13*K56</f>
        <v>0</v>
      </c>
      <c r="V56" s="62">
        <f t="shared" si="4"/>
        <v>13586550.554154782</v>
      </c>
      <c r="W56" s="13">
        <f t="shared" si="5"/>
        <v>2.1617156440059737E-2</v>
      </c>
    </row>
    <row r="57" spans="1:23">
      <c r="A57" s="11">
        <f>'Monthly Data'!A57</f>
        <v>41487</v>
      </c>
      <c r="B57" s="6">
        <f t="shared" si="3"/>
        <v>2013</v>
      </c>
      <c r="C57" s="30">
        <f>'Monthly Data'!F57</f>
        <v>12973729.18644261</v>
      </c>
      <c r="D57">
        <f>'Monthly Data'!U57</f>
        <v>7.7</v>
      </c>
      <c r="E57">
        <f>'Monthly Data'!V57</f>
        <v>59.999999999999993</v>
      </c>
      <c r="F57">
        <f>'Monthly Data'!AA57</f>
        <v>56</v>
      </c>
      <c r="G57" s="30">
        <f>'Monthly Data'!AB57</f>
        <v>23423</v>
      </c>
      <c r="H57" s="30">
        <f>'Monthly Data'!AM57</f>
        <v>0</v>
      </c>
      <c r="I57" s="30">
        <f>'Monthly Data'!AO57</f>
        <v>0</v>
      </c>
      <c r="J57" s="30">
        <f>'Monthly Data'!AQ57</f>
        <v>1</v>
      </c>
      <c r="K57" s="94">
        <f>'Monthly Data'!AR57</f>
        <v>0</v>
      </c>
      <c r="M57" s="62">
        <f>'Res OLS Model'!$B$5</f>
        <v>-23168470.016197301</v>
      </c>
      <c r="N57" s="62">
        <f>'Res OLS Model'!$B$6*D57</f>
        <v>92225.72922295965</v>
      </c>
      <c r="O57" s="62">
        <f>'Res OLS Model'!$B$7*E57</f>
        <v>2002352.2360167718</v>
      </c>
      <c r="P57" s="62">
        <f>'Res OLS Model'!$B$8*F57</f>
        <v>-1539201.2959716902</v>
      </c>
      <c r="Q57" s="62">
        <f>'Res OLS Model'!$B$9*G57</f>
        <v>36549186.132022366</v>
      </c>
      <c r="R57" s="62">
        <f>'Res OLS Model'!$B$10*H57</f>
        <v>0</v>
      </c>
      <c r="S57" s="62">
        <f>'Res OLS Model'!$B$11*I57</f>
        <v>0</v>
      </c>
      <c r="T57" s="62">
        <f>'Res OLS Model'!$B$12*J57</f>
        <v>-1511757.2538914999</v>
      </c>
      <c r="U57" s="62">
        <f>'Res OLS Model'!$B$13*K57</f>
        <v>0</v>
      </c>
      <c r="V57" s="62">
        <f t="shared" si="4"/>
        <v>12424335.531201607</v>
      </c>
      <c r="W57" s="13">
        <f t="shared" si="5"/>
        <v>4.2346625811729828E-2</v>
      </c>
    </row>
    <row r="58" spans="1:23">
      <c r="A58" s="11">
        <f>'Monthly Data'!A58</f>
        <v>41518</v>
      </c>
      <c r="B58" s="6">
        <f t="shared" si="3"/>
        <v>2013</v>
      </c>
      <c r="C58" s="30">
        <f>'Monthly Data'!F58</f>
        <v>12414553.238608029</v>
      </c>
      <c r="D58">
        <f>'Monthly Data'!U58</f>
        <v>118.4</v>
      </c>
      <c r="E58">
        <f>'Monthly Data'!V58</f>
        <v>16.5</v>
      </c>
      <c r="F58">
        <f>'Monthly Data'!AA58</f>
        <v>57</v>
      </c>
      <c r="G58" s="30">
        <f>'Monthly Data'!AB58</f>
        <v>23499</v>
      </c>
      <c r="H58" s="30">
        <f>'Monthly Data'!AM58</f>
        <v>1</v>
      </c>
      <c r="I58" s="30">
        <f>'Monthly Data'!AO58</f>
        <v>0</v>
      </c>
      <c r="J58" s="30">
        <f>'Monthly Data'!AQ58</f>
        <v>0</v>
      </c>
      <c r="K58" s="94">
        <f>'Monthly Data'!AR58</f>
        <v>0</v>
      </c>
      <c r="M58" s="62">
        <f>'Res OLS Model'!$B$5</f>
        <v>-23168470.016197301</v>
      </c>
      <c r="N58" s="62">
        <f>'Res OLS Model'!$B$6*D58</f>
        <v>1418120.3038958991</v>
      </c>
      <c r="O58" s="62">
        <f>'Res OLS Model'!$B$7*E58</f>
        <v>550646.8649046123</v>
      </c>
      <c r="P58" s="62">
        <f>'Res OLS Model'!$B$8*F58</f>
        <v>-1566687.0333997563</v>
      </c>
      <c r="Q58" s="62">
        <f>'Res OLS Model'!$B$9*G58</f>
        <v>36667776.32738734</v>
      </c>
      <c r="R58" s="62">
        <f>'Res OLS Model'!$B$10*H58</f>
        <v>-1279656.8259476901</v>
      </c>
      <c r="S58" s="62">
        <f>'Res OLS Model'!$B$11*I58</f>
        <v>0</v>
      </c>
      <c r="T58" s="62">
        <f>'Res OLS Model'!$B$12*J58</f>
        <v>0</v>
      </c>
      <c r="U58" s="62">
        <f>'Res OLS Model'!$B$13*K58</f>
        <v>0</v>
      </c>
      <c r="V58" s="62">
        <f t="shared" si="4"/>
        <v>12621729.620643102</v>
      </c>
      <c r="W58" s="13">
        <f t="shared" si="5"/>
        <v>1.6688186683252917E-2</v>
      </c>
    </row>
    <row r="59" spans="1:23">
      <c r="A59" s="11">
        <f>'Monthly Data'!A59</f>
        <v>41548</v>
      </c>
      <c r="B59" s="6">
        <f t="shared" si="3"/>
        <v>2013</v>
      </c>
      <c r="C59" s="30">
        <f>'Monthly Data'!F59</f>
        <v>13273674.921473451</v>
      </c>
      <c r="D59">
        <f>'Monthly Data'!U59</f>
        <v>235.69999999999996</v>
      </c>
      <c r="E59">
        <f>'Monthly Data'!V59</f>
        <v>1.5</v>
      </c>
      <c r="F59">
        <f>'Monthly Data'!AA59</f>
        <v>58</v>
      </c>
      <c r="G59" s="30">
        <f>'Monthly Data'!AB59</f>
        <v>23572</v>
      </c>
      <c r="H59" s="30">
        <f>'Monthly Data'!AM59</f>
        <v>1</v>
      </c>
      <c r="I59" s="30">
        <f>'Monthly Data'!AO59</f>
        <v>0</v>
      </c>
      <c r="J59" s="30">
        <f>'Monthly Data'!AQ59</f>
        <v>0</v>
      </c>
      <c r="K59" s="94">
        <f>'Monthly Data'!AR59</f>
        <v>0</v>
      </c>
      <c r="M59" s="62">
        <f>'Res OLS Model'!$B$5</f>
        <v>-23168470.016197301</v>
      </c>
      <c r="N59" s="62">
        <f>'Res OLS Model'!$B$6*D59</f>
        <v>2823065.5036170888</v>
      </c>
      <c r="O59" s="62">
        <f>'Res OLS Model'!$B$7*E59</f>
        <v>50058.805900419306</v>
      </c>
      <c r="P59" s="62">
        <f>'Res OLS Model'!$B$8*F59</f>
        <v>-1594172.7708278222</v>
      </c>
      <c r="Q59" s="62">
        <f>'Res OLS Model'!$B$9*G59</f>
        <v>36781685.330830008</v>
      </c>
      <c r="R59" s="62">
        <f>'Res OLS Model'!$B$10*H59</f>
        <v>-1279656.8259476901</v>
      </c>
      <c r="S59" s="62">
        <f>'Res OLS Model'!$B$11*I59</f>
        <v>0</v>
      </c>
      <c r="T59" s="62">
        <f>'Res OLS Model'!$B$12*J59</f>
        <v>0</v>
      </c>
      <c r="U59" s="62">
        <f>'Res OLS Model'!$B$13*K59</f>
        <v>0</v>
      </c>
      <c r="V59" s="62">
        <f t="shared" si="4"/>
        <v>13612510.027374703</v>
      </c>
      <c r="W59" s="13">
        <f t="shared" si="5"/>
        <v>2.55268497914698E-2</v>
      </c>
    </row>
    <row r="60" spans="1:23">
      <c r="A60" s="11">
        <f>'Monthly Data'!A60</f>
        <v>41579</v>
      </c>
      <c r="B60" s="6">
        <f t="shared" si="3"/>
        <v>2013</v>
      </c>
      <c r="C60" s="30">
        <f>'Monthly Data'!F60</f>
        <v>17575993.111538868</v>
      </c>
      <c r="D60">
        <f>'Monthly Data'!U60</f>
        <v>501.50000000000006</v>
      </c>
      <c r="E60">
        <f>'Monthly Data'!V60</f>
        <v>0</v>
      </c>
      <c r="F60">
        <f>'Monthly Data'!AA60</f>
        <v>59</v>
      </c>
      <c r="G60" s="30">
        <f>'Monthly Data'!AB60</f>
        <v>23628</v>
      </c>
      <c r="H60" s="30">
        <f>'Monthly Data'!AM60</f>
        <v>1</v>
      </c>
      <c r="I60" s="30">
        <f>'Monthly Data'!AO60</f>
        <v>0</v>
      </c>
      <c r="J60" s="30">
        <f>'Monthly Data'!AQ60</f>
        <v>0</v>
      </c>
      <c r="K60" s="94">
        <f>'Monthly Data'!AR60</f>
        <v>0</v>
      </c>
      <c r="M60" s="62">
        <f>'Res OLS Model'!$B$5</f>
        <v>-23168470.016197301</v>
      </c>
      <c r="N60" s="62">
        <f>'Res OLS Model'!$B$6*D60</f>
        <v>6006649.7669239305</v>
      </c>
      <c r="O60" s="62">
        <f>'Res OLS Model'!$B$7*E60</f>
        <v>0</v>
      </c>
      <c r="P60" s="62">
        <f>'Res OLS Model'!$B$8*F60</f>
        <v>-1621658.508255888</v>
      </c>
      <c r="Q60" s="62">
        <f>'Res OLS Model'!$B$9*G60</f>
        <v>36869067.580046304</v>
      </c>
      <c r="R60" s="62">
        <f>'Res OLS Model'!$B$10*H60</f>
        <v>-1279656.8259476901</v>
      </c>
      <c r="S60" s="62">
        <f>'Res OLS Model'!$B$11*I60</f>
        <v>0</v>
      </c>
      <c r="T60" s="62">
        <f>'Res OLS Model'!$B$12*J60</f>
        <v>0</v>
      </c>
      <c r="U60" s="62">
        <f>'Res OLS Model'!$B$13*K60</f>
        <v>0</v>
      </c>
      <c r="V60" s="62">
        <f t="shared" si="4"/>
        <v>16805931.996569354</v>
      </c>
      <c r="W60" s="13">
        <f t="shared" si="5"/>
        <v>4.3813234909836143E-2</v>
      </c>
    </row>
    <row r="61" spans="1:23">
      <c r="A61" s="11">
        <f>'Monthly Data'!A61</f>
        <v>41609</v>
      </c>
      <c r="B61" s="6">
        <f t="shared" si="3"/>
        <v>2013</v>
      </c>
      <c r="C61" s="30">
        <f>'Monthly Data'!F61</f>
        <v>21455609.37580429</v>
      </c>
      <c r="D61">
        <f>'Monthly Data'!U61</f>
        <v>756.99999999999977</v>
      </c>
      <c r="E61">
        <f>'Monthly Data'!V61</f>
        <v>0</v>
      </c>
      <c r="F61">
        <f>'Monthly Data'!AA61</f>
        <v>60</v>
      </c>
      <c r="G61" s="30">
        <f>'Monthly Data'!AB61</f>
        <v>23625</v>
      </c>
      <c r="H61" s="30">
        <f>'Monthly Data'!AM61</f>
        <v>0</v>
      </c>
      <c r="I61" s="30">
        <f>'Monthly Data'!AO61</f>
        <v>0</v>
      </c>
      <c r="J61" s="30">
        <f>'Monthly Data'!AQ61</f>
        <v>0</v>
      </c>
      <c r="K61" s="94">
        <f>'Monthly Data'!AR61</f>
        <v>0</v>
      </c>
      <c r="M61" s="62">
        <f>'Res OLS Model'!$B$5</f>
        <v>-23168470.016197301</v>
      </c>
      <c r="N61" s="62">
        <f>'Res OLS Model'!$B$6*D61</f>
        <v>9066867.1456857696</v>
      </c>
      <c r="O61" s="62">
        <f>'Res OLS Model'!$B$7*E61</f>
        <v>0</v>
      </c>
      <c r="P61" s="62">
        <f>'Res OLS Model'!$B$8*F61</f>
        <v>-1649144.2456839539</v>
      </c>
      <c r="Q61" s="62">
        <f>'Res OLS Model'!$B$9*G61</f>
        <v>36864386.388123997</v>
      </c>
      <c r="R61" s="62">
        <f>'Res OLS Model'!$B$10*H61</f>
        <v>0</v>
      </c>
      <c r="S61" s="62">
        <f>'Res OLS Model'!$B$11*I61</f>
        <v>0</v>
      </c>
      <c r="T61" s="62">
        <f>'Res OLS Model'!$B$12*J61</f>
        <v>0</v>
      </c>
      <c r="U61" s="62">
        <f>'Res OLS Model'!$B$13*K61</f>
        <v>0</v>
      </c>
      <c r="V61" s="62">
        <f t="shared" si="4"/>
        <v>21113639.271928512</v>
      </c>
      <c r="W61" s="13">
        <f t="shared" si="5"/>
        <v>1.5938494119930324E-2</v>
      </c>
    </row>
    <row r="62" spans="1:23" s="30" customFormat="1">
      <c r="A62" s="11">
        <f>'Monthly Data'!A62</f>
        <v>41640</v>
      </c>
      <c r="B62" s="6">
        <f t="shared" ref="B62:B73" si="6">YEAR(A62)</f>
        <v>2014</v>
      </c>
      <c r="C62" s="30">
        <f>'Monthly Data'!F62</f>
        <v>24218479.066692788</v>
      </c>
      <c r="D62" s="30">
        <f>'Monthly Data'!U62</f>
        <v>844.5</v>
      </c>
      <c r="E62" s="30">
        <f>'Monthly Data'!V62</f>
        <v>0</v>
      </c>
      <c r="F62" s="30">
        <f>'Monthly Data'!AA62</f>
        <v>61</v>
      </c>
      <c r="G62" s="30">
        <f>'Monthly Data'!AB62</f>
        <v>23649</v>
      </c>
      <c r="H62" s="30">
        <f>'Monthly Data'!AM62</f>
        <v>0</v>
      </c>
      <c r="I62" s="30">
        <f>'Monthly Data'!AO62</f>
        <v>0</v>
      </c>
      <c r="J62" s="30">
        <f>'Monthly Data'!AQ62</f>
        <v>0</v>
      </c>
      <c r="K62" s="94">
        <f>'Monthly Data'!AR62</f>
        <v>1</v>
      </c>
      <c r="M62" s="62">
        <f>'Res OLS Model'!$B$5</f>
        <v>-23168470.016197301</v>
      </c>
      <c r="N62" s="62">
        <f>'Res OLS Model'!$B$6*D62</f>
        <v>10114886.795946678</v>
      </c>
      <c r="O62" s="62">
        <f>'Res OLS Model'!$B$7*E62</f>
        <v>0</v>
      </c>
      <c r="P62" s="62">
        <f>'Res OLS Model'!$B$8*F62</f>
        <v>-1676629.9831120197</v>
      </c>
      <c r="Q62" s="62">
        <f>'Res OLS Model'!$B$9*G62</f>
        <v>36901835.923502408</v>
      </c>
      <c r="R62" s="62">
        <f>'Res OLS Model'!$B$10*H62</f>
        <v>0</v>
      </c>
      <c r="S62" s="62">
        <f>'Res OLS Model'!$B$11*I62</f>
        <v>0</v>
      </c>
      <c r="T62" s="62">
        <f>'Res OLS Model'!$B$12*J62</f>
        <v>0</v>
      </c>
      <c r="U62" s="62">
        <f>'Res OLS Model'!$B$13*K62</f>
        <v>1122371.81652903</v>
      </c>
      <c r="V62" s="62">
        <f t="shared" si="4"/>
        <v>23293994.536668792</v>
      </c>
      <c r="W62" s="13">
        <f t="shared" si="5"/>
        <v>3.8172691500492351E-2</v>
      </c>
    </row>
    <row r="63" spans="1:23" s="30" customFormat="1">
      <c r="A63" s="11">
        <f>'Monthly Data'!A63</f>
        <v>41671</v>
      </c>
      <c r="B63" s="6">
        <f t="shared" si="6"/>
        <v>2014</v>
      </c>
      <c r="C63" s="30">
        <f>'Monthly Data'!F63</f>
        <v>20929638.172979176</v>
      </c>
      <c r="D63" s="30">
        <f>'Monthly Data'!U63</f>
        <v>740.90000000000009</v>
      </c>
      <c r="E63" s="30">
        <f>'Monthly Data'!V63</f>
        <v>0</v>
      </c>
      <c r="F63" s="30">
        <f>'Monthly Data'!AA63</f>
        <v>62</v>
      </c>
      <c r="G63" s="30">
        <f>'Monthly Data'!AB63</f>
        <v>23652</v>
      </c>
      <c r="H63" s="30">
        <f>'Monthly Data'!AM63</f>
        <v>0</v>
      </c>
      <c r="I63" s="30">
        <f>'Monthly Data'!AO63</f>
        <v>0</v>
      </c>
      <c r="J63" s="30">
        <f>'Monthly Data'!AQ63</f>
        <v>0</v>
      </c>
      <c r="K63" s="94">
        <f>'Monthly Data'!AR63</f>
        <v>0</v>
      </c>
      <c r="M63" s="62">
        <f>'Res OLS Model'!$B$5</f>
        <v>-23168470.016197301</v>
      </c>
      <c r="N63" s="62">
        <f>'Res OLS Model'!$B$6*D63</f>
        <v>8874031.5300377682</v>
      </c>
      <c r="O63" s="62">
        <f>'Res OLS Model'!$B$7*E63</f>
        <v>0</v>
      </c>
      <c r="P63" s="62">
        <f>'Res OLS Model'!$B$8*F63</f>
        <v>-1704115.7205400858</v>
      </c>
      <c r="Q63" s="62">
        <f>'Res OLS Model'!$B$9*G63</f>
        <v>36906517.115424715</v>
      </c>
      <c r="R63" s="62">
        <f>'Res OLS Model'!$B$10*H63</f>
        <v>0</v>
      </c>
      <c r="S63" s="62">
        <f>'Res OLS Model'!$B$11*I63</f>
        <v>0</v>
      </c>
      <c r="T63" s="62">
        <f>'Res OLS Model'!$B$12*J63</f>
        <v>0</v>
      </c>
      <c r="U63" s="62">
        <f>'Res OLS Model'!$B$13*K63</f>
        <v>0</v>
      </c>
      <c r="V63" s="62">
        <f t="shared" si="4"/>
        <v>20907962.908725098</v>
      </c>
      <c r="W63" s="13">
        <f t="shared" si="5"/>
        <v>1.0356253689116192E-3</v>
      </c>
    </row>
    <row r="64" spans="1:23" s="30" customFormat="1">
      <c r="A64" s="11">
        <f>'Monthly Data'!A64</f>
        <v>41699</v>
      </c>
      <c r="B64" s="6">
        <f t="shared" si="6"/>
        <v>2014</v>
      </c>
      <c r="C64" s="30">
        <f>'Monthly Data'!F64</f>
        <v>20664080.366865564</v>
      </c>
      <c r="D64" s="30">
        <f>'Monthly Data'!U64</f>
        <v>720.19999999999993</v>
      </c>
      <c r="E64" s="30">
        <f>'Monthly Data'!V64</f>
        <v>0</v>
      </c>
      <c r="F64" s="30">
        <f>'Monthly Data'!AA64</f>
        <v>63</v>
      </c>
      <c r="G64" s="30">
        <f>'Monthly Data'!AB64</f>
        <v>23692</v>
      </c>
      <c r="H64" s="30">
        <f>'Monthly Data'!AM64</f>
        <v>0</v>
      </c>
      <c r="I64" s="30">
        <f>'Monthly Data'!AO64</f>
        <v>0</v>
      </c>
      <c r="J64" s="30">
        <f>'Monthly Data'!AQ64</f>
        <v>0</v>
      </c>
      <c r="K64" s="94">
        <f>'Monthly Data'!AR64</f>
        <v>0</v>
      </c>
      <c r="M64" s="62">
        <f>'Res OLS Model'!$B$5</f>
        <v>-23168470.016197301</v>
      </c>
      <c r="N64" s="62">
        <f>'Res OLS Model'!$B$6*D64</f>
        <v>8626100.0242046136</v>
      </c>
      <c r="O64" s="62">
        <f>'Res OLS Model'!$B$7*E64</f>
        <v>0</v>
      </c>
      <c r="P64" s="62">
        <f>'Res OLS Model'!$B$8*F64</f>
        <v>-1731601.4579681517</v>
      </c>
      <c r="Q64" s="62">
        <f>'Res OLS Model'!$B$9*G64</f>
        <v>36968933.007722065</v>
      </c>
      <c r="R64" s="62">
        <f>'Res OLS Model'!$B$10*H64</f>
        <v>0</v>
      </c>
      <c r="S64" s="62">
        <f>'Res OLS Model'!$B$11*I64</f>
        <v>0</v>
      </c>
      <c r="T64" s="62">
        <f>'Res OLS Model'!$B$12*J64</f>
        <v>0</v>
      </c>
      <c r="U64" s="62">
        <f>'Res OLS Model'!$B$13*K64</f>
        <v>0</v>
      </c>
      <c r="V64" s="62">
        <f t="shared" si="4"/>
        <v>20694961.557761226</v>
      </c>
      <c r="W64" s="13">
        <f t="shared" si="5"/>
        <v>1.4944381916544942E-3</v>
      </c>
    </row>
    <row r="65" spans="1:23" s="30" customFormat="1">
      <c r="A65" s="11">
        <f>'Monthly Data'!A65</f>
        <v>41730</v>
      </c>
      <c r="B65" s="6">
        <f t="shared" si="6"/>
        <v>2014</v>
      </c>
      <c r="C65" s="30">
        <f>'Monthly Data'!F65</f>
        <v>15800883.50705195</v>
      </c>
      <c r="D65" s="30">
        <f>'Monthly Data'!U65</f>
        <v>352.09999999999991</v>
      </c>
      <c r="E65" s="30">
        <f>'Monthly Data'!V65</f>
        <v>0</v>
      </c>
      <c r="F65" s="30">
        <f>'Monthly Data'!AA65</f>
        <v>64</v>
      </c>
      <c r="G65" s="30">
        <f>'Monthly Data'!AB65</f>
        <v>23826</v>
      </c>
      <c r="H65" s="30">
        <f>'Monthly Data'!AM65</f>
        <v>0</v>
      </c>
      <c r="I65" s="30">
        <f>'Monthly Data'!AO65</f>
        <v>1</v>
      </c>
      <c r="J65" s="30">
        <f>'Monthly Data'!AQ65</f>
        <v>0</v>
      </c>
      <c r="K65" s="94">
        <f>'Monthly Data'!AR65</f>
        <v>0</v>
      </c>
      <c r="M65" s="62">
        <f>'Res OLS Model'!$B$5</f>
        <v>-23168470.016197301</v>
      </c>
      <c r="N65" s="62">
        <f>'Res OLS Model'!$B$6*D65</f>
        <v>4217231.0726498812</v>
      </c>
      <c r="O65" s="62">
        <f>'Res OLS Model'!$B$7*E65</f>
        <v>0</v>
      </c>
      <c r="P65" s="62">
        <f>'Res OLS Model'!$B$8*F65</f>
        <v>-1759087.1953962175</v>
      </c>
      <c r="Q65" s="62">
        <f>'Res OLS Model'!$B$9*G65</f>
        <v>37178026.246918194</v>
      </c>
      <c r="R65" s="62">
        <f>'Res OLS Model'!$B$10*H65</f>
        <v>0</v>
      </c>
      <c r="S65" s="62">
        <f>'Res OLS Model'!$B$11*I65</f>
        <v>-1218613.41007658</v>
      </c>
      <c r="T65" s="62">
        <f>'Res OLS Model'!$B$12*J65</f>
        <v>0</v>
      </c>
      <c r="U65" s="62">
        <f>'Res OLS Model'!$B$13*K65</f>
        <v>0</v>
      </c>
      <c r="V65" s="62">
        <f t="shared" si="4"/>
        <v>15249086.697897974</v>
      </c>
      <c r="W65" s="13">
        <f t="shared" si="5"/>
        <v>3.4921895912194308E-2</v>
      </c>
    </row>
    <row r="66" spans="1:23" s="30" customFormat="1">
      <c r="A66" s="11">
        <f>'Monthly Data'!A66</f>
        <v>41760</v>
      </c>
      <c r="B66" s="6">
        <f t="shared" si="6"/>
        <v>2014</v>
      </c>
      <c r="C66" s="30">
        <f>'Monthly Data'!F66</f>
        <v>11643889.040738342</v>
      </c>
      <c r="D66" s="30">
        <f>'Monthly Data'!U66</f>
        <v>127.70000000000003</v>
      </c>
      <c r="E66" s="30">
        <f>'Monthly Data'!V66</f>
        <v>12.399999999999999</v>
      </c>
      <c r="F66" s="30">
        <f>'Monthly Data'!AA66</f>
        <v>65</v>
      </c>
      <c r="G66" s="30">
        <f>'Monthly Data'!AB66</f>
        <v>23751</v>
      </c>
      <c r="H66" s="30">
        <f>'Monthly Data'!AM66</f>
        <v>0</v>
      </c>
      <c r="I66" s="30">
        <f>'Monthly Data'!AO66</f>
        <v>0</v>
      </c>
      <c r="J66" s="30">
        <f>'Monthly Data'!AQ66</f>
        <v>1</v>
      </c>
      <c r="K66" s="94">
        <f>'Monthly Data'!AR66</f>
        <v>0</v>
      </c>
      <c r="M66" s="62">
        <f>'Res OLS Model'!$B$5</f>
        <v>-23168470.016197301</v>
      </c>
      <c r="N66" s="62">
        <f>'Res OLS Model'!$B$6*D66</f>
        <v>1529509.8210093442</v>
      </c>
      <c r="O66" s="62">
        <f>'Res OLS Model'!$B$7*E66</f>
        <v>413819.46211013285</v>
      </c>
      <c r="P66" s="62">
        <f>'Res OLS Model'!$B$8*F66</f>
        <v>-1786572.9328242834</v>
      </c>
      <c r="Q66" s="62">
        <f>'Res OLS Model'!$B$9*G66</f>
        <v>37060996.44886066</v>
      </c>
      <c r="R66" s="62">
        <f>'Res OLS Model'!$B$10*H66</f>
        <v>0</v>
      </c>
      <c r="S66" s="62">
        <f>'Res OLS Model'!$B$11*I66</f>
        <v>0</v>
      </c>
      <c r="T66" s="62">
        <f>'Res OLS Model'!$B$12*J66</f>
        <v>-1511757.2538914999</v>
      </c>
      <c r="U66" s="62">
        <f>'Res OLS Model'!$B$13*K66</f>
        <v>0</v>
      </c>
      <c r="V66" s="62">
        <f t="shared" ref="V66" si="7">SUM(M66:U66)</f>
        <v>12537525.529067053</v>
      </c>
      <c r="W66" s="13">
        <f t="shared" ref="W66:W73" si="8">ABS(V66-C66)/C66</f>
        <v>7.6747252159665422E-2</v>
      </c>
    </row>
    <row r="67" spans="1:23" s="30" customFormat="1">
      <c r="A67" s="11">
        <f>'Monthly Data'!A67</f>
        <v>41791</v>
      </c>
      <c r="B67" s="6">
        <f t="shared" si="6"/>
        <v>2014</v>
      </c>
      <c r="C67" s="30">
        <f>'Monthly Data'!F67</f>
        <v>11658302.50462473</v>
      </c>
      <c r="D67" s="30">
        <f>'Monthly Data'!U67</f>
        <v>25.699999999999996</v>
      </c>
      <c r="E67" s="30">
        <f>'Monthly Data'!V67</f>
        <v>47.4</v>
      </c>
      <c r="F67" s="30">
        <f>'Monthly Data'!AA67</f>
        <v>66</v>
      </c>
      <c r="G67" s="30">
        <f>'Monthly Data'!AB67</f>
        <v>23799</v>
      </c>
      <c r="H67" s="30">
        <f>'Monthly Data'!AM67</f>
        <v>0</v>
      </c>
      <c r="I67" s="30">
        <f>'Monthly Data'!AO67</f>
        <v>0</v>
      </c>
      <c r="J67" s="30">
        <f>'Monthly Data'!AQ67</f>
        <v>1</v>
      </c>
      <c r="K67" s="94">
        <f>'Monthly Data'!AR67</f>
        <v>0</v>
      </c>
      <c r="M67" s="62">
        <f>'Res OLS Model'!$B$5</f>
        <v>-23168470.016197301</v>
      </c>
      <c r="N67" s="62">
        <f>'Res OLS Model'!$B$6*D67</f>
        <v>307818.34299091721</v>
      </c>
      <c r="O67" s="62">
        <f>'Res OLS Model'!$B$7*E67</f>
        <v>1581858.2664532498</v>
      </c>
      <c r="P67" s="62">
        <f>'Res OLS Model'!$B$8*F67</f>
        <v>-1814058.6702523492</v>
      </c>
      <c r="Q67" s="62">
        <f>'Res OLS Model'!$B$9*G67</f>
        <v>37135895.519617483</v>
      </c>
      <c r="R67" s="62">
        <f>'Res OLS Model'!$B$10*H67</f>
        <v>0</v>
      </c>
      <c r="S67" s="62">
        <f>'Res OLS Model'!$B$11*I67</f>
        <v>0</v>
      </c>
      <c r="T67" s="62">
        <f>'Res OLS Model'!$B$12*J67</f>
        <v>-1511757.2538914999</v>
      </c>
      <c r="U67" s="62">
        <f>'Res OLS Model'!$B$13*K67</f>
        <v>0</v>
      </c>
      <c r="V67" s="62">
        <f t="shared" ref="V67:V73" si="9">SUM(M67:U67)</f>
        <v>12531286.1887205</v>
      </c>
      <c r="W67" s="13">
        <f t="shared" si="8"/>
        <v>7.488085711873288E-2</v>
      </c>
    </row>
    <row r="68" spans="1:23" s="30" customFormat="1">
      <c r="A68" s="11">
        <f>'Monthly Data'!A68</f>
        <v>41821</v>
      </c>
      <c r="B68" s="6">
        <f t="shared" si="6"/>
        <v>2014</v>
      </c>
      <c r="C68" s="30">
        <f>'Monthly Data'!F68</f>
        <v>12874081.848611118</v>
      </c>
      <c r="D68" s="30">
        <f>'Monthly Data'!U68</f>
        <v>10.600000000000001</v>
      </c>
      <c r="E68" s="30">
        <f>'Monthly Data'!V68</f>
        <v>55.899999999999984</v>
      </c>
      <c r="F68" s="30">
        <f>'Monthly Data'!AA68</f>
        <v>67</v>
      </c>
      <c r="G68" s="30">
        <f>'Monthly Data'!AB68</f>
        <v>23834</v>
      </c>
      <c r="H68" s="30">
        <f>'Monthly Data'!AM68</f>
        <v>0</v>
      </c>
      <c r="I68" s="30">
        <f>'Monthly Data'!AO68</f>
        <v>0</v>
      </c>
      <c r="J68" s="30">
        <f>'Monthly Data'!AQ68</f>
        <v>1</v>
      </c>
      <c r="K68" s="94">
        <f>'Monthly Data'!AR68</f>
        <v>0</v>
      </c>
      <c r="M68" s="62">
        <f>'Res OLS Model'!$B$5</f>
        <v>-23168470.016197301</v>
      </c>
      <c r="N68" s="62">
        <f>'Res OLS Model'!$B$6*D68</f>
        <v>126960.09477446394</v>
      </c>
      <c r="O68" s="62">
        <f>'Res OLS Model'!$B$7*E68</f>
        <v>1865524.8332222921</v>
      </c>
      <c r="P68" s="62">
        <f>'Res OLS Model'!$B$8*F68</f>
        <v>-1841544.4076804153</v>
      </c>
      <c r="Q68" s="62">
        <f>'Res OLS Model'!$B$9*G68</f>
        <v>37190509.425377667</v>
      </c>
      <c r="R68" s="62">
        <f>'Res OLS Model'!$B$10*H68</f>
        <v>0</v>
      </c>
      <c r="S68" s="62">
        <f>'Res OLS Model'!$B$11*I68</f>
        <v>0</v>
      </c>
      <c r="T68" s="62">
        <f>'Res OLS Model'!$B$12*J68</f>
        <v>-1511757.2538914999</v>
      </c>
      <c r="U68" s="62">
        <f>'Res OLS Model'!$B$13*K68</f>
        <v>0</v>
      </c>
      <c r="V68" s="62">
        <f t="shared" si="9"/>
        <v>12661222.675605206</v>
      </c>
      <c r="W68" s="13">
        <f t="shared" si="8"/>
        <v>1.6533930381130529E-2</v>
      </c>
    </row>
    <row r="69" spans="1:23" s="30" customFormat="1">
      <c r="A69" s="11">
        <f>'Monthly Data'!A69</f>
        <v>41852</v>
      </c>
      <c r="B69" s="6">
        <f t="shared" si="6"/>
        <v>2014</v>
      </c>
      <c r="C69" s="30">
        <f>'Monthly Data'!F69</f>
        <v>12912263.277197508</v>
      </c>
      <c r="D69" s="30">
        <f>'Monthly Data'!U69</f>
        <v>18.999999999999996</v>
      </c>
      <c r="E69" s="30">
        <f>'Monthly Data'!V69</f>
        <v>51.999999999999993</v>
      </c>
      <c r="F69" s="30">
        <f>'Monthly Data'!AA69</f>
        <v>68</v>
      </c>
      <c r="G69" s="30">
        <f>'Monthly Data'!AB69</f>
        <v>23862</v>
      </c>
      <c r="H69" s="30">
        <f>'Monthly Data'!AM69</f>
        <v>0</v>
      </c>
      <c r="I69" s="30">
        <f>'Monthly Data'!AO69</f>
        <v>0</v>
      </c>
      <c r="J69" s="30">
        <f>'Monthly Data'!AQ69</f>
        <v>1</v>
      </c>
      <c r="K69" s="94">
        <f>'Monthly Data'!AR69</f>
        <v>0</v>
      </c>
      <c r="M69" s="62">
        <f>'Res OLS Model'!$B$5</f>
        <v>-23168470.016197301</v>
      </c>
      <c r="N69" s="62">
        <f>'Res OLS Model'!$B$6*D69</f>
        <v>227569.98119951077</v>
      </c>
      <c r="O69" s="62">
        <f>'Res OLS Model'!$B$7*E69</f>
        <v>1735371.9378812022</v>
      </c>
      <c r="P69" s="62">
        <f>'Res OLS Model'!$B$8*F69</f>
        <v>-1869030.1451084812</v>
      </c>
      <c r="Q69" s="62">
        <f>'Res OLS Model'!$B$9*G69</f>
        <v>37234200.549985811</v>
      </c>
      <c r="R69" s="62">
        <f>'Res OLS Model'!$B$10*H69</f>
        <v>0</v>
      </c>
      <c r="S69" s="62">
        <f>'Res OLS Model'!$B$11*I69</f>
        <v>0</v>
      </c>
      <c r="T69" s="62">
        <f>'Res OLS Model'!$B$12*J69</f>
        <v>-1511757.2538914999</v>
      </c>
      <c r="U69" s="62">
        <f>'Res OLS Model'!$B$13*K69</f>
        <v>0</v>
      </c>
      <c r="V69" s="62">
        <f t="shared" si="9"/>
        <v>12647885.053869242</v>
      </c>
      <c r="W69" s="13">
        <f t="shared" si="8"/>
        <v>2.0474971556314739E-2</v>
      </c>
    </row>
    <row r="70" spans="1:23" s="30" customFormat="1">
      <c r="A70" s="11">
        <f>'Monthly Data'!A70</f>
        <v>41883</v>
      </c>
      <c r="B70" s="6">
        <f t="shared" si="6"/>
        <v>2014</v>
      </c>
      <c r="C70" s="30">
        <f>'Monthly Data'!F70</f>
        <v>12625706.091483895</v>
      </c>
      <c r="D70" s="30">
        <f>'Monthly Data'!U70</f>
        <v>90.500000000000014</v>
      </c>
      <c r="E70" s="30">
        <f>'Monthly Data'!V70</f>
        <v>25.400000000000006</v>
      </c>
      <c r="F70" s="30">
        <f>'Monthly Data'!AA70</f>
        <v>69</v>
      </c>
      <c r="G70" s="30">
        <f>'Monthly Data'!AB70</f>
        <v>24020</v>
      </c>
      <c r="H70" s="30">
        <f>'Monthly Data'!AM70</f>
        <v>1</v>
      </c>
      <c r="I70" s="30">
        <f>'Monthly Data'!AO70</f>
        <v>0</v>
      </c>
      <c r="J70" s="30">
        <f>'Monthly Data'!AQ70</f>
        <v>0</v>
      </c>
      <c r="K70" s="94">
        <f>'Monthly Data'!AR70</f>
        <v>0</v>
      </c>
      <c r="M70" s="62">
        <f>'Res OLS Model'!$B$5</f>
        <v>-23168470.016197301</v>
      </c>
      <c r="N70" s="62">
        <f>'Res OLS Model'!$B$6*D70</f>
        <v>1083951.7525555647</v>
      </c>
      <c r="O70" s="62">
        <f>'Res OLS Model'!$B$7*E70</f>
        <v>847662.44658043375</v>
      </c>
      <c r="P70" s="62">
        <f>'Res OLS Model'!$B$8*F70</f>
        <v>-1896515.882536547</v>
      </c>
      <c r="Q70" s="62">
        <f>'Res OLS Model'!$B$9*G70</f>
        <v>37480743.324560359</v>
      </c>
      <c r="R70" s="62">
        <f>'Res OLS Model'!$B$10*H70</f>
        <v>-1279656.8259476901</v>
      </c>
      <c r="S70" s="62">
        <f>'Res OLS Model'!$B$11*I70</f>
        <v>0</v>
      </c>
      <c r="T70" s="62">
        <f>'Res OLS Model'!$B$12*J70</f>
        <v>0</v>
      </c>
      <c r="U70" s="62">
        <f>'Res OLS Model'!$B$13*K70</f>
        <v>0</v>
      </c>
      <c r="V70" s="62">
        <f t="shared" si="9"/>
        <v>13067714.799014818</v>
      </c>
      <c r="W70" s="13">
        <f t="shared" si="8"/>
        <v>3.5008632731365445E-2</v>
      </c>
    </row>
    <row r="71" spans="1:23" s="30" customFormat="1">
      <c r="A71" s="11">
        <f>'Monthly Data'!A71</f>
        <v>41913</v>
      </c>
      <c r="B71" s="6">
        <f t="shared" si="6"/>
        <v>2014</v>
      </c>
      <c r="C71" s="30">
        <f>'Monthly Data'!F71</f>
        <v>13300745.681970283</v>
      </c>
      <c r="D71" s="30">
        <f>'Monthly Data'!U71</f>
        <v>225.59999999999994</v>
      </c>
      <c r="E71" s="30">
        <f>'Monthly Data'!V71</f>
        <v>1.8</v>
      </c>
      <c r="F71" s="30">
        <f>'Monthly Data'!AA71</f>
        <v>70</v>
      </c>
      <c r="G71" s="30">
        <f>'Monthly Data'!AB71</f>
        <v>24052</v>
      </c>
      <c r="H71" s="30">
        <f>'Monthly Data'!AM71</f>
        <v>1</v>
      </c>
      <c r="I71" s="30">
        <f>'Monthly Data'!AO71</f>
        <v>0</v>
      </c>
      <c r="J71" s="30">
        <f>'Monthly Data'!AQ71</f>
        <v>0</v>
      </c>
      <c r="K71" s="94">
        <f>'Monthly Data'!AR71</f>
        <v>0</v>
      </c>
      <c r="M71" s="62">
        <f>'Res OLS Model'!$B$5</f>
        <v>-23168470.016197301</v>
      </c>
      <c r="N71" s="62">
        <f>'Res OLS Model'!$B$6*D71</f>
        <v>2702094.0925584012</v>
      </c>
      <c r="O71" s="62">
        <f>'Res OLS Model'!$B$7*E71</f>
        <v>60070.567080503162</v>
      </c>
      <c r="P71" s="62">
        <f>'Res OLS Model'!$B$8*F71</f>
        <v>-1924001.6199646129</v>
      </c>
      <c r="Q71" s="62">
        <f>'Res OLS Model'!$B$9*G71</f>
        <v>37530676.038398243</v>
      </c>
      <c r="R71" s="62">
        <f>'Res OLS Model'!$B$10*H71</f>
        <v>-1279656.8259476901</v>
      </c>
      <c r="S71" s="62">
        <f>'Res OLS Model'!$B$11*I71</f>
        <v>0</v>
      </c>
      <c r="T71" s="62">
        <f>'Res OLS Model'!$B$12*J71</f>
        <v>0</v>
      </c>
      <c r="U71" s="62">
        <f>'Res OLS Model'!$B$13*K71</f>
        <v>0</v>
      </c>
      <c r="V71" s="62">
        <f t="shared" si="9"/>
        <v>13920712.235927541</v>
      </c>
      <c r="W71" s="13">
        <f t="shared" si="8"/>
        <v>4.661141328321524E-2</v>
      </c>
    </row>
    <row r="72" spans="1:23" s="30" customFormat="1">
      <c r="A72" s="11">
        <f>'Monthly Data'!A72</f>
        <v>41944</v>
      </c>
      <c r="B72" s="6">
        <f t="shared" si="6"/>
        <v>2014</v>
      </c>
      <c r="C72" s="30">
        <f>'Monthly Data'!F72</f>
        <v>17497032.314156674</v>
      </c>
      <c r="D72" s="30">
        <f>'Monthly Data'!U72</f>
        <v>491.6</v>
      </c>
      <c r="E72" s="30">
        <f>'Monthly Data'!V72</f>
        <v>0</v>
      </c>
      <c r="F72" s="30">
        <f>'Monthly Data'!AA72</f>
        <v>71</v>
      </c>
      <c r="G72" s="30">
        <f>'Monthly Data'!AB72</f>
        <v>24048</v>
      </c>
      <c r="H72" s="30">
        <f>'Monthly Data'!AM72</f>
        <v>1</v>
      </c>
      <c r="I72" s="30">
        <f>'Monthly Data'!AO72</f>
        <v>0</v>
      </c>
      <c r="J72" s="30">
        <f>'Monthly Data'!AQ72</f>
        <v>0</v>
      </c>
      <c r="K72" s="94">
        <f>'Monthly Data'!AR72</f>
        <v>0</v>
      </c>
      <c r="M72" s="62">
        <f>'Res OLS Model'!$B$5</f>
        <v>-23168470.016197301</v>
      </c>
      <c r="N72" s="62">
        <f>'Res OLS Model'!$B$6*D72</f>
        <v>5888073.8293515537</v>
      </c>
      <c r="O72" s="62">
        <f>'Res OLS Model'!$B$7*E72</f>
        <v>0</v>
      </c>
      <c r="P72" s="62">
        <f>'Res OLS Model'!$B$8*F72</f>
        <v>-1951487.3573926787</v>
      </c>
      <c r="Q72" s="62">
        <f>'Res OLS Model'!$B$9*G72</f>
        <v>37524434.449168503</v>
      </c>
      <c r="R72" s="62">
        <f>'Res OLS Model'!$B$10*H72</f>
        <v>-1279656.8259476901</v>
      </c>
      <c r="S72" s="62">
        <f>'Res OLS Model'!$B$11*I72</f>
        <v>0</v>
      </c>
      <c r="T72" s="62">
        <f>'Res OLS Model'!$B$12*J72</f>
        <v>0</v>
      </c>
      <c r="U72" s="62">
        <f>'Res OLS Model'!$B$13*K72</f>
        <v>0</v>
      </c>
      <c r="V72" s="62">
        <f t="shared" si="9"/>
        <v>17012894.078982383</v>
      </c>
      <c r="W72" s="13">
        <f t="shared" si="8"/>
        <v>2.7669734300174977E-2</v>
      </c>
    </row>
    <row r="73" spans="1:23" s="30" customFormat="1">
      <c r="A73" s="11">
        <f>'Monthly Data'!A73</f>
        <v>41974</v>
      </c>
      <c r="B73" s="6">
        <f t="shared" si="6"/>
        <v>2014</v>
      </c>
      <c r="C73" s="30">
        <f>'Monthly Data'!F73</f>
        <v>20471821.27884306</v>
      </c>
      <c r="D73" s="30">
        <f>'Monthly Data'!U73</f>
        <v>619.89999999999986</v>
      </c>
      <c r="E73" s="30">
        <f>'Monthly Data'!V73</f>
        <v>0</v>
      </c>
      <c r="F73" s="30">
        <f>'Monthly Data'!AA73</f>
        <v>72</v>
      </c>
      <c r="G73" s="30">
        <f>'Monthly Data'!AB73</f>
        <v>24046</v>
      </c>
      <c r="H73" s="30">
        <f>'Monthly Data'!AM73</f>
        <v>0</v>
      </c>
      <c r="I73" s="30">
        <f>'Monthly Data'!AO73</f>
        <v>0</v>
      </c>
      <c r="J73" s="30">
        <f>'Monthly Data'!AQ73</f>
        <v>0</v>
      </c>
      <c r="K73" s="94">
        <f>'Monthly Data'!AR73</f>
        <v>0</v>
      </c>
      <c r="M73" s="62">
        <f>'Res OLS Model'!$B$5</f>
        <v>-23168470.016197301</v>
      </c>
      <c r="N73" s="62">
        <f>'Res OLS Model'!$B$6*D73</f>
        <v>7424770.0708198277</v>
      </c>
      <c r="O73" s="62">
        <f>'Res OLS Model'!$B$7*E73</f>
        <v>0</v>
      </c>
      <c r="P73" s="62">
        <f>'Res OLS Model'!$B$8*F73</f>
        <v>-1978973.0948207448</v>
      </c>
      <c r="Q73" s="62">
        <f>'Res OLS Model'!$B$9*G73</f>
        <v>37521313.654553637</v>
      </c>
      <c r="R73" s="62">
        <f>'Res OLS Model'!$B$10*H73</f>
        <v>0</v>
      </c>
      <c r="S73" s="62">
        <f>'Res OLS Model'!$B$11*I73</f>
        <v>0</v>
      </c>
      <c r="T73" s="62">
        <f>'Res OLS Model'!$B$12*J73</f>
        <v>0</v>
      </c>
      <c r="U73" s="62">
        <f>'Res OLS Model'!$B$13*K73</f>
        <v>0</v>
      </c>
      <c r="V73" s="62">
        <f t="shared" si="9"/>
        <v>19798640.614355419</v>
      </c>
      <c r="W73" s="13">
        <f t="shared" si="8"/>
        <v>3.2883281624940273E-2</v>
      </c>
    </row>
    <row r="74" spans="1:23">
      <c r="W74" s="14">
        <f>AVERAGE(W2:W73)</f>
        <v>2.8220343941402326E-2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defaultColWidth="20.7109375" defaultRowHeight="12.75"/>
  <cols>
    <col min="2" max="2" width="12.85546875" bestFit="1" customWidth="1"/>
    <col min="3" max="3" width="17.5703125" bestFit="1" customWidth="1"/>
    <col min="4" max="4" width="12.5703125" bestFit="1" customWidth="1"/>
    <col min="5" max="5" width="12" bestFit="1" customWidth="1"/>
  </cols>
  <sheetData>
    <row r="1" spans="1:5">
      <c r="A1" t="s">
        <v>210</v>
      </c>
    </row>
    <row r="2" spans="1:5">
      <c r="A2" t="s">
        <v>175</v>
      </c>
    </row>
    <row r="4" spans="1:5">
      <c r="B4" t="s">
        <v>45</v>
      </c>
      <c r="C4" t="s">
        <v>44</v>
      </c>
      <c r="D4" t="s">
        <v>46</v>
      </c>
      <c r="E4" t="s">
        <v>14</v>
      </c>
    </row>
    <row r="5" spans="1:5">
      <c r="A5" t="s">
        <v>13</v>
      </c>
      <c r="B5" s="23">
        <v>-6867500.9582801796</v>
      </c>
      <c r="C5" s="23">
        <v>2014801.8869906899</v>
      </c>
      <c r="D5">
        <v>-3.4085241842499401</v>
      </c>
      <c r="E5" s="5">
        <v>1.1345317469397399E-3</v>
      </c>
    </row>
    <row r="6" spans="1:5">
      <c r="A6" t="s">
        <v>9</v>
      </c>
      <c r="B6" s="23">
        <v>3224.0234401238299</v>
      </c>
      <c r="C6" s="23">
        <v>144.09725301493799</v>
      </c>
      <c r="D6">
        <v>22.373941020163699</v>
      </c>
      <c r="E6" s="5">
        <v>5.8164678773385296E-32</v>
      </c>
    </row>
    <row r="7" spans="1:5">
      <c r="A7" t="s">
        <v>10</v>
      </c>
      <c r="B7" s="23">
        <v>15171.582726528501</v>
      </c>
      <c r="C7" s="23">
        <v>1221.54702879207</v>
      </c>
      <c r="D7">
        <v>12.4199743185745</v>
      </c>
      <c r="E7" s="5">
        <v>1.0487746022205001E-18</v>
      </c>
    </row>
    <row r="8" spans="1:5">
      <c r="A8" t="s">
        <v>209</v>
      </c>
      <c r="B8" s="23">
        <v>4133.4356311373604</v>
      </c>
      <c r="C8" s="23">
        <v>621.99979998326899</v>
      </c>
      <c r="D8">
        <v>6.6453970423278896</v>
      </c>
      <c r="E8" s="5">
        <v>7.7633759753788207E-9</v>
      </c>
    </row>
    <row r="9" spans="1:5">
      <c r="A9" s="12" t="s">
        <v>144</v>
      </c>
      <c r="B9" s="23">
        <v>912607.54486392904</v>
      </c>
      <c r="C9" s="23">
        <v>127922.253116666</v>
      </c>
      <c r="D9">
        <v>7.1340796665895603</v>
      </c>
      <c r="E9" s="5">
        <v>1.08181768605935E-9</v>
      </c>
    </row>
    <row r="10" spans="1:5">
      <c r="A10" s="31" t="s">
        <v>141</v>
      </c>
      <c r="B10" s="23">
        <v>-165959.07761345801</v>
      </c>
      <c r="C10" s="23">
        <v>73975.316954178707</v>
      </c>
      <c r="D10">
        <v>-2.2434385474313698</v>
      </c>
      <c r="E10" s="5">
        <v>2.8336906529093101E-2</v>
      </c>
    </row>
    <row r="11" spans="1:5">
      <c r="A11" t="s">
        <v>30</v>
      </c>
      <c r="B11" s="23">
        <v>-326910.06421591499</v>
      </c>
      <c r="C11" s="23">
        <v>103487.58796574301</v>
      </c>
      <c r="D11">
        <v>-3.1589301735791802</v>
      </c>
      <c r="E11">
        <v>2.4174333647139301E-3</v>
      </c>
    </row>
    <row r="12" spans="1:5">
      <c r="A12" t="s">
        <v>31</v>
      </c>
      <c r="B12" s="23">
        <v>-430621.67531502497</v>
      </c>
      <c r="C12" s="23">
        <v>102933.040263681</v>
      </c>
      <c r="D12">
        <v>-4.1835126428978704</v>
      </c>
      <c r="E12" s="5">
        <v>8.9155137835817707E-5</v>
      </c>
    </row>
    <row r="13" spans="1:5">
      <c r="B13" s="23"/>
      <c r="C13" s="23"/>
    </row>
    <row r="14" spans="1:5">
      <c r="A14" t="s">
        <v>47</v>
      </c>
      <c r="B14">
        <v>7770660.42089279</v>
      </c>
      <c r="C14" t="s">
        <v>48</v>
      </c>
      <c r="D14" s="5">
        <v>780271.13734345394</v>
      </c>
    </row>
    <row r="15" spans="1:5">
      <c r="A15" t="s">
        <v>49</v>
      </c>
      <c r="B15" s="23">
        <v>3133325466646.6499</v>
      </c>
      <c r="C15" t="s">
        <v>50</v>
      </c>
      <c r="D15" s="23">
        <v>221265.02302974599</v>
      </c>
    </row>
    <row r="16" spans="1:5">
      <c r="A16" t="s">
        <v>15</v>
      </c>
      <c r="B16">
        <v>0.92751367616220903</v>
      </c>
      <c r="C16" t="s">
        <v>16</v>
      </c>
      <c r="D16" s="5">
        <v>0.91958548449245003</v>
      </c>
    </row>
    <row r="17" spans="1:4">
      <c r="A17" t="s">
        <v>176</v>
      </c>
      <c r="B17">
        <v>116.98931039976701</v>
      </c>
      <c r="C17" t="s">
        <v>17</v>
      </c>
      <c r="D17" s="5">
        <v>5.5971555598711099E-34</v>
      </c>
    </row>
    <row r="18" spans="1:4">
      <c r="A18" t="s">
        <v>51</v>
      </c>
      <c r="B18">
        <v>-984.035770318147</v>
      </c>
      <c r="C18" t="s">
        <v>52</v>
      </c>
      <c r="D18" s="5">
        <v>1984.0715406362899</v>
      </c>
    </row>
    <row r="19" spans="1:4">
      <c r="A19" t="s">
        <v>53</v>
      </c>
      <c r="B19">
        <v>2002.28486958842</v>
      </c>
      <c r="C19" t="s">
        <v>54</v>
      </c>
      <c r="D19">
        <v>1991.32232082676</v>
      </c>
    </row>
    <row r="20" spans="1:4">
      <c r="A20" t="s">
        <v>55</v>
      </c>
      <c r="B20">
        <v>0.27096165599480698</v>
      </c>
      <c r="C20" t="s">
        <v>18</v>
      </c>
      <c r="D20">
        <v>1.4431873874982</v>
      </c>
    </row>
    <row r="21" spans="1:4">
      <c r="A21" s="31" t="s">
        <v>143</v>
      </c>
      <c r="B21">
        <v>0.31547999999999998</v>
      </c>
    </row>
    <row r="22" spans="1:4">
      <c r="A22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workbookViewId="0"/>
  </sheetViews>
  <sheetFormatPr defaultRowHeight="12.75"/>
  <cols>
    <col min="1" max="1" width="7.140625" style="11" bestFit="1" customWidth="1"/>
    <col min="2" max="2" width="7.140625" style="11" customWidth="1"/>
    <col min="3" max="3" width="12" bestFit="1" customWidth="1"/>
    <col min="4" max="5" width="12.7109375" bestFit="1" customWidth="1"/>
    <col min="6" max="6" width="14.85546875" bestFit="1" customWidth="1"/>
    <col min="7" max="7" width="4.5703125" customWidth="1"/>
    <col min="8" max="10" width="4.5703125" style="30" customWidth="1"/>
    <col min="12" max="14" width="10.28515625" style="23" bestFit="1" customWidth="1"/>
    <col min="15" max="15" width="12.42578125" style="23" bestFit="1" customWidth="1"/>
    <col min="16" max="16" width="15.28515625" style="23" bestFit="1" customWidth="1"/>
    <col min="17" max="19" width="8.7109375" style="23" bestFit="1" customWidth="1"/>
    <col min="20" max="20" width="15.42578125" style="23" bestFit="1" customWidth="1"/>
    <col min="22" max="22" width="9.140625" style="30"/>
  </cols>
  <sheetData>
    <row r="1" spans="1:22">
      <c r="A1" s="11" t="str">
        <f>'Monthly Data'!A1</f>
        <v>Date</v>
      </c>
      <c r="B1" s="15" t="s">
        <v>33</v>
      </c>
      <c r="C1" s="30" t="str">
        <f>'Monthly Data'!I1</f>
        <v>GSlt50noCDM</v>
      </c>
      <c r="D1" t="str">
        <f>'Monthly Data'!U1</f>
        <v>HDD</v>
      </c>
      <c r="E1" t="str">
        <f>'Monthly Data'!V1</f>
        <v>CDD</v>
      </c>
      <c r="F1" t="str">
        <f>'Monthly Data'!AC1</f>
        <v>GS&lt;50 Cust</v>
      </c>
      <c r="G1" t="str">
        <f>'Monthly Data'!AG1</f>
        <v>Reclassification</v>
      </c>
      <c r="H1" s="30" t="str">
        <f>'Monthly Data'!AM1</f>
        <v>Fall</v>
      </c>
      <c r="I1" s="30" t="str">
        <f>'Monthly Data'!AN1</f>
        <v>DFEB</v>
      </c>
      <c r="J1" s="30" t="str">
        <f>'Monthly Data'!AO1</f>
        <v>DAPR</v>
      </c>
      <c r="L1" s="23" t="s">
        <v>13</v>
      </c>
      <c r="M1" s="23" t="str">
        <f t="shared" ref="M1:S1" si="0">D1</f>
        <v>HDD</v>
      </c>
      <c r="N1" s="23" t="str">
        <f t="shared" si="0"/>
        <v>CDD</v>
      </c>
      <c r="O1" s="23" t="str">
        <f t="shared" si="0"/>
        <v>GS&lt;50 Cust</v>
      </c>
      <c r="P1" s="23" t="str">
        <f t="shared" si="0"/>
        <v>Reclassification</v>
      </c>
      <c r="Q1" s="23" t="str">
        <f t="shared" si="0"/>
        <v>Fall</v>
      </c>
      <c r="R1" s="23" t="str">
        <f t="shared" si="0"/>
        <v>DFEB</v>
      </c>
      <c r="S1" s="23" t="str">
        <f t="shared" si="0"/>
        <v>DAPR</v>
      </c>
      <c r="T1" s="58" t="s">
        <v>56</v>
      </c>
      <c r="U1" s="12" t="s">
        <v>57</v>
      </c>
      <c r="V1" s="12" t="s">
        <v>57</v>
      </c>
    </row>
    <row r="2" spans="1:22">
      <c r="A2" s="11">
        <f>'Monthly Data'!A2</f>
        <v>39814</v>
      </c>
      <c r="B2" s="6">
        <f>YEAR(A2)</f>
        <v>2009</v>
      </c>
      <c r="C2">
        <f>'Monthly Data'!I2</f>
        <v>9408092.4600828551</v>
      </c>
      <c r="D2">
        <f>'Monthly Data'!U2</f>
        <v>887.09999999999991</v>
      </c>
      <c r="E2">
        <f>'Monthly Data'!V2</f>
        <v>0</v>
      </c>
      <c r="F2" s="30">
        <f>'Monthly Data'!AC2</f>
        <v>3262</v>
      </c>
      <c r="G2" s="30">
        <f>'Monthly Data'!AG2</f>
        <v>0</v>
      </c>
      <c r="H2" s="30">
        <f>'Monthly Data'!AM2</f>
        <v>0</v>
      </c>
      <c r="I2" s="30">
        <f>'Monthly Data'!AN2</f>
        <v>0</v>
      </c>
      <c r="J2" s="30">
        <f>'Monthly Data'!AO2</f>
        <v>0</v>
      </c>
      <c r="L2" s="23">
        <f>'GS &lt; 50 OLS Model'!$B$5</f>
        <v>-6867500.9582801796</v>
      </c>
      <c r="M2" s="23">
        <f>'GS &lt; 50 OLS Model'!$B$6*D2</f>
        <v>2860031.1937338491</v>
      </c>
      <c r="N2" s="23">
        <f>'GS &lt; 50 OLS Model'!$B$7*E2</f>
        <v>0</v>
      </c>
      <c r="O2" s="23">
        <f>'GS &lt; 50 OLS Model'!$B$8*F2</f>
        <v>13483267.028770069</v>
      </c>
      <c r="P2" s="23">
        <f>'GS &lt; 50 OLS Model'!$B$9*G2</f>
        <v>0</v>
      </c>
      <c r="Q2" s="23">
        <f>'GS &lt; 50 OLS Model'!$B$10*H2</f>
        <v>0</v>
      </c>
      <c r="R2" s="23">
        <f>'GS &lt; 50 OLS Model'!$B$11*I2</f>
        <v>0</v>
      </c>
      <c r="S2" s="23">
        <f>'GS &lt; 50 OLS Model'!$B$12*J2</f>
        <v>0</v>
      </c>
      <c r="T2" s="23">
        <f t="shared" ref="T2:T33" si="1">SUM(L2:S2)</f>
        <v>9475797.2642237376</v>
      </c>
      <c r="U2" s="13">
        <f t="shared" ref="U2:U33" si="2">ABS(T2-C2)/C2</f>
        <v>7.1964433202739066E-3</v>
      </c>
      <c r="V2" s="13">
        <f t="shared" ref="V2:V33" si="3">(T2-C2)/C2</f>
        <v>7.1964433202739066E-3</v>
      </c>
    </row>
    <row r="3" spans="1:22">
      <c r="A3" s="11">
        <f>'Monthly Data'!A3</f>
        <v>39845</v>
      </c>
      <c r="B3" s="6">
        <f t="shared" ref="B3:B61" si="4">YEAR(A3)</f>
        <v>2009</v>
      </c>
      <c r="C3" s="30">
        <f>'Monthly Data'!I3</f>
        <v>8303130.0614485741</v>
      </c>
      <c r="D3">
        <f>'Monthly Data'!U3</f>
        <v>653.80000000000007</v>
      </c>
      <c r="E3">
        <f>'Monthly Data'!V3</f>
        <v>0</v>
      </c>
      <c r="F3" s="30">
        <f>'Monthly Data'!AC3</f>
        <v>3265</v>
      </c>
      <c r="G3" s="30">
        <f>'Monthly Data'!AG3</f>
        <v>0</v>
      </c>
      <c r="H3" s="30">
        <f>'Monthly Data'!AM3</f>
        <v>0</v>
      </c>
      <c r="I3" s="30">
        <f>'Monthly Data'!AN3</f>
        <v>1</v>
      </c>
      <c r="J3" s="30">
        <f>'Monthly Data'!AO3</f>
        <v>0</v>
      </c>
      <c r="L3" s="23">
        <f>'GS &lt; 50 OLS Model'!$B$5</f>
        <v>-6867500.9582801796</v>
      </c>
      <c r="M3" s="23">
        <f>'GS &lt; 50 OLS Model'!$B$6*D3</f>
        <v>2107866.5251529603</v>
      </c>
      <c r="N3" s="23">
        <f>'GS &lt; 50 OLS Model'!$B$7*E3</f>
        <v>0</v>
      </c>
      <c r="O3" s="23">
        <f>'GS &lt; 50 OLS Model'!$B$8*F3</f>
        <v>13495667.335663481</v>
      </c>
      <c r="P3" s="23">
        <f>'GS &lt; 50 OLS Model'!$B$9*G3</f>
        <v>0</v>
      </c>
      <c r="Q3" s="23">
        <f>'GS &lt; 50 OLS Model'!$B$10*H3</f>
        <v>0</v>
      </c>
      <c r="R3" s="23">
        <f>'GS &lt; 50 OLS Model'!$B$11*I3</f>
        <v>-326910.06421591499</v>
      </c>
      <c r="S3" s="23">
        <f>'GS &lt; 50 OLS Model'!$B$12*J3</f>
        <v>0</v>
      </c>
      <c r="T3" s="23">
        <f t="shared" si="1"/>
        <v>8409122.8383203465</v>
      </c>
      <c r="U3" s="13">
        <f t="shared" si="2"/>
        <v>1.2765400046411034E-2</v>
      </c>
      <c r="V3" s="13">
        <f t="shared" si="3"/>
        <v>1.2765400046411034E-2</v>
      </c>
    </row>
    <row r="4" spans="1:22">
      <c r="A4" s="11">
        <f>'Monthly Data'!A4</f>
        <v>39873</v>
      </c>
      <c r="B4" s="6">
        <f t="shared" si="4"/>
        <v>2009</v>
      </c>
      <c r="C4" s="30">
        <f>'Monthly Data'!I4</f>
        <v>8616455.7063142881</v>
      </c>
      <c r="D4">
        <f>'Monthly Data'!U4</f>
        <v>555.60000000000014</v>
      </c>
      <c r="E4">
        <f>'Monthly Data'!V4</f>
        <v>0</v>
      </c>
      <c r="F4" s="30">
        <f>'Monthly Data'!AC4</f>
        <v>3290</v>
      </c>
      <c r="G4" s="30">
        <f>'Monthly Data'!AG4</f>
        <v>0</v>
      </c>
      <c r="H4" s="30">
        <f>'Monthly Data'!AM4</f>
        <v>0</v>
      </c>
      <c r="I4" s="30">
        <f>'Monthly Data'!AN4</f>
        <v>0</v>
      </c>
      <c r="J4" s="30">
        <f>'Monthly Data'!AO4</f>
        <v>0</v>
      </c>
      <c r="L4" s="23">
        <f>'GS &lt; 50 OLS Model'!$B$5</f>
        <v>-6867500.9582801796</v>
      </c>
      <c r="M4" s="23">
        <f>'GS &lt; 50 OLS Model'!$B$6*D4</f>
        <v>1791267.4233328004</v>
      </c>
      <c r="N4" s="23">
        <f>'GS &lt; 50 OLS Model'!$B$7*E4</f>
        <v>0</v>
      </c>
      <c r="O4" s="23">
        <f>'GS &lt; 50 OLS Model'!$B$8*F4</f>
        <v>13599003.226441916</v>
      </c>
      <c r="P4" s="23">
        <f>'GS &lt; 50 OLS Model'!$B$9*G4</f>
        <v>0</v>
      </c>
      <c r="Q4" s="23">
        <f>'GS &lt; 50 OLS Model'!$B$10*H4</f>
        <v>0</v>
      </c>
      <c r="R4" s="23">
        <f>'GS &lt; 50 OLS Model'!$B$11*I4</f>
        <v>0</v>
      </c>
      <c r="S4" s="23">
        <f>'GS &lt; 50 OLS Model'!$B$12*J4</f>
        <v>0</v>
      </c>
      <c r="T4" s="23">
        <f t="shared" si="1"/>
        <v>8522769.6914945357</v>
      </c>
      <c r="U4" s="13">
        <f t="shared" si="2"/>
        <v>1.087291782293939E-2</v>
      </c>
      <c r="V4" s="13">
        <f t="shared" si="3"/>
        <v>-1.087291782293939E-2</v>
      </c>
    </row>
    <row r="5" spans="1:22">
      <c r="A5" s="11">
        <f>'Monthly Data'!A5</f>
        <v>39904</v>
      </c>
      <c r="B5" s="6">
        <f t="shared" si="4"/>
        <v>2009</v>
      </c>
      <c r="C5" s="30">
        <f>'Monthly Data'!I5</f>
        <v>7332910.1634800034</v>
      </c>
      <c r="D5">
        <f>'Monthly Data'!U5</f>
        <v>326.29999999999995</v>
      </c>
      <c r="E5">
        <f>'Monthly Data'!V5</f>
        <v>0.8</v>
      </c>
      <c r="F5" s="30">
        <f>'Monthly Data'!AC5</f>
        <v>3289</v>
      </c>
      <c r="G5" s="30">
        <f>'Monthly Data'!AG5</f>
        <v>0</v>
      </c>
      <c r="H5" s="30">
        <f>'Monthly Data'!AM5</f>
        <v>0</v>
      </c>
      <c r="I5" s="30">
        <f>'Monthly Data'!AN5</f>
        <v>0</v>
      </c>
      <c r="J5" s="30">
        <f>'Monthly Data'!AO5</f>
        <v>1</v>
      </c>
      <c r="L5" s="23">
        <f>'GS &lt; 50 OLS Model'!$B$5</f>
        <v>-6867500.9582801796</v>
      </c>
      <c r="M5" s="23">
        <f>'GS &lt; 50 OLS Model'!$B$6*D5</f>
        <v>1051998.8485124055</v>
      </c>
      <c r="N5" s="23">
        <f>'GS &lt; 50 OLS Model'!$B$7*E5</f>
        <v>12137.266181222802</v>
      </c>
      <c r="O5" s="23">
        <f>'GS &lt; 50 OLS Model'!$B$8*F5</f>
        <v>13594869.790810779</v>
      </c>
      <c r="P5" s="23">
        <f>'GS &lt; 50 OLS Model'!$B$9*G5</f>
        <v>0</v>
      </c>
      <c r="Q5" s="23">
        <f>'GS &lt; 50 OLS Model'!$B$10*H5</f>
        <v>0</v>
      </c>
      <c r="R5" s="23">
        <f>'GS &lt; 50 OLS Model'!$B$11*I5</f>
        <v>0</v>
      </c>
      <c r="S5" s="23">
        <f>'GS &lt; 50 OLS Model'!$B$12*J5</f>
        <v>-430621.67531502497</v>
      </c>
      <c r="T5" s="23">
        <f t="shared" si="1"/>
        <v>7360883.2719092024</v>
      </c>
      <c r="U5" s="13">
        <f t="shared" si="2"/>
        <v>3.8147349150018488E-3</v>
      </c>
      <c r="V5" s="13">
        <f t="shared" si="3"/>
        <v>3.8147349150018488E-3</v>
      </c>
    </row>
    <row r="6" spans="1:22">
      <c r="A6" s="11">
        <f>'Monthly Data'!A6</f>
        <v>39934</v>
      </c>
      <c r="B6" s="6">
        <f t="shared" si="4"/>
        <v>2009</v>
      </c>
      <c r="C6" s="30">
        <f>'Monthly Data'!I6</f>
        <v>6914339.2261457164</v>
      </c>
      <c r="D6">
        <f>'Monthly Data'!U6</f>
        <v>165.29999999999995</v>
      </c>
      <c r="E6">
        <f>'Monthly Data'!V6</f>
        <v>0</v>
      </c>
      <c r="F6" s="30">
        <f>'Monthly Data'!AC6</f>
        <v>3284</v>
      </c>
      <c r="G6" s="30">
        <f>'Monthly Data'!AG6</f>
        <v>0</v>
      </c>
      <c r="H6" s="30">
        <f>'Monthly Data'!AM6</f>
        <v>0</v>
      </c>
      <c r="I6" s="30">
        <f>'Monthly Data'!AN6</f>
        <v>0</v>
      </c>
      <c r="J6" s="30">
        <f>'Monthly Data'!AO6</f>
        <v>0</v>
      </c>
      <c r="L6" s="23">
        <f>'GS &lt; 50 OLS Model'!$B$5</f>
        <v>-6867500.9582801796</v>
      </c>
      <c r="M6" s="23">
        <f>'GS &lt; 50 OLS Model'!$B$6*D6</f>
        <v>532931.0746524689</v>
      </c>
      <c r="N6" s="23">
        <f>'GS &lt; 50 OLS Model'!$B$7*E6</f>
        <v>0</v>
      </c>
      <c r="O6" s="23">
        <f>'GS &lt; 50 OLS Model'!$B$8*F6</f>
        <v>13574202.612655092</v>
      </c>
      <c r="P6" s="23">
        <f>'GS &lt; 50 OLS Model'!$B$9*G6</f>
        <v>0</v>
      </c>
      <c r="Q6" s="23">
        <f>'GS &lt; 50 OLS Model'!$B$10*H6</f>
        <v>0</v>
      </c>
      <c r="R6" s="23">
        <f>'GS &lt; 50 OLS Model'!$B$11*I6</f>
        <v>0</v>
      </c>
      <c r="S6" s="23">
        <f>'GS &lt; 50 OLS Model'!$B$12*J6</f>
        <v>0</v>
      </c>
      <c r="T6" s="23">
        <f t="shared" si="1"/>
        <v>7239632.7290273812</v>
      </c>
      <c r="U6" s="13">
        <f t="shared" si="2"/>
        <v>4.7046216889620879E-2</v>
      </c>
      <c r="V6" s="13">
        <f t="shared" si="3"/>
        <v>4.7046216889620879E-2</v>
      </c>
    </row>
    <row r="7" spans="1:22">
      <c r="A7" s="11">
        <f>'Monthly Data'!A7</f>
        <v>39965</v>
      </c>
      <c r="B7" s="6">
        <f t="shared" si="4"/>
        <v>2009</v>
      </c>
      <c r="C7" s="30">
        <f>'Monthly Data'!I7</f>
        <v>6923072.5982114328</v>
      </c>
      <c r="D7">
        <f>'Monthly Data'!U7</f>
        <v>59.20000000000001</v>
      </c>
      <c r="E7">
        <f>'Monthly Data'!V7</f>
        <v>32.6</v>
      </c>
      <c r="F7" s="30">
        <f>'Monthly Data'!AC7</f>
        <v>3268</v>
      </c>
      <c r="G7" s="30">
        <f>'Monthly Data'!AG7</f>
        <v>0</v>
      </c>
      <c r="H7" s="30">
        <f>'Monthly Data'!AM7</f>
        <v>0</v>
      </c>
      <c r="I7" s="30">
        <f>'Monthly Data'!AN7</f>
        <v>0</v>
      </c>
      <c r="J7" s="30">
        <f>'Monthly Data'!AO7</f>
        <v>0</v>
      </c>
      <c r="L7" s="23">
        <f>'GS &lt; 50 OLS Model'!$B$5</f>
        <v>-6867500.9582801796</v>
      </c>
      <c r="M7" s="23">
        <f>'GS &lt; 50 OLS Model'!$B$6*D7</f>
        <v>190862.18765533075</v>
      </c>
      <c r="N7" s="23">
        <f>'GS &lt; 50 OLS Model'!$B$7*E7</f>
        <v>494593.59688482917</v>
      </c>
      <c r="O7" s="23">
        <f>'GS &lt; 50 OLS Model'!$B$8*F7</f>
        <v>13508067.642556895</v>
      </c>
      <c r="P7" s="23">
        <f>'GS &lt; 50 OLS Model'!$B$9*G7</f>
        <v>0</v>
      </c>
      <c r="Q7" s="23">
        <f>'GS &lt; 50 OLS Model'!$B$10*H7</f>
        <v>0</v>
      </c>
      <c r="R7" s="23">
        <f>'GS &lt; 50 OLS Model'!$B$11*I7</f>
        <v>0</v>
      </c>
      <c r="S7" s="23">
        <f>'GS &lt; 50 OLS Model'!$B$12*J7</f>
        <v>0</v>
      </c>
      <c r="T7" s="23">
        <f t="shared" si="1"/>
        <v>7326022.4688168745</v>
      </c>
      <c r="U7" s="13">
        <f t="shared" si="2"/>
        <v>5.8203906558706803E-2</v>
      </c>
      <c r="V7" s="13">
        <f t="shared" si="3"/>
        <v>5.8203906558706803E-2</v>
      </c>
    </row>
    <row r="8" spans="1:22">
      <c r="A8" s="11">
        <f>'Monthly Data'!A8</f>
        <v>39995</v>
      </c>
      <c r="B8" s="6">
        <f t="shared" si="4"/>
        <v>2009</v>
      </c>
      <c r="C8" s="30">
        <f>'Monthly Data'!I8</f>
        <v>7578625.0371771464</v>
      </c>
      <c r="D8">
        <f>'Monthly Data'!U8</f>
        <v>11.799999999999999</v>
      </c>
      <c r="E8">
        <f>'Monthly Data'!V8</f>
        <v>35.6</v>
      </c>
      <c r="F8" s="30">
        <f>'Monthly Data'!AC8</f>
        <v>3268</v>
      </c>
      <c r="G8" s="30">
        <f>'Monthly Data'!AG8</f>
        <v>0</v>
      </c>
      <c r="H8" s="30">
        <f>'Monthly Data'!AM8</f>
        <v>0</v>
      </c>
      <c r="I8" s="30">
        <f>'Monthly Data'!AN8</f>
        <v>0</v>
      </c>
      <c r="J8" s="30">
        <f>'Monthly Data'!AO8</f>
        <v>0</v>
      </c>
      <c r="L8" s="23">
        <f>'GS &lt; 50 OLS Model'!$B$5</f>
        <v>-6867500.9582801796</v>
      </c>
      <c r="M8" s="23">
        <f>'GS &lt; 50 OLS Model'!$B$6*D8</f>
        <v>38043.476593461186</v>
      </c>
      <c r="N8" s="23">
        <f>'GS &lt; 50 OLS Model'!$B$7*E8</f>
        <v>540108.34506441467</v>
      </c>
      <c r="O8" s="23">
        <f>'GS &lt; 50 OLS Model'!$B$8*F8</f>
        <v>13508067.642556895</v>
      </c>
      <c r="P8" s="23">
        <f>'GS &lt; 50 OLS Model'!$B$9*G8</f>
        <v>0</v>
      </c>
      <c r="Q8" s="23">
        <f>'GS &lt; 50 OLS Model'!$B$10*H8</f>
        <v>0</v>
      </c>
      <c r="R8" s="23">
        <f>'GS &lt; 50 OLS Model'!$B$11*I8</f>
        <v>0</v>
      </c>
      <c r="S8" s="23">
        <f>'GS &lt; 50 OLS Model'!$B$12*J8</f>
        <v>0</v>
      </c>
      <c r="T8" s="23">
        <f t="shared" si="1"/>
        <v>7218718.5059345905</v>
      </c>
      <c r="U8" s="13">
        <f t="shared" si="2"/>
        <v>4.748968704442097E-2</v>
      </c>
      <c r="V8" s="13">
        <f t="shared" si="3"/>
        <v>-4.748968704442097E-2</v>
      </c>
    </row>
    <row r="9" spans="1:22">
      <c r="A9" s="11">
        <f>'Monthly Data'!A9</f>
        <v>40026</v>
      </c>
      <c r="B9" s="6">
        <f t="shared" si="4"/>
        <v>2009</v>
      </c>
      <c r="C9" s="30">
        <f>'Monthly Data'!I9</f>
        <v>7854475.5284428624</v>
      </c>
      <c r="D9">
        <f>'Monthly Data'!U9</f>
        <v>20.6</v>
      </c>
      <c r="E9">
        <f>'Monthly Data'!V9</f>
        <v>85.199999999999989</v>
      </c>
      <c r="F9" s="30">
        <f>'Monthly Data'!AC9</f>
        <v>3261</v>
      </c>
      <c r="G9" s="30">
        <f>'Monthly Data'!AG9</f>
        <v>0</v>
      </c>
      <c r="H9" s="30">
        <f>'Monthly Data'!AM9</f>
        <v>0</v>
      </c>
      <c r="I9" s="30">
        <f>'Monthly Data'!AN9</f>
        <v>0</v>
      </c>
      <c r="J9" s="30">
        <f>'Monthly Data'!AO9</f>
        <v>0</v>
      </c>
      <c r="L9" s="23">
        <f>'GS &lt; 50 OLS Model'!$B$5</f>
        <v>-6867500.9582801796</v>
      </c>
      <c r="M9" s="23">
        <f>'GS &lt; 50 OLS Model'!$B$6*D9</f>
        <v>66414.882866550906</v>
      </c>
      <c r="N9" s="23">
        <f>'GS &lt; 50 OLS Model'!$B$7*E9</f>
        <v>1292618.8483002281</v>
      </c>
      <c r="O9" s="23">
        <f>'GS &lt; 50 OLS Model'!$B$8*F9</f>
        <v>13479133.593138931</v>
      </c>
      <c r="P9" s="23">
        <f>'GS &lt; 50 OLS Model'!$B$9*G9</f>
        <v>0</v>
      </c>
      <c r="Q9" s="23">
        <f>'GS &lt; 50 OLS Model'!$B$10*H9</f>
        <v>0</v>
      </c>
      <c r="R9" s="23">
        <f>'GS &lt; 50 OLS Model'!$B$11*I9</f>
        <v>0</v>
      </c>
      <c r="S9" s="23">
        <f>'GS &lt; 50 OLS Model'!$B$12*J9</f>
        <v>0</v>
      </c>
      <c r="T9" s="23">
        <f t="shared" si="1"/>
        <v>7970666.3660255307</v>
      </c>
      <c r="U9" s="13">
        <f t="shared" si="2"/>
        <v>1.4792946666128699E-2</v>
      </c>
      <c r="V9" s="13">
        <f t="shared" si="3"/>
        <v>1.4792946666128699E-2</v>
      </c>
    </row>
    <row r="10" spans="1:22">
      <c r="A10" s="11">
        <f>'Monthly Data'!A10</f>
        <v>40057</v>
      </c>
      <c r="B10" s="6">
        <f t="shared" si="4"/>
        <v>2009</v>
      </c>
      <c r="C10" s="30">
        <f>'Monthly Data'!I10</f>
        <v>7127223.8715085778</v>
      </c>
      <c r="D10">
        <f>'Monthly Data'!U10</f>
        <v>100.9</v>
      </c>
      <c r="E10">
        <f>'Monthly Data'!V10</f>
        <v>4.5999999999999996</v>
      </c>
      <c r="F10" s="30">
        <f>'Monthly Data'!AC10</f>
        <v>3260</v>
      </c>
      <c r="G10" s="30">
        <f>'Monthly Data'!AG10</f>
        <v>0</v>
      </c>
      <c r="H10" s="30">
        <f>'Monthly Data'!AM10</f>
        <v>1</v>
      </c>
      <c r="I10" s="30">
        <f>'Monthly Data'!AN10</f>
        <v>0</v>
      </c>
      <c r="J10" s="30">
        <f>'Monthly Data'!AO10</f>
        <v>0</v>
      </c>
      <c r="L10" s="23">
        <f>'GS &lt; 50 OLS Model'!$B$5</f>
        <v>-6867500.9582801796</v>
      </c>
      <c r="M10" s="23">
        <f>'GS &lt; 50 OLS Model'!$B$6*D10</f>
        <v>325303.96510849445</v>
      </c>
      <c r="N10" s="23">
        <f>'GS &lt; 50 OLS Model'!$B$7*E10</f>
        <v>69789.280542031091</v>
      </c>
      <c r="O10" s="23">
        <f>'GS &lt; 50 OLS Model'!$B$8*F10</f>
        <v>13475000.157507794</v>
      </c>
      <c r="P10" s="23">
        <f>'GS &lt; 50 OLS Model'!$B$9*G10</f>
        <v>0</v>
      </c>
      <c r="Q10" s="23">
        <f>'GS &lt; 50 OLS Model'!$B$10*H10</f>
        <v>-165959.07761345801</v>
      </c>
      <c r="R10" s="23">
        <f>'GS &lt; 50 OLS Model'!$B$11*I10</f>
        <v>0</v>
      </c>
      <c r="S10" s="23">
        <f>'GS &lt; 50 OLS Model'!$B$12*J10</f>
        <v>0</v>
      </c>
      <c r="T10" s="23">
        <f t="shared" si="1"/>
        <v>6836633.3672646815</v>
      </c>
      <c r="U10" s="13">
        <f t="shared" si="2"/>
        <v>4.0771906352702898E-2</v>
      </c>
      <c r="V10" s="13">
        <f t="shared" si="3"/>
        <v>-4.0771906352702898E-2</v>
      </c>
    </row>
    <row r="11" spans="1:22">
      <c r="A11" s="11">
        <f>'Monthly Data'!A11</f>
        <v>40087</v>
      </c>
      <c r="B11" s="6">
        <f t="shared" si="4"/>
        <v>2009</v>
      </c>
      <c r="C11" s="30">
        <f>'Monthly Data'!I11</f>
        <v>7360544.6932742912</v>
      </c>
      <c r="D11">
        <f>'Monthly Data'!U11</f>
        <v>330.19999999999993</v>
      </c>
      <c r="E11">
        <f>'Monthly Data'!V11</f>
        <v>0</v>
      </c>
      <c r="F11" s="30">
        <f>'Monthly Data'!AC11</f>
        <v>3248</v>
      </c>
      <c r="G11" s="30">
        <f>'Monthly Data'!AG11</f>
        <v>0</v>
      </c>
      <c r="H11" s="30">
        <f>'Monthly Data'!AM11</f>
        <v>1</v>
      </c>
      <c r="I11" s="30">
        <f>'Monthly Data'!AN11</f>
        <v>0</v>
      </c>
      <c r="J11" s="30">
        <f>'Monthly Data'!AO11</f>
        <v>0</v>
      </c>
      <c r="L11" s="23">
        <f>'GS &lt; 50 OLS Model'!$B$5</f>
        <v>-6867500.9582801796</v>
      </c>
      <c r="M11" s="23">
        <f>'GS &lt; 50 OLS Model'!$B$6*D11</f>
        <v>1064572.5399288884</v>
      </c>
      <c r="N11" s="23">
        <f>'GS &lt; 50 OLS Model'!$B$7*E11</f>
        <v>0</v>
      </c>
      <c r="O11" s="23">
        <f>'GS &lt; 50 OLS Model'!$B$8*F11</f>
        <v>13425398.929934146</v>
      </c>
      <c r="P11" s="23">
        <f>'GS &lt; 50 OLS Model'!$B$9*G11</f>
        <v>0</v>
      </c>
      <c r="Q11" s="23">
        <f>'GS &lt; 50 OLS Model'!$B$10*H11</f>
        <v>-165959.07761345801</v>
      </c>
      <c r="R11" s="23">
        <f>'GS &lt; 50 OLS Model'!$B$11*I11</f>
        <v>0</v>
      </c>
      <c r="S11" s="23">
        <f>'GS &lt; 50 OLS Model'!$B$12*J11</f>
        <v>0</v>
      </c>
      <c r="T11" s="23">
        <f t="shared" si="1"/>
        <v>7456511.4339693971</v>
      </c>
      <c r="U11" s="13">
        <f t="shared" si="2"/>
        <v>1.3037994427612894E-2</v>
      </c>
      <c r="V11" s="13">
        <f t="shared" si="3"/>
        <v>1.3037994427612894E-2</v>
      </c>
    </row>
    <row r="12" spans="1:22">
      <c r="A12" s="11">
        <f>'Monthly Data'!A12</f>
        <v>40118</v>
      </c>
      <c r="B12" s="6">
        <f t="shared" si="4"/>
        <v>2009</v>
      </c>
      <c r="C12" s="30">
        <f>'Monthly Data'!I12</f>
        <v>7597920.9622400068</v>
      </c>
      <c r="D12">
        <f>'Monthly Data'!U12</f>
        <v>384.49999999999989</v>
      </c>
      <c r="E12">
        <f>'Monthly Data'!V12</f>
        <v>0</v>
      </c>
      <c r="F12" s="30">
        <f>'Monthly Data'!AC12</f>
        <v>3247</v>
      </c>
      <c r="G12" s="30">
        <f>'Monthly Data'!AG12</f>
        <v>0</v>
      </c>
      <c r="H12" s="30">
        <f>'Monthly Data'!AM12</f>
        <v>1</v>
      </c>
      <c r="I12" s="30">
        <f>'Monthly Data'!AN12</f>
        <v>0</v>
      </c>
      <c r="J12" s="30">
        <f>'Monthly Data'!AO12</f>
        <v>0</v>
      </c>
      <c r="L12" s="23">
        <f>'GS &lt; 50 OLS Model'!$B$5</f>
        <v>-6867500.9582801796</v>
      </c>
      <c r="M12" s="23">
        <f>'GS &lt; 50 OLS Model'!$B$6*D12</f>
        <v>1239637.0127276122</v>
      </c>
      <c r="N12" s="23">
        <f>'GS &lt; 50 OLS Model'!$B$7*E12</f>
        <v>0</v>
      </c>
      <c r="O12" s="23">
        <f>'GS &lt; 50 OLS Model'!$B$8*F12</f>
        <v>13421265.494303009</v>
      </c>
      <c r="P12" s="23">
        <f>'GS &lt; 50 OLS Model'!$B$9*G12</f>
        <v>0</v>
      </c>
      <c r="Q12" s="23">
        <f>'GS &lt; 50 OLS Model'!$B$10*H12</f>
        <v>-165959.07761345801</v>
      </c>
      <c r="R12" s="23">
        <f>'GS &lt; 50 OLS Model'!$B$11*I12</f>
        <v>0</v>
      </c>
      <c r="S12" s="23">
        <f>'GS &lt; 50 OLS Model'!$B$12*J12</f>
        <v>0</v>
      </c>
      <c r="T12" s="23">
        <f t="shared" si="1"/>
        <v>7627442.4711369835</v>
      </c>
      <c r="U12" s="13">
        <f t="shared" si="2"/>
        <v>3.8854719657774942E-3</v>
      </c>
      <c r="V12" s="13">
        <f t="shared" si="3"/>
        <v>3.8854719657774942E-3</v>
      </c>
    </row>
    <row r="13" spans="1:22">
      <c r="A13" s="11">
        <f>'Monthly Data'!A13</f>
        <v>40148</v>
      </c>
      <c r="B13" s="6">
        <f t="shared" si="4"/>
        <v>2009</v>
      </c>
      <c r="C13" s="30">
        <f>'Monthly Data'!I13</f>
        <v>8675418.3758057225</v>
      </c>
      <c r="D13">
        <f>'Monthly Data'!U13</f>
        <v>696.79999999999984</v>
      </c>
      <c r="E13">
        <f>'Monthly Data'!V13</f>
        <v>0</v>
      </c>
      <c r="F13" s="30">
        <f>'Monthly Data'!AC13</f>
        <v>3255</v>
      </c>
      <c r="G13" s="30">
        <f>'Monthly Data'!AG13</f>
        <v>0</v>
      </c>
      <c r="H13" s="30">
        <f>'Monthly Data'!AM13</f>
        <v>0</v>
      </c>
      <c r="I13" s="30">
        <f>'Monthly Data'!AN13</f>
        <v>0</v>
      </c>
      <c r="J13" s="30">
        <f>'Monthly Data'!AO13</f>
        <v>0</v>
      </c>
      <c r="L13" s="23">
        <f>'GS &lt; 50 OLS Model'!$B$5</f>
        <v>-6867500.9582801796</v>
      </c>
      <c r="M13" s="23">
        <f>'GS &lt; 50 OLS Model'!$B$6*D13</f>
        <v>2246499.533078284</v>
      </c>
      <c r="N13" s="23">
        <f>'GS &lt; 50 OLS Model'!$B$7*E13</f>
        <v>0</v>
      </c>
      <c r="O13" s="23">
        <f>'GS &lt; 50 OLS Model'!$B$8*F13</f>
        <v>13454332.979352107</v>
      </c>
      <c r="P13" s="23">
        <f>'GS &lt; 50 OLS Model'!$B$9*G13</f>
        <v>0</v>
      </c>
      <c r="Q13" s="23">
        <f>'GS &lt; 50 OLS Model'!$B$10*H13</f>
        <v>0</v>
      </c>
      <c r="R13" s="23">
        <f>'GS &lt; 50 OLS Model'!$B$11*I13</f>
        <v>0</v>
      </c>
      <c r="S13" s="23">
        <f>'GS &lt; 50 OLS Model'!$B$12*J13</f>
        <v>0</v>
      </c>
      <c r="T13" s="23">
        <f t="shared" si="1"/>
        <v>8833331.5541502126</v>
      </c>
      <c r="U13" s="13">
        <f t="shared" si="2"/>
        <v>1.820237036462509E-2</v>
      </c>
      <c r="V13" s="13">
        <f t="shared" si="3"/>
        <v>1.820237036462509E-2</v>
      </c>
    </row>
    <row r="14" spans="1:22">
      <c r="A14" s="11">
        <f>'Monthly Data'!A14</f>
        <v>40179</v>
      </c>
      <c r="B14" s="6">
        <f t="shared" si="4"/>
        <v>2010</v>
      </c>
      <c r="C14" s="30">
        <f>'Monthly Data'!I14</f>
        <v>9383974.6045029908</v>
      </c>
      <c r="D14">
        <f>'Monthly Data'!U14</f>
        <v>750.59999999999991</v>
      </c>
      <c r="E14">
        <f>'Monthly Data'!V14</f>
        <v>0</v>
      </c>
      <c r="F14" s="30">
        <f>'Monthly Data'!AC14</f>
        <v>3254</v>
      </c>
      <c r="G14" s="30">
        <f>'Monthly Data'!AG14</f>
        <v>0</v>
      </c>
      <c r="H14" s="30">
        <f>'Monthly Data'!AM14</f>
        <v>0</v>
      </c>
      <c r="I14" s="30">
        <f>'Monthly Data'!AN14</f>
        <v>0</v>
      </c>
      <c r="J14" s="30">
        <f>'Monthly Data'!AO14</f>
        <v>0</v>
      </c>
      <c r="L14" s="23">
        <f>'GS &lt; 50 OLS Model'!$B$5</f>
        <v>-6867500.9582801796</v>
      </c>
      <c r="M14" s="23">
        <f>'GS &lt; 50 OLS Model'!$B$6*D14</f>
        <v>2419951.9941569464</v>
      </c>
      <c r="N14" s="23">
        <f>'GS &lt; 50 OLS Model'!$B$7*E14</f>
        <v>0</v>
      </c>
      <c r="O14" s="23">
        <f>'GS &lt; 50 OLS Model'!$B$8*F14</f>
        <v>13450199.54372097</v>
      </c>
      <c r="P14" s="23">
        <f>'GS &lt; 50 OLS Model'!$B$9*G14</f>
        <v>0</v>
      </c>
      <c r="Q14" s="23">
        <f>'GS &lt; 50 OLS Model'!$B$10*H14</f>
        <v>0</v>
      </c>
      <c r="R14" s="23">
        <f>'GS &lt; 50 OLS Model'!$B$11*I14</f>
        <v>0</v>
      </c>
      <c r="S14" s="23">
        <f>'GS &lt; 50 OLS Model'!$B$12*J14</f>
        <v>0</v>
      </c>
      <c r="T14" s="23">
        <f t="shared" si="1"/>
        <v>9002650.5795977376</v>
      </c>
      <c r="U14" s="13">
        <f t="shared" si="2"/>
        <v>4.0635662496600444E-2</v>
      </c>
      <c r="V14" s="13">
        <f t="shared" si="3"/>
        <v>-4.0635662496600444E-2</v>
      </c>
    </row>
    <row r="15" spans="1:22">
      <c r="A15" s="11">
        <f>'Monthly Data'!A15</f>
        <v>40210</v>
      </c>
      <c r="B15" s="6">
        <f t="shared" si="4"/>
        <v>2010</v>
      </c>
      <c r="C15" s="30">
        <f>'Monthly Data'!I15</f>
        <v>8654532.3013318107</v>
      </c>
      <c r="D15">
        <f>'Monthly Data'!U15</f>
        <v>620.40000000000009</v>
      </c>
      <c r="E15">
        <f>'Monthly Data'!V15</f>
        <v>0</v>
      </c>
      <c r="F15" s="30">
        <f>'Monthly Data'!AC15</f>
        <v>3250</v>
      </c>
      <c r="G15" s="30">
        <f>'Monthly Data'!AG15</f>
        <v>0</v>
      </c>
      <c r="H15" s="30">
        <f>'Monthly Data'!AM15</f>
        <v>0</v>
      </c>
      <c r="I15" s="30">
        <f>'Monthly Data'!AN15</f>
        <v>1</v>
      </c>
      <c r="J15" s="30">
        <f>'Monthly Data'!AO15</f>
        <v>0</v>
      </c>
      <c r="L15" s="23">
        <f>'GS &lt; 50 OLS Model'!$B$5</f>
        <v>-6867500.9582801796</v>
      </c>
      <c r="M15" s="23">
        <f>'GS &lt; 50 OLS Model'!$B$6*D15</f>
        <v>2000184.1422528243</v>
      </c>
      <c r="N15" s="23">
        <f>'GS &lt; 50 OLS Model'!$B$7*E15</f>
        <v>0</v>
      </c>
      <c r="O15" s="23">
        <f>'GS &lt; 50 OLS Model'!$B$8*F15</f>
        <v>13433665.801196421</v>
      </c>
      <c r="P15" s="23">
        <f>'GS &lt; 50 OLS Model'!$B$9*G15</f>
        <v>0</v>
      </c>
      <c r="Q15" s="23">
        <f>'GS &lt; 50 OLS Model'!$B$10*H15</f>
        <v>0</v>
      </c>
      <c r="R15" s="23">
        <f>'GS &lt; 50 OLS Model'!$B$11*I15</f>
        <v>-326910.06421591499</v>
      </c>
      <c r="S15" s="23">
        <f>'GS &lt; 50 OLS Model'!$B$12*J15</f>
        <v>0</v>
      </c>
      <c r="T15" s="23">
        <f t="shared" si="1"/>
        <v>8239438.920953149</v>
      </c>
      <c r="U15" s="13">
        <f t="shared" si="2"/>
        <v>4.7962543315574042E-2</v>
      </c>
      <c r="V15" s="13">
        <f t="shared" si="3"/>
        <v>-4.7962543315574042E-2</v>
      </c>
    </row>
    <row r="16" spans="1:22">
      <c r="A16" s="11">
        <f>'Monthly Data'!A16</f>
        <v>40238</v>
      </c>
      <c r="B16" s="6">
        <f t="shared" si="4"/>
        <v>2010</v>
      </c>
      <c r="C16" s="30">
        <f>'Monthly Data'!I16</f>
        <v>8273380.9928606292</v>
      </c>
      <c r="D16">
        <f>'Monthly Data'!U16</f>
        <v>451.89999999999992</v>
      </c>
      <c r="E16">
        <f>'Monthly Data'!V16</f>
        <v>0</v>
      </c>
      <c r="F16" s="30">
        <f>'Monthly Data'!AC16</f>
        <v>3249</v>
      </c>
      <c r="G16" s="30">
        <f>'Monthly Data'!AG16</f>
        <v>0</v>
      </c>
      <c r="H16" s="30">
        <f>'Monthly Data'!AM16</f>
        <v>0</v>
      </c>
      <c r="I16" s="30">
        <f>'Monthly Data'!AN16</f>
        <v>0</v>
      </c>
      <c r="J16" s="30">
        <f>'Monthly Data'!AO16</f>
        <v>0</v>
      </c>
      <c r="L16" s="23">
        <f>'GS &lt; 50 OLS Model'!$B$5</f>
        <v>-6867500.9582801796</v>
      </c>
      <c r="M16" s="23">
        <f>'GS &lt; 50 OLS Model'!$B$6*D16</f>
        <v>1456936.1925919584</v>
      </c>
      <c r="N16" s="23">
        <f>'GS &lt; 50 OLS Model'!$B$7*E16</f>
        <v>0</v>
      </c>
      <c r="O16" s="23">
        <f>'GS &lt; 50 OLS Model'!$B$8*F16</f>
        <v>13429532.365565283</v>
      </c>
      <c r="P16" s="23">
        <f>'GS &lt; 50 OLS Model'!$B$9*G16</f>
        <v>0</v>
      </c>
      <c r="Q16" s="23">
        <f>'GS &lt; 50 OLS Model'!$B$10*H16</f>
        <v>0</v>
      </c>
      <c r="R16" s="23">
        <f>'GS &lt; 50 OLS Model'!$B$11*I16</f>
        <v>0</v>
      </c>
      <c r="S16" s="23">
        <f>'GS &lt; 50 OLS Model'!$B$12*J16</f>
        <v>0</v>
      </c>
      <c r="T16" s="23">
        <f t="shared" si="1"/>
        <v>8018967.5998770623</v>
      </c>
      <c r="U16" s="13">
        <f t="shared" si="2"/>
        <v>3.0750837318275152E-2</v>
      </c>
      <c r="V16" s="13">
        <f t="shared" si="3"/>
        <v>-3.0750837318275152E-2</v>
      </c>
    </row>
    <row r="17" spans="1:22">
      <c r="A17" s="11">
        <f>'Monthly Data'!A17</f>
        <v>40269</v>
      </c>
      <c r="B17" s="6">
        <f t="shared" si="4"/>
        <v>2010</v>
      </c>
      <c r="C17" s="30">
        <f>'Monthly Data'!I17</f>
        <v>6988849.8994894521</v>
      </c>
      <c r="D17">
        <f>'Monthly Data'!U17</f>
        <v>243.49999999999989</v>
      </c>
      <c r="E17">
        <f>'Monthly Data'!V17</f>
        <v>1.3</v>
      </c>
      <c r="F17" s="30">
        <f>'Monthly Data'!AC17</f>
        <v>3250</v>
      </c>
      <c r="G17" s="30">
        <f>'Monthly Data'!AG17</f>
        <v>0</v>
      </c>
      <c r="H17" s="30">
        <f>'Monthly Data'!AM17</f>
        <v>0</v>
      </c>
      <c r="I17" s="30">
        <f>'Monthly Data'!AN17</f>
        <v>0</v>
      </c>
      <c r="J17" s="30">
        <f>'Monthly Data'!AO17</f>
        <v>1</v>
      </c>
      <c r="L17" s="23">
        <f>'GS &lt; 50 OLS Model'!$B$5</f>
        <v>-6867500.9582801796</v>
      </c>
      <c r="M17" s="23">
        <f>'GS &lt; 50 OLS Model'!$B$6*D17</f>
        <v>785049.70767015219</v>
      </c>
      <c r="N17" s="23">
        <f>'GS &lt; 50 OLS Model'!$B$7*E17</f>
        <v>19723.057544487052</v>
      </c>
      <c r="O17" s="23">
        <f>'GS &lt; 50 OLS Model'!$B$8*F17</f>
        <v>13433665.801196421</v>
      </c>
      <c r="P17" s="23">
        <f>'GS &lt; 50 OLS Model'!$B$9*G17</f>
        <v>0</v>
      </c>
      <c r="Q17" s="23">
        <f>'GS &lt; 50 OLS Model'!$B$10*H17</f>
        <v>0</v>
      </c>
      <c r="R17" s="23">
        <f>'GS &lt; 50 OLS Model'!$B$11*I17</f>
        <v>0</v>
      </c>
      <c r="S17" s="23">
        <f>'GS &lt; 50 OLS Model'!$B$12*J17</f>
        <v>-430621.67531502497</v>
      </c>
      <c r="T17" s="23">
        <f t="shared" si="1"/>
        <v>6940315.9328158544</v>
      </c>
      <c r="U17" s="13">
        <f t="shared" si="2"/>
        <v>6.9444854835333039E-3</v>
      </c>
      <c r="V17" s="13">
        <f t="shared" si="3"/>
        <v>-6.9444854835333039E-3</v>
      </c>
    </row>
    <row r="18" spans="1:22">
      <c r="A18" s="11">
        <f>'Monthly Data'!A18</f>
        <v>40299</v>
      </c>
      <c r="B18" s="6">
        <f t="shared" si="4"/>
        <v>2010</v>
      </c>
      <c r="C18" s="30">
        <f>'Monthly Data'!I18</f>
        <v>7059902.6826182716</v>
      </c>
      <c r="D18">
        <f>'Monthly Data'!U18</f>
        <v>110.2</v>
      </c>
      <c r="E18">
        <f>'Monthly Data'!V18</f>
        <v>26.100000000000005</v>
      </c>
      <c r="F18" s="30">
        <f>'Monthly Data'!AC18</f>
        <v>3237</v>
      </c>
      <c r="G18" s="30">
        <f>'Monthly Data'!AG18</f>
        <v>0</v>
      </c>
      <c r="H18" s="30">
        <f>'Monthly Data'!AM18</f>
        <v>0</v>
      </c>
      <c r="I18" s="30">
        <f>'Monthly Data'!AN18</f>
        <v>0</v>
      </c>
      <c r="J18" s="30">
        <f>'Monthly Data'!AO18</f>
        <v>0</v>
      </c>
      <c r="L18" s="23">
        <f>'GS &lt; 50 OLS Model'!$B$5</f>
        <v>-6867500.9582801796</v>
      </c>
      <c r="M18" s="23">
        <f>'GS &lt; 50 OLS Model'!$B$6*D18</f>
        <v>355287.38310164609</v>
      </c>
      <c r="N18" s="23">
        <f>'GS &lt; 50 OLS Model'!$B$7*E18</f>
        <v>395978.30916239397</v>
      </c>
      <c r="O18" s="23">
        <f>'GS &lt; 50 OLS Model'!$B$8*F18</f>
        <v>13379931.137991635</v>
      </c>
      <c r="P18" s="23">
        <f>'GS &lt; 50 OLS Model'!$B$9*G18</f>
        <v>0</v>
      </c>
      <c r="Q18" s="23">
        <f>'GS &lt; 50 OLS Model'!$B$10*H18</f>
        <v>0</v>
      </c>
      <c r="R18" s="23">
        <f>'GS &lt; 50 OLS Model'!$B$11*I18</f>
        <v>0</v>
      </c>
      <c r="S18" s="23">
        <f>'GS &lt; 50 OLS Model'!$B$12*J18</f>
        <v>0</v>
      </c>
      <c r="T18" s="23">
        <f t="shared" si="1"/>
        <v>7263695.8719754955</v>
      </c>
      <c r="U18" s="13">
        <f t="shared" si="2"/>
        <v>2.8866288746298149E-2</v>
      </c>
      <c r="V18" s="13">
        <f t="shared" si="3"/>
        <v>2.8866288746298149E-2</v>
      </c>
    </row>
    <row r="19" spans="1:22">
      <c r="A19" s="11">
        <f>'Monthly Data'!A19</f>
        <v>40330</v>
      </c>
      <c r="B19" s="6">
        <f t="shared" si="4"/>
        <v>2010</v>
      </c>
      <c r="C19" s="30">
        <f>'Monthly Data'!I19</f>
        <v>7262687.729847094</v>
      </c>
      <c r="D19">
        <f>'Monthly Data'!U19</f>
        <v>38.300000000000004</v>
      </c>
      <c r="E19">
        <f>'Monthly Data'!V19</f>
        <v>33.700000000000003</v>
      </c>
      <c r="F19" s="30">
        <f>'Monthly Data'!AC19</f>
        <v>3237</v>
      </c>
      <c r="G19" s="30">
        <f>'Monthly Data'!AG19</f>
        <v>0</v>
      </c>
      <c r="H19" s="30">
        <f>'Monthly Data'!AM19</f>
        <v>0</v>
      </c>
      <c r="I19" s="30">
        <f>'Monthly Data'!AN19</f>
        <v>0</v>
      </c>
      <c r="J19" s="30">
        <f>'Monthly Data'!AO19</f>
        <v>0</v>
      </c>
      <c r="L19" s="23">
        <f>'GS &lt; 50 OLS Model'!$B$5</f>
        <v>-6867500.9582801796</v>
      </c>
      <c r="M19" s="23">
        <f>'GS &lt; 50 OLS Model'!$B$6*D19</f>
        <v>123480.0977567427</v>
      </c>
      <c r="N19" s="23">
        <f>'GS &lt; 50 OLS Model'!$B$7*E19</f>
        <v>511282.33788401051</v>
      </c>
      <c r="O19" s="23">
        <f>'GS &lt; 50 OLS Model'!$B$8*F19</f>
        <v>13379931.137991635</v>
      </c>
      <c r="P19" s="23">
        <f>'GS &lt; 50 OLS Model'!$B$9*G19</f>
        <v>0</v>
      </c>
      <c r="Q19" s="23">
        <f>'GS &lt; 50 OLS Model'!$B$10*H19</f>
        <v>0</v>
      </c>
      <c r="R19" s="23">
        <f>'GS &lt; 50 OLS Model'!$B$11*I19</f>
        <v>0</v>
      </c>
      <c r="S19" s="23">
        <f>'GS &lt; 50 OLS Model'!$B$12*J19</f>
        <v>0</v>
      </c>
      <c r="T19" s="23">
        <f t="shared" si="1"/>
        <v>7147192.6153522087</v>
      </c>
      <c r="U19" s="13">
        <f t="shared" si="2"/>
        <v>1.590253068712303E-2</v>
      </c>
      <c r="V19" s="13">
        <f t="shared" si="3"/>
        <v>-1.590253068712303E-2</v>
      </c>
    </row>
    <row r="20" spans="1:22">
      <c r="A20" s="11">
        <f>'Monthly Data'!A20</f>
        <v>40360</v>
      </c>
      <c r="B20" s="6">
        <f t="shared" si="4"/>
        <v>2010</v>
      </c>
      <c r="C20" s="30">
        <f>'Monthly Data'!I20</f>
        <v>8372270.7691759132</v>
      </c>
      <c r="D20">
        <f>'Monthly Data'!U20</f>
        <v>3.4000000000000004</v>
      </c>
      <c r="E20">
        <f>'Monthly Data'!V20</f>
        <v>139.79999999999995</v>
      </c>
      <c r="F20" s="30">
        <f>'Monthly Data'!AC20</f>
        <v>3227</v>
      </c>
      <c r="G20" s="30">
        <f>'Monthly Data'!AG20</f>
        <v>0</v>
      </c>
      <c r="H20" s="30">
        <f>'Monthly Data'!AM20</f>
        <v>0</v>
      </c>
      <c r="I20" s="30">
        <f>'Monthly Data'!AN20</f>
        <v>0</v>
      </c>
      <c r="J20" s="30">
        <f>'Monthly Data'!AO20</f>
        <v>0</v>
      </c>
      <c r="L20" s="23">
        <f>'GS &lt; 50 OLS Model'!$B$5</f>
        <v>-6867500.9582801796</v>
      </c>
      <c r="M20" s="23">
        <f>'GS &lt; 50 OLS Model'!$B$6*D20</f>
        <v>10961.679696421023</v>
      </c>
      <c r="N20" s="23">
        <f>'GS &lt; 50 OLS Model'!$B$7*E20</f>
        <v>2120987.2651686836</v>
      </c>
      <c r="O20" s="23">
        <f>'GS &lt; 50 OLS Model'!$B$8*F20</f>
        <v>13338596.781680262</v>
      </c>
      <c r="P20" s="23">
        <f>'GS &lt; 50 OLS Model'!$B$9*G20</f>
        <v>0</v>
      </c>
      <c r="Q20" s="23">
        <f>'GS &lt; 50 OLS Model'!$B$10*H20</f>
        <v>0</v>
      </c>
      <c r="R20" s="23">
        <f>'GS &lt; 50 OLS Model'!$B$11*I20</f>
        <v>0</v>
      </c>
      <c r="S20" s="23">
        <f>'GS &lt; 50 OLS Model'!$B$12*J20</f>
        <v>0</v>
      </c>
      <c r="T20" s="23">
        <f t="shared" si="1"/>
        <v>8603044.7682651877</v>
      </c>
      <c r="U20" s="13">
        <f t="shared" si="2"/>
        <v>2.7564086906853559E-2</v>
      </c>
      <c r="V20" s="13">
        <f t="shared" si="3"/>
        <v>2.7564086906853559E-2</v>
      </c>
    </row>
    <row r="21" spans="1:22">
      <c r="A21" s="11">
        <f>'Monthly Data'!A21</f>
        <v>40391</v>
      </c>
      <c r="B21" s="6">
        <f t="shared" si="4"/>
        <v>2010</v>
      </c>
      <c r="C21" s="30">
        <f>'Monthly Data'!I21</f>
        <v>8176242.1304047331</v>
      </c>
      <c r="D21">
        <f>'Monthly Data'!U21</f>
        <v>10.100000000000001</v>
      </c>
      <c r="E21">
        <f>'Monthly Data'!V21</f>
        <v>90.299999999999969</v>
      </c>
      <c r="F21" s="30">
        <f>'Monthly Data'!AC21</f>
        <v>3244</v>
      </c>
      <c r="G21" s="30">
        <f>'Monthly Data'!AG21</f>
        <v>0</v>
      </c>
      <c r="H21" s="30">
        <f>'Monthly Data'!AM21</f>
        <v>0</v>
      </c>
      <c r="I21" s="30">
        <f>'Monthly Data'!AN21</f>
        <v>0</v>
      </c>
      <c r="J21" s="30">
        <f>'Monthly Data'!AO21</f>
        <v>0</v>
      </c>
      <c r="L21" s="23">
        <f>'GS &lt; 50 OLS Model'!$B$5</f>
        <v>-6867500.9582801796</v>
      </c>
      <c r="M21" s="23">
        <f>'GS &lt; 50 OLS Model'!$B$6*D21</f>
        <v>32562.636745250686</v>
      </c>
      <c r="N21" s="23">
        <f>'GS &lt; 50 OLS Model'!$B$7*E21</f>
        <v>1369993.920205523</v>
      </c>
      <c r="O21" s="23">
        <f>'GS &lt; 50 OLS Model'!$B$8*F21</f>
        <v>13408865.187409597</v>
      </c>
      <c r="P21" s="23">
        <f>'GS &lt; 50 OLS Model'!$B$9*G21</f>
        <v>0</v>
      </c>
      <c r="Q21" s="23">
        <f>'GS &lt; 50 OLS Model'!$B$10*H21</f>
        <v>0</v>
      </c>
      <c r="R21" s="23">
        <f>'GS &lt; 50 OLS Model'!$B$11*I21</f>
        <v>0</v>
      </c>
      <c r="S21" s="23">
        <f>'GS &lt; 50 OLS Model'!$B$12*J21</f>
        <v>0</v>
      </c>
      <c r="T21" s="23">
        <f t="shared" si="1"/>
        <v>7943920.7860801909</v>
      </c>
      <c r="U21" s="13">
        <f t="shared" si="2"/>
        <v>2.8414195741661829E-2</v>
      </c>
      <c r="V21" s="13">
        <f t="shared" si="3"/>
        <v>-2.8414195741661829E-2</v>
      </c>
    </row>
    <row r="22" spans="1:22">
      <c r="A22" s="11">
        <f>'Monthly Data'!A22</f>
        <v>40422</v>
      </c>
      <c r="B22" s="6">
        <f t="shared" si="4"/>
        <v>2010</v>
      </c>
      <c r="C22" s="30">
        <f>'Monthly Data'!I22</f>
        <v>7195797.6649335548</v>
      </c>
      <c r="D22">
        <f>'Monthly Data'!U22</f>
        <v>99.40000000000002</v>
      </c>
      <c r="E22">
        <f>'Monthly Data'!V22</f>
        <v>29.400000000000002</v>
      </c>
      <c r="F22" s="30">
        <f>'Monthly Data'!AC22</f>
        <v>3242</v>
      </c>
      <c r="G22" s="30">
        <f>'Monthly Data'!AG22</f>
        <v>0</v>
      </c>
      <c r="H22" s="30">
        <f>'Monthly Data'!AM22</f>
        <v>1</v>
      </c>
      <c r="I22" s="30">
        <f>'Monthly Data'!AN22</f>
        <v>0</v>
      </c>
      <c r="J22" s="30">
        <f>'Monthly Data'!AO22</f>
        <v>0</v>
      </c>
      <c r="L22" s="23">
        <f>'GS &lt; 50 OLS Model'!$B$5</f>
        <v>-6867500.9582801796</v>
      </c>
      <c r="M22" s="23">
        <f>'GS &lt; 50 OLS Model'!$B$6*D22</f>
        <v>320467.92994830874</v>
      </c>
      <c r="N22" s="23">
        <f>'GS &lt; 50 OLS Model'!$B$7*E22</f>
        <v>446044.53215993795</v>
      </c>
      <c r="O22" s="23">
        <f>'GS &lt; 50 OLS Model'!$B$8*F22</f>
        <v>13400598.316147322</v>
      </c>
      <c r="P22" s="23">
        <f>'GS &lt; 50 OLS Model'!$B$9*G22</f>
        <v>0</v>
      </c>
      <c r="Q22" s="23">
        <f>'GS &lt; 50 OLS Model'!$B$10*H22</f>
        <v>-165959.07761345801</v>
      </c>
      <c r="R22" s="23">
        <f>'GS &lt; 50 OLS Model'!$B$11*I22</f>
        <v>0</v>
      </c>
      <c r="S22" s="23">
        <f>'GS &lt; 50 OLS Model'!$B$12*J22</f>
        <v>0</v>
      </c>
      <c r="T22" s="23">
        <f t="shared" si="1"/>
        <v>7133650.7423619302</v>
      </c>
      <c r="U22" s="13">
        <f t="shared" si="2"/>
        <v>8.6365578168599716E-3</v>
      </c>
      <c r="V22" s="13">
        <f t="shared" si="3"/>
        <v>-8.6365578168599716E-3</v>
      </c>
    </row>
    <row r="23" spans="1:22">
      <c r="A23" s="11">
        <f>'Monthly Data'!A23</f>
        <v>40452</v>
      </c>
      <c r="B23" s="6">
        <f t="shared" si="4"/>
        <v>2010</v>
      </c>
      <c r="C23" s="30">
        <f>'Monthly Data'!I23</f>
        <v>7205179.4104623739</v>
      </c>
      <c r="D23">
        <f>'Monthly Data'!U23</f>
        <v>284.69999999999993</v>
      </c>
      <c r="E23">
        <f>'Monthly Data'!V23</f>
        <v>0</v>
      </c>
      <c r="F23" s="30">
        <f>'Monthly Data'!AC23</f>
        <v>3247</v>
      </c>
      <c r="G23" s="30">
        <f>'Monthly Data'!AG23</f>
        <v>0</v>
      </c>
      <c r="H23" s="30">
        <f>'Monthly Data'!AM23</f>
        <v>1</v>
      </c>
      <c r="I23" s="30">
        <f>'Monthly Data'!AN23</f>
        <v>0</v>
      </c>
      <c r="J23" s="30">
        <f>'Monthly Data'!AO23</f>
        <v>0</v>
      </c>
      <c r="L23" s="23">
        <f>'GS &lt; 50 OLS Model'!$B$5</f>
        <v>-6867500.9582801796</v>
      </c>
      <c r="M23" s="23">
        <f>'GS &lt; 50 OLS Model'!$B$6*D23</f>
        <v>917879.47340325417</v>
      </c>
      <c r="N23" s="23">
        <f>'GS &lt; 50 OLS Model'!$B$7*E23</f>
        <v>0</v>
      </c>
      <c r="O23" s="23">
        <f>'GS &lt; 50 OLS Model'!$B$8*F23</f>
        <v>13421265.494303009</v>
      </c>
      <c r="P23" s="23">
        <f>'GS &lt; 50 OLS Model'!$B$9*G23</f>
        <v>0</v>
      </c>
      <c r="Q23" s="23">
        <f>'GS &lt; 50 OLS Model'!$B$10*H23</f>
        <v>-165959.07761345801</v>
      </c>
      <c r="R23" s="23">
        <f>'GS &lt; 50 OLS Model'!$B$11*I23</f>
        <v>0</v>
      </c>
      <c r="S23" s="23">
        <f>'GS &lt; 50 OLS Model'!$B$12*J23</f>
        <v>0</v>
      </c>
      <c r="T23" s="23">
        <f t="shared" si="1"/>
        <v>7305684.9318126254</v>
      </c>
      <c r="U23" s="13">
        <f t="shared" si="2"/>
        <v>1.3949065751827245E-2</v>
      </c>
      <c r="V23" s="13">
        <f t="shared" si="3"/>
        <v>1.3949065751827245E-2</v>
      </c>
    </row>
    <row r="24" spans="1:22">
      <c r="A24" s="11">
        <f>'Monthly Data'!A24</f>
        <v>40483</v>
      </c>
      <c r="B24" s="6">
        <f t="shared" si="4"/>
        <v>2010</v>
      </c>
      <c r="C24" s="30">
        <f>'Monthly Data'!I24</f>
        <v>7687689.7357911961</v>
      </c>
      <c r="D24">
        <f>'Monthly Data'!U24</f>
        <v>451.4</v>
      </c>
      <c r="E24">
        <f>'Monthly Data'!V24</f>
        <v>0</v>
      </c>
      <c r="F24" s="30">
        <f>'Monthly Data'!AC24</f>
        <v>3263</v>
      </c>
      <c r="G24" s="30">
        <f>'Monthly Data'!AG24</f>
        <v>0</v>
      </c>
      <c r="H24" s="30">
        <f>'Monthly Data'!AM24</f>
        <v>1</v>
      </c>
      <c r="I24" s="30">
        <f>'Monthly Data'!AN24</f>
        <v>0</v>
      </c>
      <c r="J24" s="30">
        <f>'Monthly Data'!AO24</f>
        <v>0</v>
      </c>
      <c r="L24" s="23">
        <f>'GS &lt; 50 OLS Model'!$B$5</f>
        <v>-6867500.9582801796</v>
      </c>
      <c r="M24" s="23">
        <f>'GS &lt; 50 OLS Model'!$B$6*D24</f>
        <v>1455324.1808718967</v>
      </c>
      <c r="N24" s="23">
        <f>'GS &lt; 50 OLS Model'!$B$7*E24</f>
        <v>0</v>
      </c>
      <c r="O24" s="23">
        <f>'GS &lt; 50 OLS Model'!$B$8*F24</f>
        <v>13487400.464401206</v>
      </c>
      <c r="P24" s="23">
        <f>'GS &lt; 50 OLS Model'!$B$9*G24</f>
        <v>0</v>
      </c>
      <c r="Q24" s="23">
        <f>'GS &lt; 50 OLS Model'!$B$10*H24</f>
        <v>-165959.07761345801</v>
      </c>
      <c r="R24" s="23">
        <f>'GS &lt; 50 OLS Model'!$B$11*I24</f>
        <v>0</v>
      </c>
      <c r="S24" s="23">
        <f>'GS &lt; 50 OLS Model'!$B$12*J24</f>
        <v>0</v>
      </c>
      <c r="T24" s="23">
        <f t="shared" si="1"/>
        <v>7909264.6093794648</v>
      </c>
      <c r="U24" s="13">
        <f t="shared" si="2"/>
        <v>2.8822036424895437E-2</v>
      </c>
      <c r="V24" s="13">
        <f t="shared" si="3"/>
        <v>2.8822036424895437E-2</v>
      </c>
    </row>
    <row r="25" spans="1:22">
      <c r="A25" s="11">
        <f>'Monthly Data'!A25</f>
        <v>40513</v>
      </c>
      <c r="B25" s="6">
        <f t="shared" si="4"/>
        <v>2010</v>
      </c>
      <c r="C25" s="30">
        <f>'Monthly Data'!I25</f>
        <v>8818324.9083200172</v>
      </c>
      <c r="D25">
        <f>'Monthly Data'!U25</f>
        <v>713.49999999999989</v>
      </c>
      <c r="E25">
        <f>'Monthly Data'!V25</f>
        <v>0</v>
      </c>
      <c r="F25" s="30">
        <f>'Monthly Data'!AC25</f>
        <v>3264</v>
      </c>
      <c r="G25" s="30">
        <f>'Monthly Data'!AG25</f>
        <v>0</v>
      </c>
      <c r="H25" s="30">
        <f>'Monthly Data'!AM25</f>
        <v>0</v>
      </c>
      <c r="I25" s="30">
        <f>'Monthly Data'!AN25</f>
        <v>0</v>
      </c>
      <c r="J25" s="30">
        <f>'Monthly Data'!AO25</f>
        <v>0</v>
      </c>
      <c r="L25" s="23">
        <f>'GS &lt; 50 OLS Model'!$B$5</f>
        <v>-6867500.9582801796</v>
      </c>
      <c r="M25" s="23">
        <f>'GS &lt; 50 OLS Model'!$B$6*D25</f>
        <v>2300340.7245283523</v>
      </c>
      <c r="N25" s="23">
        <f>'GS &lt; 50 OLS Model'!$B$7*E25</f>
        <v>0</v>
      </c>
      <c r="O25" s="23">
        <f>'GS &lt; 50 OLS Model'!$B$8*F25</f>
        <v>13491533.900032343</v>
      </c>
      <c r="P25" s="23">
        <f>'GS &lt; 50 OLS Model'!$B$9*G25</f>
        <v>0</v>
      </c>
      <c r="Q25" s="23">
        <f>'GS &lt; 50 OLS Model'!$B$10*H25</f>
        <v>0</v>
      </c>
      <c r="R25" s="23">
        <f>'GS &lt; 50 OLS Model'!$B$11*I25</f>
        <v>0</v>
      </c>
      <c r="S25" s="23">
        <f>'GS &lt; 50 OLS Model'!$B$12*J25</f>
        <v>0</v>
      </c>
      <c r="T25" s="23">
        <f t="shared" si="1"/>
        <v>8924373.6662805155</v>
      </c>
      <c r="U25" s="13">
        <f t="shared" si="2"/>
        <v>1.2025952668226389E-2</v>
      </c>
      <c r="V25" s="13">
        <f t="shared" si="3"/>
        <v>1.2025952668226389E-2</v>
      </c>
    </row>
    <row r="26" spans="1:22">
      <c r="A26" s="11">
        <f>'Monthly Data'!A26</f>
        <v>40544</v>
      </c>
      <c r="B26" s="6">
        <f t="shared" si="4"/>
        <v>2011</v>
      </c>
      <c r="C26" s="30">
        <f>'Monthly Data'!I26</f>
        <v>9497858.1950556487</v>
      </c>
      <c r="D26">
        <f>'Monthly Data'!U26</f>
        <v>853.19999999999982</v>
      </c>
      <c r="E26">
        <f>'Monthly Data'!V26</f>
        <v>0</v>
      </c>
      <c r="F26" s="30">
        <f>'Monthly Data'!AC26</f>
        <v>3262</v>
      </c>
      <c r="G26" s="30">
        <f>'Monthly Data'!AG26</f>
        <v>0</v>
      </c>
      <c r="H26" s="30">
        <f>'Monthly Data'!AM26</f>
        <v>0</v>
      </c>
      <c r="I26" s="30">
        <f>'Monthly Data'!AN26</f>
        <v>0</v>
      </c>
      <c r="J26" s="30">
        <f>'Monthly Data'!AO26</f>
        <v>0</v>
      </c>
      <c r="L26" s="23">
        <f>'GS &lt; 50 OLS Model'!$B$5</f>
        <v>-6867500.9582801796</v>
      </c>
      <c r="M26" s="23">
        <f>'GS &lt; 50 OLS Model'!$B$6*D26</f>
        <v>2750736.7991136513</v>
      </c>
      <c r="N26" s="23">
        <f>'GS &lt; 50 OLS Model'!$B$7*E26</f>
        <v>0</v>
      </c>
      <c r="O26" s="23">
        <f>'GS &lt; 50 OLS Model'!$B$8*F26</f>
        <v>13483267.028770069</v>
      </c>
      <c r="P26" s="23">
        <f>'GS &lt; 50 OLS Model'!$B$9*G26</f>
        <v>0</v>
      </c>
      <c r="Q26" s="23">
        <f>'GS &lt; 50 OLS Model'!$B$10*H26</f>
        <v>0</v>
      </c>
      <c r="R26" s="23">
        <f>'GS &lt; 50 OLS Model'!$B$11*I26</f>
        <v>0</v>
      </c>
      <c r="S26" s="23">
        <f>'GS &lt; 50 OLS Model'!$B$12*J26</f>
        <v>0</v>
      </c>
      <c r="T26" s="23">
        <f t="shared" si="1"/>
        <v>9366502.8696035407</v>
      </c>
      <c r="U26" s="13">
        <f t="shared" si="2"/>
        <v>1.3829994379205228E-2</v>
      </c>
      <c r="V26" s="13">
        <f t="shared" si="3"/>
        <v>-1.3829994379205228E-2</v>
      </c>
    </row>
    <row r="27" spans="1:22">
      <c r="A27" s="11">
        <f>'Monthly Data'!A27</f>
        <v>40575</v>
      </c>
      <c r="B27" s="6">
        <f t="shared" si="4"/>
        <v>2011</v>
      </c>
      <c r="C27" s="30">
        <f>'Monthly Data'!I27</f>
        <v>8561553.1791980918</v>
      </c>
      <c r="D27">
        <f>'Monthly Data'!U27</f>
        <v>700.39999999999986</v>
      </c>
      <c r="E27">
        <f>'Monthly Data'!V27</f>
        <v>0</v>
      </c>
      <c r="F27" s="30">
        <f>'Monthly Data'!AC27</f>
        <v>3264</v>
      </c>
      <c r="G27" s="30">
        <f>'Monthly Data'!AG27</f>
        <v>0</v>
      </c>
      <c r="H27" s="30">
        <f>'Monthly Data'!AM27</f>
        <v>0</v>
      </c>
      <c r="I27" s="30">
        <f>'Monthly Data'!AN27</f>
        <v>1</v>
      </c>
      <c r="J27" s="30">
        <f>'Monthly Data'!AO27</f>
        <v>0</v>
      </c>
      <c r="L27" s="23">
        <f>'GS &lt; 50 OLS Model'!$B$5</f>
        <v>-6867500.9582801796</v>
      </c>
      <c r="M27" s="23">
        <f>'GS &lt; 50 OLS Model'!$B$6*D27</f>
        <v>2258106.0174627299</v>
      </c>
      <c r="N27" s="23">
        <f>'GS &lt; 50 OLS Model'!$B$7*E27</f>
        <v>0</v>
      </c>
      <c r="O27" s="23">
        <f>'GS &lt; 50 OLS Model'!$B$8*F27</f>
        <v>13491533.900032343</v>
      </c>
      <c r="P27" s="23">
        <f>'GS &lt; 50 OLS Model'!$B$9*G27</f>
        <v>0</v>
      </c>
      <c r="Q27" s="23">
        <f>'GS &lt; 50 OLS Model'!$B$10*H27</f>
        <v>0</v>
      </c>
      <c r="R27" s="23">
        <f>'GS &lt; 50 OLS Model'!$B$11*I27</f>
        <v>-326910.06421591499</v>
      </c>
      <c r="S27" s="23">
        <f>'GS &lt; 50 OLS Model'!$B$12*J27</f>
        <v>0</v>
      </c>
      <c r="T27" s="23">
        <f t="shared" si="1"/>
        <v>8555228.8949989788</v>
      </c>
      <c r="U27" s="13">
        <f t="shared" si="2"/>
        <v>7.3868421613955133E-4</v>
      </c>
      <c r="V27" s="13">
        <f t="shared" si="3"/>
        <v>-7.3868421613955133E-4</v>
      </c>
    </row>
    <row r="28" spans="1:22">
      <c r="A28" s="11">
        <f>'Monthly Data'!A28</f>
        <v>40603</v>
      </c>
      <c r="B28" s="6">
        <f t="shared" si="4"/>
        <v>2011</v>
      </c>
      <c r="C28" s="30">
        <f>'Monthly Data'!I28</f>
        <v>8681746.0780405328</v>
      </c>
      <c r="D28">
        <f>'Monthly Data'!U28</f>
        <v>595.70000000000016</v>
      </c>
      <c r="E28">
        <f>'Monthly Data'!V28</f>
        <v>0</v>
      </c>
      <c r="F28" s="30">
        <f>'Monthly Data'!AC28</f>
        <v>3261</v>
      </c>
      <c r="G28" s="30">
        <f>'Monthly Data'!AG28</f>
        <v>0</v>
      </c>
      <c r="H28" s="30">
        <f>'Monthly Data'!AM28</f>
        <v>0</v>
      </c>
      <c r="I28" s="30">
        <f>'Monthly Data'!AN28</f>
        <v>0</v>
      </c>
      <c r="J28" s="30">
        <f>'Monthly Data'!AO28</f>
        <v>0</v>
      </c>
      <c r="L28" s="23">
        <f>'GS &lt; 50 OLS Model'!$B$5</f>
        <v>-6867500.9582801796</v>
      </c>
      <c r="M28" s="23">
        <f>'GS &lt; 50 OLS Model'!$B$6*D28</f>
        <v>1920550.7632817661</v>
      </c>
      <c r="N28" s="23">
        <f>'GS &lt; 50 OLS Model'!$B$7*E28</f>
        <v>0</v>
      </c>
      <c r="O28" s="23">
        <f>'GS &lt; 50 OLS Model'!$B$8*F28</f>
        <v>13479133.593138931</v>
      </c>
      <c r="P28" s="23">
        <f>'GS &lt; 50 OLS Model'!$B$9*G28</f>
        <v>0</v>
      </c>
      <c r="Q28" s="23">
        <f>'GS &lt; 50 OLS Model'!$B$10*H28</f>
        <v>0</v>
      </c>
      <c r="R28" s="23">
        <f>'GS &lt; 50 OLS Model'!$B$11*I28</f>
        <v>0</v>
      </c>
      <c r="S28" s="23">
        <f>'GS &lt; 50 OLS Model'!$B$12*J28</f>
        <v>0</v>
      </c>
      <c r="T28" s="23">
        <f t="shared" si="1"/>
        <v>8532183.398140518</v>
      </c>
      <c r="U28" s="13">
        <f t="shared" si="2"/>
        <v>1.7227258037218595E-2</v>
      </c>
      <c r="V28" s="13">
        <f t="shared" si="3"/>
        <v>-1.7227258037218595E-2</v>
      </c>
    </row>
    <row r="29" spans="1:22">
      <c r="A29" s="11">
        <f>'Monthly Data'!A29</f>
        <v>40634</v>
      </c>
      <c r="B29" s="6">
        <f t="shared" si="4"/>
        <v>2011</v>
      </c>
      <c r="C29" s="30">
        <f>'Monthly Data'!I29</f>
        <v>7464534.0887829745</v>
      </c>
      <c r="D29">
        <f>'Monthly Data'!U29</f>
        <v>350.99999999999989</v>
      </c>
      <c r="E29">
        <f>'Monthly Data'!V29</f>
        <v>0</v>
      </c>
      <c r="F29" s="30">
        <f>'Monthly Data'!AC29</f>
        <v>3260</v>
      </c>
      <c r="G29" s="30">
        <f>'Monthly Data'!AG29</f>
        <v>0</v>
      </c>
      <c r="H29" s="30">
        <f>'Monthly Data'!AM29</f>
        <v>0</v>
      </c>
      <c r="I29" s="30">
        <f>'Monthly Data'!AN29</f>
        <v>0</v>
      </c>
      <c r="J29" s="30">
        <f>'Monthly Data'!AO29</f>
        <v>1</v>
      </c>
      <c r="L29" s="23">
        <f>'GS &lt; 50 OLS Model'!$B$5</f>
        <v>-6867500.9582801796</v>
      </c>
      <c r="M29" s="23">
        <f>'GS &lt; 50 OLS Model'!$B$6*D29</f>
        <v>1131632.2274834639</v>
      </c>
      <c r="N29" s="23">
        <f>'GS &lt; 50 OLS Model'!$B$7*E29</f>
        <v>0</v>
      </c>
      <c r="O29" s="23">
        <f>'GS &lt; 50 OLS Model'!$B$8*F29</f>
        <v>13475000.157507794</v>
      </c>
      <c r="P29" s="23">
        <f>'GS &lt; 50 OLS Model'!$B$9*G29</f>
        <v>0</v>
      </c>
      <c r="Q29" s="23">
        <f>'GS &lt; 50 OLS Model'!$B$10*H29</f>
        <v>0</v>
      </c>
      <c r="R29" s="23">
        <f>'GS &lt; 50 OLS Model'!$B$11*I29</f>
        <v>0</v>
      </c>
      <c r="S29" s="23">
        <f>'GS &lt; 50 OLS Model'!$B$12*J29</f>
        <v>-430621.67531502497</v>
      </c>
      <c r="T29" s="23">
        <f t="shared" si="1"/>
        <v>7308509.7513960535</v>
      </c>
      <c r="U29" s="13">
        <f t="shared" si="2"/>
        <v>2.0902086524245404E-2</v>
      </c>
      <c r="V29" s="13">
        <f t="shared" si="3"/>
        <v>-2.0902086524245404E-2</v>
      </c>
    </row>
    <row r="30" spans="1:22">
      <c r="A30" s="11">
        <f>'Monthly Data'!A30</f>
        <v>40664</v>
      </c>
      <c r="B30" s="6">
        <f t="shared" si="4"/>
        <v>2011</v>
      </c>
      <c r="C30" s="30">
        <f>'Monthly Data'!I30</f>
        <v>7490970.5370254153</v>
      </c>
      <c r="D30">
        <f>'Monthly Data'!U30</f>
        <v>150</v>
      </c>
      <c r="E30">
        <f>'Monthly Data'!V30</f>
        <v>1.2999999999999998</v>
      </c>
      <c r="F30" s="30">
        <f>'Monthly Data'!AC30</f>
        <v>3250</v>
      </c>
      <c r="G30" s="30">
        <f>'Monthly Data'!AG30</f>
        <v>0</v>
      </c>
      <c r="H30" s="30">
        <f>'Monthly Data'!AM30</f>
        <v>0</v>
      </c>
      <c r="I30" s="30">
        <f>'Monthly Data'!AN30</f>
        <v>0</v>
      </c>
      <c r="J30" s="30">
        <f>'Monthly Data'!AO30</f>
        <v>0</v>
      </c>
      <c r="L30" s="23">
        <f>'GS &lt; 50 OLS Model'!$B$5</f>
        <v>-6867500.9582801796</v>
      </c>
      <c r="M30" s="23">
        <f>'GS &lt; 50 OLS Model'!$B$6*D30</f>
        <v>483603.51601857448</v>
      </c>
      <c r="N30" s="23">
        <f>'GS &lt; 50 OLS Model'!$B$7*E30</f>
        <v>19723.057544487048</v>
      </c>
      <c r="O30" s="23">
        <f>'GS &lt; 50 OLS Model'!$B$8*F30</f>
        <v>13433665.801196421</v>
      </c>
      <c r="P30" s="23">
        <f>'GS &lt; 50 OLS Model'!$B$9*G30</f>
        <v>0</v>
      </c>
      <c r="Q30" s="23">
        <f>'GS &lt; 50 OLS Model'!$B$10*H30</f>
        <v>0</v>
      </c>
      <c r="R30" s="23">
        <f>'GS &lt; 50 OLS Model'!$B$11*I30</f>
        <v>0</v>
      </c>
      <c r="S30" s="23">
        <f>'GS &lt; 50 OLS Model'!$B$12*J30</f>
        <v>0</v>
      </c>
      <c r="T30" s="23">
        <f t="shared" si="1"/>
        <v>7069491.4164793016</v>
      </c>
      <c r="U30" s="13">
        <f t="shared" si="2"/>
        <v>5.6264955049933833E-2</v>
      </c>
      <c r="V30" s="13">
        <f t="shared" si="3"/>
        <v>-5.6264955049933833E-2</v>
      </c>
    </row>
    <row r="31" spans="1:22">
      <c r="A31" s="11">
        <f>'Monthly Data'!A31</f>
        <v>40695</v>
      </c>
      <c r="B31" s="6">
        <f t="shared" si="4"/>
        <v>2011</v>
      </c>
      <c r="C31" s="30">
        <f>'Monthly Data'!I31</f>
        <v>7258377.2131678574</v>
      </c>
      <c r="D31">
        <f>'Monthly Data'!U31</f>
        <v>25.199999999999996</v>
      </c>
      <c r="E31">
        <f>'Monthly Data'!V31</f>
        <v>24.900000000000002</v>
      </c>
      <c r="F31" s="30">
        <f>'Monthly Data'!AC31</f>
        <v>3250</v>
      </c>
      <c r="G31" s="30">
        <f>'Monthly Data'!AG31</f>
        <v>0</v>
      </c>
      <c r="H31" s="30">
        <f>'Monthly Data'!AM31</f>
        <v>0</v>
      </c>
      <c r="I31" s="30">
        <f>'Monthly Data'!AN31</f>
        <v>0</v>
      </c>
      <c r="J31" s="30">
        <f>'Monthly Data'!AO31</f>
        <v>0</v>
      </c>
      <c r="L31" s="23">
        <f>'GS &lt; 50 OLS Model'!$B$5</f>
        <v>-6867500.9582801796</v>
      </c>
      <c r="M31" s="23">
        <f>'GS &lt; 50 OLS Model'!$B$6*D31</f>
        <v>81245.390691120498</v>
      </c>
      <c r="N31" s="23">
        <f>'GS &lt; 50 OLS Model'!$B$7*E31</f>
        <v>377772.40989055968</v>
      </c>
      <c r="O31" s="23">
        <f>'GS &lt; 50 OLS Model'!$B$8*F31</f>
        <v>13433665.801196421</v>
      </c>
      <c r="P31" s="23">
        <f>'GS &lt; 50 OLS Model'!$B$9*G31</f>
        <v>0</v>
      </c>
      <c r="Q31" s="23">
        <f>'GS &lt; 50 OLS Model'!$B$10*H31</f>
        <v>0</v>
      </c>
      <c r="R31" s="23">
        <f>'GS &lt; 50 OLS Model'!$B$11*I31</f>
        <v>0</v>
      </c>
      <c r="S31" s="23">
        <f>'GS &lt; 50 OLS Model'!$B$12*J31</f>
        <v>0</v>
      </c>
      <c r="T31" s="23">
        <f t="shared" si="1"/>
        <v>7025182.6434979206</v>
      </c>
      <c r="U31" s="13">
        <f t="shared" si="2"/>
        <v>3.2127645453157841E-2</v>
      </c>
      <c r="V31" s="13">
        <f t="shared" si="3"/>
        <v>-3.2127645453157841E-2</v>
      </c>
    </row>
    <row r="32" spans="1:22">
      <c r="A32" s="11">
        <f>'Monthly Data'!A32</f>
        <v>40725</v>
      </c>
      <c r="B32" s="6">
        <f t="shared" si="4"/>
        <v>2011</v>
      </c>
      <c r="C32" s="30">
        <f>'Monthly Data'!I32</f>
        <v>8259843.8168102987</v>
      </c>
      <c r="D32">
        <f>'Monthly Data'!U32</f>
        <v>0</v>
      </c>
      <c r="E32">
        <f>'Monthly Data'!V32</f>
        <v>118.30000000000003</v>
      </c>
      <c r="F32" s="30">
        <f>'Monthly Data'!AC32</f>
        <v>3245</v>
      </c>
      <c r="G32" s="30">
        <f>'Monthly Data'!AG32</f>
        <v>0</v>
      </c>
      <c r="H32" s="30">
        <f>'Monthly Data'!AM32</f>
        <v>0</v>
      </c>
      <c r="I32" s="30">
        <f>'Monthly Data'!AN32</f>
        <v>0</v>
      </c>
      <c r="J32" s="30">
        <f>'Monthly Data'!AO32</f>
        <v>0</v>
      </c>
      <c r="L32" s="23">
        <f>'GS &lt; 50 OLS Model'!$B$5</f>
        <v>-6867500.9582801796</v>
      </c>
      <c r="M32" s="23">
        <f>'GS &lt; 50 OLS Model'!$B$6*D32</f>
        <v>0</v>
      </c>
      <c r="N32" s="23">
        <f>'GS &lt; 50 OLS Model'!$B$7*E32</f>
        <v>1794798.236548322</v>
      </c>
      <c r="O32" s="23">
        <f>'GS &lt; 50 OLS Model'!$B$8*F32</f>
        <v>13412998.623040734</v>
      </c>
      <c r="P32" s="23">
        <f>'GS &lt; 50 OLS Model'!$B$9*G32</f>
        <v>0</v>
      </c>
      <c r="Q32" s="23">
        <f>'GS &lt; 50 OLS Model'!$B$10*H32</f>
        <v>0</v>
      </c>
      <c r="R32" s="23">
        <f>'GS &lt; 50 OLS Model'!$B$11*I32</f>
        <v>0</v>
      </c>
      <c r="S32" s="23">
        <f>'GS &lt; 50 OLS Model'!$B$12*J32</f>
        <v>0</v>
      </c>
      <c r="T32" s="23">
        <f t="shared" si="1"/>
        <v>8340295.9013088765</v>
      </c>
      <c r="U32" s="13">
        <f t="shared" si="2"/>
        <v>9.740145974048927E-3</v>
      </c>
      <c r="V32" s="13">
        <f t="shared" si="3"/>
        <v>9.740145974048927E-3</v>
      </c>
    </row>
    <row r="33" spans="1:22">
      <c r="A33" s="11">
        <f>'Monthly Data'!A33</f>
        <v>40756</v>
      </c>
      <c r="B33" s="6">
        <f t="shared" si="4"/>
        <v>2011</v>
      </c>
      <c r="C33" s="30">
        <f>'Monthly Data'!I33</f>
        <v>7945328.4461527411</v>
      </c>
      <c r="D33">
        <f>'Monthly Data'!U33</f>
        <v>7</v>
      </c>
      <c r="E33">
        <f>'Monthly Data'!V33</f>
        <v>68.2</v>
      </c>
      <c r="F33" s="30">
        <f>'Monthly Data'!AC33</f>
        <v>3235</v>
      </c>
      <c r="G33" s="30">
        <f>'Monthly Data'!AG33</f>
        <v>0</v>
      </c>
      <c r="H33" s="30">
        <f>'Monthly Data'!AM33</f>
        <v>0</v>
      </c>
      <c r="I33" s="30">
        <f>'Monthly Data'!AN33</f>
        <v>0</v>
      </c>
      <c r="J33" s="30">
        <f>'Monthly Data'!AO33</f>
        <v>0</v>
      </c>
      <c r="L33" s="23">
        <f>'GS &lt; 50 OLS Model'!$B$5</f>
        <v>-6867500.9582801796</v>
      </c>
      <c r="M33" s="23">
        <f>'GS &lt; 50 OLS Model'!$B$6*D33</f>
        <v>22568.164080866809</v>
      </c>
      <c r="N33" s="23">
        <f>'GS &lt; 50 OLS Model'!$B$7*E33</f>
        <v>1034701.9419492438</v>
      </c>
      <c r="O33" s="23">
        <f>'GS &lt; 50 OLS Model'!$B$8*F33</f>
        <v>13371664.26672936</v>
      </c>
      <c r="P33" s="23">
        <f>'GS &lt; 50 OLS Model'!$B$9*G33</f>
        <v>0</v>
      </c>
      <c r="Q33" s="23">
        <f>'GS &lt; 50 OLS Model'!$B$10*H33</f>
        <v>0</v>
      </c>
      <c r="R33" s="23">
        <f>'GS &lt; 50 OLS Model'!$B$11*I33</f>
        <v>0</v>
      </c>
      <c r="S33" s="23">
        <f>'GS &lt; 50 OLS Model'!$B$12*J33</f>
        <v>0</v>
      </c>
      <c r="T33" s="23">
        <f t="shared" si="1"/>
        <v>7561433.4144792911</v>
      </c>
      <c r="U33" s="13">
        <f t="shared" si="2"/>
        <v>4.8317075156199277E-2</v>
      </c>
      <c r="V33" s="13">
        <f t="shared" si="3"/>
        <v>-4.8317075156199277E-2</v>
      </c>
    </row>
    <row r="34" spans="1:22">
      <c r="A34" s="11">
        <f>'Monthly Data'!A34</f>
        <v>40787</v>
      </c>
      <c r="B34" s="6">
        <f t="shared" si="4"/>
        <v>2011</v>
      </c>
      <c r="C34" s="30">
        <f>'Monthly Data'!I34</f>
        <v>7095765.259495182</v>
      </c>
      <c r="D34">
        <f>'Monthly Data'!U34</f>
        <v>72.5</v>
      </c>
      <c r="E34">
        <f>'Monthly Data'!V34</f>
        <v>24.500000000000004</v>
      </c>
      <c r="F34" s="30">
        <f>'Monthly Data'!AC34</f>
        <v>3235</v>
      </c>
      <c r="G34" s="30">
        <f>'Monthly Data'!AG34</f>
        <v>0</v>
      </c>
      <c r="H34" s="30">
        <f>'Monthly Data'!AM34</f>
        <v>1</v>
      </c>
      <c r="I34" s="30">
        <f>'Monthly Data'!AN34</f>
        <v>0</v>
      </c>
      <c r="J34" s="30">
        <f>'Monthly Data'!AO34</f>
        <v>0</v>
      </c>
      <c r="L34" s="23">
        <f>'GS &lt; 50 OLS Model'!$B$5</f>
        <v>-6867500.9582801796</v>
      </c>
      <c r="M34" s="23">
        <f>'GS &lt; 50 OLS Model'!$B$6*D34</f>
        <v>233741.69940897767</v>
      </c>
      <c r="N34" s="23">
        <f>'GS &lt; 50 OLS Model'!$B$7*E34</f>
        <v>371703.7767999483</v>
      </c>
      <c r="O34" s="23">
        <f>'GS &lt; 50 OLS Model'!$B$8*F34</f>
        <v>13371664.26672936</v>
      </c>
      <c r="P34" s="23">
        <f>'GS &lt; 50 OLS Model'!$B$9*G34</f>
        <v>0</v>
      </c>
      <c r="Q34" s="23">
        <f>'GS &lt; 50 OLS Model'!$B$10*H34</f>
        <v>-165959.07761345801</v>
      </c>
      <c r="R34" s="23">
        <f>'GS &lt; 50 OLS Model'!$B$11*I34</f>
        <v>0</v>
      </c>
      <c r="S34" s="23">
        <f>'GS &lt; 50 OLS Model'!$B$12*J34</f>
        <v>0</v>
      </c>
      <c r="T34" s="23">
        <f t="shared" ref="T34:T65" si="5">SUM(L34:S34)</f>
        <v>6943649.707044648</v>
      </c>
      <c r="U34" s="13">
        <f t="shared" ref="U34:U65" si="6">ABS(T34-C34)/C34</f>
        <v>2.1437511936711954E-2</v>
      </c>
      <c r="V34" s="13">
        <f t="shared" ref="V34:V65" si="7">(T34-C34)/C34</f>
        <v>-2.1437511936711954E-2</v>
      </c>
    </row>
    <row r="35" spans="1:22">
      <c r="A35" s="11">
        <f>'Monthly Data'!A35</f>
        <v>40817</v>
      </c>
      <c r="B35" s="6">
        <f t="shared" si="4"/>
        <v>2011</v>
      </c>
      <c r="C35" s="30">
        <f>'Monthly Data'!I35</f>
        <v>6962809.929037625</v>
      </c>
      <c r="D35">
        <f>'Monthly Data'!U35</f>
        <v>266.49999999999994</v>
      </c>
      <c r="E35">
        <f>'Monthly Data'!V35</f>
        <v>0.5</v>
      </c>
      <c r="F35" s="30">
        <f>'Monthly Data'!AC35</f>
        <v>3226</v>
      </c>
      <c r="G35" s="30">
        <f>'Monthly Data'!AG35</f>
        <v>0</v>
      </c>
      <c r="H35" s="30">
        <f>'Monthly Data'!AM35</f>
        <v>1</v>
      </c>
      <c r="I35" s="30">
        <f>'Monthly Data'!AN35</f>
        <v>0</v>
      </c>
      <c r="J35" s="30">
        <f>'Monthly Data'!AO35</f>
        <v>0</v>
      </c>
      <c r="L35" s="23">
        <f>'GS &lt; 50 OLS Model'!$B$5</f>
        <v>-6867500.9582801796</v>
      </c>
      <c r="M35" s="23">
        <f>'GS &lt; 50 OLS Model'!$B$6*D35</f>
        <v>859202.24679300049</v>
      </c>
      <c r="N35" s="23">
        <f>'GS &lt; 50 OLS Model'!$B$7*E35</f>
        <v>7585.7913632642503</v>
      </c>
      <c r="O35" s="23">
        <f>'GS &lt; 50 OLS Model'!$B$8*F35</f>
        <v>13334463.346049124</v>
      </c>
      <c r="P35" s="23">
        <f>'GS &lt; 50 OLS Model'!$B$9*G35</f>
        <v>0</v>
      </c>
      <c r="Q35" s="23">
        <f>'GS &lt; 50 OLS Model'!$B$10*H35</f>
        <v>-165959.07761345801</v>
      </c>
      <c r="R35" s="23">
        <f>'GS &lt; 50 OLS Model'!$B$11*I35</f>
        <v>0</v>
      </c>
      <c r="S35" s="23">
        <f>'GS &lt; 50 OLS Model'!$B$12*J35</f>
        <v>0</v>
      </c>
      <c r="T35" s="23">
        <f t="shared" si="5"/>
        <v>7167791.3483117511</v>
      </c>
      <c r="U35" s="13">
        <f t="shared" si="6"/>
        <v>2.9439467881964429E-2</v>
      </c>
      <c r="V35" s="13">
        <f t="shared" si="7"/>
        <v>2.9439467881964429E-2</v>
      </c>
    </row>
    <row r="36" spans="1:22">
      <c r="A36" s="11">
        <f>'Monthly Data'!A36</f>
        <v>40848</v>
      </c>
      <c r="B36" s="6">
        <f t="shared" si="4"/>
        <v>2011</v>
      </c>
      <c r="C36" s="30">
        <f>'Monthly Data'!I36</f>
        <v>7251164.6070800656</v>
      </c>
      <c r="D36">
        <f>'Monthly Data'!U36</f>
        <v>394.7</v>
      </c>
      <c r="E36">
        <f>'Monthly Data'!V36</f>
        <v>0</v>
      </c>
      <c r="F36" s="30">
        <f>'Monthly Data'!AC36</f>
        <v>3224</v>
      </c>
      <c r="G36" s="30">
        <f>'Monthly Data'!AG36</f>
        <v>0</v>
      </c>
      <c r="H36" s="30">
        <f>'Monthly Data'!AM36</f>
        <v>1</v>
      </c>
      <c r="I36" s="30">
        <f>'Monthly Data'!AN36</f>
        <v>0</v>
      </c>
      <c r="J36" s="30">
        <f>'Monthly Data'!AO36</f>
        <v>0</v>
      </c>
      <c r="L36" s="23">
        <f>'GS &lt; 50 OLS Model'!$B$5</f>
        <v>-6867500.9582801796</v>
      </c>
      <c r="M36" s="23">
        <f>'GS &lt; 50 OLS Model'!$B$6*D36</f>
        <v>1272522.0518168756</v>
      </c>
      <c r="N36" s="23">
        <f>'GS &lt; 50 OLS Model'!$B$7*E36</f>
        <v>0</v>
      </c>
      <c r="O36" s="23">
        <f>'GS &lt; 50 OLS Model'!$B$8*F36</f>
        <v>13326196.47478685</v>
      </c>
      <c r="P36" s="23">
        <f>'GS &lt; 50 OLS Model'!$B$9*G36</f>
        <v>0</v>
      </c>
      <c r="Q36" s="23">
        <f>'GS &lt; 50 OLS Model'!$B$10*H36</f>
        <v>-165959.07761345801</v>
      </c>
      <c r="R36" s="23">
        <f>'GS &lt; 50 OLS Model'!$B$11*I36</f>
        <v>0</v>
      </c>
      <c r="S36" s="23">
        <f>'GS &lt; 50 OLS Model'!$B$12*J36</f>
        <v>0</v>
      </c>
      <c r="T36" s="23">
        <f t="shared" si="5"/>
        <v>7565258.4907100871</v>
      </c>
      <c r="U36" s="13">
        <f t="shared" si="6"/>
        <v>4.3316336154241894E-2</v>
      </c>
      <c r="V36" s="13">
        <f t="shared" si="7"/>
        <v>4.3316336154241894E-2</v>
      </c>
    </row>
    <row r="37" spans="1:22">
      <c r="A37" s="11">
        <f>'Monthly Data'!A37</f>
        <v>40878</v>
      </c>
      <c r="B37" s="6">
        <f t="shared" si="4"/>
        <v>2011</v>
      </c>
      <c r="C37" s="30">
        <f>'Monthly Data'!I37</f>
        <v>8093769.1554225087</v>
      </c>
      <c r="D37">
        <f>'Monthly Data'!U37</f>
        <v>623.09999999999991</v>
      </c>
      <c r="E37">
        <f>'Monthly Data'!V37</f>
        <v>0</v>
      </c>
      <c r="F37" s="30">
        <f>'Monthly Data'!AC37</f>
        <v>3225</v>
      </c>
      <c r="G37" s="30">
        <f>'Monthly Data'!AG37</f>
        <v>0</v>
      </c>
      <c r="H37" s="30">
        <f>'Monthly Data'!AM37</f>
        <v>0</v>
      </c>
      <c r="I37" s="30">
        <f>'Monthly Data'!AN37</f>
        <v>0</v>
      </c>
      <c r="J37" s="30">
        <f>'Monthly Data'!AO37</f>
        <v>0</v>
      </c>
      <c r="L37" s="23">
        <f>'GS &lt; 50 OLS Model'!$B$5</f>
        <v>-6867500.9582801796</v>
      </c>
      <c r="M37" s="23">
        <f>'GS &lt; 50 OLS Model'!$B$6*D37</f>
        <v>2008889.0055411581</v>
      </c>
      <c r="N37" s="23">
        <f>'GS &lt; 50 OLS Model'!$B$7*E37</f>
        <v>0</v>
      </c>
      <c r="O37" s="23">
        <f>'GS &lt; 50 OLS Model'!$B$8*F37</f>
        <v>13330329.910417987</v>
      </c>
      <c r="P37" s="23">
        <f>'GS &lt; 50 OLS Model'!$B$9*G37</f>
        <v>0</v>
      </c>
      <c r="Q37" s="23">
        <f>'GS &lt; 50 OLS Model'!$B$10*H37</f>
        <v>0</v>
      </c>
      <c r="R37" s="23">
        <f>'GS &lt; 50 OLS Model'!$B$11*I37</f>
        <v>0</v>
      </c>
      <c r="S37" s="23">
        <f>'GS &lt; 50 OLS Model'!$B$12*J37</f>
        <v>0</v>
      </c>
      <c r="T37" s="23">
        <f t="shared" si="5"/>
        <v>8471717.9576789662</v>
      </c>
      <c r="U37" s="13">
        <f t="shared" si="6"/>
        <v>4.6696266597033673E-2</v>
      </c>
      <c r="V37" s="13">
        <f t="shared" si="7"/>
        <v>4.6696266597033673E-2</v>
      </c>
    </row>
    <row r="38" spans="1:22">
      <c r="A38" s="11">
        <f>'Monthly Data'!A38</f>
        <v>40909</v>
      </c>
      <c r="B38" s="6">
        <f t="shared" si="4"/>
        <v>2012</v>
      </c>
      <c r="C38" s="30">
        <f>'Monthly Data'!I38</f>
        <v>8616766.236348236</v>
      </c>
      <c r="D38">
        <f>'Monthly Data'!U38</f>
        <v>712.69999999999993</v>
      </c>
      <c r="E38">
        <f>'Monthly Data'!V38</f>
        <v>0</v>
      </c>
      <c r="F38" s="30">
        <f>'Monthly Data'!AC38</f>
        <v>3226</v>
      </c>
      <c r="G38" s="30">
        <f>'Monthly Data'!AG38</f>
        <v>0</v>
      </c>
      <c r="H38" s="30">
        <f>'Monthly Data'!AM38</f>
        <v>0</v>
      </c>
      <c r="I38" s="30">
        <f>'Monthly Data'!AN38</f>
        <v>0</v>
      </c>
      <c r="J38" s="30">
        <f>'Monthly Data'!AO38</f>
        <v>0</v>
      </c>
      <c r="L38" s="23">
        <f>'GS &lt; 50 OLS Model'!$B$5</f>
        <v>-6867500.9582801796</v>
      </c>
      <c r="M38" s="23">
        <f>'GS &lt; 50 OLS Model'!$B$6*D38</f>
        <v>2297761.5057762535</v>
      </c>
      <c r="N38" s="23">
        <f>'GS &lt; 50 OLS Model'!$B$7*E38</f>
        <v>0</v>
      </c>
      <c r="O38" s="23">
        <f>'GS &lt; 50 OLS Model'!$B$8*F38</f>
        <v>13334463.346049124</v>
      </c>
      <c r="P38" s="23">
        <f>'GS &lt; 50 OLS Model'!$B$9*G38</f>
        <v>0</v>
      </c>
      <c r="Q38" s="23">
        <f>'GS &lt; 50 OLS Model'!$B$10*H38</f>
        <v>0</v>
      </c>
      <c r="R38" s="23">
        <f>'GS &lt; 50 OLS Model'!$B$11*I38</f>
        <v>0</v>
      </c>
      <c r="S38" s="23">
        <f>'GS &lt; 50 OLS Model'!$B$12*J38</f>
        <v>0</v>
      </c>
      <c r="T38" s="23">
        <f t="shared" si="5"/>
        <v>8764723.8935451992</v>
      </c>
      <c r="U38" s="13">
        <f t="shared" si="6"/>
        <v>1.7170902997557386E-2</v>
      </c>
      <c r="V38" s="13">
        <f t="shared" si="7"/>
        <v>1.7170902997557386E-2</v>
      </c>
    </row>
    <row r="39" spans="1:22">
      <c r="A39" s="11">
        <f>'Monthly Data'!A39</f>
        <v>40940</v>
      </c>
      <c r="B39" s="6">
        <f t="shared" si="4"/>
        <v>2012</v>
      </c>
      <c r="C39" s="30">
        <f>'Monthly Data'!I39</f>
        <v>7990695.766057251</v>
      </c>
      <c r="D39">
        <f>'Monthly Data'!U39</f>
        <v>604.40000000000009</v>
      </c>
      <c r="E39">
        <f>'Monthly Data'!V39</f>
        <v>0</v>
      </c>
      <c r="F39" s="30">
        <f>'Monthly Data'!AC39</f>
        <v>3225</v>
      </c>
      <c r="G39" s="30">
        <f>'Monthly Data'!AG39</f>
        <v>0</v>
      </c>
      <c r="H39" s="30">
        <f>'Monthly Data'!AM39</f>
        <v>0</v>
      </c>
      <c r="I39" s="30">
        <f>'Monthly Data'!AN39</f>
        <v>1</v>
      </c>
      <c r="J39" s="30">
        <f>'Monthly Data'!AO39</f>
        <v>0</v>
      </c>
      <c r="L39" s="23">
        <f>'GS &lt; 50 OLS Model'!$B$5</f>
        <v>-6867500.9582801796</v>
      </c>
      <c r="M39" s="23">
        <f>'GS &lt; 50 OLS Model'!$B$6*D39</f>
        <v>1948599.767210843</v>
      </c>
      <c r="N39" s="23">
        <f>'GS &lt; 50 OLS Model'!$B$7*E39</f>
        <v>0</v>
      </c>
      <c r="O39" s="23">
        <f>'GS &lt; 50 OLS Model'!$B$8*F39</f>
        <v>13330329.910417987</v>
      </c>
      <c r="P39" s="23">
        <f>'GS &lt; 50 OLS Model'!$B$9*G39</f>
        <v>0</v>
      </c>
      <c r="Q39" s="23">
        <f>'GS &lt; 50 OLS Model'!$B$10*H39</f>
        <v>0</v>
      </c>
      <c r="R39" s="23">
        <f>'GS &lt; 50 OLS Model'!$B$11*I39</f>
        <v>-326910.06421591499</v>
      </c>
      <c r="S39" s="23">
        <f>'GS &lt; 50 OLS Model'!$B$12*J39</f>
        <v>0</v>
      </c>
      <c r="T39" s="23">
        <f t="shared" si="5"/>
        <v>8084518.6551327351</v>
      </c>
      <c r="U39" s="13">
        <f t="shared" si="6"/>
        <v>1.1741516861901249E-2</v>
      </c>
      <c r="V39" s="13">
        <f t="shared" si="7"/>
        <v>1.1741516861901249E-2</v>
      </c>
    </row>
    <row r="40" spans="1:22">
      <c r="A40" s="11">
        <f>'Monthly Data'!A40</f>
        <v>40969</v>
      </c>
      <c r="B40" s="6">
        <f t="shared" si="4"/>
        <v>2012</v>
      </c>
      <c r="C40" s="30">
        <f>'Monthly Data'!I40</f>
        <v>7701208.6086662654</v>
      </c>
      <c r="D40">
        <f>'Monthly Data'!U40</f>
        <v>412.19999999999993</v>
      </c>
      <c r="E40">
        <f>'Monthly Data'!V40</f>
        <v>0</v>
      </c>
      <c r="F40" s="30">
        <f>'Monthly Data'!AC40</f>
        <v>3222</v>
      </c>
      <c r="G40" s="30">
        <f>'Monthly Data'!AG40</f>
        <v>0</v>
      </c>
      <c r="H40" s="30">
        <f>'Monthly Data'!AM40</f>
        <v>0</v>
      </c>
      <c r="I40" s="30">
        <f>'Monthly Data'!AN40</f>
        <v>0</v>
      </c>
      <c r="J40" s="30">
        <f>'Monthly Data'!AO40</f>
        <v>0</v>
      </c>
      <c r="L40" s="23">
        <f>'GS &lt; 50 OLS Model'!$B$5</f>
        <v>-6867500.9582801796</v>
      </c>
      <c r="M40" s="23">
        <f>'GS &lt; 50 OLS Model'!$B$6*D40</f>
        <v>1328942.4620190426</v>
      </c>
      <c r="N40" s="23">
        <f>'GS &lt; 50 OLS Model'!$B$7*E40</f>
        <v>0</v>
      </c>
      <c r="O40" s="23">
        <f>'GS &lt; 50 OLS Model'!$B$8*F40</f>
        <v>13317929.603524575</v>
      </c>
      <c r="P40" s="23">
        <f>'GS &lt; 50 OLS Model'!$B$9*G40</f>
        <v>0</v>
      </c>
      <c r="Q40" s="23">
        <f>'GS &lt; 50 OLS Model'!$B$10*H40</f>
        <v>0</v>
      </c>
      <c r="R40" s="23">
        <f>'GS &lt; 50 OLS Model'!$B$11*I40</f>
        <v>0</v>
      </c>
      <c r="S40" s="23">
        <f>'GS &lt; 50 OLS Model'!$B$12*J40</f>
        <v>0</v>
      </c>
      <c r="T40" s="23">
        <f t="shared" si="5"/>
        <v>7779371.1072634384</v>
      </c>
      <c r="U40" s="13">
        <f t="shared" si="6"/>
        <v>1.0149380775014431E-2</v>
      </c>
      <c r="V40" s="13">
        <f t="shared" si="7"/>
        <v>1.0149380775014431E-2</v>
      </c>
    </row>
    <row r="41" spans="1:22">
      <c r="A41" s="11">
        <f>'Monthly Data'!A41</f>
        <v>41000</v>
      </c>
      <c r="B41" s="6">
        <f t="shared" si="4"/>
        <v>2012</v>
      </c>
      <c r="C41" s="30">
        <f>'Monthly Data'!I41</f>
        <v>6920576.3044752814</v>
      </c>
      <c r="D41">
        <f>'Monthly Data'!U41</f>
        <v>358.9</v>
      </c>
      <c r="E41">
        <f>'Monthly Data'!V41</f>
        <v>0.8</v>
      </c>
      <c r="F41" s="30">
        <f>'Monthly Data'!AC41</f>
        <v>3213</v>
      </c>
      <c r="G41" s="30">
        <f>'Monthly Data'!AG41</f>
        <v>0</v>
      </c>
      <c r="H41" s="30">
        <f>'Monthly Data'!AM41</f>
        <v>0</v>
      </c>
      <c r="I41" s="30">
        <f>'Monthly Data'!AN41</f>
        <v>0</v>
      </c>
      <c r="J41" s="30">
        <f>'Monthly Data'!AO41</f>
        <v>1</v>
      </c>
      <c r="L41" s="23">
        <f>'GS &lt; 50 OLS Model'!$B$5</f>
        <v>-6867500.9582801796</v>
      </c>
      <c r="M41" s="23">
        <f>'GS &lt; 50 OLS Model'!$B$6*D41</f>
        <v>1157102.0126604424</v>
      </c>
      <c r="N41" s="23">
        <f>'GS &lt; 50 OLS Model'!$B$7*E41</f>
        <v>12137.266181222802</v>
      </c>
      <c r="O41" s="23">
        <f>'GS &lt; 50 OLS Model'!$B$8*F41</f>
        <v>13280728.682844339</v>
      </c>
      <c r="P41" s="23">
        <f>'GS &lt; 50 OLS Model'!$B$9*G41</f>
        <v>0</v>
      </c>
      <c r="Q41" s="23">
        <f>'GS &lt; 50 OLS Model'!$B$10*H41</f>
        <v>0</v>
      </c>
      <c r="R41" s="23">
        <f>'GS &lt; 50 OLS Model'!$B$11*I41</f>
        <v>0</v>
      </c>
      <c r="S41" s="23">
        <f>'GS &lt; 50 OLS Model'!$B$12*J41</f>
        <v>-430621.67531502497</v>
      </c>
      <c r="T41" s="23">
        <f t="shared" si="5"/>
        <v>7151845.328090799</v>
      </c>
      <c r="U41" s="13">
        <f t="shared" si="6"/>
        <v>3.3417596084586845E-2</v>
      </c>
      <c r="V41" s="13">
        <f t="shared" si="7"/>
        <v>3.3417596084586845E-2</v>
      </c>
    </row>
    <row r="42" spans="1:22">
      <c r="A42" s="11">
        <f>'Monthly Data'!A42</f>
        <v>41030</v>
      </c>
      <c r="B42" s="6">
        <f t="shared" si="4"/>
        <v>2012</v>
      </c>
      <c r="C42" s="30">
        <f>'Monthly Data'!I42</f>
        <v>6992836.9937842954</v>
      </c>
      <c r="D42">
        <f>'Monthly Data'!U42</f>
        <v>94.000000000000014</v>
      </c>
      <c r="E42">
        <f>'Monthly Data'!V42</f>
        <v>20.100000000000001</v>
      </c>
      <c r="F42" s="30">
        <f>'Monthly Data'!AC42</f>
        <v>3198</v>
      </c>
      <c r="G42" s="30">
        <f>'Monthly Data'!AG42</f>
        <v>0</v>
      </c>
      <c r="H42" s="30">
        <f>'Monthly Data'!AM42</f>
        <v>0</v>
      </c>
      <c r="I42" s="30">
        <f>'Monthly Data'!AN42</f>
        <v>0</v>
      </c>
      <c r="J42" s="30">
        <f>'Monthly Data'!AO42</f>
        <v>0</v>
      </c>
      <c r="L42" s="23">
        <f>'GS &lt; 50 OLS Model'!$B$5</f>
        <v>-6867500.9582801796</v>
      </c>
      <c r="M42" s="23">
        <f>'GS &lt; 50 OLS Model'!$B$6*D42</f>
        <v>303058.20337164006</v>
      </c>
      <c r="N42" s="23">
        <f>'GS &lt; 50 OLS Model'!$B$7*E42</f>
        <v>304948.81280322286</v>
      </c>
      <c r="O42" s="23">
        <f>'GS &lt; 50 OLS Model'!$B$8*F42</f>
        <v>13218727.148377279</v>
      </c>
      <c r="P42" s="23">
        <f>'GS &lt; 50 OLS Model'!$B$9*G42</f>
        <v>0</v>
      </c>
      <c r="Q42" s="23">
        <f>'GS &lt; 50 OLS Model'!$B$10*H42</f>
        <v>0</v>
      </c>
      <c r="R42" s="23">
        <f>'GS &lt; 50 OLS Model'!$B$11*I42</f>
        <v>0</v>
      </c>
      <c r="S42" s="23">
        <f>'GS &lt; 50 OLS Model'!$B$12*J42</f>
        <v>0</v>
      </c>
      <c r="T42" s="23">
        <f t="shared" si="5"/>
        <v>6959233.2062719623</v>
      </c>
      <c r="U42" s="13">
        <f t="shared" si="6"/>
        <v>4.8054584344240318E-3</v>
      </c>
      <c r="V42" s="13">
        <f t="shared" si="7"/>
        <v>-4.8054584344240318E-3</v>
      </c>
    </row>
    <row r="43" spans="1:22">
      <c r="A43" s="11">
        <f>'Monthly Data'!A43</f>
        <v>41061</v>
      </c>
      <c r="B43" s="6">
        <f t="shared" si="4"/>
        <v>2012</v>
      </c>
      <c r="C43" s="30">
        <f>'Monthly Data'!I43</f>
        <v>7377632.6825933103</v>
      </c>
      <c r="D43">
        <f>'Monthly Data'!U43</f>
        <v>41.300000000000004</v>
      </c>
      <c r="E43">
        <f>'Monthly Data'!V43</f>
        <v>51.8</v>
      </c>
      <c r="F43" s="30">
        <f>'Monthly Data'!AC43</f>
        <v>3201</v>
      </c>
      <c r="G43" s="30">
        <f>'Monthly Data'!AG43</f>
        <v>0</v>
      </c>
      <c r="H43" s="30">
        <f>'Monthly Data'!AM43</f>
        <v>0</v>
      </c>
      <c r="I43" s="30">
        <f>'Monthly Data'!AN43</f>
        <v>0</v>
      </c>
      <c r="J43" s="30">
        <f>'Monthly Data'!AO43</f>
        <v>0</v>
      </c>
      <c r="L43" s="23">
        <f>'GS &lt; 50 OLS Model'!$B$5</f>
        <v>-6867500.9582801796</v>
      </c>
      <c r="M43" s="23">
        <f>'GS &lt; 50 OLS Model'!$B$6*D43</f>
        <v>133152.16807711418</v>
      </c>
      <c r="N43" s="23">
        <f>'GS &lt; 50 OLS Model'!$B$7*E43</f>
        <v>785887.98523417627</v>
      </c>
      <c r="O43" s="23">
        <f>'GS &lt; 50 OLS Model'!$B$8*F43</f>
        <v>13231127.455270691</v>
      </c>
      <c r="P43" s="23">
        <f>'GS &lt; 50 OLS Model'!$B$9*G43</f>
        <v>0</v>
      </c>
      <c r="Q43" s="23">
        <f>'GS &lt; 50 OLS Model'!$B$10*H43</f>
        <v>0</v>
      </c>
      <c r="R43" s="23">
        <f>'GS &lt; 50 OLS Model'!$B$11*I43</f>
        <v>0</v>
      </c>
      <c r="S43" s="23">
        <f>'GS &lt; 50 OLS Model'!$B$12*J43</f>
        <v>0</v>
      </c>
      <c r="T43" s="23">
        <f t="shared" si="5"/>
        <v>7282666.650301801</v>
      </c>
      <c r="U43" s="13">
        <f t="shared" si="6"/>
        <v>1.2872155117666786E-2</v>
      </c>
      <c r="V43" s="13">
        <f t="shared" si="7"/>
        <v>-1.2872155117666786E-2</v>
      </c>
    </row>
    <row r="44" spans="1:22">
      <c r="A44" s="11">
        <f>'Monthly Data'!A44</f>
        <v>41091</v>
      </c>
      <c r="B44" s="6">
        <f t="shared" si="4"/>
        <v>2012</v>
      </c>
      <c r="C44" s="30">
        <f>'Monthly Data'!I44</f>
        <v>8108140.1990023255</v>
      </c>
      <c r="D44">
        <f>'Monthly Data'!U44</f>
        <v>0.2</v>
      </c>
      <c r="E44">
        <f>'Monthly Data'!V44</f>
        <v>120.69999999999996</v>
      </c>
      <c r="F44" s="30">
        <f>'Monthly Data'!AC44</f>
        <v>3197</v>
      </c>
      <c r="G44" s="30">
        <f>'Monthly Data'!AG44</f>
        <v>0</v>
      </c>
      <c r="H44" s="30">
        <f>'Monthly Data'!AM44</f>
        <v>0</v>
      </c>
      <c r="I44" s="30">
        <f>'Monthly Data'!AN44</f>
        <v>0</v>
      </c>
      <c r="J44" s="30">
        <f>'Monthly Data'!AO44</f>
        <v>0</v>
      </c>
      <c r="L44" s="23">
        <f>'GS &lt; 50 OLS Model'!$B$5</f>
        <v>-6867500.9582801796</v>
      </c>
      <c r="M44" s="23">
        <f>'GS &lt; 50 OLS Model'!$B$6*D44</f>
        <v>644.80468802476605</v>
      </c>
      <c r="N44" s="23">
        <f>'GS &lt; 50 OLS Model'!$B$7*E44</f>
        <v>1831210.0350919894</v>
      </c>
      <c r="O44" s="23">
        <f>'GS &lt; 50 OLS Model'!$B$8*F44</f>
        <v>13214593.712746141</v>
      </c>
      <c r="P44" s="23">
        <f>'GS &lt; 50 OLS Model'!$B$9*G44</f>
        <v>0</v>
      </c>
      <c r="Q44" s="23">
        <f>'GS &lt; 50 OLS Model'!$B$10*H44</f>
        <v>0</v>
      </c>
      <c r="R44" s="23">
        <f>'GS &lt; 50 OLS Model'!$B$11*I44</f>
        <v>0</v>
      </c>
      <c r="S44" s="23">
        <f>'GS &lt; 50 OLS Model'!$B$12*J44</f>
        <v>0</v>
      </c>
      <c r="T44" s="23">
        <f t="shared" si="5"/>
        <v>8178947.5942459758</v>
      </c>
      <c r="U44" s="13">
        <f t="shared" si="6"/>
        <v>8.7328775163955444E-3</v>
      </c>
      <c r="V44" s="13">
        <f t="shared" si="7"/>
        <v>8.7328775163955444E-3</v>
      </c>
    </row>
    <row r="45" spans="1:22">
      <c r="A45" s="11">
        <f>'Monthly Data'!A45</f>
        <v>41122</v>
      </c>
      <c r="B45" s="6">
        <f t="shared" si="4"/>
        <v>2012</v>
      </c>
      <c r="C45" s="30">
        <f>'Monthly Data'!I45</f>
        <v>7894188.0266113393</v>
      </c>
      <c r="D45">
        <f>'Monthly Data'!U45</f>
        <v>7.3000000000000007</v>
      </c>
      <c r="E45">
        <f>'Monthly Data'!V45</f>
        <v>87.199999999999974</v>
      </c>
      <c r="F45" s="30">
        <f>'Monthly Data'!AC45</f>
        <v>3194</v>
      </c>
      <c r="G45" s="30">
        <f>'Monthly Data'!AG45</f>
        <v>0</v>
      </c>
      <c r="H45" s="30">
        <f>'Monthly Data'!AM45</f>
        <v>0</v>
      </c>
      <c r="I45" s="30">
        <f>'Monthly Data'!AN45</f>
        <v>0</v>
      </c>
      <c r="J45" s="30">
        <f>'Monthly Data'!AO45</f>
        <v>0</v>
      </c>
      <c r="L45" s="23">
        <f>'GS &lt; 50 OLS Model'!$B$5</f>
        <v>-6867500.9582801796</v>
      </c>
      <c r="M45" s="23">
        <f>'GS &lt; 50 OLS Model'!$B$6*D45</f>
        <v>23535.371112903962</v>
      </c>
      <c r="N45" s="23">
        <f>'GS &lt; 50 OLS Model'!$B$7*E45</f>
        <v>1322962.0137532849</v>
      </c>
      <c r="O45" s="23">
        <f>'GS &lt; 50 OLS Model'!$B$8*F45</f>
        <v>13202193.405852729</v>
      </c>
      <c r="P45" s="23">
        <f>'GS &lt; 50 OLS Model'!$B$9*G45</f>
        <v>0</v>
      </c>
      <c r="Q45" s="23">
        <f>'GS &lt; 50 OLS Model'!$B$10*H45</f>
        <v>0</v>
      </c>
      <c r="R45" s="23">
        <f>'GS &lt; 50 OLS Model'!$B$11*I45</f>
        <v>0</v>
      </c>
      <c r="S45" s="23">
        <f>'GS &lt; 50 OLS Model'!$B$12*J45</f>
        <v>0</v>
      </c>
      <c r="T45" s="23">
        <f t="shared" si="5"/>
        <v>7681189.8324387381</v>
      </c>
      <c r="U45" s="13">
        <f t="shared" si="6"/>
        <v>2.6981646935008825E-2</v>
      </c>
      <c r="V45" s="13">
        <f t="shared" si="7"/>
        <v>-2.6981646935008825E-2</v>
      </c>
    </row>
    <row r="46" spans="1:22">
      <c r="A46" s="11">
        <f>'Monthly Data'!A46</f>
        <v>41153</v>
      </c>
      <c r="B46" s="6">
        <f t="shared" si="4"/>
        <v>2012</v>
      </c>
      <c r="C46" s="30">
        <f>'Monthly Data'!I46</f>
        <v>7032231.0455203541</v>
      </c>
      <c r="D46">
        <f>'Monthly Data'!U46</f>
        <v>106.30000000000003</v>
      </c>
      <c r="E46">
        <f>'Monthly Data'!V46</f>
        <v>20.200000000000003</v>
      </c>
      <c r="F46" s="30">
        <f>'Monthly Data'!AC46</f>
        <v>3166</v>
      </c>
      <c r="G46" s="30">
        <f>'Monthly Data'!AG46</f>
        <v>0</v>
      </c>
      <c r="H46" s="30">
        <f>'Monthly Data'!AM46</f>
        <v>1</v>
      </c>
      <c r="I46" s="30">
        <f>'Monthly Data'!AN46</f>
        <v>0</v>
      </c>
      <c r="J46" s="30">
        <f>'Monthly Data'!AO46</f>
        <v>0</v>
      </c>
      <c r="L46" s="23">
        <f>'GS &lt; 50 OLS Model'!$B$5</f>
        <v>-6867500.9582801796</v>
      </c>
      <c r="M46" s="23">
        <f>'GS &lt; 50 OLS Model'!$B$6*D46</f>
        <v>342713.69168516318</v>
      </c>
      <c r="N46" s="23">
        <f>'GS &lt; 50 OLS Model'!$B$7*E46</f>
        <v>306465.97107587574</v>
      </c>
      <c r="O46" s="23">
        <f>'GS &lt; 50 OLS Model'!$B$8*F46</f>
        <v>13086457.208180882</v>
      </c>
      <c r="P46" s="23">
        <f>'GS &lt; 50 OLS Model'!$B$9*G46</f>
        <v>0</v>
      </c>
      <c r="Q46" s="23">
        <f>'GS &lt; 50 OLS Model'!$B$10*H46</f>
        <v>-165959.07761345801</v>
      </c>
      <c r="R46" s="23">
        <f>'GS &lt; 50 OLS Model'!$B$11*I46</f>
        <v>0</v>
      </c>
      <c r="S46" s="23">
        <f>'GS &lt; 50 OLS Model'!$B$12*J46</f>
        <v>0</v>
      </c>
      <c r="T46" s="23">
        <f t="shared" si="5"/>
        <v>6702176.8350482835</v>
      </c>
      <c r="U46" s="13">
        <f t="shared" si="6"/>
        <v>4.6934494662589414E-2</v>
      </c>
      <c r="V46" s="13">
        <f t="shared" si="7"/>
        <v>-4.6934494662589414E-2</v>
      </c>
    </row>
    <row r="47" spans="1:22">
      <c r="A47" s="11">
        <f>'Monthly Data'!A47</f>
        <v>41183</v>
      </c>
      <c r="B47" s="6">
        <f t="shared" si="4"/>
        <v>2012</v>
      </c>
      <c r="C47" s="30">
        <f>'Monthly Data'!I47</f>
        <v>6851983.3074293695</v>
      </c>
      <c r="D47">
        <f>'Monthly Data'!U47</f>
        <v>259.09999999999991</v>
      </c>
      <c r="E47">
        <f>'Monthly Data'!V47</f>
        <v>0</v>
      </c>
      <c r="F47" s="30">
        <f>'Monthly Data'!AC47</f>
        <v>3163</v>
      </c>
      <c r="G47" s="30">
        <f>'Monthly Data'!AG47</f>
        <v>0</v>
      </c>
      <c r="H47" s="30">
        <f>'Monthly Data'!AM47</f>
        <v>1</v>
      </c>
      <c r="I47" s="30">
        <f>'Monthly Data'!AN47</f>
        <v>0</v>
      </c>
      <c r="J47" s="30">
        <f>'Monthly Data'!AO47</f>
        <v>0</v>
      </c>
      <c r="L47" s="23">
        <f>'GS &lt; 50 OLS Model'!$B$5</f>
        <v>-6867500.9582801796</v>
      </c>
      <c r="M47" s="23">
        <f>'GS &lt; 50 OLS Model'!$B$6*D47</f>
        <v>835344.47333608405</v>
      </c>
      <c r="N47" s="23">
        <f>'GS &lt; 50 OLS Model'!$B$7*E47</f>
        <v>0</v>
      </c>
      <c r="O47" s="23">
        <f>'GS &lt; 50 OLS Model'!$B$8*F47</f>
        <v>13074056.90128747</v>
      </c>
      <c r="P47" s="23">
        <f>'GS &lt; 50 OLS Model'!$B$9*G47</f>
        <v>0</v>
      </c>
      <c r="Q47" s="23">
        <f>'GS &lt; 50 OLS Model'!$B$10*H47</f>
        <v>-165959.07761345801</v>
      </c>
      <c r="R47" s="23">
        <f>'GS &lt; 50 OLS Model'!$B$11*I47</f>
        <v>0</v>
      </c>
      <c r="S47" s="23">
        <f>'GS &lt; 50 OLS Model'!$B$12*J47</f>
        <v>0</v>
      </c>
      <c r="T47" s="23">
        <f t="shared" si="5"/>
        <v>6875941.3387299161</v>
      </c>
      <c r="U47" s="13">
        <f t="shared" si="6"/>
        <v>3.4965104591789843E-3</v>
      </c>
      <c r="V47" s="13">
        <f t="shared" si="7"/>
        <v>3.4965104591789843E-3</v>
      </c>
    </row>
    <row r="48" spans="1:22">
      <c r="A48" s="11">
        <f>'Monthly Data'!A48</f>
        <v>41214</v>
      </c>
      <c r="B48" s="6">
        <f t="shared" si="4"/>
        <v>2012</v>
      </c>
      <c r="C48" s="30">
        <f>'Monthly Data'!I48</f>
        <v>7479887.5906383833</v>
      </c>
      <c r="D48">
        <f>'Monthly Data'!U48</f>
        <v>498.9</v>
      </c>
      <c r="E48">
        <f>'Monthly Data'!V48</f>
        <v>0</v>
      </c>
      <c r="F48" s="30">
        <f>'Monthly Data'!AC48</f>
        <v>3177</v>
      </c>
      <c r="G48" s="30">
        <f>'Monthly Data'!AG48</f>
        <v>0</v>
      </c>
      <c r="H48" s="30">
        <f>'Monthly Data'!AM48</f>
        <v>1</v>
      </c>
      <c r="I48" s="30">
        <f>'Monthly Data'!AN48</f>
        <v>0</v>
      </c>
      <c r="J48" s="30">
        <f>'Monthly Data'!AO48</f>
        <v>0</v>
      </c>
      <c r="L48" s="23">
        <f>'GS &lt; 50 OLS Model'!$B$5</f>
        <v>-6867500.9582801796</v>
      </c>
      <c r="M48" s="23">
        <f>'GS &lt; 50 OLS Model'!$B$6*D48</f>
        <v>1608465.2942777786</v>
      </c>
      <c r="N48" s="23">
        <f>'GS &lt; 50 OLS Model'!$B$7*E48</f>
        <v>0</v>
      </c>
      <c r="O48" s="23">
        <f>'GS &lt; 50 OLS Model'!$B$8*F48</f>
        <v>13131925.000123395</v>
      </c>
      <c r="P48" s="23">
        <f>'GS &lt; 50 OLS Model'!$B$9*G48</f>
        <v>0</v>
      </c>
      <c r="Q48" s="23">
        <f>'GS &lt; 50 OLS Model'!$B$10*H48</f>
        <v>-165959.07761345801</v>
      </c>
      <c r="R48" s="23">
        <f>'GS &lt; 50 OLS Model'!$B$11*I48</f>
        <v>0</v>
      </c>
      <c r="S48" s="23">
        <f>'GS &lt; 50 OLS Model'!$B$12*J48</f>
        <v>0</v>
      </c>
      <c r="T48" s="23">
        <f t="shared" si="5"/>
        <v>7706930.2585075358</v>
      </c>
      <c r="U48" s="13">
        <f t="shared" si="6"/>
        <v>3.0353753999366611E-2</v>
      </c>
      <c r="V48" s="13">
        <f t="shared" si="7"/>
        <v>3.0353753999366611E-2</v>
      </c>
    </row>
    <row r="49" spans="1:22">
      <c r="A49" s="11">
        <f>'Monthly Data'!A49</f>
        <v>41244</v>
      </c>
      <c r="B49" s="6">
        <f t="shared" si="4"/>
        <v>2012</v>
      </c>
      <c r="C49" s="30">
        <f>'Monthly Data'!I49</f>
        <v>8137948.6939473981</v>
      </c>
      <c r="D49">
        <f>'Monthly Data'!U49</f>
        <v>648.19999999999993</v>
      </c>
      <c r="E49">
        <f>'Monthly Data'!V49</f>
        <v>0</v>
      </c>
      <c r="F49" s="30">
        <f>'Monthly Data'!AC49</f>
        <v>3180</v>
      </c>
      <c r="G49" s="30">
        <f>'Monthly Data'!AG49</f>
        <v>0</v>
      </c>
      <c r="H49" s="30">
        <f>'Monthly Data'!AM49</f>
        <v>0</v>
      </c>
      <c r="I49" s="30">
        <f>'Monthly Data'!AN49</f>
        <v>0</v>
      </c>
      <c r="J49" s="30">
        <f>'Monthly Data'!AO49</f>
        <v>0</v>
      </c>
      <c r="L49" s="23">
        <f>'GS &lt; 50 OLS Model'!$B$5</f>
        <v>-6867500.9582801796</v>
      </c>
      <c r="M49" s="23">
        <f>'GS &lt; 50 OLS Model'!$B$6*D49</f>
        <v>2089811.9938882664</v>
      </c>
      <c r="N49" s="23">
        <f>'GS &lt; 50 OLS Model'!$B$7*E49</f>
        <v>0</v>
      </c>
      <c r="O49" s="23">
        <f>'GS &lt; 50 OLS Model'!$B$8*F49</f>
        <v>13144325.307016807</v>
      </c>
      <c r="P49" s="23">
        <f>'GS &lt; 50 OLS Model'!$B$9*G49</f>
        <v>0</v>
      </c>
      <c r="Q49" s="23">
        <f>'GS &lt; 50 OLS Model'!$B$10*H49</f>
        <v>0</v>
      </c>
      <c r="R49" s="23">
        <f>'GS &lt; 50 OLS Model'!$B$11*I49</f>
        <v>0</v>
      </c>
      <c r="S49" s="23">
        <f>'GS &lt; 50 OLS Model'!$B$12*J49</f>
        <v>0</v>
      </c>
      <c r="T49" s="23">
        <f t="shared" si="5"/>
        <v>8366636.3426248934</v>
      </c>
      <c r="U49" s="13">
        <f t="shared" si="6"/>
        <v>2.810138737389458E-2</v>
      </c>
      <c r="V49" s="13">
        <f t="shared" si="7"/>
        <v>2.810138737389458E-2</v>
      </c>
    </row>
    <row r="50" spans="1:22">
      <c r="A50" s="11">
        <f>'Monthly Data'!A50</f>
        <v>41275</v>
      </c>
      <c r="B50" s="6">
        <f t="shared" si="4"/>
        <v>2013</v>
      </c>
      <c r="C50" s="30">
        <f>'Monthly Data'!I50</f>
        <v>8754489.4838419612</v>
      </c>
      <c r="D50">
        <f>'Monthly Data'!U50</f>
        <v>743.9</v>
      </c>
      <c r="E50">
        <f>'Monthly Data'!V50</f>
        <v>0</v>
      </c>
      <c r="F50" s="30">
        <f>'Monthly Data'!AC50</f>
        <v>3175</v>
      </c>
      <c r="G50" s="30">
        <f>'Monthly Data'!AG50</f>
        <v>0</v>
      </c>
      <c r="H50" s="30">
        <f>'Monthly Data'!AM50</f>
        <v>0</v>
      </c>
      <c r="I50" s="30">
        <f>'Monthly Data'!AN50</f>
        <v>0</v>
      </c>
      <c r="J50" s="30">
        <f>'Monthly Data'!AO50</f>
        <v>0</v>
      </c>
      <c r="L50" s="23">
        <f>'GS &lt; 50 OLS Model'!$B$5</f>
        <v>-6867500.9582801796</v>
      </c>
      <c r="M50" s="23">
        <f>'GS &lt; 50 OLS Model'!$B$6*D50</f>
        <v>2398351.0371081168</v>
      </c>
      <c r="N50" s="23">
        <f>'GS &lt; 50 OLS Model'!$B$7*E50</f>
        <v>0</v>
      </c>
      <c r="O50" s="23">
        <f>'GS &lt; 50 OLS Model'!$B$8*F50</f>
        <v>13123658.12886112</v>
      </c>
      <c r="P50" s="23">
        <f>'GS &lt; 50 OLS Model'!$B$9*G50</f>
        <v>0</v>
      </c>
      <c r="Q50" s="23">
        <f>'GS &lt; 50 OLS Model'!$B$10*H50</f>
        <v>0</v>
      </c>
      <c r="R50" s="23">
        <f>'GS &lt; 50 OLS Model'!$B$11*I50</f>
        <v>0</v>
      </c>
      <c r="S50" s="23">
        <f>'GS &lt; 50 OLS Model'!$B$12*J50</f>
        <v>0</v>
      </c>
      <c r="T50" s="23">
        <f t="shared" si="5"/>
        <v>8654508.207689058</v>
      </c>
      <c r="U50" s="13">
        <f t="shared" si="6"/>
        <v>1.1420571849156624E-2</v>
      </c>
      <c r="V50" s="13">
        <f t="shared" si="7"/>
        <v>-1.1420571849156624E-2</v>
      </c>
    </row>
    <row r="51" spans="1:22">
      <c r="A51" s="11">
        <f>'Monthly Data'!A51</f>
        <v>41306</v>
      </c>
      <c r="B51" s="6">
        <f t="shared" si="4"/>
        <v>2013</v>
      </c>
      <c r="C51" s="30">
        <f>'Monthly Data'!I51</f>
        <v>7995622.6666620364</v>
      </c>
      <c r="D51">
        <f>'Monthly Data'!U51</f>
        <v>693.5</v>
      </c>
      <c r="E51">
        <f>'Monthly Data'!V51</f>
        <v>0</v>
      </c>
      <c r="F51" s="30">
        <f>'Monthly Data'!AC51</f>
        <v>3183</v>
      </c>
      <c r="G51" s="30">
        <f>'Monthly Data'!AG51</f>
        <v>0</v>
      </c>
      <c r="H51" s="30">
        <f>'Monthly Data'!AM51</f>
        <v>0</v>
      </c>
      <c r="I51" s="30">
        <f>'Monthly Data'!AN51</f>
        <v>1</v>
      </c>
      <c r="J51" s="30">
        <f>'Monthly Data'!AO51</f>
        <v>0</v>
      </c>
      <c r="L51" s="23">
        <f>'GS &lt; 50 OLS Model'!$B$5</f>
        <v>-6867500.9582801796</v>
      </c>
      <c r="M51" s="23">
        <f>'GS &lt; 50 OLS Model'!$B$6*D51</f>
        <v>2235860.255725876</v>
      </c>
      <c r="N51" s="23">
        <f>'GS &lt; 50 OLS Model'!$B$7*E51</f>
        <v>0</v>
      </c>
      <c r="O51" s="23">
        <f>'GS &lt; 50 OLS Model'!$B$8*F51</f>
        <v>13156725.613910219</v>
      </c>
      <c r="P51" s="23">
        <f>'GS &lt; 50 OLS Model'!$B$9*G51</f>
        <v>0</v>
      </c>
      <c r="Q51" s="23">
        <f>'GS &lt; 50 OLS Model'!$B$10*H51</f>
        <v>0</v>
      </c>
      <c r="R51" s="23">
        <f>'GS &lt; 50 OLS Model'!$B$11*I51</f>
        <v>-326910.06421591499</v>
      </c>
      <c r="S51" s="23">
        <f>'GS &lt; 50 OLS Model'!$B$12*J51</f>
        <v>0</v>
      </c>
      <c r="T51" s="23">
        <f t="shared" si="5"/>
        <v>8198174.8471399993</v>
      </c>
      <c r="U51" s="13">
        <f t="shared" si="6"/>
        <v>2.5332883869383881E-2</v>
      </c>
      <c r="V51" s="13">
        <f t="shared" si="7"/>
        <v>2.5332883869383881E-2</v>
      </c>
    </row>
    <row r="52" spans="1:22">
      <c r="A52" s="11">
        <f>'Monthly Data'!A52</f>
        <v>41334</v>
      </c>
      <c r="B52" s="6">
        <f t="shared" si="4"/>
        <v>2013</v>
      </c>
      <c r="C52" s="30">
        <f>'Monthly Data'!I52</f>
        <v>8084522.8748821123</v>
      </c>
      <c r="D52">
        <f>'Monthly Data'!U52</f>
        <v>588.30000000000018</v>
      </c>
      <c r="E52">
        <f>'Monthly Data'!V52</f>
        <v>0</v>
      </c>
      <c r="F52" s="30">
        <f>'Monthly Data'!AC52</f>
        <v>3179</v>
      </c>
      <c r="G52" s="30">
        <f>'Monthly Data'!AG52</f>
        <v>0</v>
      </c>
      <c r="H52" s="30">
        <f>'Monthly Data'!AM52</f>
        <v>0</v>
      </c>
      <c r="I52" s="30">
        <f>'Monthly Data'!AN52</f>
        <v>0</v>
      </c>
      <c r="J52" s="30">
        <f>'Monthly Data'!AO52</f>
        <v>0</v>
      </c>
      <c r="L52" s="23">
        <f>'GS &lt; 50 OLS Model'!$B$5</f>
        <v>-6867500.9582801796</v>
      </c>
      <c r="M52" s="23">
        <f>'GS &lt; 50 OLS Model'!$B$6*D52</f>
        <v>1896692.9898248496</v>
      </c>
      <c r="N52" s="23">
        <f>'GS &lt; 50 OLS Model'!$B$7*E52</f>
        <v>0</v>
      </c>
      <c r="O52" s="23">
        <f>'GS &lt; 50 OLS Model'!$B$8*F52</f>
        <v>13140191.871385669</v>
      </c>
      <c r="P52" s="23">
        <f>'GS &lt; 50 OLS Model'!$B$9*G52</f>
        <v>0</v>
      </c>
      <c r="Q52" s="23">
        <f>'GS &lt; 50 OLS Model'!$B$10*H52</f>
        <v>0</v>
      </c>
      <c r="R52" s="23">
        <f>'GS &lt; 50 OLS Model'!$B$11*I52</f>
        <v>0</v>
      </c>
      <c r="S52" s="23">
        <f>'GS &lt; 50 OLS Model'!$B$12*J52</f>
        <v>0</v>
      </c>
      <c r="T52" s="23">
        <f t="shared" si="5"/>
        <v>8169383.9029303398</v>
      </c>
      <c r="U52" s="13">
        <f t="shared" si="6"/>
        <v>1.0496726815120178E-2</v>
      </c>
      <c r="V52" s="13">
        <f t="shared" si="7"/>
        <v>1.0496726815120178E-2</v>
      </c>
    </row>
    <row r="53" spans="1:22">
      <c r="A53" s="11">
        <f>'Monthly Data'!A53</f>
        <v>41365</v>
      </c>
      <c r="B53" s="6">
        <f t="shared" si="4"/>
        <v>2013</v>
      </c>
      <c r="C53" s="30">
        <f>'Monthly Data'!I53</f>
        <v>7130007.7383021899</v>
      </c>
      <c r="D53">
        <f>'Monthly Data'!U53</f>
        <v>386.99999999999989</v>
      </c>
      <c r="E53">
        <f>'Monthly Data'!V53</f>
        <v>0</v>
      </c>
      <c r="F53" s="30">
        <f>'Monthly Data'!AC53</f>
        <v>3182</v>
      </c>
      <c r="G53" s="30">
        <f>'Monthly Data'!AG53</f>
        <v>0</v>
      </c>
      <c r="H53" s="30">
        <f>'Monthly Data'!AM53</f>
        <v>0</v>
      </c>
      <c r="I53" s="30">
        <f>'Monthly Data'!AN53</f>
        <v>0</v>
      </c>
      <c r="J53" s="30">
        <f>'Monthly Data'!AO53</f>
        <v>1</v>
      </c>
      <c r="L53" s="23">
        <f>'GS &lt; 50 OLS Model'!$B$5</f>
        <v>-6867500.9582801796</v>
      </c>
      <c r="M53" s="23">
        <f>'GS &lt; 50 OLS Model'!$B$6*D53</f>
        <v>1247697.0713279217</v>
      </c>
      <c r="N53" s="23">
        <f>'GS &lt; 50 OLS Model'!$B$7*E53</f>
        <v>0</v>
      </c>
      <c r="O53" s="23">
        <f>'GS &lt; 50 OLS Model'!$B$8*F53</f>
        <v>13152592.178279081</v>
      </c>
      <c r="P53" s="23">
        <f>'GS &lt; 50 OLS Model'!$B$9*G53</f>
        <v>0</v>
      </c>
      <c r="Q53" s="23">
        <f>'GS &lt; 50 OLS Model'!$B$10*H53</f>
        <v>0</v>
      </c>
      <c r="R53" s="23">
        <f>'GS &lt; 50 OLS Model'!$B$11*I53</f>
        <v>0</v>
      </c>
      <c r="S53" s="23">
        <f>'GS &lt; 50 OLS Model'!$B$12*J53</f>
        <v>-430621.67531502497</v>
      </c>
      <c r="T53" s="23">
        <f t="shared" si="5"/>
        <v>7102166.6160117984</v>
      </c>
      <c r="U53" s="13">
        <f t="shared" si="6"/>
        <v>3.9047814970564186E-3</v>
      </c>
      <c r="V53" s="13">
        <f t="shared" si="7"/>
        <v>-3.9047814970564186E-3</v>
      </c>
    </row>
    <row r="54" spans="1:22">
      <c r="A54" s="11">
        <f>'Monthly Data'!A54</f>
        <v>41395</v>
      </c>
      <c r="B54" s="6">
        <f t="shared" si="4"/>
        <v>2013</v>
      </c>
      <c r="C54" s="30">
        <f>'Monthly Data'!I54</f>
        <v>6622024.3470222652</v>
      </c>
      <c r="D54">
        <f>'Monthly Data'!U54</f>
        <v>139.70000000000002</v>
      </c>
      <c r="E54">
        <f>'Monthly Data'!V54</f>
        <v>6.3</v>
      </c>
      <c r="F54" s="30">
        <f>'Monthly Data'!AC54</f>
        <v>3169</v>
      </c>
      <c r="G54" s="30">
        <f>'Monthly Data'!AG54</f>
        <v>0</v>
      </c>
      <c r="H54" s="30">
        <f>'Monthly Data'!AM54</f>
        <v>0</v>
      </c>
      <c r="I54" s="30">
        <f>'Monthly Data'!AN54</f>
        <v>0</v>
      </c>
      <c r="J54" s="30">
        <f>'Monthly Data'!AO54</f>
        <v>0</v>
      </c>
      <c r="L54" s="23">
        <f>'GS &lt; 50 OLS Model'!$B$5</f>
        <v>-6867500.9582801796</v>
      </c>
      <c r="M54" s="23">
        <f>'GS &lt; 50 OLS Model'!$B$6*D54</f>
        <v>450396.07458529907</v>
      </c>
      <c r="N54" s="23">
        <f>'GS &lt; 50 OLS Model'!$B$7*E54</f>
        <v>95580.971177129555</v>
      </c>
      <c r="O54" s="23">
        <f>'GS &lt; 50 OLS Model'!$B$8*F54</f>
        <v>13098857.515074294</v>
      </c>
      <c r="P54" s="23">
        <f>'GS &lt; 50 OLS Model'!$B$9*G54</f>
        <v>0</v>
      </c>
      <c r="Q54" s="23">
        <f>'GS &lt; 50 OLS Model'!$B$10*H54</f>
        <v>0</v>
      </c>
      <c r="R54" s="23">
        <f>'GS &lt; 50 OLS Model'!$B$11*I54</f>
        <v>0</v>
      </c>
      <c r="S54" s="23">
        <f>'GS &lt; 50 OLS Model'!$B$12*J54</f>
        <v>0</v>
      </c>
      <c r="T54" s="23">
        <f t="shared" si="5"/>
        <v>6777333.6025565434</v>
      </c>
      <c r="U54" s="13">
        <f t="shared" si="6"/>
        <v>2.3453440729814947E-2</v>
      </c>
      <c r="V54" s="13">
        <f t="shared" si="7"/>
        <v>2.3453440729814947E-2</v>
      </c>
    </row>
    <row r="55" spans="1:22">
      <c r="A55" s="11">
        <f>'Monthly Data'!A55</f>
        <v>41426</v>
      </c>
      <c r="B55" s="6">
        <f t="shared" si="4"/>
        <v>2013</v>
      </c>
      <c r="C55" s="30">
        <f>'Monthly Data'!I55</f>
        <v>6767791.7244423442</v>
      </c>
      <c r="D55">
        <f>'Monthly Data'!U55</f>
        <v>72.200000000000017</v>
      </c>
      <c r="E55">
        <f>'Monthly Data'!V55</f>
        <v>30.800000000000004</v>
      </c>
      <c r="F55" s="30">
        <f>'Monthly Data'!AC55</f>
        <v>3174</v>
      </c>
      <c r="G55" s="30">
        <f>'Monthly Data'!AG55</f>
        <v>0</v>
      </c>
      <c r="H55" s="30">
        <f>'Monthly Data'!AM55</f>
        <v>0</v>
      </c>
      <c r="I55" s="30">
        <f>'Monthly Data'!AN55</f>
        <v>0</v>
      </c>
      <c r="J55" s="30">
        <f>'Monthly Data'!AO55</f>
        <v>0</v>
      </c>
      <c r="L55" s="23">
        <f>'GS &lt; 50 OLS Model'!$B$5</f>
        <v>-6867500.9582801796</v>
      </c>
      <c r="M55" s="23">
        <f>'GS &lt; 50 OLS Model'!$B$6*D55</f>
        <v>232774.49237694059</v>
      </c>
      <c r="N55" s="23">
        <f>'GS &lt; 50 OLS Model'!$B$7*E55</f>
        <v>467284.7479770779</v>
      </c>
      <c r="O55" s="23">
        <f>'GS &lt; 50 OLS Model'!$B$8*F55</f>
        <v>13119524.693229983</v>
      </c>
      <c r="P55" s="23">
        <f>'GS &lt; 50 OLS Model'!$B$9*G55</f>
        <v>0</v>
      </c>
      <c r="Q55" s="23">
        <f>'GS &lt; 50 OLS Model'!$B$10*H55</f>
        <v>0</v>
      </c>
      <c r="R55" s="23">
        <f>'GS &lt; 50 OLS Model'!$B$11*I55</f>
        <v>0</v>
      </c>
      <c r="S55" s="23">
        <f>'GS &lt; 50 OLS Model'!$B$12*J55</f>
        <v>0</v>
      </c>
      <c r="T55" s="23">
        <f t="shared" si="5"/>
        <v>6952082.9753038213</v>
      </c>
      <c r="U55" s="13">
        <f t="shared" si="6"/>
        <v>2.7230632732963191E-2</v>
      </c>
      <c r="V55" s="13">
        <f t="shared" si="7"/>
        <v>2.7230632732963191E-2</v>
      </c>
    </row>
    <row r="56" spans="1:22">
      <c r="A56" s="11">
        <f>'Monthly Data'!A56</f>
        <v>41456</v>
      </c>
      <c r="B56" s="6">
        <f t="shared" si="4"/>
        <v>2013</v>
      </c>
      <c r="C56" s="30">
        <f>'Monthly Data'!I56</f>
        <v>7689403.0530624194</v>
      </c>
      <c r="D56">
        <f>'Monthly Data'!U56</f>
        <v>4.8</v>
      </c>
      <c r="E56">
        <f>'Monthly Data'!V56</f>
        <v>97.09999999999998</v>
      </c>
      <c r="F56" s="30">
        <f>'Monthly Data'!AC56</f>
        <v>3174</v>
      </c>
      <c r="G56" s="30">
        <f>'Monthly Data'!AG56</f>
        <v>0</v>
      </c>
      <c r="H56" s="30">
        <f>'Monthly Data'!AM56</f>
        <v>0</v>
      </c>
      <c r="I56" s="30">
        <f>'Monthly Data'!AN56</f>
        <v>0</v>
      </c>
      <c r="J56" s="30">
        <f>'Monthly Data'!AO56</f>
        <v>0</v>
      </c>
      <c r="L56" s="23">
        <f>'GS &lt; 50 OLS Model'!$B$5</f>
        <v>-6867500.9582801796</v>
      </c>
      <c r="M56" s="23">
        <f>'GS &lt; 50 OLS Model'!$B$6*D56</f>
        <v>15475.312512594382</v>
      </c>
      <c r="N56" s="23">
        <f>'GS &lt; 50 OLS Model'!$B$7*E56</f>
        <v>1473160.682745917</v>
      </c>
      <c r="O56" s="23">
        <f>'GS &lt; 50 OLS Model'!$B$8*F56</f>
        <v>13119524.693229983</v>
      </c>
      <c r="P56" s="23">
        <f>'GS &lt; 50 OLS Model'!$B$9*G56</f>
        <v>0</v>
      </c>
      <c r="Q56" s="23">
        <f>'GS &lt; 50 OLS Model'!$B$10*H56</f>
        <v>0</v>
      </c>
      <c r="R56" s="23">
        <f>'GS &lt; 50 OLS Model'!$B$11*I56</f>
        <v>0</v>
      </c>
      <c r="S56" s="23">
        <f>'GS &lt; 50 OLS Model'!$B$12*J56</f>
        <v>0</v>
      </c>
      <c r="T56" s="23">
        <f t="shared" si="5"/>
        <v>7740659.730208314</v>
      </c>
      <c r="U56" s="13">
        <f t="shared" si="6"/>
        <v>6.6658850878522852E-3</v>
      </c>
      <c r="V56" s="13">
        <f t="shared" si="7"/>
        <v>6.6658850878522852E-3</v>
      </c>
    </row>
    <row r="57" spans="1:22">
      <c r="A57" s="11">
        <f>'Monthly Data'!A57</f>
        <v>41487</v>
      </c>
      <c r="B57" s="6">
        <f t="shared" si="4"/>
        <v>2013</v>
      </c>
      <c r="C57" s="30">
        <f>'Monthly Data'!I57</f>
        <v>7361716.6433824971</v>
      </c>
      <c r="D57">
        <f>'Monthly Data'!U57</f>
        <v>7.7</v>
      </c>
      <c r="E57">
        <f>'Monthly Data'!V57</f>
        <v>59.999999999999993</v>
      </c>
      <c r="F57" s="30">
        <f>'Monthly Data'!AC57</f>
        <v>3170</v>
      </c>
      <c r="G57" s="30">
        <f>'Monthly Data'!AG57</f>
        <v>0</v>
      </c>
      <c r="H57" s="30">
        <f>'Monthly Data'!AM57</f>
        <v>0</v>
      </c>
      <c r="I57" s="30">
        <f>'Monthly Data'!AN57</f>
        <v>0</v>
      </c>
      <c r="J57" s="30">
        <f>'Monthly Data'!AO57</f>
        <v>0</v>
      </c>
      <c r="L57" s="23">
        <f>'GS &lt; 50 OLS Model'!$B$5</f>
        <v>-6867500.9582801796</v>
      </c>
      <c r="M57" s="23">
        <f>'GS &lt; 50 OLS Model'!$B$6*D57</f>
        <v>24824.98048895349</v>
      </c>
      <c r="N57" s="23">
        <f>'GS &lt; 50 OLS Model'!$B$7*E57</f>
        <v>910294.96359170997</v>
      </c>
      <c r="O57" s="23">
        <f>'GS &lt; 50 OLS Model'!$B$8*F57</f>
        <v>13102990.950705433</v>
      </c>
      <c r="P57" s="23">
        <f>'GS &lt; 50 OLS Model'!$B$9*G57</f>
        <v>0</v>
      </c>
      <c r="Q57" s="23">
        <f>'GS &lt; 50 OLS Model'!$B$10*H57</f>
        <v>0</v>
      </c>
      <c r="R57" s="23">
        <f>'GS &lt; 50 OLS Model'!$B$11*I57</f>
        <v>0</v>
      </c>
      <c r="S57" s="23">
        <f>'GS &lt; 50 OLS Model'!$B$12*J57</f>
        <v>0</v>
      </c>
      <c r="T57" s="23">
        <f t="shared" si="5"/>
        <v>7170609.9365059165</v>
      </c>
      <c r="U57" s="13">
        <f t="shared" si="6"/>
        <v>2.5959530383224932E-2</v>
      </c>
      <c r="V57" s="13">
        <f t="shared" si="7"/>
        <v>-2.5959530383224932E-2</v>
      </c>
    </row>
    <row r="58" spans="1:22">
      <c r="A58" s="11">
        <f>'Monthly Data'!A58</f>
        <v>41518</v>
      </c>
      <c r="B58" s="6">
        <f t="shared" si="4"/>
        <v>2013</v>
      </c>
      <c r="C58" s="30">
        <f>'Monthly Data'!I58</f>
        <v>6711883.2291025724</v>
      </c>
      <c r="D58">
        <f>'Monthly Data'!U58</f>
        <v>118.4</v>
      </c>
      <c r="E58">
        <f>'Monthly Data'!V58</f>
        <v>16.5</v>
      </c>
      <c r="F58" s="30">
        <f>'Monthly Data'!AC58</f>
        <v>3166</v>
      </c>
      <c r="G58" s="30">
        <f>'Monthly Data'!AG58</f>
        <v>0</v>
      </c>
      <c r="H58" s="30">
        <f>'Monthly Data'!AM58</f>
        <v>1</v>
      </c>
      <c r="I58" s="30">
        <f>'Monthly Data'!AN58</f>
        <v>0</v>
      </c>
      <c r="J58" s="30">
        <f>'Monthly Data'!AO58</f>
        <v>0</v>
      </c>
      <c r="L58" s="23">
        <f>'GS &lt; 50 OLS Model'!$B$5</f>
        <v>-6867500.9582801796</v>
      </c>
      <c r="M58" s="23">
        <f>'GS &lt; 50 OLS Model'!$B$6*D58</f>
        <v>381724.3753106615</v>
      </c>
      <c r="N58" s="23">
        <f>'GS &lt; 50 OLS Model'!$B$7*E58</f>
        <v>250331.11498772027</v>
      </c>
      <c r="O58" s="23">
        <f>'GS &lt; 50 OLS Model'!$B$8*F58</f>
        <v>13086457.208180882</v>
      </c>
      <c r="P58" s="23">
        <f>'GS &lt; 50 OLS Model'!$B$9*G58</f>
        <v>0</v>
      </c>
      <c r="Q58" s="23">
        <f>'GS &lt; 50 OLS Model'!$B$10*H58</f>
        <v>-165959.07761345801</v>
      </c>
      <c r="R58" s="23">
        <f>'GS &lt; 50 OLS Model'!$B$11*I58</f>
        <v>0</v>
      </c>
      <c r="S58" s="23">
        <f>'GS &lt; 50 OLS Model'!$B$12*J58</f>
        <v>0</v>
      </c>
      <c r="T58" s="23">
        <f t="shared" si="5"/>
        <v>6685052.6625856254</v>
      </c>
      <c r="U58" s="13">
        <f t="shared" si="6"/>
        <v>3.9974721849465851E-3</v>
      </c>
      <c r="V58" s="13">
        <f t="shared" si="7"/>
        <v>-3.9974721849465851E-3</v>
      </c>
    </row>
    <row r="59" spans="1:22">
      <c r="A59" s="11">
        <f>'Monthly Data'!A59</f>
        <v>41548</v>
      </c>
      <c r="B59" s="6">
        <f t="shared" si="4"/>
        <v>2013</v>
      </c>
      <c r="C59" s="30">
        <f>'Monthly Data'!I59</f>
        <v>6707667.7124226503</v>
      </c>
      <c r="D59">
        <f>'Monthly Data'!U59</f>
        <v>235.69999999999996</v>
      </c>
      <c r="E59">
        <f>'Monthly Data'!V59</f>
        <v>1.5</v>
      </c>
      <c r="F59" s="30">
        <f>'Monthly Data'!AC59</f>
        <v>3142</v>
      </c>
      <c r="G59" s="30">
        <f>'Monthly Data'!AG59</f>
        <v>0</v>
      </c>
      <c r="H59" s="30">
        <f>'Monthly Data'!AM59</f>
        <v>1</v>
      </c>
      <c r="I59" s="30">
        <f>'Monthly Data'!AN59</f>
        <v>0</v>
      </c>
      <c r="J59" s="30">
        <f>'Monthly Data'!AO59</f>
        <v>0</v>
      </c>
      <c r="L59" s="23">
        <f>'GS &lt; 50 OLS Model'!$B$5</f>
        <v>-6867500.9582801796</v>
      </c>
      <c r="M59" s="23">
        <f>'GS &lt; 50 OLS Model'!$B$6*D59</f>
        <v>759902.32483718661</v>
      </c>
      <c r="N59" s="23">
        <f>'GS &lt; 50 OLS Model'!$B$7*E59</f>
        <v>22757.374089792749</v>
      </c>
      <c r="O59" s="23">
        <f>'GS &lt; 50 OLS Model'!$B$8*F59</f>
        <v>12987254.753033586</v>
      </c>
      <c r="P59" s="23">
        <f>'GS &lt; 50 OLS Model'!$B$9*G59</f>
        <v>0</v>
      </c>
      <c r="Q59" s="23">
        <f>'GS &lt; 50 OLS Model'!$B$10*H59</f>
        <v>-165959.07761345801</v>
      </c>
      <c r="R59" s="23">
        <f>'GS &lt; 50 OLS Model'!$B$11*I59</f>
        <v>0</v>
      </c>
      <c r="S59" s="23">
        <f>'GS &lt; 50 OLS Model'!$B$12*J59</f>
        <v>0</v>
      </c>
      <c r="T59" s="23">
        <f t="shared" si="5"/>
        <v>6736454.4160669269</v>
      </c>
      <c r="U59" s="13">
        <f t="shared" si="6"/>
        <v>4.2916114629476063E-3</v>
      </c>
      <c r="V59" s="13">
        <f t="shared" si="7"/>
        <v>4.2916114629476063E-3</v>
      </c>
    </row>
    <row r="60" spans="1:22">
      <c r="A60" s="11">
        <f>'Monthly Data'!A60</f>
        <v>41579</v>
      </c>
      <c r="B60" s="6">
        <f t="shared" si="4"/>
        <v>2013</v>
      </c>
      <c r="C60" s="30">
        <f>'Monthly Data'!I60</f>
        <v>7486656.2001427263</v>
      </c>
      <c r="D60">
        <f>'Monthly Data'!U60</f>
        <v>501.50000000000006</v>
      </c>
      <c r="E60">
        <f>'Monthly Data'!V60</f>
        <v>0</v>
      </c>
      <c r="F60" s="30">
        <f>'Monthly Data'!AC60</f>
        <v>3104</v>
      </c>
      <c r="G60" s="30">
        <f>'Monthly Data'!AG60</f>
        <v>0</v>
      </c>
      <c r="H60" s="30">
        <f>'Monthly Data'!AM60</f>
        <v>1</v>
      </c>
      <c r="I60" s="30">
        <f>'Monthly Data'!AN60</f>
        <v>0</v>
      </c>
      <c r="J60" s="30">
        <f>'Monthly Data'!AO60</f>
        <v>0</v>
      </c>
      <c r="L60" s="23">
        <f>'GS &lt; 50 OLS Model'!$B$5</f>
        <v>-6867500.9582801796</v>
      </c>
      <c r="M60" s="23">
        <f>'GS &lt; 50 OLS Model'!$B$6*D60</f>
        <v>1616847.755222101</v>
      </c>
      <c r="N60" s="23">
        <f>'GS &lt; 50 OLS Model'!$B$7*E60</f>
        <v>0</v>
      </c>
      <c r="O60" s="23">
        <f>'GS &lt; 50 OLS Model'!$B$8*F60</f>
        <v>12830184.199050367</v>
      </c>
      <c r="P60" s="23">
        <f>'GS &lt; 50 OLS Model'!$B$9*G60</f>
        <v>0</v>
      </c>
      <c r="Q60" s="23">
        <f>'GS &lt; 50 OLS Model'!$B$10*H60</f>
        <v>-165959.07761345801</v>
      </c>
      <c r="R60" s="23">
        <f>'GS &lt; 50 OLS Model'!$B$11*I60</f>
        <v>0</v>
      </c>
      <c r="S60" s="23">
        <f>'GS &lt; 50 OLS Model'!$B$12*J60</f>
        <v>0</v>
      </c>
      <c r="T60" s="23">
        <f t="shared" si="5"/>
        <v>7413571.91837883</v>
      </c>
      <c r="U60" s="13">
        <f t="shared" si="6"/>
        <v>9.7619390833658237E-3</v>
      </c>
      <c r="V60" s="13">
        <f t="shared" si="7"/>
        <v>-9.7619390833658237E-3</v>
      </c>
    </row>
    <row r="61" spans="1:22">
      <c r="A61" s="11">
        <f>'Monthly Data'!A61</f>
        <v>41609</v>
      </c>
      <c r="B61" s="6">
        <f t="shared" si="4"/>
        <v>2013</v>
      </c>
      <c r="C61" s="30">
        <f>'Monthly Data'!I61</f>
        <v>8383117.297562805</v>
      </c>
      <c r="D61">
        <f>'Monthly Data'!U61</f>
        <v>756.99999999999977</v>
      </c>
      <c r="E61">
        <f>'Monthly Data'!V61</f>
        <v>0</v>
      </c>
      <c r="F61" s="30">
        <f>'Monthly Data'!AC61</f>
        <v>3099</v>
      </c>
      <c r="G61" s="30">
        <f>'Monthly Data'!AG61</f>
        <v>0</v>
      </c>
      <c r="H61" s="30">
        <f>'Monthly Data'!AM61</f>
        <v>0</v>
      </c>
      <c r="I61" s="30">
        <f>'Monthly Data'!AN61</f>
        <v>0</v>
      </c>
      <c r="J61" s="30">
        <f>'Monthly Data'!AO61</f>
        <v>0</v>
      </c>
      <c r="L61" s="23">
        <f>'GS &lt; 50 OLS Model'!$B$5</f>
        <v>-6867500.9582801796</v>
      </c>
      <c r="M61" s="23">
        <f>'GS &lt; 50 OLS Model'!$B$6*D61</f>
        <v>2440585.7441737386</v>
      </c>
      <c r="N61" s="23">
        <f>'GS &lt; 50 OLS Model'!$B$7*E61</f>
        <v>0</v>
      </c>
      <c r="O61" s="23">
        <f>'GS &lt; 50 OLS Model'!$B$8*F61</f>
        <v>12809517.02089468</v>
      </c>
      <c r="P61" s="23">
        <f>'GS &lt; 50 OLS Model'!$B$9*G61</f>
        <v>0</v>
      </c>
      <c r="Q61" s="23">
        <f>'GS &lt; 50 OLS Model'!$B$10*H61</f>
        <v>0</v>
      </c>
      <c r="R61" s="23">
        <f>'GS &lt; 50 OLS Model'!$B$11*I61</f>
        <v>0</v>
      </c>
      <c r="S61" s="23">
        <f>'GS &lt; 50 OLS Model'!$B$12*J61</f>
        <v>0</v>
      </c>
      <c r="T61" s="23">
        <f t="shared" si="5"/>
        <v>8382601.8067882396</v>
      </c>
      <c r="U61" s="13">
        <f t="shared" si="6"/>
        <v>6.1491537845383991E-5</v>
      </c>
      <c r="V61" s="13">
        <f t="shared" si="7"/>
        <v>-6.1491537845383991E-5</v>
      </c>
    </row>
    <row r="62" spans="1:22" s="30" customFormat="1">
      <c r="A62" s="11">
        <f>'Monthly Data'!A62</f>
        <v>41640</v>
      </c>
      <c r="B62" s="6">
        <f t="shared" ref="B62:B73" si="8">YEAR(A62)</f>
        <v>2014</v>
      </c>
      <c r="C62" s="30">
        <f>'Monthly Data'!I62</f>
        <v>10036274.758248432</v>
      </c>
      <c r="D62" s="30">
        <f>'Monthly Data'!U62</f>
        <v>844.5</v>
      </c>
      <c r="E62" s="30">
        <f>'Monthly Data'!V62</f>
        <v>0</v>
      </c>
      <c r="F62" s="30">
        <f>'Monthly Data'!AC62</f>
        <v>3122</v>
      </c>
      <c r="G62" s="30">
        <f>'Monthly Data'!AG62</f>
        <v>1</v>
      </c>
      <c r="H62" s="30">
        <f>'Monthly Data'!AM62</f>
        <v>0</v>
      </c>
      <c r="I62" s="30">
        <f>'Monthly Data'!AN62</f>
        <v>0</v>
      </c>
      <c r="J62" s="30">
        <f>'Monthly Data'!AO62</f>
        <v>0</v>
      </c>
      <c r="L62" s="23">
        <f>'GS &lt; 50 OLS Model'!$B$5</f>
        <v>-6867500.9582801796</v>
      </c>
      <c r="M62" s="23">
        <f>'GS &lt; 50 OLS Model'!$B$6*D62</f>
        <v>2722687.7951845746</v>
      </c>
      <c r="N62" s="23">
        <f>'GS &lt; 50 OLS Model'!$B$7*E62</f>
        <v>0</v>
      </c>
      <c r="O62" s="23">
        <f>'GS &lt; 50 OLS Model'!$B$8*F62</f>
        <v>12904586.040410839</v>
      </c>
      <c r="P62" s="23">
        <f>'GS &lt; 50 OLS Model'!$B$9*G62</f>
        <v>912607.54486392904</v>
      </c>
      <c r="Q62" s="23">
        <f>'GS &lt; 50 OLS Model'!$B$10*H62</f>
        <v>0</v>
      </c>
      <c r="R62" s="23">
        <f>'GS &lt; 50 OLS Model'!$B$11*I62</f>
        <v>0</v>
      </c>
      <c r="S62" s="23">
        <f>'GS &lt; 50 OLS Model'!$B$12*J62</f>
        <v>0</v>
      </c>
      <c r="T62" s="23">
        <f t="shared" si="5"/>
        <v>9672380.4221791625</v>
      </c>
      <c r="U62" s="13">
        <f t="shared" si="6"/>
        <v>3.6257908918864365E-2</v>
      </c>
      <c r="V62" s="13">
        <f t="shared" si="7"/>
        <v>-3.6257908918864365E-2</v>
      </c>
    </row>
    <row r="63" spans="1:22" s="30" customFormat="1">
      <c r="A63" s="11">
        <f>'Monthly Data'!A63</f>
        <v>41671</v>
      </c>
      <c r="B63" s="6">
        <f t="shared" si="8"/>
        <v>2014</v>
      </c>
      <c r="C63" s="30">
        <f>'Monthly Data'!I63</f>
        <v>8988278.2757826578</v>
      </c>
      <c r="D63" s="30">
        <f>'Monthly Data'!U63</f>
        <v>740.90000000000009</v>
      </c>
      <c r="E63" s="30">
        <f>'Monthly Data'!V63</f>
        <v>0</v>
      </c>
      <c r="F63" s="30">
        <f>'Monthly Data'!AC63</f>
        <v>3121</v>
      </c>
      <c r="G63" s="30">
        <f>'Monthly Data'!AG63</f>
        <v>1</v>
      </c>
      <c r="H63" s="30">
        <f>'Monthly Data'!AM63</f>
        <v>0</v>
      </c>
      <c r="I63" s="30">
        <f>'Monthly Data'!AN63</f>
        <v>1</v>
      </c>
      <c r="J63" s="30">
        <f>'Monthly Data'!AO63</f>
        <v>0</v>
      </c>
      <c r="L63" s="23">
        <f>'GS &lt; 50 OLS Model'!$B$5</f>
        <v>-6867500.9582801796</v>
      </c>
      <c r="M63" s="23">
        <f>'GS &lt; 50 OLS Model'!$B$6*D63</f>
        <v>2388678.9667877457</v>
      </c>
      <c r="N63" s="23">
        <f>'GS &lt; 50 OLS Model'!$B$7*E63</f>
        <v>0</v>
      </c>
      <c r="O63" s="23">
        <f>'GS &lt; 50 OLS Model'!$B$8*F63</f>
        <v>12900452.604779702</v>
      </c>
      <c r="P63" s="23">
        <f>'GS &lt; 50 OLS Model'!$B$9*G63</f>
        <v>912607.54486392904</v>
      </c>
      <c r="Q63" s="23">
        <f>'GS &lt; 50 OLS Model'!$B$10*H63</f>
        <v>0</v>
      </c>
      <c r="R63" s="23">
        <f>'GS &lt; 50 OLS Model'!$B$11*I63</f>
        <v>-326910.06421591499</v>
      </c>
      <c r="S63" s="23">
        <f>'GS &lt; 50 OLS Model'!$B$12*J63</f>
        <v>0</v>
      </c>
      <c r="T63" s="23">
        <f t="shared" si="5"/>
        <v>9007328.0939352829</v>
      </c>
      <c r="U63" s="13">
        <f t="shared" si="6"/>
        <v>2.1194068060789253E-3</v>
      </c>
      <c r="V63" s="13">
        <f t="shared" si="7"/>
        <v>2.1194068060789253E-3</v>
      </c>
    </row>
    <row r="64" spans="1:22" s="30" customFormat="1">
      <c r="A64" s="11">
        <f>'Monthly Data'!A64</f>
        <v>41699</v>
      </c>
      <c r="B64" s="6">
        <f t="shared" si="8"/>
        <v>2014</v>
      </c>
      <c r="C64" s="30">
        <f>'Monthly Data'!I64</f>
        <v>9142728.9840168841</v>
      </c>
      <c r="D64" s="30">
        <f>'Monthly Data'!U64</f>
        <v>720.19999999999993</v>
      </c>
      <c r="E64" s="30">
        <f>'Monthly Data'!V64</f>
        <v>0</v>
      </c>
      <c r="F64" s="30">
        <f>'Monthly Data'!AC64</f>
        <v>3085</v>
      </c>
      <c r="G64" s="30">
        <f>'Monthly Data'!AG64</f>
        <v>1</v>
      </c>
      <c r="H64" s="30">
        <f>'Monthly Data'!AM64</f>
        <v>0</v>
      </c>
      <c r="I64" s="30">
        <f>'Monthly Data'!AN64</f>
        <v>0</v>
      </c>
      <c r="J64" s="30">
        <f>'Monthly Data'!AO64</f>
        <v>0</v>
      </c>
      <c r="L64" s="23">
        <f>'GS &lt; 50 OLS Model'!$B$5</f>
        <v>-6867500.9582801796</v>
      </c>
      <c r="M64" s="23">
        <f>'GS &lt; 50 OLS Model'!$B$6*D64</f>
        <v>2321941.6815771819</v>
      </c>
      <c r="N64" s="23">
        <f>'GS &lt; 50 OLS Model'!$B$7*E64</f>
        <v>0</v>
      </c>
      <c r="O64" s="23">
        <f>'GS &lt; 50 OLS Model'!$B$8*F64</f>
        <v>12751648.922058757</v>
      </c>
      <c r="P64" s="23">
        <f>'GS &lt; 50 OLS Model'!$B$9*G64</f>
        <v>912607.54486392904</v>
      </c>
      <c r="Q64" s="23">
        <f>'GS &lt; 50 OLS Model'!$B$10*H64</f>
        <v>0</v>
      </c>
      <c r="R64" s="23">
        <f>'GS &lt; 50 OLS Model'!$B$11*I64</f>
        <v>0</v>
      </c>
      <c r="S64" s="23">
        <f>'GS &lt; 50 OLS Model'!$B$12*J64</f>
        <v>0</v>
      </c>
      <c r="T64" s="23">
        <f t="shared" si="5"/>
        <v>9118697.1902196892</v>
      </c>
      <c r="U64" s="13">
        <f t="shared" si="6"/>
        <v>2.6285142914338603E-3</v>
      </c>
      <c r="V64" s="13">
        <f t="shared" si="7"/>
        <v>-2.6285142914338603E-3</v>
      </c>
    </row>
    <row r="65" spans="1:22" s="30" customFormat="1">
      <c r="A65" s="11">
        <f>'Monthly Data'!A65</f>
        <v>41730</v>
      </c>
      <c r="B65" s="6">
        <f t="shared" si="8"/>
        <v>2014</v>
      </c>
      <c r="C65" s="30">
        <f>'Monthly Data'!I65</f>
        <v>7536422.0635511102</v>
      </c>
      <c r="D65" s="30">
        <f>'Monthly Data'!U65</f>
        <v>352.09999999999991</v>
      </c>
      <c r="E65" s="30">
        <f>'Monthly Data'!V65</f>
        <v>0</v>
      </c>
      <c r="F65" s="30">
        <f>'Monthly Data'!AC65</f>
        <v>3087</v>
      </c>
      <c r="G65" s="30">
        <f>'Monthly Data'!AG65</f>
        <v>1</v>
      </c>
      <c r="H65" s="30">
        <f>'Monthly Data'!AM65</f>
        <v>0</v>
      </c>
      <c r="I65" s="30">
        <f>'Monthly Data'!AN65</f>
        <v>0</v>
      </c>
      <c r="J65" s="30">
        <f>'Monthly Data'!AO65</f>
        <v>1</v>
      </c>
      <c r="L65" s="23">
        <f>'GS &lt; 50 OLS Model'!$B$5</f>
        <v>-6867500.9582801796</v>
      </c>
      <c r="M65" s="23">
        <f>'GS &lt; 50 OLS Model'!$B$6*D65</f>
        <v>1135178.6532676001</v>
      </c>
      <c r="N65" s="23">
        <f>'GS &lt; 50 OLS Model'!$B$7*E65</f>
        <v>0</v>
      </c>
      <c r="O65" s="23">
        <f>'GS &lt; 50 OLS Model'!$B$8*F65</f>
        <v>12759915.793321032</v>
      </c>
      <c r="P65" s="23">
        <f>'GS &lt; 50 OLS Model'!$B$9*G65</f>
        <v>912607.54486392904</v>
      </c>
      <c r="Q65" s="23">
        <f>'GS &lt; 50 OLS Model'!$B$10*H65</f>
        <v>0</v>
      </c>
      <c r="R65" s="23">
        <f>'GS &lt; 50 OLS Model'!$B$11*I65</f>
        <v>0</v>
      </c>
      <c r="S65" s="23">
        <f>'GS &lt; 50 OLS Model'!$B$12*J65</f>
        <v>-430621.67531502497</v>
      </c>
      <c r="T65" s="23">
        <f t="shared" si="5"/>
        <v>7509579.3578573558</v>
      </c>
      <c r="U65" s="13">
        <f t="shared" si="6"/>
        <v>3.561730681668626E-3</v>
      </c>
      <c r="V65" s="13">
        <f t="shared" si="7"/>
        <v>-3.561730681668626E-3</v>
      </c>
    </row>
    <row r="66" spans="1:22" s="30" customFormat="1">
      <c r="A66" s="11">
        <f>'Monthly Data'!A66</f>
        <v>41760</v>
      </c>
      <c r="B66" s="6">
        <f t="shared" si="8"/>
        <v>2014</v>
      </c>
      <c r="C66" s="30">
        <f>'Monthly Data'!I66</f>
        <v>6910477.3375853375</v>
      </c>
      <c r="D66" s="30">
        <f>'Monthly Data'!U66</f>
        <v>127.70000000000003</v>
      </c>
      <c r="E66" s="30">
        <f>'Monthly Data'!V66</f>
        <v>12.399999999999999</v>
      </c>
      <c r="F66" s="30">
        <f>'Monthly Data'!AC66</f>
        <v>3075</v>
      </c>
      <c r="G66" s="30">
        <f>'Monthly Data'!AG66</f>
        <v>1</v>
      </c>
      <c r="H66" s="30">
        <f>'Monthly Data'!AM66</f>
        <v>0</v>
      </c>
      <c r="I66" s="30">
        <f>'Monthly Data'!AN66</f>
        <v>0</v>
      </c>
      <c r="J66" s="30">
        <f>'Monthly Data'!AO66</f>
        <v>0</v>
      </c>
      <c r="L66" s="23">
        <f>'GS &lt; 50 OLS Model'!$B$5</f>
        <v>-6867500.9582801796</v>
      </c>
      <c r="M66" s="23">
        <f>'GS &lt; 50 OLS Model'!$B$6*D66</f>
        <v>411707.7933038132</v>
      </c>
      <c r="N66" s="23">
        <f>'GS &lt; 50 OLS Model'!$B$7*E66</f>
        <v>188127.62580895339</v>
      </c>
      <c r="O66" s="23">
        <f>'GS &lt; 50 OLS Model'!$B$8*F66</f>
        <v>12710314.565747384</v>
      </c>
      <c r="P66" s="23">
        <f>'GS &lt; 50 OLS Model'!$B$9*G66</f>
        <v>912607.54486392904</v>
      </c>
      <c r="Q66" s="23">
        <f>'GS &lt; 50 OLS Model'!$B$10*H66</f>
        <v>0</v>
      </c>
      <c r="R66" s="23">
        <f>'GS &lt; 50 OLS Model'!$B$11*I66</f>
        <v>0</v>
      </c>
      <c r="S66" s="23">
        <f>'GS &lt; 50 OLS Model'!$B$12*J66</f>
        <v>0</v>
      </c>
      <c r="T66" s="23">
        <f>SUM(L66:S66)</f>
        <v>7355256.5714438995</v>
      </c>
      <c r="U66" s="13">
        <f t="shared" ref="U66:U73" si="9">ABS(T66-C66)/C66</f>
        <v>6.4363026189154265E-2</v>
      </c>
      <c r="V66" s="13">
        <f t="shared" ref="V66:V73" si="10">(T66-C66)/C66</f>
        <v>6.4363026189154265E-2</v>
      </c>
    </row>
    <row r="67" spans="1:22" s="30" customFormat="1">
      <c r="A67" s="11">
        <f>'Monthly Data'!A67</f>
        <v>41791</v>
      </c>
      <c r="B67" s="6">
        <f t="shared" si="8"/>
        <v>2014</v>
      </c>
      <c r="C67" s="30">
        <f>'Monthly Data'!I67</f>
        <v>7069107.7411195636</v>
      </c>
      <c r="D67" s="30">
        <f>'Monthly Data'!U67</f>
        <v>25.699999999999996</v>
      </c>
      <c r="E67" s="30">
        <f>'Monthly Data'!V67</f>
        <v>47.4</v>
      </c>
      <c r="F67" s="30">
        <f>'Monthly Data'!AC67</f>
        <v>3067</v>
      </c>
      <c r="G67" s="30">
        <f>'Monthly Data'!AG67</f>
        <v>1</v>
      </c>
      <c r="H67" s="30">
        <f>'Monthly Data'!AM67</f>
        <v>0</v>
      </c>
      <c r="I67" s="30">
        <f>'Monthly Data'!AN67</f>
        <v>0</v>
      </c>
      <c r="J67" s="30">
        <f>'Monthly Data'!AO67</f>
        <v>0</v>
      </c>
      <c r="L67" s="23">
        <f>'GS &lt; 50 OLS Model'!$B$5</f>
        <v>-6867500.9582801796</v>
      </c>
      <c r="M67" s="23">
        <f>'GS &lt; 50 OLS Model'!$B$6*D67</f>
        <v>82857.402411182411</v>
      </c>
      <c r="N67" s="23">
        <f>'GS &lt; 50 OLS Model'!$B$7*E67</f>
        <v>719133.02123745088</v>
      </c>
      <c r="O67" s="23">
        <f>'GS &lt; 50 OLS Model'!$B$8*F67</f>
        <v>12677247.080698283</v>
      </c>
      <c r="P67" s="23">
        <f>'GS &lt; 50 OLS Model'!$B$9*G67</f>
        <v>912607.54486392904</v>
      </c>
      <c r="Q67" s="23">
        <f>'GS &lt; 50 OLS Model'!$B$10*H67</f>
        <v>0</v>
      </c>
      <c r="R67" s="23">
        <f>'GS &lt; 50 OLS Model'!$B$11*I67</f>
        <v>0</v>
      </c>
      <c r="S67" s="23">
        <f>'GS &lt; 50 OLS Model'!$B$12*J67</f>
        <v>0</v>
      </c>
      <c r="T67" s="23">
        <f t="shared" ref="T67:T73" si="11">SUM(L67:S67)</f>
        <v>7524344.0909306658</v>
      </c>
      <c r="U67" s="13">
        <f t="shared" si="9"/>
        <v>6.4397992856026917E-2</v>
      </c>
      <c r="V67" s="13">
        <f t="shared" si="10"/>
        <v>6.4397992856026917E-2</v>
      </c>
    </row>
    <row r="68" spans="1:22" s="30" customFormat="1">
      <c r="A68" s="11">
        <f>'Monthly Data'!A68</f>
        <v>41821</v>
      </c>
      <c r="B68" s="6">
        <f t="shared" si="8"/>
        <v>2014</v>
      </c>
      <c r="C68" s="30">
        <f>'Monthly Data'!I68</f>
        <v>7537152.3196537895</v>
      </c>
      <c r="D68" s="30">
        <f>'Monthly Data'!U68</f>
        <v>10.600000000000001</v>
      </c>
      <c r="E68" s="30">
        <f>'Monthly Data'!V68</f>
        <v>55.899999999999984</v>
      </c>
      <c r="F68" s="30">
        <f>'Monthly Data'!AC68</f>
        <v>3066</v>
      </c>
      <c r="G68" s="30">
        <f>'Monthly Data'!AG68</f>
        <v>1</v>
      </c>
      <c r="H68" s="30">
        <f>'Monthly Data'!AM68</f>
        <v>0</v>
      </c>
      <c r="I68" s="30">
        <f>'Monthly Data'!AN68</f>
        <v>0</v>
      </c>
      <c r="J68" s="30">
        <f>'Monthly Data'!AO68</f>
        <v>0</v>
      </c>
      <c r="L68" s="23">
        <f>'GS &lt; 50 OLS Model'!$B$5</f>
        <v>-6867500.9582801796</v>
      </c>
      <c r="M68" s="23">
        <f>'GS &lt; 50 OLS Model'!$B$6*D68</f>
        <v>34174.648465312603</v>
      </c>
      <c r="N68" s="23">
        <f>'GS &lt; 50 OLS Model'!$B$7*E68</f>
        <v>848091.474412943</v>
      </c>
      <c r="O68" s="23">
        <f>'GS &lt; 50 OLS Model'!$B$8*F68</f>
        <v>12673113.645067146</v>
      </c>
      <c r="P68" s="23">
        <f>'GS &lt; 50 OLS Model'!$B$9*G68</f>
        <v>912607.54486392904</v>
      </c>
      <c r="Q68" s="23">
        <f>'GS &lt; 50 OLS Model'!$B$10*H68</f>
        <v>0</v>
      </c>
      <c r="R68" s="23">
        <f>'GS &lt; 50 OLS Model'!$B$11*I68</f>
        <v>0</v>
      </c>
      <c r="S68" s="23">
        <f>'GS &lt; 50 OLS Model'!$B$12*J68</f>
        <v>0</v>
      </c>
      <c r="T68" s="23">
        <f t="shared" si="11"/>
        <v>7600486.3545291517</v>
      </c>
      <c r="U68" s="13">
        <f t="shared" si="9"/>
        <v>8.4029129556282278E-3</v>
      </c>
      <c r="V68" s="13">
        <f t="shared" si="10"/>
        <v>8.4029129556282278E-3</v>
      </c>
    </row>
    <row r="69" spans="1:22" s="30" customFormat="1">
      <c r="A69" s="11">
        <f>'Monthly Data'!A69</f>
        <v>41852</v>
      </c>
      <c r="B69" s="6">
        <f t="shared" si="8"/>
        <v>2014</v>
      </c>
      <c r="C69" s="30">
        <f>'Monthly Data'!I69</f>
        <v>7504837.8201880157</v>
      </c>
      <c r="D69" s="30">
        <f>'Monthly Data'!U69</f>
        <v>18.999999999999996</v>
      </c>
      <c r="E69" s="30">
        <f>'Monthly Data'!V69</f>
        <v>51.999999999999993</v>
      </c>
      <c r="F69" s="30">
        <f>'Monthly Data'!AC69</f>
        <v>3062</v>
      </c>
      <c r="G69" s="30">
        <f>'Monthly Data'!AG69</f>
        <v>1</v>
      </c>
      <c r="H69" s="30">
        <f>'Monthly Data'!AM69</f>
        <v>0</v>
      </c>
      <c r="I69" s="30">
        <f>'Monthly Data'!AN69</f>
        <v>0</v>
      </c>
      <c r="J69" s="30">
        <f>'Monthly Data'!AO69</f>
        <v>0</v>
      </c>
      <c r="L69" s="23">
        <f>'GS &lt; 50 OLS Model'!$B$5</f>
        <v>-6867500.9582801796</v>
      </c>
      <c r="M69" s="23">
        <f>'GS &lt; 50 OLS Model'!$B$6*D69</f>
        <v>61256.445362352759</v>
      </c>
      <c r="N69" s="23">
        <f>'GS &lt; 50 OLS Model'!$B$7*E69</f>
        <v>788922.30177948193</v>
      </c>
      <c r="O69" s="23">
        <f>'GS &lt; 50 OLS Model'!$B$8*F69</f>
        <v>12656579.902542597</v>
      </c>
      <c r="P69" s="23">
        <f>'GS &lt; 50 OLS Model'!$B$9*G69</f>
        <v>912607.54486392904</v>
      </c>
      <c r="Q69" s="23">
        <f>'GS &lt; 50 OLS Model'!$B$10*H69</f>
        <v>0</v>
      </c>
      <c r="R69" s="23">
        <f>'GS &lt; 50 OLS Model'!$B$11*I69</f>
        <v>0</v>
      </c>
      <c r="S69" s="23">
        <f>'GS &lt; 50 OLS Model'!$B$12*J69</f>
        <v>0</v>
      </c>
      <c r="T69" s="23">
        <f t="shared" si="11"/>
        <v>7551865.2362681804</v>
      </c>
      <c r="U69" s="13">
        <f t="shared" si="9"/>
        <v>6.266280125822434E-3</v>
      </c>
      <c r="V69" s="13">
        <f t="shared" si="10"/>
        <v>6.266280125822434E-3</v>
      </c>
    </row>
    <row r="70" spans="1:22" s="30" customFormat="1">
      <c r="A70" s="11">
        <f>'Monthly Data'!A70</f>
        <v>41883</v>
      </c>
      <c r="B70" s="6">
        <f t="shared" si="8"/>
        <v>2014</v>
      </c>
      <c r="C70" s="30">
        <f>'Monthly Data'!I70</f>
        <v>7021986.2948222412</v>
      </c>
      <c r="D70" s="30">
        <f>'Monthly Data'!U70</f>
        <v>90.500000000000014</v>
      </c>
      <c r="E70" s="30">
        <f>'Monthly Data'!V70</f>
        <v>25.400000000000006</v>
      </c>
      <c r="F70" s="30">
        <f>'Monthly Data'!AC70</f>
        <v>2981</v>
      </c>
      <c r="G70" s="30">
        <f>'Monthly Data'!AG70</f>
        <v>1</v>
      </c>
      <c r="H70" s="30">
        <f>'Monthly Data'!AM70</f>
        <v>1</v>
      </c>
      <c r="I70" s="30">
        <f>'Monthly Data'!AN70</f>
        <v>0</v>
      </c>
      <c r="J70" s="30">
        <f>'Monthly Data'!AO70</f>
        <v>0</v>
      </c>
      <c r="L70" s="23">
        <f>'GS &lt; 50 OLS Model'!$B$5</f>
        <v>-6867500.9582801796</v>
      </c>
      <c r="M70" s="23">
        <f>'GS &lt; 50 OLS Model'!$B$6*D70</f>
        <v>291774.12133120664</v>
      </c>
      <c r="N70" s="23">
        <f>'GS &lt; 50 OLS Model'!$B$7*E70</f>
        <v>385358.20125382399</v>
      </c>
      <c r="O70" s="23">
        <f>'GS &lt; 50 OLS Model'!$B$8*F70</f>
        <v>12321771.616420472</v>
      </c>
      <c r="P70" s="23">
        <f>'GS &lt; 50 OLS Model'!$B$9*G70</f>
        <v>912607.54486392904</v>
      </c>
      <c r="Q70" s="23">
        <f>'GS &lt; 50 OLS Model'!$B$10*H70</f>
        <v>-165959.07761345801</v>
      </c>
      <c r="R70" s="23">
        <f>'GS &lt; 50 OLS Model'!$B$11*I70</f>
        <v>0</v>
      </c>
      <c r="S70" s="23">
        <f>'GS &lt; 50 OLS Model'!$B$12*J70</f>
        <v>0</v>
      </c>
      <c r="T70" s="23">
        <f t="shared" si="11"/>
        <v>6878051.4479757939</v>
      </c>
      <c r="U70" s="13">
        <f t="shared" si="9"/>
        <v>2.0497739642781655E-2</v>
      </c>
      <c r="V70" s="13">
        <f t="shared" si="10"/>
        <v>-2.0497739642781655E-2</v>
      </c>
    </row>
    <row r="71" spans="1:22" s="30" customFormat="1">
      <c r="A71" s="11">
        <f>'Monthly Data'!A71</f>
        <v>41913</v>
      </c>
      <c r="B71" s="6">
        <f t="shared" si="8"/>
        <v>2014</v>
      </c>
      <c r="C71" s="30">
        <f>'Monthly Data'!I71</f>
        <v>7063037.8751564696</v>
      </c>
      <c r="D71" s="30">
        <f>'Monthly Data'!U71</f>
        <v>225.59999999999994</v>
      </c>
      <c r="E71" s="30">
        <f>'Monthly Data'!V71</f>
        <v>1.8</v>
      </c>
      <c r="F71" s="30">
        <f>'Monthly Data'!AC71</f>
        <v>2984</v>
      </c>
      <c r="G71" s="30">
        <f>'Monthly Data'!AG71</f>
        <v>1</v>
      </c>
      <c r="H71" s="30">
        <f>'Monthly Data'!AM71</f>
        <v>1</v>
      </c>
      <c r="I71" s="30">
        <f>'Monthly Data'!AN71</f>
        <v>0</v>
      </c>
      <c r="J71" s="30">
        <f>'Monthly Data'!AO71</f>
        <v>0</v>
      </c>
      <c r="L71" s="23">
        <f>'GS &lt; 50 OLS Model'!$B$5</f>
        <v>-6867500.9582801796</v>
      </c>
      <c r="M71" s="23">
        <f>'GS &lt; 50 OLS Model'!$B$6*D71</f>
        <v>727339.68809193582</v>
      </c>
      <c r="N71" s="23">
        <f>'GS &lt; 50 OLS Model'!$B$7*E71</f>
        <v>27308.8489077513</v>
      </c>
      <c r="O71" s="23">
        <f>'GS &lt; 50 OLS Model'!$B$8*F71</f>
        <v>12334171.923313884</v>
      </c>
      <c r="P71" s="23">
        <f>'GS &lt; 50 OLS Model'!$B$9*G71</f>
        <v>912607.54486392904</v>
      </c>
      <c r="Q71" s="23">
        <f>'GS &lt; 50 OLS Model'!$B$10*H71</f>
        <v>-165959.07761345801</v>
      </c>
      <c r="R71" s="23">
        <f>'GS &lt; 50 OLS Model'!$B$11*I71</f>
        <v>0</v>
      </c>
      <c r="S71" s="23">
        <f>'GS &lt; 50 OLS Model'!$B$12*J71</f>
        <v>0</v>
      </c>
      <c r="T71" s="23">
        <f t="shared" si="11"/>
        <v>6967967.969283862</v>
      </c>
      <c r="U71" s="13">
        <f t="shared" si="9"/>
        <v>1.346020049064249E-2</v>
      </c>
      <c r="V71" s="13">
        <f t="shared" si="10"/>
        <v>-1.346020049064249E-2</v>
      </c>
    </row>
    <row r="72" spans="1:22" s="30" customFormat="1">
      <c r="A72" s="11">
        <f>'Monthly Data'!A72</f>
        <v>41944</v>
      </c>
      <c r="B72" s="6">
        <f t="shared" si="8"/>
        <v>2014</v>
      </c>
      <c r="C72" s="30">
        <f>'Monthly Data'!I72</f>
        <v>7874987.3505906966</v>
      </c>
      <c r="D72" s="30">
        <f>'Monthly Data'!U72</f>
        <v>491.6</v>
      </c>
      <c r="E72" s="30">
        <f>'Monthly Data'!V72</f>
        <v>0</v>
      </c>
      <c r="F72" s="30">
        <f>'Monthly Data'!AC72</f>
        <v>2985</v>
      </c>
      <c r="G72" s="30">
        <f>'Monthly Data'!AG72</f>
        <v>1</v>
      </c>
      <c r="H72" s="30">
        <f>'Monthly Data'!AM72</f>
        <v>1</v>
      </c>
      <c r="I72" s="30">
        <f>'Monthly Data'!AN72</f>
        <v>0</v>
      </c>
      <c r="J72" s="30">
        <f>'Monthly Data'!AO72</f>
        <v>0</v>
      </c>
      <c r="L72" s="23">
        <f>'GS &lt; 50 OLS Model'!$B$5</f>
        <v>-6867500.9582801796</v>
      </c>
      <c r="M72" s="23">
        <f>'GS &lt; 50 OLS Model'!$B$6*D72</f>
        <v>1584929.9231648748</v>
      </c>
      <c r="N72" s="23">
        <f>'GS &lt; 50 OLS Model'!$B$7*E72</f>
        <v>0</v>
      </c>
      <c r="O72" s="23">
        <f>'GS &lt; 50 OLS Model'!$B$8*F72</f>
        <v>12338305.358945021</v>
      </c>
      <c r="P72" s="23">
        <f>'GS &lt; 50 OLS Model'!$B$9*G72</f>
        <v>912607.54486392904</v>
      </c>
      <c r="Q72" s="23">
        <f>'GS &lt; 50 OLS Model'!$B$10*H72</f>
        <v>-165959.07761345801</v>
      </c>
      <c r="R72" s="23">
        <f>'GS &lt; 50 OLS Model'!$B$11*I72</f>
        <v>0</v>
      </c>
      <c r="S72" s="23">
        <f>'GS &lt; 50 OLS Model'!$B$12*J72</f>
        <v>0</v>
      </c>
      <c r="T72" s="23">
        <f t="shared" si="11"/>
        <v>7802382.7910801871</v>
      </c>
      <c r="U72" s="13">
        <f t="shared" si="9"/>
        <v>9.2196414137812512E-3</v>
      </c>
      <c r="V72" s="13">
        <f t="shared" si="10"/>
        <v>-9.2196414137812512E-3</v>
      </c>
    </row>
    <row r="73" spans="1:22" s="30" customFormat="1">
      <c r="A73" s="11">
        <f>'Monthly Data'!A73</f>
        <v>41974</v>
      </c>
      <c r="B73" s="6">
        <f t="shared" si="8"/>
        <v>2014</v>
      </c>
      <c r="C73" s="30">
        <f>'Monthly Data'!I73</f>
        <v>8668499.038524922</v>
      </c>
      <c r="D73" s="30">
        <f>'Monthly Data'!U73</f>
        <v>619.89999999999986</v>
      </c>
      <c r="E73" s="30">
        <f>'Monthly Data'!V73</f>
        <v>0</v>
      </c>
      <c r="F73" s="30">
        <f>'Monthly Data'!AC73</f>
        <v>2981</v>
      </c>
      <c r="G73" s="30">
        <f>'Monthly Data'!AG73</f>
        <v>1</v>
      </c>
      <c r="H73" s="30">
        <f>'Monthly Data'!AM73</f>
        <v>0</v>
      </c>
      <c r="I73" s="30">
        <f>'Monthly Data'!AN73</f>
        <v>0</v>
      </c>
      <c r="J73" s="30">
        <f>'Monthly Data'!AO73</f>
        <v>0</v>
      </c>
      <c r="L73" s="23">
        <f>'GS &lt; 50 OLS Model'!$B$5</f>
        <v>-6867500.9582801796</v>
      </c>
      <c r="M73" s="23">
        <f>'GS &lt; 50 OLS Model'!$B$6*D73</f>
        <v>1998572.1305327618</v>
      </c>
      <c r="N73" s="23">
        <f>'GS &lt; 50 OLS Model'!$B$7*E73</f>
        <v>0</v>
      </c>
      <c r="O73" s="23">
        <f>'GS &lt; 50 OLS Model'!$B$8*F73</f>
        <v>12321771.616420472</v>
      </c>
      <c r="P73" s="23">
        <f>'GS &lt; 50 OLS Model'!$B$9*G73</f>
        <v>912607.54486392904</v>
      </c>
      <c r="Q73" s="23">
        <f>'GS &lt; 50 OLS Model'!$B$10*H73</f>
        <v>0</v>
      </c>
      <c r="R73" s="23">
        <f>'GS &lt; 50 OLS Model'!$B$11*I73</f>
        <v>0</v>
      </c>
      <c r="S73" s="23">
        <f>'GS &lt; 50 OLS Model'!$B$12*J73</f>
        <v>0</v>
      </c>
      <c r="T73" s="23">
        <f t="shared" si="11"/>
        <v>8365450.3335369835</v>
      </c>
      <c r="U73" s="13">
        <f t="shared" si="9"/>
        <v>3.4959766810968802E-2</v>
      </c>
      <c r="V73" s="13">
        <f t="shared" si="10"/>
        <v>-3.4959766810968802E-2</v>
      </c>
    </row>
    <row r="74" spans="1:22">
      <c r="U74" s="14">
        <f>AVERAGE(U2:U73)</f>
        <v>2.1695297732307866E-2</v>
      </c>
      <c r="V74" s="1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2.75"/>
  <cols>
    <col min="1" max="1" width="22.140625" customWidth="1"/>
    <col min="2" max="2" width="14" bestFit="1" customWidth="1"/>
    <col min="3" max="3" width="17.5703125" bestFit="1" customWidth="1"/>
    <col min="4" max="4" width="12.5703125" bestFit="1" customWidth="1"/>
    <col min="5" max="5" width="12" bestFit="1" customWidth="1"/>
  </cols>
  <sheetData>
    <row r="1" spans="1:5">
      <c r="A1" t="s">
        <v>211</v>
      </c>
    </row>
    <row r="2" spans="1:5">
      <c r="A2" t="s">
        <v>177</v>
      </c>
    </row>
    <row r="4" spans="1:5">
      <c r="B4" t="s">
        <v>45</v>
      </c>
      <c r="C4" t="s">
        <v>44</v>
      </c>
      <c r="D4" t="s">
        <v>46</v>
      </c>
      <c r="E4" t="s">
        <v>14</v>
      </c>
    </row>
    <row r="5" spans="1:5">
      <c r="A5" t="s">
        <v>13</v>
      </c>
      <c r="B5" s="62">
        <v>-17059648.826166701</v>
      </c>
      <c r="C5">
        <v>8343080.4248032998</v>
      </c>
      <c r="D5">
        <v>-2.0447661963619299</v>
      </c>
      <c r="E5">
        <v>4.5199504932750899E-2</v>
      </c>
    </row>
    <row r="6" spans="1:5">
      <c r="A6" t="s">
        <v>9</v>
      </c>
      <c r="B6" s="62">
        <v>7702.7532096823697</v>
      </c>
      <c r="C6">
        <v>530.25851661168099</v>
      </c>
      <c r="D6">
        <v>14.5264111152848</v>
      </c>
      <c r="E6" s="5">
        <v>1.81160106784937E-21</v>
      </c>
    </row>
    <row r="7" spans="1:5">
      <c r="A7" t="s">
        <v>10</v>
      </c>
      <c r="B7" s="62">
        <v>32647.0009859251</v>
      </c>
      <c r="C7">
        <v>2887.6905554969599</v>
      </c>
      <c r="D7">
        <v>11.305574596204099</v>
      </c>
      <c r="E7" s="5">
        <v>1.32545736146109E-16</v>
      </c>
    </row>
    <row r="8" spans="1:5">
      <c r="A8" t="s">
        <v>142</v>
      </c>
      <c r="B8" s="62">
        <v>5386.4841657482502</v>
      </c>
      <c r="C8">
        <v>1334.17758341745</v>
      </c>
      <c r="D8">
        <v>4.0373067518875203</v>
      </c>
      <c r="E8" s="5">
        <v>1.5337468253540101E-4</v>
      </c>
    </row>
    <row r="9" spans="1:5">
      <c r="A9" s="12" t="s">
        <v>76</v>
      </c>
      <c r="B9" s="62">
        <v>-24616.2467691686</v>
      </c>
      <c r="C9">
        <v>10113.2582471319</v>
      </c>
      <c r="D9">
        <v>-2.4340569742841902</v>
      </c>
      <c r="E9" s="5">
        <v>1.78736504949152E-2</v>
      </c>
    </row>
    <row r="10" spans="1:5">
      <c r="A10" s="31" t="s">
        <v>99</v>
      </c>
      <c r="B10" s="62">
        <v>8800.4418752850706</v>
      </c>
      <c r="C10">
        <v>3449.5690038113398</v>
      </c>
      <c r="D10">
        <v>2.5511714262163498</v>
      </c>
      <c r="E10">
        <v>1.3260017696816799E-2</v>
      </c>
    </row>
    <row r="11" spans="1:5">
      <c r="A11" t="s">
        <v>141</v>
      </c>
      <c r="B11" s="62">
        <v>-1573400.2840208299</v>
      </c>
      <c r="C11">
        <v>293637.65318702703</v>
      </c>
      <c r="D11">
        <v>-5.35830560877928</v>
      </c>
      <c r="E11" s="5">
        <v>1.3551380507981201E-6</v>
      </c>
    </row>
    <row r="12" spans="1:5">
      <c r="A12" t="s">
        <v>30</v>
      </c>
      <c r="B12" s="62">
        <v>-1514604.0647521601</v>
      </c>
      <c r="C12">
        <v>216331.61403645601</v>
      </c>
      <c r="D12">
        <v>-7.0013070974311002</v>
      </c>
      <c r="E12" s="5">
        <v>2.30528450739438E-9</v>
      </c>
    </row>
    <row r="13" spans="1:5">
      <c r="A13" t="s">
        <v>31</v>
      </c>
      <c r="B13" s="62">
        <v>-1589866.56724812</v>
      </c>
      <c r="C13">
        <v>280617.605275498</v>
      </c>
      <c r="D13">
        <v>-5.6655980856484502</v>
      </c>
      <c r="E13" s="5">
        <v>4.22861955024198E-7</v>
      </c>
    </row>
    <row r="14" spans="1:5">
      <c r="A14" t="s">
        <v>32</v>
      </c>
      <c r="B14" s="62">
        <v>-1083532.53757107</v>
      </c>
      <c r="C14">
        <v>227825.83078680199</v>
      </c>
      <c r="D14">
        <v>-4.7559687759244103</v>
      </c>
      <c r="E14" s="5">
        <v>1.2492696515299201E-5</v>
      </c>
    </row>
    <row r="15" spans="1:5">
      <c r="A15" s="31" t="s">
        <v>160</v>
      </c>
      <c r="B15" s="62">
        <v>-1207404.17093835</v>
      </c>
      <c r="C15">
        <v>358169.92017692502</v>
      </c>
      <c r="D15">
        <v>-3.3710373287123798</v>
      </c>
      <c r="E15">
        <v>1.3038972675244601E-3</v>
      </c>
    </row>
    <row r="16" spans="1:5">
      <c r="B16" s="62"/>
    </row>
    <row r="17" spans="1:4">
      <c r="A17" t="s">
        <v>47</v>
      </c>
      <c r="B17" s="62">
        <v>23127345.176107399</v>
      </c>
      <c r="C17" t="s">
        <v>48</v>
      </c>
      <c r="D17" s="30">
        <v>1985009.0444574701</v>
      </c>
    </row>
    <row r="18" spans="1:4">
      <c r="A18" t="s">
        <v>49</v>
      </c>
      <c r="B18">
        <v>11412989941583.301</v>
      </c>
      <c r="C18" t="s">
        <v>50</v>
      </c>
      <c r="D18" s="5">
        <v>432548.489494137</v>
      </c>
    </row>
    <row r="19" spans="1:4">
      <c r="A19" t="s">
        <v>15</v>
      </c>
      <c r="B19">
        <v>0.95920413875714705</v>
      </c>
      <c r="C19" t="s">
        <v>16</v>
      </c>
      <c r="D19">
        <v>0.95251629265176097</v>
      </c>
    </row>
    <row r="20" spans="1:4">
      <c r="A20" t="s">
        <v>148</v>
      </c>
      <c r="B20">
        <v>143.424971753563</v>
      </c>
      <c r="C20" t="s">
        <v>17</v>
      </c>
      <c r="D20" s="5">
        <v>1.7645353868723001E-38</v>
      </c>
    </row>
    <row r="21" spans="1:4">
      <c r="A21" t="s">
        <v>51</v>
      </c>
      <c r="B21">
        <v>-1030.5714325889001</v>
      </c>
      <c r="C21" t="s">
        <v>52</v>
      </c>
      <c r="D21">
        <v>2083.1428651778101</v>
      </c>
    </row>
    <row r="22" spans="1:4">
      <c r="A22" t="s">
        <v>53</v>
      </c>
      <c r="B22">
        <v>2108.18619248698</v>
      </c>
      <c r="C22" t="s">
        <v>54</v>
      </c>
      <c r="D22">
        <v>2093.1126879396902</v>
      </c>
    </row>
    <row r="23" spans="1:4">
      <c r="A23" t="s">
        <v>55</v>
      </c>
      <c r="B23">
        <v>0.10539914360399399</v>
      </c>
      <c r="C23" t="s">
        <v>18</v>
      </c>
      <c r="D23">
        <v>1.76394490637711</v>
      </c>
    </row>
    <row r="24" spans="1:4">
      <c r="A24" t="s">
        <v>143</v>
      </c>
      <c r="B24">
        <v>0.2288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workbookViewId="0"/>
  </sheetViews>
  <sheetFormatPr defaultRowHeight="12.75"/>
  <cols>
    <col min="1" max="1" width="7.140625" style="11" bestFit="1" customWidth="1"/>
    <col min="2" max="2" width="5" style="11" bestFit="1" customWidth="1"/>
    <col min="3" max="3" width="12" bestFit="1" customWidth="1"/>
    <col min="4" max="5" width="6" bestFit="1" customWidth="1"/>
    <col min="6" max="6" width="7.42578125" bestFit="1" customWidth="1"/>
    <col min="7" max="7" width="5.5703125" bestFit="1" customWidth="1"/>
    <col min="8" max="8" width="14.140625" bestFit="1" customWidth="1"/>
    <col min="9" max="9" width="4" bestFit="1" customWidth="1"/>
    <col min="10" max="10" width="6" bestFit="1" customWidth="1"/>
    <col min="11" max="12" width="6.140625" style="30" bestFit="1" customWidth="1"/>
    <col min="13" max="13" width="23.140625" style="30" bestFit="1" customWidth="1"/>
    <col min="15" max="15" width="11.28515625" style="23" bestFit="1" customWidth="1"/>
    <col min="16" max="17" width="10.28515625" style="23" bestFit="1" customWidth="1"/>
    <col min="18" max="18" width="11.28515625" style="23" bestFit="1" customWidth="1"/>
    <col min="19" max="19" width="10.28515625" style="23" bestFit="1" customWidth="1"/>
    <col min="20" max="20" width="15.28515625" style="23" bestFit="1" customWidth="1"/>
    <col min="21" max="24" width="10.28515625" style="23" bestFit="1" customWidth="1"/>
    <col min="25" max="25" width="24.28515625" style="23" bestFit="1" customWidth="1"/>
    <col min="26" max="26" width="15.42578125" style="23" bestFit="1" customWidth="1"/>
    <col min="27" max="27" width="15.28515625" bestFit="1" customWidth="1"/>
  </cols>
  <sheetData>
    <row r="1" spans="1:27">
      <c r="A1" s="11" t="str">
        <f>'Monthly Data'!A1</f>
        <v>Date</v>
      </c>
      <c r="B1" s="15" t="s">
        <v>33</v>
      </c>
      <c r="C1" s="30" t="str">
        <f>'Monthly Data'!N1</f>
        <v>GSgt50noCDM</v>
      </c>
      <c r="D1" t="str">
        <f>'Monthly Data'!U1</f>
        <v>HDD</v>
      </c>
      <c r="E1" s="30" t="str">
        <f>'Monthly Data'!V1</f>
        <v>CDD</v>
      </c>
      <c r="F1" s="30" t="str">
        <f>'Monthly Data'!Y1</f>
        <v>OntFTE</v>
      </c>
      <c r="G1" s="30" t="str">
        <f>'Monthly Data'!AA1</f>
        <v>Trend</v>
      </c>
      <c r="H1" s="30" t="str">
        <f>'Monthly Data'!AF1</f>
        <v>GSgt50Cust</v>
      </c>
      <c r="I1" s="30" t="str">
        <f>'Monthly Data'!AM1</f>
        <v>Fall</v>
      </c>
      <c r="J1" s="30" t="str">
        <f>'Monthly Data'!AN1</f>
        <v>DFEB</v>
      </c>
      <c r="K1" s="30" t="str">
        <f>'Monthly Data'!AO1</f>
        <v>DAPR</v>
      </c>
      <c r="L1" s="30" t="str">
        <f>'Monthly Data'!AP1</f>
        <v>DDEC</v>
      </c>
      <c r="M1" s="30" t="str">
        <f>'Monthly Data'!AQ1</f>
        <v>PostSecondarySummer</v>
      </c>
      <c r="O1" s="23" t="str">
        <f>'GS &gt; 50 OLS Model'!$A$5</f>
        <v>const</v>
      </c>
      <c r="P1" s="23" t="str">
        <f>D1</f>
        <v>HDD</v>
      </c>
      <c r="Q1" s="23" t="str">
        <f t="shared" ref="Q1:Y1" si="0">E1</f>
        <v>CDD</v>
      </c>
      <c r="R1" s="23" t="str">
        <f t="shared" si="0"/>
        <v>OntFTE</v>
      </c>
      <c r="S1" s="23" t="str">
        <f t="shared" si="0"/>
        <v>Trend</v>
      </c>
      <c r="T1" s="23" t="str">
        <f t="shared" si="0"/>
        <v>GSgt50Cust</v>
      </c>
      <c r="U1" s="23" t="str">
        <f t="shared" si="0"/>
        <v>Fall</v>
      </c>
      <c r="V1" s="23" t="str">
        <f t="shared" si="0"/>
        <v>DFEB</v>
      </c>
      <c r="W1" s="23" t="str">
        <f t="shared" si="0"/>
        <v>DAPR</v>
      </c>
      <c r="X1" s="23" t="str">
        <f t="shared" si="0"/>
        <v>DDEC</v>
      </c>
      <c r="Y1" s="23" t="str">
        <f t="shared" si="0"/>
        <v>PostSecondarySummer</v>
      </c>
      <c r="Z1" s="23" t="s">
        <v>56</v>
      </c>
      <c r="AA1" s="12" t="s">
        <v>57</v>
      </c>
    </row>
    <row r="2" spans="1:27">
      <c r="A2" s="11">
        <f>'Monthly Data'!A2</f>
        <v>39814</v>
      </c>
      <c r="B2" s="6">
        <f>YEAR(A2)</f>
        <v>2009</v>
      </c>
      <c r="C2">
        <f>'Monthly Data'!N2</f>
        <v>27538204.187447365</v>
      </c>
      <c r="D2" s="30">
        <f>'Monthly Data'!U2</f>
        <v>887.09999999999991</v>
      </c>
      <c r="E2" s="30">
        <f>'Monthly Data'!V2</f>
        <v>0</v>
      </c>
      <c r="F2" s="30">
        <f>'Monthly Data'!Y2</f>
        <v>6506.5</v>
      </c>
      <c r="G2" s="30">
        <f>'Monthly Data'!AA2</f>
        <v>1</v>
      </c>
      <c r="H2" s="30">
        <f>'Monthly Data'!AF2</f>
        <v>365</v>
      </c>
      <c r="I2" s="30">
        <f>'Monthly Data'!AM2</f>
        <v>0</v>
      </c>
      <c r="J2" s="30">
        <f>'Monthly Data'!AN2</f>
        <v>0</v>
      </c>
      <c r="K2" s="30">
        <f>'Monthly Data'!AO2</f>
        <v>0</v>
      </c>
      <c r="L2" s="30">
        <f>'Monthly Data'!AP2</f>
        <v>0</v>
      </c>
      <c r="M2" s="30">
        <f>'Monthly Data'!AQ2</f>
        <v>0</v>
      </c>
      <c r="O2" s="23">
        <f>'GS &gt; 50 OLS Model'!$B$5</f>
        <v>-17059648.826166701</v>
      </c>
      <c r="P2" s="23">
        <f>'GS &gt; 50 OLS Model'!$B$6*D2</f>
        <v>6833112.3723092293</v>
      </c>
      <c r="Q2" s="23">
        <f>'GS &gt; 50 OLS Model'!$B$7*E2</f>
        <v>0</v>
      </c>
      <c r="R2" s="23">
        <f>'GS &gt; 50 OLS Model'!$B$8*F2</f>
        <v>35047159.224440992</v>
      </c>
      <c r="S2" s="23">
        <f>'GS &gt; 50 OLS Model'!$B$9*G2</f>
        <v>-24616.2467691686</v>
      </c>
      <c r="T2" s="23">
        <f>'GS &gt; 50 OLS Model'!$B$10*H2</f>
        <v>3212161.2844790509</v>
      </c>
      <c r="U2" s="23">
        <f>'GS &gt; 50 OLS Model'!$B$11*I2</f>
        <v>0</v>
      </c>
      <c r="V2" s="23">
        <f>'GS &gt; 50 OLS Model'!$B$12*J2</f>
        <v>0</v>
      </c>
      <c r="W2" s="23">
        <f>'GS &gt; 50 OLS Model'!$B$13*K2</f>
        <v>0</v>
      </c>
      <c r="X2" s="23">
        <f>'GS &gt; 50 OLS Model'!$B$14*L2</f>
        <v>0</v>
      </c>
      <c r="Y2" s="23">
        <f>'GS &gt; 50 OLS Model'!$B$15*M2</f>
        <v>0</v>
      </c>
      <c r="Z2" s="23">
        <f>SUM(O2:Y2)</f>
        <v>28008167.808293406</v>
      </c>
      <c r="AA2" s="13">
        <f>ABS(Z2-C2)/C2</f>
        <v>1.706587755857596E-2</v>
      </c>
    </row>
    <row r="3" spans="1:27">
      <c r="A3" s="11">
        <f>'Monthly Data'!A3</f>
        <v>39845</v>
      </c>
      <c r="B3" s="6">
        <f t="shared" ref="B3:B66" si="1">YEAR(A3)</f>
        <v>2009</v>
      </c>
      <c r="C3" s="30">
        <f>'Monthly Data'!N3</f>
        <v>24304974.191142105</v>
      </c>
      <c r="D3" s="30">
        <f>'Monthly Data'!U3</f>
        <v>653.80000000000007</v>
      </c>
      <c r="E3" s="30">
        <f>'Monthly Data'!V3</f>
        <v>0</v>
      </c>
      <c r="F3" s="30">
        <f>'Monthly Data'!Y3</f>
        <v>6436.2</v>
      </c>
      <c r="G3" s="30">
        <f>'Monthly Data'!AA3</f>
        <v>2</v>
      </c>
      <c r="H3" s="30">
        <f>'Monthly Data'!AF3</f>
        <v>361</v>
      </c>
      <c r="I3" s="30">
        <f>'Monthly Data'!AM3</f>
        <v>0</v>
      </c>
      <c r="J3" s="30">
        <f>'Monthly Data'!AN3</f>
        <v>1</v>
      </c>
      <c r="K3" s="30">
        <f>'Monthly Data'!AO3</f>
        <v>0</v>
      </c>
      <c r="L3" s="30">
        <f>'Monthly Data'!AP3</f>
        <v>0</v>
      </c>
      <c r="M3" s="30">
        <f>'Monthly Data'!AQ3</f>
        <v>0</v>
      </c>
      <c r="N3" s="30"/>
      <c r="O3" s="23">
        <f>'GS &gt; 50 OLS Model'!$B$5</f>
        <v>-17059648.826166701</v>
      </c>
      <c r="P3" s="23">
        <f>'GS &gt; 50 OLS Model'!$B$6*D3</f>
        <v>5036060.0484903343</v>
      </c>
      <c r="Q3" s="23">
        <f>'GS &gt; 50 OLS Model'!$B$7*E3</f>
        <v>0</v>
      </c>
      <c r="R3" s="23">
        <f>'GS &gt; 50 OLS Model'!$B$8*F3</f>
        <v>34668489.387588888</v>
      </c>
      <c r="S3" s="23">
        <f>'GS &gt; 50 OLS Model'!$B$9*G3</f>
        <v>-49232.493538337199</v>
      </c>
      <c r="T3" s="23">
        <f>'GS &gt; 50 OLS Model'!$B$10*H3</f>
        <v>3176959.5169779104</v>
      </c>
      <c r="U3" s="23">
        <f>'GS &gt; 50 OLS Model'!$B$11*I3</f>
        <v>0</v>
      </c>
      <c r="V3" s="23">
        <f>'GS &gt; 50 OLS Model'!$B$12*J3</f>
        <v>-1514604.0647521601</v>
      </c>
      <c r="W3" s="23">
        <f>'GS &gt; 50 OLS Model'!$B$13*K3</f>
        <v>0</v>
      </c>
      <c r="X3" s="23">
        <f>'GS &gt; 50 OLS Model'!$B$14*L3</f>
        <v>0</v>
      </c>
      <c r="Y3" s="23">
        <f>'GS &gt; 50 OLS Model'!$B$15*M3</f>
        <v>0</v>
      </c>
      <c r="Z3" s="23">
        <f t="shared" ref="Z3:Z66" si="2">SUM(O3:Y3)</f>
        <v>24258023.568599932</v>
      </c>
      <c r="AA3" s="13">
        <f t="shared" ref="AA3:AA66" si="3">ABS(Z3-C3)/C3</f>
        <v>1.9317289610323357E-3</v>
      </c>
    </row>
    <row r="4" spans="1:27">
      <c r="A4" s="11">
        <f>'Monthly Data'!A4</f>
        <v>39873</v>
      </c>
      <c r="B4" s="6">
        <f t="shared" si="1"/>
        <v>2009</v>
      </c>
      <c r="C4" s="30">
        <f>'Monthly Data'!N4</f>
        <v>24608843.61283683</v>
      </c>
      <c r="D4" s="30">
        <f>'Monthly Data'!U4</f>
        <v>555.60000000000014</v>
      </c>
      <c r="E4" s="30">
        <f>'Monthly Data'!V4</f>
        <v>0</v>
      </c>
      <c r="F4" s="30">
        <f>'Monthly Data'!Y4</f>
        <v>6363.8</v>
      </c>
      <c r="G4" s="30">
        <f>'Monthly Data'!AA4</f>
        <v>3</v>
      </c>
      <c r="H4" s="30">
        <f>'Monthly Data'!AF4</f>
        <v>339</v>
      </c>
      <c r="I4" s="30">
        <f>'Monthly Data'!AM4</f>
        <v>0</v>
      </c>
      <c r="J4" s="30">
        <f>'Monthly Data'!AN4</f>
        <v>0</v>
      </c>
      <c r="K4" s="30">
        <f>'Monthly Data'!AO4</f>
        <v>0</v>
      </c>
      <c r="L4" s="30">
        <f>'Monthly Data'!AP4</f>
        <v>0</v>
      </c>
      <c r="M4" s="30">
        <f>'Monthly Data'!AQ4</f>
        <v>0</v>
      </c>
      <c r="N4" s="30"/>
      <c r="O4" s="23">
        <f>'GS &gt; 50 OLS Model'!$B$5</f>
        <v>-17059648.826166701</v>
      </c>
      <c r="P4" s="23">
        <f>'GS &gt; 50 OLS Model'!$B$6*D4</f>
        <v>4279649.6832995256</v>
      </c>
      <c r="Q4" s="23">
        <f>'GS &gt; 50 OLS Model'!$B$7*E4</f>
        <v>0</v>
      </c>
      <c r="R4" s="23">
        <f>'GS &gt; 50 OLS Model'!$B$8*F4</f>
        <v>34278507.933988713</v>
      </c>
      <c r="S4" s="23">
        <f>'GS &gt; 50 OLS Model'!$B$9*G4</f>
        <v>-73848.740307505795</v>
      </c>
      <c r="T4" s="23">
        <f>'GS &gt; 50 OLS Model'!$B$10*H4</f>
        <v>2983349.7957216389</v>
      </c>
      <c r="U4" s="23">
        <f>'GS &gt; 50 OLS Model'!$B$11*I4</f>
        <v>0</v>
      </c>
      <c r="V4" s="23">
        <f>'GS &gt; 50 OLS Model'!$B$12*J4</f>
        <v>0</v>
      </c>
      <c r="W4" s="23">
        <f>'GS &gt; 50 OLS Model'!$B$13*K4</f>
        <v>0</v>
      </c>
      <c r="X4" s="23">
        <f>'GS &gt; 50 OLS Model'!$B$14*L4</f>
        <v>0</v>
      </c>
      <c r="Y4" s="23">
        <f>'GS &gt; 50 OLS Model'!$B$15*M4</f>
        <v>0</v>
      </c>
      <c r="Z4" s="23">
        <f t="shared" si="2"/>
        <v>24408009.846535672</v>
      </c>
      <c r="AA4" s="13">
        <f t="shared" si="3"/>
        <v>8.1610403747861167E-3</v>
      </c>
    </row>
    <row r="5" spans="1:27">
      <c r="A5" s="11">
        <f>'Monthly Data'!A5</f>
        <v>39904</v>
      </c>
      <c r="B5" s="6">
        <f t="shared" si="1"/>
        <v>2009</v>
      </c>
      <c r="C5" s="30">
        <f>'Monthly Data'!N5</f>
        <v>21120456.317131568</v>
      </c>
      <c r="D5" s="30">
        <f>'Monthly Data'!U5</f>
        <v>326.29999999999995</v>
      </c>
      <c r="E5" s="30">
        <f>'Monthly Data'!V5</f>
        <v>0.8</v>
      </c>
      <c r="F5" s="30">
        <f>'Monthly Data'!Y5</f>
        <v>6359.6</v>
      </c>
      <c r="G5" s="30">
        <f>'Monthly Data'!AA5</f>
        <v>4</v>
      </c>
      <c r="H5" s="30">
        <f>'Monthly Data'!AF5</f>
        <v>341</v>
      </c>
      <c r="I5" s="30">
        <f>'Monthly Data'!AM5</f>
        <v>0</v>
      </c>
      <c r="J5" s="30">
        <f>'Monthly Data'!AN5</f>
        <v>0</v>
      </c>
      <c r="K5" s="30">
        <f>'Monthly Data'!AO5</f>
        <v>1</v>
      </c>
      <c r="L5" s="30">
        <f>'Monthly Data'!AP5</f>
        <v>0</v>
      </c>
      <c r="M5" s="30">
        <f>'Monthly Data'!AQ5</f>
        <v>0</v>
      </c>
      <c r="N5" s="30"/>
      <c r="O5" s="23">
        <f>'GS &gt; 50 OLS Model'!$B$5</f>
        <v>-17059648.826166701</v>
      </c>
      <c r="P5" s="23">
        <f>'GS &gt; 50 OLS Model'!$B$6*D5</f>
        <v>2513408.372319357</v>
      </c>
      <c r="Q5" s="23">
        <f>'GS &gt; 50 OLS Model'!$B$7*E5</f>
        <v>26117.600788740081</v>
      </c>
      <c r="R5" s="23">
        <f>'GS &gt; 50 OLS Model'!$B$8*F5</f>
        <v>34255884.700492576</v>
      </c>
      <c r="S5" s="23">
        <f>'GS &gt; 50 OLS Model'!$B$9*G5</f>
        <v>-98464.987076674399</v>
      </c>
      <c r="T5" s="23">
        <f>'GS &gt; 50 OLS Model'!$B$10*H5</f>
        <v>3000950.679472209</v>
      </c>
      <c r="U5" s="23">
        <f>'GS &gt; 50 OLS Model'!$B$11*I5</f>
        <v>0</v>
      </c>
      <c r="V5" s="23">
        <f>'GS &gt; 50 OLS Model'!$B$12*J5</f>
        <v>0</v>
      </c>
      <c r="W5" s="23">
        <f>'GS &gt; 50 OLS Model'!$B$13*K5</f>
        <v>-1589866.56724812</v>
      </c>
      <c r="X5" s="23">
        <f>'GS &gt; 50 OLS Model'!$B$14*L5</f>
        <v>0</v>
      </c>
      <c r="Y5" s="23">
        <f>'GS &gt; 50 OLS Model'!$B$15*M5</f>
        <v>0</v>
      </c>
      <c r="Z5" s="23">
        <f t="shared" si="2"/>
        <v>21048380.972581387</v>
      </c>
      <c r="AA5" s="13">
        <f t="shared" si="3"/>
        <v>3.4125846273367804E-3</v>
      </c>
    </row>
    <row r="6" spans="1:27">
      <c r="A6" s="11">
        <f>'Monthly Data'!A6</f>
        <v>39934</v>
      </c>
      <c r="B6" s="6">
        <f t="shared" si="1"/>
        <v>2009</v>
      </c>
      <c r="C6" s="30">
        <f>'Monthly Data'!N6</f>
        <v>20015258.117326297</v>
      </c>
      <c r="D6" s="30">
        <f>'Monthly Data'!U6</f>
        <v>165.29999999999995</v>
      </c>
      <c r="E6" s="30">
        <f>'Monthly Data'!V6</f>
        <v>0</v>
      </c>
      <c r="F6" s="30">
        <f>'Monthly Data'!Y6</f>
        <v>6382.1</v>
      </c>
      <c r="G6" s="30">
        <f>'Monthly Data'!AA6</f>
        <v>5</v>
      </c>
      <c r="H6" s="30">
        <f>'Monthly Data'!AF6</f>
        <v>343</v>
      </c>
      <c r="I6" s="30">
        <f>'Monthly Data'!AM6</f>
        <v>0</v>
      </c>
      <c r="J6" s="30">
        <f>'Monthly Data'!AN6</f>
        <v>0</v>
      </c>
      <c r="K6" s="30">
        <f>'Monthly Data'!AO6</f>
        <v>0</v>
      </c>
      <c r="L6" s="30">
        <f>'Monthly Data'!AP6</f>
        <v>0</v>
      </c>
      <c r="M6" s="30">
        <f>'Monthly Data'!AQ6</f>
        <v>1</v>
      </c>
      <c r="N6" s="30"/>
      <c r="O6" s="23">
        <f>'GS &gt; 50 OLS Model'!$B$5</f>
        <v>-17059648.826166701</v>
      </c>
      <c r="P6" s="23">
        <f>'GS &gt; 50 OLS Model'!$B$6*D6</f>
        <v>1273265.1055604953</v>
      </c>
      <c r="Q6" s="23">
        <f>'GS &gt; 50 OLS Model'!$B$7*E6</f>
        <v>0</v>
      </c>
      <c r="R6" s="23">
        <f>'GS &gt; 50 OLS Model'!$B$8*F6</f>
        <v>34377080.594221912</v>
      </c>
      <c r="S6" s="23">
        <f>'GS &gt; 50 OLS Model'!$B$9*G6</f>
        <v>-123081.233845843</v>
      </c>
      <c r="T6" s="23">
        <f>'GS &gt; 50 OLS Model'!$B$10*H6</f>
        <v>3018551.5632227794</v>
      </c>
      <c r="U6" s="23">
        <f>'GS &gt; 50 OLS Model'!$B$11*I6</f>
        <v>0</v>
      </c>
      <c r="V6" s="23">
        <f>'GS &gt; 50 OLS Model'!$B$12*J6</f>
        <v>0</v>
      </c>
      <c r="W6" s="23">
        <f>'GS &gt; 50 OLS Model'!$B$13*K6</f>
        <v>0</v>
      </c>
      <c r="X6" s="23">
        <f>'GS &gt; 50 OLS Model'!$B$14*L6</f>
        <v>0</v>
      </c>
      <c r="Y6" s="23">
        <f>'GS &gt; 50 OLS Model'!$B$15*M6</f>
        <v>-1207404.17093835</v>
      </c>
      <c r="Z6" s="23">
        <f t="shared" si="2"/>
        <v>20278763.03205429</v>
      </c>
      <c r="AA6" s="13">
        <f t="shared" si="3"/>
        <v>1.3165201926618629E-2</v>
      </c>
    </row>
    <row r="7" spans="1:27">
      <c r="A7" s="11">
        <f>'Monthly Data'!A7</f>
        <v>39965</v>
      </c>
      <c r="B7" s="6">
        <f t="shared" si="1"/>
        <v>2009</v>
      </c>
      <c r="C7" s="30">
        <f>'Monthly Data'!N7</f>
        <v>20097056.883721031</v>
      </c>
      <c r="D7" s="30">
        <f>'Monthly Data'!U7</f>
        <v>59.20000000000001</v>
      </c>
      <c r="E7" s="30">
        <f>'Monthly Data'!V7</f>
        <v>32.6</v>
      </c>
      <c r="F7" s="30">
        <f>'Monthly Data'!Y7</f>
        <v>6429.4</v>
      </c>
      <c r="G7" s="30">
        <f>'Monthly Data'!AA7</f>
        <v>6</v>
      </c>
      <c r="H7" s="30">
        <f>'Monthly Data'!AF7</f>
        <v>345</v>
      </c>
      <c r="I7" s="30">
        <f>'Monthly Data'!AM7</f>
        <v>0</v>
      </c>
      <c r="J7" s="30">
        <f>'Monthly Data'!AN7</f>
        <v>0</v>
      </c>
      <c r="K7" s="30">
        <f>'Monthly Data'!AO7</f>
        <v>0</v>
      </c>
      <c r="L7" s="30">
        <f>'Monthly Data'!AP7</f>
        <v>0</v>
      </c>
      <c r="M7" s="30">
        <f>'Monthly Data'!AQ7</f>
        <v>1</v>
      </c>
      <c r="N7" s="30"/>
      <c r="O7" s="23">
        <f>'GS &gt; 50 OLS Model'!$B$5</f>
        <v>-17059648.826166701</v>
      </c>
      <c r="P7" s="23">
        <f>'GS &gt; 50 OLS Model'!$B$6*D7</f>
        <v>456002.99001319637</v>
      </c>
      <c r="Q7" s="23">
        <f>'GS &gt; 50 OLS Model'!$B$7*E7</f>
        <v>1064292.2321411583</v>
      </c>
      <c r="R7" s="23">
        <f>'GS &gt; 50 OLS Model'!$B$8*F7</f>
        <v>34631861.2952618</v>
      </c>
      <c r="S7" s="23">
        <f>'GS &gt; 50 OLS Model'!$B$9*G7</f>
        <v>-147697.48061501159</v>
      </c>
      <c r="T7" s="23">
        <f>'GS &gt; 50 OLS Model'!$B$10*H7</f>
        <v>3036152.4469733494</v>
      </c>
      <c r="U7" s="23">
        <f>'GS &gt; 50 OLS Model'!$B$11*I7</f>
        <v>0</v>
      </c>
      <c r="V7" s="23">
        <f>'GS &gt; 50 OLS Model'!$B$12*J7</f>
        <v>0</v>
      </c>
      <c r="W7" s="23">
        <f>'GS &gt; 50 OLS Model'!$B$13*K7</f>
        <v>0</v>
      </c>
      <c r="X7" s="23">
        <f>'GS &gt; 50 OLS Model'!$B$14*L7</f>
        <v>0</v>
      </c>
      <c r="Y7" s="23">
        <f>'GS &gt; 50 OLS Model'!$B$15*M7</f>
        <v>-1207404.17093835</v>
      </c>
      <c r="Z7" s="23">
        <f t="shared" si="2"/>
        <v>20773558.48666944</v>
      </c>
      <c r="AA7" s="13">
        <f t="shared" si="3"/>
        <v>3.3661725040763889E-2</v>
      </c>
    </row>
    <row r="8" spans="1:27">
      <c r="A8" s="11">
        <f>'Monthly Data'!A8</f>
        <v>39995</v>
      </c>
      <c r="B8" s="6">
        <f t="shared" si="1"/>
        <v>2009</v>
      </c>
      <c r="C8" s="30">
        <f>'Monthly Data'!N8</f>
        <v>21557347.533615761</v>
      </c>
      <c r="D8" s="30">
        <f>'Monthly Data'!U8</f>
        <v>11.799999999999999</v>
      </c>
      <c r="E8" s="30">
        <f>'Monthly Data'!V8</f>
        <v>35.6</v>
      </c>
      <c r="F8" s="30">
        <f>'Monthly Data'!Y8</f>
        <v>6467</v>
      </c>
      <c r="G8" s="30">
        <f>'Monthly Data'!AA8</f>
        <v>7</v>
      </c>
      <c r="H8" s="30">
        <f>'Monthly Data'!AF8</f>
        <v>344</v>
      </c>
      <c r="I8" s="30">
        <f>'Monthly Data'!AM8</f>
        <v>0</v>
      </c>
      <c r="J8" s="30">
        <f>'Monthly Data'!AN8</f>
        <v>0</v>
      </c>
      <c r="K8" s="30">
        <f>'Monthly Data'!AO8</f>
        <v>0</v>
      </c>
      <c r="L8" s="30">
        <f>'Monthly Data'!AP8</f>
        <v>0</v>
      </c>
      <c r="M8" s="30">
        <f>'Monthly Data'!AQ8</f>
        <v>1</v>
      </c>
      <c r="N8" s="30"/>
      <c r="O8" s="23">
        <f>'GS &gt; 50 OLS Model'!$B$5</f>
        <v>-17059648.826166701</v>
      </c>
      <c r="P8" s="23">
        <f>'GS &gt; 50 OLS Model'!$B$6*D8</f>
        <v>90892.48787425195</v>
      </c>
      <c r="Q8" s="23">
        <f>'GS &gt; 50 OLS Model'!$B$7*E8</f>
        <v>1162233.2350989336</v>
      </c>
      <c r="R8" s="23">
        <f>'GS &gt; 50 OLS Model'!$B$8*F8</f>
        <v>34834393.099893935</v>
      </c>
      <c r="S8" s="23">
        <f>'GS &gt; 50 OLS Model'!$B$9*G8</f>
        <v>-172313.72738418021</v>
      </c>
      <c r="T8" s="23">
        <f>'GS &gt; 50 OLS Model'!$B$10*H8</f>
        <v>3027352.0050980644</v>
      </c>
      <c r="U8" s="23">
        <f>'GS &gt; 50 OLS Model'!$B$11*I8</f>
        <v>0</v>
      </c>
      <c r="V8" s="23">
        <f>'GS &gt; 50 OLS Model'!$B$12*J8</f>
        <v>0</v>
      </c>
      <c r="W8" s="23">
        <f>'GS &gt; 50 OLS Model'!$B$13*K8</f>
        <v>0</v>
      </c>
      <c r="X8" s="23">
        <f>'GS &gt; 50 OLS Model'!$B$14*L8</f>
        <v>0</v>
      </c>
      <c r="Y8" s="23">
        <f>'GS &gt; 50 OLS Model'!$B$15*M8</f>
        <v>-1207404.17093835</v>
      </c>
      <c r="Z8" s="23">
        <f t="shared" si="2"/>
        <v>20675504.103475954</v>
      </c>
      <c r="AA8" s="13">
        <f t="shared" si="3"/>
        <v>4.0906861512748305E-2</v>
      </c>
    </row>
    <row r="9" spans="1:27">
      <c r="A9" s="11">
        <f>'Monthly Data'!A9</f>
        <v>40026</v>
      </c>
      <c r="B9" s="6">
        <f t="shared" si="1"/>
        <v>2009</v>
      </c>
      <c r="C9" s="30">
        <f>'Monthly Data'!N9</f>
        <v>22341965.693210494</v>
      </c>
      <c r="D9" s="30">
        <f>'Monthly Data'!U9</f>
        <v>20.6</v>
      </c>
      <c r="E9" s="30">
        <f>'Monthly Data'!V9</f>
        <v>85.199999999999989</v>
      </c>
      <c r="F9" s="30">
        <f>'Monthly Data'!Y9</f>
        <v>6487.6</v>
      </c>
      <c r="G9" s="30">
        <f>'Monthly Data'!AA9</f>
        <v>8</v>
      </c>
      <c r="H9" s="30">
        <f>'Monthly Data'!AF9</f>
        <v>343</v>
      </c>
      <c r="I9" s="30">
        <f>'Monthly Data'!AM9</f>
        <v>0</v>
      </c>
      <c r="J9" s="30">
        <f>'Monthly Data'!AN9</f>
        <v>0</v>
      </c>
      <c r="K9" s="30">
        <f>'Monthly Data'!AO9</f>
        <v>0</v>
      </c>
      <c r="L9" s="30">
        <f>'Monthly Data'!AP9</f>
        <v>0</v>
      </c>
      <c r="M9" s="30">
        <f>'Monthly Data'!AQ9</f>
        <v>1</v>
      </c>
      <c r="N9" s="30"/>
      <c r="O9" s="23">
        <f>'GS &gt; 50 OLS Model'!$B$5</f>
        <v>-17059648.826166701</v>
      </c>
      <c r="P9" s="23">
        <f>'GS &gt; 50 OLS Model'!$B$6*D9</f>
        <v>158676.71611945683</v>
      </c>
      <c r="Q9" s="23">
        <f>'GS &gt; 50 OLS Model'!$B$7*E9</f>
        <v>2781524.4840008183</v>
      </c>
      <c r="R9" s="23">
        <f>'GS &gt; 50 OLS Model'!$B$8*F9</f>
        <v>34945354.673708349</v>
      </c>
      <c r="S9" s="23">
        <f>'GS &gt; 50 OLS Model'!$B$9*G9</f>
        <v>-196929.9741533488</v>
      </c>
      <c r="T9" s="23">
        <f>'GS &gt; 50 OLS Model'!$B$10*H9</f>
        <v>3018551.5632227794</v>
      </c>
      <c r="U9" s="23">
        <f>'GS &gt; 50 OLS Model'!$B$11*I9</f>
        <v>0</v>
      </c>
      <c r="V9" s="23">
        <f>'GS &gt; 50 OLS Model'!$B$12*J9</f>
        <v>0</v>
      </c>
      <c r="W9" s="23">
        <f>'GS &gt; 50 OLS Model'!$B$13*K9</f>
        <v>0</v>
      </c>
      <c r="X9" s="23">
        <f>'GS &gt; 50 OLS Model'!$B$14*L9</f>
        <v>0</v>
      </c>
      <c r="Y9" s="23">
        <f>'GS &gt; 50 OLS Model'!$B$15*M9</f>
        <v>-1207404.17093835</v>
      </c>
      <c r="Z9" s="23">
        <f t="shared" si="2"/>
        <v>22440124.465793006</v>
      </c>
      <c r="AA9" s="13">
        <f t="shared" si="3"/>
        <v>4.3934707415803544E-3</v>
      </c>
    </row>
    <row r="10" spans="1:27">
      <c r="A10" s="11">
        <f>'Monthly Data'!A10</f>
        <v>40057</v>
      </c>
      <c r="B10" s="6">
        <f t="shared" si="1"/>
        <v>2009</v>
      </c>
      <c r="C10" s="30">
        <f>'Monthly Data'!N10</f>
        <v>20675414.914105225</v>
      </c>
      <c r="D10" s="30">
        <f>'Monthly Data'!U10</f>
        <v>100.9</v>
      </c>
      <c r="E10" s="30">
        <f>'Monthly Data'!V10</f>
        <v>4.5999999999999996</v>
      </c>
      <c r="F10" s="30">
        <f>'Monthly Data'!Y10</f>
        <v>6470.2</v>
      </c>
      <c r="G10" s="30">
        <f>'Monthly Data'!AA10</f>
        <v>9</v>
      </c>
      <c r="H10" s="30">
        <f>'Monthly Data'!AF10</f>
        <v>345</v>
      </c>
      <c r="I10" s="30">
        <f>'Monthly Data'!AM10</f>
        <v>1</v>
      </c>
      <c r="J10" s="30">
        <f>'Monthly Data'!AN10</f>
        <v>0</v>
      </c>
      <c r="K10" s="30">
        <f>'Monthly Data'!AO10</f>
        <v>0</v>
      </c>
      <c r="L10" s="30">
        <f>'Monthly Data'!AP10</f>
        <v>0</v>
      </c>
      <c r="M10" s="30">
        <f>'Monthly Data'!AQ10</f>
        <v>0</v>
      </c>
      <c r="N10" s="30"/>
      <c r="O10" s="23">
        <f>'GS &gt; 50 OLS Model'!$B$5</f>
        <v>-17059648.826166701</v>
      </c>
      <c r="P10" s="23">
        <f>'GS &gt; 50 OLS Model'!$B$6*D10</f>
        <v>777207.79885695118</v>
      </c>
      <c r="Q10" s="23">
        <f>'GS &gt; 50 OLS Model'!$B$7*E10</f>
        <v>150176.20453525544</v>
      </c>
      <c r="R10" s="23">
        <f>'GS &gt; 50 OLS Model'!$B$8*F10</f>
        <v>34851629.849224329</v>
      </c>
      <c r="S10" s="23">
        <f>'GS &gt; 50 OLS Model'!$B$9*G10</f>
        <v>-221546.22092251739</v>
      </c>
      <c r="T10" s="23">
        <f>'GS &gt; 50 OLS Model'!$B$10*H10</f>
        <v>3036152.4469733494</v>
      </c>
      <c r="U10" s="23">
        <f>'GS &gt; 50 OLS Model'!$B$11*I10</f>
        <v>-1573400.2840208299</v>
      </c>
      <c r="V10" s="23">
        <f>'GS &gt; 50 OLS Model'!$B$12*J10</f>
        <v>0</v>
      </c>
      <c r="W10" s="23">
        <f>'GS &gt; 50 OLS Model'!$B$13*K10</f>
        <v>0</v>
      </c>
      <c r="X10" s="23">
        <f>'GS &gt; 50 OLS Model'!$B$14*L10</f>
        <v>0</v>
      </c>
      <c r="Y10" s="23">
        <f>'GS &gt; 50 OLS Model'!$B$15*M10</f>
        <v>0</v>
      </c>
      <c r="Z10" s="23">
        <f t="shared" si="2"/>
        <v>19960570.968479838</v>
      </c>
      <c r="AA10" s="13">
        <f t="shared" si="3"/>
        <v>3.4574587673096936E-2</v>
      </c>
    </row>
    <row r="11" spans="1:27">
      <c r="A11" s="11">
        <f>'Monthly Data'!A11</f>
        <v>40087</v>
      </c>
      <c r="B11" s="6">
        <f t="shared" si="1"/>
        <v>2009</v>
      </c>
      <c r="C11" s="30">
        <f>'Monthly Data'!N11</f>
        <v>21958766.746799961</v>
      </c>
      <c r="D11" s="30">
        <f>'Monthly Data'!U11</f>
        <v>330.19999999999993</v>
      </c>
      <c r="E11" s="30">
        <f>'Monthly Data'!V11</f>
        <v>0</v>
      </c>
      <c r="F11" s="30">
        <f>'Monthly Data'!Y11</f>
        <v>6472.1</v>
      </c>
      <c r="G11" s="30">
        <f>'Monthly Data'!AA11</f>
        <v>10</v>
      </c>
      <c r="H11" s="30">
        <f>'Monthly Data'!AF11</f>
        <v>350</v>
      </c>
      <c r="I11" s="30">
        <f>'Monthly Data'!AM11</f>
        <v>1</v>
      </c>
      <c r="J11" s="30">
        <f>'Monthly Data'!AN11</f>
        <v>0</v>
      </c>
      <c r="K11" s="30">
        <f>'Monthly Data'!AO11</f>
        <v>0</v>
      </c>
      <c r="L11" s="30">
        <f>'Monthly Data'!AP11</f>
        <v>0</v>
      </c>
      <c r="M11" s="30">
        <f>'Monthly Data'!AQ11</f>
        <v>0</v>
      </c>
      <c r="N11" s="30"/>
      <c r="O11" s="23">
        <f>'GS &gt; 50 OLS Model'!$B$5</f>
        <v>-17059648.826166701</v>
      </c>
      <c r="P11" s="23">
        <f>'GS &gt; 50 OLS Model'!$B$6*D11</f>
        <v>2543449.1098371181</v>
      </c>
      <c r="Q11" s="23">
        <f>'GS &gt; 50 OLS Model'!$B$7*E11</f>
        <v>0</v>
      </c>
      <c r="R11" s="23">
        <f>'GS &gt; 50 OLS Model'!$B$8*F11</f>
        <v>34861864.169139251</v>
      </c>
      <c r="S11" s="23">
        <f>'GS &gt; 50 OLS Model'!$B$9*G11</f>
        <v>-246162.467691686</v>
      </c>
      <c r="T11" s="23">
        <f>'GS &gt; 50 OLS Model'!$B$10*H11</f>
        <v>3080154.6563497749</v>
      </c>
      <c r="U11" s="23">
        <f>'GS &gt; 50 OLS Model'!$B$11*I11</f>
        <v>-1573400.2840208299</v>
      </c>
      <c r="V11" s="23">
        <f>'GS &gt; 50 OLS Model'!$B$12*J11</f>
        <v>0</v>
      </c>
      <c r="W11" s="23">
        <f>'GS &gt; 50 OLS Model'!$B$13*K11</f>
        <v>0</v>
      </c>
      <c r="X11" s="23">
        <f>'GS &gt; 50 OLS Model'!$B$14*L11</f>
        <v>0</v>
      </c>
      <c r="Y11" s="23">
        <f>'GS &gt; 50 OLS Model'!$B$15*M11</f>
        <v>0</v>
      </c>
      <c r="Z11" s="23">
        <f t="shared" si="2"/>
        <v>21606256.357446928</v>
      </c>
      <c r="AA11" s="13">
        <f t="shared" si="3"/>
        <v>1.6053287209510721E-2</v>
      </c>
    </row>
    <row r="12" spans="1:27">
      <c r="A12" s="11">
        <f>'Monthly Data'!A12</f>
        <v>40118</v>
      </c>
      <c r="B12" s="6">
        <f t="shared" si="1"/>
        <v>2009</v>
      </c>
      <c r="C12" s="30">
        <f>'Monthly Data'!N12</f>
        <v>22285160.608694695</v>
      </c>
      <c r="D12" s="30">
        <f>'Monthly Data'!U12</f>
        <v>384.49999999999989</v>
      </c>
      <c r="E12" s="30">
        <f>'Monthly Data'!V12</f>
        <v>0</v>
      </c>
      <c r="F12" s="30">
        <f>'Monthly Data'!Y12</f>
        <v>6465.6</v>
      </c>
      <c r="G12" s="30">
        <f>'Monthly Data'!AA12</f>
        <v>11</v>
      </c>
      <c r="H12" s="30">
        <f>'Monthly Data'!AF12</f>
        <v>351</v>
      </c>
      <c r="I12" s="30">
        <f>'Monthly Data'!AM12</f>
        <v>1</v>
      </c>
      <c r="J12" s="30">
        <f>'Monthly Data'!AN12</f>
        <v>0</v>
      </c>
      <c r="K12" s="30">
        <f>'Monthly Data'!AO12</f>
        <v>0</v>
      </c>
      <c r="L12" s="30">
        <f>'Monthly Data'!AP12</f>
        <v>0</v>
      </c>
      <c r="M12" s="30">
        <f>'Monthly Data'!AQ12</f>
        <v>0</v>
      </c>
      <c r="N12" s="30"/>
      <c r="O12" s="23">
        <f>'GS &gt; 50 OLS Model'!$B$5</f>
        <v>-17059648.826166701</v>
      </c>
      <c r="P12" s="23">
        <f>'GS &gt; 50 OLS Model'!$B$6*D12</f>
        <v>2961708.6091228705</v>
      </c>
      <c r="Q12" s="23">
        <f>'GS &gt; 50 OLS Model'!$B$7*E12</f>
        <v>0</v>
      </c>
      <c r="R12" s="23">
        <f>'GS &gt; 50 OLS Model'!$B$8*F12</f>
        <v>34826852.022061892</v>
      </c>
      <c r="S12" s="23">
        <f>'GS &gt; 50 OLS Model'!$B$9*G12</f>
        <v>-270778.71446085459</v>
      </c>
      <c r="T12" s="23">
        <f>'GS &gt; 50 OLS Model'!$B$10*H12</f>
        <v>3088955.0982250599</v>
      </c>
      <c r="U12" s="23">
        <f>'GS &gt; 50 OLS Model'!$B$11*I12</f>
        <v>-1573400.2840208299</v>
      </c>
      <c r="V12" s="23">
        <f>'GS &gt; 50 OLS Model'!$B$12*J12</f>
        <v>0</v>
      </c>
      <c r="W12" s="23">
        <f>'GS &gt; 50 OLS Model'!$B$13*K12</f>
        <v>0</v>
      </c>
      <c r="X12" s="23">
        <f>'GS &gt; 50 OLS Model'!$B$14*L12</f>
        <v>0</v>
      </c>
      <c r="Y12" s="23">
        <f>'GS &gt; 50 OLS Model'!$B$15*M12</f>
        <v>0</v>
      </c>
      <c r="Z12" s="23">
        <f t="shared" si="2"/>
        <v>21973687.904761437</v>
      </c>
      <c r="AA12" s="13">
        <f t="shared" si="3"/>
        <v>1.3976686522588246E-2</v>
      </c>
    </row>
    <row r="13" spans="1:27">
      <c r="A13" s="11">
        <f>'Monthly Data'!A13</f>
        <v>40148</v>
      </c>
      <c r="B13" s="6">
        <f t="shared" si="1"/>
        <v>2009</v>
      </c>
      <c r="C13" s="30">
        <f>'Monthly Data'!N13</f>
        <v>24254289.862589426</v>
      </c>
      <c r="D13" s="30">
        <f>'Monthly Data'!U13</f>
        <v>696.79999999999984</v>
      </c>
      <c r="E13" s="30">
        <f>'Monthly Data'!V13</f>
        <v>0</v>
      </c>
      <c r="F13" s="30">
        <f>'Monthly Data'!Y13</f>
        <v>6467.5</v>
      </c>
      <c r="G13" s="30">
        <f>'Monthly Data'!AA13</f>
        <v>12</v>
      </c>
      <c r="H13" s="30">
        <f>'Monthly Data'!AF13</f>
        <v>351</v>
      </c>
      <c r="I13" s="30">
        <f>'Monthly Data'!AM13</f>
        <v>0</v>
      </c>
      <c r="J13" s="30">
        <f>'Monthly Data'!AN13</f>
        <v>0</v>
      </c>
      <c r="K13" s="30">
        <f>'Monthly Data'!AO13</f>
        <v>0</v>
      </c>
      <c r="L13" s="30">
        <f>'Monthly Data'!AP13</f>
        <v>1</v>
      </c>
      <c r="M13" s="30">
        <f>'Monthly Data'!AQ13</f>
        <v>0</v>
      </c>
      <c r="N13" s="30"/>
      <c r="O13" s="23">
        <f>'GS &gt; 50 OLS Model'!$B$5</f>
        <v>-17059648.826166701</v>
      </c>
      <c r="P13" s="23">
        <f>'GS &gt; 50 OLS Model'!$B$6*D13</f>
        <v>5367278.4365066737</v>
      </c>
      <c r="Q13" s="23">
        <f>'GS &gt; 50 OLS Model'!$B$7*E13</f>
        <v>0</v>
      </c>
      <c r="R13" s="23">
        <f>'GS &gt; 50 OLS Model'!$B$8*F13</f>
        <v>34837086.341976807</v>
      </c>
      <c r="S13" s="23">
        <f>'GS &gt; 50 OLS Model'!$B$9*G13</f>
        <v>-295394.96123002318</v>
      </c>
      <c r="T13" s="23">
        <f>'GS &gt; 50 OLS Model'!$B$10*H13</f>
        <v>3088955.0982250599</v>
      </c>
      <c r="U13" s="23">
        <f>'GS &gt; 50 OLS Model'!$B$11*I13</f>
        <v>0</v>
      </c>
      <c r="V13" s="23">
        <f>'GS &gt; 50 OLS Model'!$B$12*J13</f>
        <v>0</v>
      </c>
      <c r="W13" s="23">
        <f>'GS &gt; 50 OLS Model'!$B$13*K13</f>
        <v>0</v>
      </c>
      <c r="X13" s="23">
        <f>'GS &gt; 50 OLS Model'!$B$14*L13</f>
        <v>-1083532.53757107</v>
      </c>
      <c r="Y13" s="23">
        <f>'GS &gt; 50 OLS Model'!$B$15*M13</f>
        <v>0</v>
      </c>
      <c r="Z13" s="23">
        <f t="shared" si="2"/>
        <v>24854743.551740747</v>
      </c>
      <c r="AA13" s="13">
        <f t="shared" si="3"/>
        <v>2.4756597391766111E-2</v>
      </c>
    </row>
    <row r="14" spans="1:27">
      <c r="A14" s="11">
        <f>'Monthly Data'!A14</f>
        <v>40179</v>
      </c>
      <c r="B14" s="6">
        <f t="shared" si="1"/>
        <v>2010</v>
      </c>
      <c r="C14" s="30">
        <f>'Monthly Data'!N14</f>
        <v>27142755.173439831</v>
      </c>
      <c r="D14" s="30">
        <f>'Monthly Data'!U14</f>
        <v>750.59999999999991</v>
      </c>
      <c r="E14" s="30">
        <f>'Monthly Data'!V14</f>
        <v>0</v>
      </c>
      <c r="F14" s="30">
        <f>'Monthly Data'!Y14</f>
        <v>6434.5</v>
      </c>
      <c r="G14" s="30">
        <f>'Monthly Data'!AA14</f>
        <v>13</v>
      </c>
      <c r="H14" s="30">
        <f>'Monthly Data'!AF14</f>
        <v>355</v>
      </c>
      <c r="I14" s="30">
        <f>'Monthly Data'!AM14</f>
        <v>0</v>
      </c>
      <c r="J14" s="30">
        <f>'Monthly Data'!AN14</f>
        <v>0</v>
      </c>
      <c r="K14" s="30">
        <f>'Monthly Data'!AO14</f>
        <v>0</v>
      </c>
      <c r="L14" s="30">
        <f>'Monthly Data'!AP14</f>
        <v>0</v>
      </c>
      <c r="M14" s="30">
        <f>'Monthly Data'!AQ14</f>
        <v>0</v>
      </c>
      <c r="N14" s="30"/>
      <c r="O14" s="23">
        <f>'GS &gt; 50 OLS Model'!$B$5</f>
        <v>-17059648.826166701</v>
      </c>
      <c r="P14" s="23">
        <f>'GS &gt; 50 OLS Model'!$B$6*D14</f>
        <v>5781686.5591875864</v>
      </c>
      <c r="Q14" s="23">
        <f>'GS &gt; 50 OLS Model'!$B$7*E14</f>
        <v>0</v>
      </c>
      <c r="R14" s="23">
        <f>'GS &gt; 50 OLS Model'!$B$8*F14</f>
        <v>34659332.364507116</v>
      </c>
      <c r="S14" s="23">
        <f>'GS &gt; 50 OLS Model'!$B$9*G14</f>
        <v>-320011.20799919177</v>
      </c>
      <c r="T14" s="23">
        <f>'GS &gt; 50 OLS Model'!$B$10*H14</f>
        <v>3124156.8657261999</v>
      </c>
      <c r="U14" s="23">
        <f>'GS &gt; 50 OLS Model'!$B$11*I14</f>
        <v>0</v>
      </c>
      <c r="V14" s="23">
        <f>'GS &gt; 50 OLS Model'!$B$12*J14</f>
        <v>0</v>
      </c>
      <c r="W14" s="23">
        <f>'GS &gt; 50 OLS Model'!$B$13*K14</f>
        <v>0</v>
      </c>
      <c r="X14" s="23">
        <f>'GS &gt; 50 OLS Model'!$B$14*L14</f>
        <v>0</v>
      </c>
      <c r="Y14" s="23">
        <f>'GS &gt; 50 OLS Model'!$B$15*M14</f>
        <v>0</v>
      </c>
      <c r="Z14" s="23">
        <f t="shared" si="2"/>
        <v>26185515.75525501</v>
      </c>
      <c r="AA14" s="13">
        <f t="shared" si="3"/>
        <v>3.5266847896175034E-2</v>
      </c>
    </row>
    <row r="15" spans="1:27">
      <c r="A15" s="11">
        <f>'Monthly Data'!A15</f>
        <v>40210</v>
      </c>
      <c r="B15" s="6">
        <f t="shared" si="1"/>
        <v>2010</v>
      </c>
      <c r="C15" s="30">
        <f>'Monthly Data'!N15</f>
        <v>23537491.120734841</v>
      </c>
      <c r="D15" s="30">
        <f>'Monthly Data'!U15</f>
        <v>620.40000000000009</v>
      </c>
      <c r="E15" s="30">
        <f>'Monthly Data'!V15</f>
        <v>0</v>
      </c>
      <c r="F15" s="30">
        <f>'Monthly Data'!Y15</f>
        <v>6404.1</v>
      </c>
      <c r="G15" s="30">
        <f>'Monthly Data'!AA15</f>
        <v>14</v>
      </c>
      <c r="H15" s="30">
        <f>'Monthly Data'!AF15</f>
        <v>354</v>
      </c>
      <c r="I15" s="30">
        <f>'Monthly Data'!AM15</f>
        <v>0</v>
      </c>
      <c r="J15" s="30">
        <f>'Monthly Data'!AN15</f>
        <v>1</v>
      </c>
      <c r="K15" s="30">
        <f>'Monthly Data'!AO15</f>
        <v>0</v>
      </c>
      <c r="L15" s="30">
        <f>'Monthly Data'!AP15</f>
        <v>0</v>
      </c>
      <c r="M15" s="30">
        <f>'Monthly Data'!AQ15</f>
        <v>0</v>
      </c>
      <c r="N15" s="30"/>
      <c r="O15" s="23">
        <f>'GS &gt; 50 OLS Model'!$B$5</f>
        <v>-17059648.826166701</v>
      </c>
      <c r="P15" s="23">
        <f>'GS &gt; 50 OLS Model'!$B$6*D15</f>
        <v>4778788.0912869433</v>
      </c>
      <c r="Q15" s="23">
        <f>'GS &gt; 50 OLS Model'!$B$7*E15</f>
        <v>0</v>
      </c>
      <c r="R15" s="23">
        <f>'GS &gt; 50 OLS Model'!$B$8*F15</f>
        <v>34495583.24586837</v>
      </c>
      <c r="S15" s="23">
        <f>'GS &gt; 50 OLS Model'!$B$9*G15</f>
        <v>-344627.45476836042</v>
      </c>
      <c r="T15" s="23">
        <f>'GS &gt; 50 OLS Model'!$B$10*H15</f>
        <v>3115356.4238509149</v>
      </c>
      <c r="U15" s="23">
        <f>'GS &gt; 50 OLS Model'!$B$11*I15</f>
        <v>0</v>
      </c>
      <c r="V15" s="23">
        <f>'GS &gt; 50 OLS Model'!$B$12*J15</f>
        <v>-1514604.0647521601</v>
      </c>
      <c r="W15" s="23">
        <f>'GS &gt; 50 OLS Model'!$B$13*K15</f>
        <v>0</v>
      </c>
      <c r="X15" s="23">
        <f>'GS &gt; 50 OLS Model'!$B$14*L15</f>
        <v>0</v>
      </c>
      <c r="Y15" s="23">
        <f>'GS &gt; 50 OLS Model'!$B$15*M15</f>
        <v>0</v>
      </c>
      <c r="Z15" s="23">
        <f t="shared" si="2"/>
        <v>23470847.415319007</v>
      </c>
      <c r="AA15" s="13">
        <f t="shared" si="3"/>
        <v>2.8313852599661914E-3</v>
      </c>
    </row>
    <row r="16" spans="1:27">
      <c r="A16" s="11">
        <f>'Monthly Data'!A16</f>
        <v>40238</v>
      </c>
      <c r="B16" s="6">
        <f t="shared" si="1"/>
        <v>2010</v>
      </c>
      <c r="C16" s="30">
        <f>'Monthly Data'!N16</f>
        <v>23396470.955129851</v>
      </c>
      <c r="D16" s="30">
        <f>'Monthly Data'!U16</f>
        <v>451.89999999999992</v>
      </c>
      <c r="E16" s="30">
        <f>'Monthly Data'!V16</f>
        <v>0</v>
      </c>
      <c r="F16" s="30">
        <f>'Monthly Data'!Y16</f>
        <v>6377.2</v>
      </c>
      <c r="G16" s="30">
        <f>'Monthly Data'!AA16</f>
        <v>15</v>
      </c>
      <c r="H16" s="30">
        <f>'Monthly Data'!AF16</f>
        <v>352</v>
      </c>
      <c r="I16" s="30">
        <f>'Monthly Data'!AM16</f>
        <v>0</v>
      </c>
      <c r="J16" s="30">
        <f>'Monthly Data'!AN16</f>
        <v>0</v>
      </c>
      <c r="K16" s="30">
        <f>'Monthly Data'!AO16</f>
        <v>0</v>
      </c>
      <c r="L16" s="30">
        <f>'Monthly Data'!AP16</f>
        <v>0</v>
      </c>
      <c r="M16" s="30">
        <f>'Monthly Data'!AQ16</f>
        <v>0</v>
      </c>
      <c r="N16" s="30"/>
      <c r="O16" s="23">
        <f>'GS &gt; 50 OLS Model'!$B$5</f>
        <v>-17059648.826166701</v>
      </c>
      <c r="P16" s="23">
        <f>'GS &gt; 50 OLS Model'!$B$6*D16</f>
        <v>3480874.1754554622</v>
      </c>
      <c r="Q16" s="23">
        <f>'GS &gt; 50 OLS Model'!$B$7*E16</f>
        <v>0</v>
      </c>
      <c r="R16" s="23">
        <f>'GS &gt; 50 OLS Model'!$B$8*F16</f>
        <v>34350686.821809739</v>
      </c>
      <c r="S16" s="23">
        <f>'GS &gt; 50 OLS Model'!$B$9*G16</f>
        <v>-369243.70153752901</v>
      </c>
      <c r="T16" s="23">
        <f>'GS &gt; 50 OLS Model'!$B$10*H16</f>
        <v>3097755.5401003449</v>
      </c>
      <c r="U16" s="23">
        <f>'GS &gt; 50 OLS Model'!$B$11*I16</f>
        <v>0</v>
      </c>
      <c r="V16" s="23">
        <f>'GS &gt; 50 OLS Model'!$B$12*J16</f>
        <v>0</v>
      </c>
      <c r="W16" s="23">
        <f>'GS &gt; 50 OLS Model'!$B$13*K16</f>
        <v>0</v>
      </c>
      <c r="X16" s="23">
        <f>'GS &gt; 50 OLS Model'!$B$14*L16</f>
        <v>0</v>
      </c>
      <c r="Y16" s="23">
        <f>'GS &gt; 50 OLS Model'!$B$15*M16</f>
        <v>0</v>
      </c>
      <c r="Z16" s="23">
        <f t="shared" si="2"/>
        <v>23500424.009661317</v>
      </c>
      <c r="AA16" s="13">
        <f t="shared" si="3"/>
        <v>4.4431083102588059E-3</v>
      </c>
    </row>
    <row r="17" spans="1:27">
      <c r="A17" s="11">
        <f>'Monthly Data'!A17</f>
        <v>40269</v>
      </c>
      <c r="B17" s="6">
        <f t="shared" si="1"/>
        <v>2010</v>
      </c>
      <c r="C17" s="30">
        <f>'Monthly Data'!N17</f>
        <v>20779762.156024866</v>
      </c>
      <c r="D17" s="30">
        <f>'Monthly Data'!U17</f>
        <v>243.49999999999989</v>
      </c>
      <c r="E17" s="30">
        <f>'Monthly Data'!V17</f>
        <v>1.3</v>
      </c>
      <c r="F17" s="30">
        <f>'Monthly Data'!Y17</f>
        <v>6401.7</v>
      </c>
      <c r="G17" s="30">
        <f>'Monthly Data'!AA17</f>
        <v>16</v>
      </c>
      <c r="H17" s="30">
        <f>'Monthly Data'!AF17</f>
        <v>353</v>
      </c>
      <c r="I17" s="30">
        <f>'Monthly Data'!AM17</f>
        <v>0</v>
      </c>
      <c r="J17" s="30">
        <f>'Monthly Data'!AN17</f>
        <v>0</v>
      </c>
      <c r="K17" s="30">
        <f>'Monthly Data'!AO17</f>
        <v>1</v>
      </c>
      <c r="L17" s="30">
        <f>'Monthly Data'!AP17</f>
        <v>0</v>
      </c>
      <c r="M17" s="30">
        <f>'Monthly Data'!AQ17</f>
        <v>0</v>
      </c>
      <c r="N17" s="30"/>
      <c r="O17" s="23">
        <f>'GS &gt; 50 OLS Model'!$B$5</f>
        <v>-17059648.826166701</v>
      </c>
      <c r="P17" s="23">
        <f>'GS &gt; 50 OLS Model'!$B$6*D17</f>
        <v>1875620.4065576561</v>
      </c>
      <c r="Q17" s="23">
        <f>'GS &gt; 50 OLS Model'!$B$7*E17</f>
        <v>42441.101281702635</v>
      </c>
      <c r="R17" s="23">
        <f>'GS &gt; 50 OLS Model'!$B$8*F17</f>
        <v>34482655.683870569</v>
      </c>
      <c r="S17" s="23">
        <f>'GS &gt; 50 OLS Model'!$B$9*G17</f>
        <v>-393859.9483066976</v>
      </c>
      <c r="T17" s="23">
        <f>'GS &gt; 50 OLS Model'!$B$10*H17</f>
        <v>3106555.9819756299</v>
      </c>
      <c r="U17" s="23">
        <f>'GS &gt; 50 OLS Model'!$B$11*I17</f>
        <v>0</v>
      </c>
      <c r="V17" s="23">
        <f>'GS &gt; 50 OLS Model'!$B$12*J17</f>
        <v>0</v>
      </c>
      <c r="W17" s="23">
        <f>'GS &gt; 50 OLS Model'!$B$13*K17</f>
        <v>-1589866.56724812</v>
      </c>
      <c r="X17" s="23">
        <f>'GS &gt; 50 OLS Model'!$B$14*L17</f>
        <v>0</v>
      </c>
      <c r="Y17" s="23">
        <f>'GS &gt; 50 OLS Model'!$B$15*M17</f>
        <v>0</v>
      </c>
      <c r="Z17" s="23">
        <f t="shared" si="2"/>
        <v>20463897.831964038</v>
      </c>
      <c r="AA17" s="13">
        <f t="shared" si="3"/>
        <v>1.5200574563325599E-2</v>
      </c>
    </row>
    <row r="18" spans="1:27">
      <c r="A18" s="11">
        <f>'Monthly Data'!A18</f>
        <v>40299</v>
      </c>
      <c r="B18" s="6">
        <f t="shared" si="1"/>
        <v>2010</v>
      </c>
      <c r="C18" s="30">
        <f>'Monthly Data'!N18</f>
        <v>21178562.235319879</v>
      </c>
      <c r="D18" s="30">
        <f>'Monthly Data'!U18</f>
        <v>110.2</v>
      </c>
      <c r="E18" s="30">
        <f>'Monthly Data'!V18</f>
        <v>26.100000000000005</v>
      </c>
      <c r="F18" s="30">
        <f>'Monthly Data'!Y18</f>
        <v>6468.9</v>
      </c>
      <c r="G18" s="30">
        <f>'Monthly Data'!AA18</f>
        <v>17</v>
      </c>
      <c r="H18" s="30">
        <f>'Monthly Data'!AF18</f>
        <v>350</v>
      </c>
      <c r="I18" s="30">
        <f>'Monthly Data'!AM18</f>
        <v>0</v>
      </c>
      <c r="J18" s="30">
        <f>'Monthly Data'!AN18</f>
        <v>0</v>
      </c>
      <c r="K18" s="30">
        <f>'Monthly Data'!AO18</f>
        <v>0</v>
      </c>
      <c r="L18" s="30">
        <f>'Monthly Data'!AP18</f>
        <v>0</v>
      </c>
      <c r="M18" s="30">
        <f>'Monthly Data'!AQ18</f>
        <v>1</v>
      </c>
      <c r="N18" s="30"/>
      <c r="O18" s="23">
        <f>'GS &gt; 50 OLS Model'!$B$5</f>
        <v>-17059648.826166701</v>
      </c>
      <c r="P18" s="23">
        <f>'GS &gt; 50 OLS Model'!$B$6*D18</f>
        <v>848843.40370699717</v>
      </c>
      <c r="Q18" s="23">
        <f>'GS &gt; 50 OLS Model'!$B$7*E18</f>
        <v>852086.72573264525</v>
      </c>
      <c r="R18" s="23">
        <f>'GS &gt; 50 OLS Model'!$B$8*F18</f>
        <v>34844627.419808857</v>
      </c>
      <c r="S18" s="23">
        <f>'GS &gt; 50 OLS Model'!$B$9*G18</f>
        <v>-418476.19507586618</v>
      </c>
      <c r="T18" s="23">
        <f>'GS &gt; 50 OLS Model'!$B$10*H18</f>
        <v>3080154.6563497749</v>
      </c>
      <c r="U18" s="23">
        <f>'GS &gt; 50 OLS Model'!$B$11*I18</f>
        <v>0</v>
      </c>
      <c r="V18" s="23">
        <f>'GS &gt; 50 OLS Model'!$B$12*J18</f>
        <v>0</v>
      </c>
      <c r="W18" s="23">
        <f>'GS &gt; 50 OLS Model'!$B$13*K18</f>
        <v>0</v>
      </c>
      <c r="X18" s="23">
        <f>'GS &gt; 50 OLS Model'!$B$14*L18</f>
        <v>0</v>
      </c>
      <c r="Y18" s="23">
        <f>'GS &gt; 50 OLS Model'!$B$15*M18</f>
        <v>-1207404.17093835</v>
      </c>
      <c r="Z18" s="23">
        <f t="shared" si="2"/>
        <v>20940183.013417356</v>
      </c>
      <c r="AA18" s="13">
        <f t="shared" si="3"/>
        <v>1.1255684840823319E-2</v>
      </c>
    </row>
    <row r="19" spans="1:27">
      <c r="A19" s="11">
        <f>'Monthly Data'!A19</f>
        <v>40330</v>
      </c>
      <c r="B19" s="6">
        <f t="shared" si="1"/>
        <v>2010</v>
      </c>
      <c r="C19" s="30">
        <f>'Monthly Data'!N19</f>
        <v>21323669.044414893</v>
      </c>
      <c r="D19" s="30">
        <f>'Monthly Data'!U19</f>
        <v>38.300000000000004</v>
      </c>
      <c r="E19" s="30">
        <f>'Monthly Data'!V19</f>
        <v>33.700000000000003</v>
      </c>
      <c r="F19" s="30">
        <f>'Monthly Data'!Y19</f>
        <v>6578.9</v>
      </c>
      <c r="G19" s="30">
        <f>'Monthly Data'!AA19</f>
        <v>18</v>
      </c>
      <c r="H19" s="30">
        <f>'Monthly Data'!AF19</f>
        <v>350</v>
      </c>
      <c r="I19" s="30">
        <f>'Monthly Data'!AM19</f>
        <v>0</v>
      </c>
      <c r="J19" s="30">
        <f>'Monthly Data'!AN19</f>
        <v>0</v>
      </c>
      <c r="K19" s="30">
        <f>'Monthly Data'!AO19</f>
        <v>0</v>
      </c>
      <c r="L19" s="30">
        <f>'Monthly Data'!AP19</f>
        <v>0</v>
      </c>
      <c r="M19" s="30">
        <f>'Monthly Data'!AQ19</f>
        <v>1</v>
      </c>
      <c r="N19" s="30"/>
      <c r="O19" s="23">
        <f>'GS &gt; 50 OLS Model'!$B$5</f>
        <v>-17059648.826166701</v>
      </c>
      <c r="P19" s="23">
        <f>'GS &gt; 50 OLS Model'!$B$6*D19</f>
        <v>295015.44793083478</v>
      </c>
      <c r="Q19" s="23">
        <f>'GS &gt; 50 OLS Model'!$B$7*E19</f>
        <v>1100203.933225676</v>
      </c>
      <c r="R19" s="23">
        <f>'GS &gt; 50 OLS Model'!$B$8*F19</f>
        <v>35437140.67804116</v>
      </c>
      <c r="S19" s="23">
        <f>'GS &gt; 50 OLS Model'!$B$9*G19</f>
        <v>-443092.44184503477</v>
      </c>
      <c r="T19" s="23">
        <f>'GS &gt; 50 OLS Model'!$B$10*H19</f>
        <v>3080154.6563497749</v>
      </c>
      <c r="U19" s="23">
        <f>'GS &gt; 50 OLS Model'!$B$11*I19</f>
        <v>0</v>
      </c>
      <c r="V19" s="23">
        <f>'GS &gt; 50 OLS Model'!$B$12*J19</f>
        <v>0</v>
      </c>
      <c r="W19" s="23">
        <f>'GS &gt; 50 OLS Model'!$B$13*K19</f>
        <v>0</v>
      </c>
      <c r="X19" s="23">
        <f>'GS &gt; 50 OLS Model'!$B$14*L19</f>
        <v>0</v>
      </c>
      <c r="Y19" s="23">
        <f>'GS &gt; 50 OLS Model'!$B$15*M19</f>
        <v>-1207404.17093835</v>
      </c>
      <c r="Z19" s="23">
        <f t="shared" si="2"/>
        <v>21202369.276597362</v>
      </c>
      <c r="AA19" s="13">
        <f t="shared" si="3"/>
        <v>5.6885035856107363E-3</v>
      </c>
    </row>
    <row r="20" spans="1:27">
      <c r="A20" s="11">
        <f>'Monthly Data'!A20</f>
        <v>40360</v>
      </c>
      <c r="B20" s="6">
        <f t="shared" si="1"/>
        <v>2010</v>
      </c>
      <c r="C20" s="30">
        <f>'Monthly Data'!N20</f>
        <v>24293426.46420991</v>
      </c>
      <c r="D20" s="30">
        <f>'Monthly Data'!U20</f>
        <v>3.4000000000000004</v>
      </c>
      <c r="E20" s="30">
        <f>'Monthly Data'!V20</f>
        <v>139.79999999999995</v>
      </c>
      <c r="F20" s="30">
        <f>'Monthly Data'!Y20</f>
        <v>6640.9</v>
      </c>
      <c r="G20" s="30">
        <f>'Monthly Data'!AA20</f>
        <v>19</v>
      </c>
      <c r="H20" s="30">
        <f>'Monthly Data'!AF20</f>
        <v>351</v>
      </c>
      <c r="I20" s="30">
        <f>'Monthly Data'!AM20</f>
        <v>0</v>
      </c>
      <c r="J20" s="30">
        <f>'Monthly Data'!AN20</f>
        <v>0</v>
      </c>
      <c r="K20" s="30">
        <f>'Monthly Data'!AO20</f>
        <v>0</v>
      </c>
      <c r="L20" s="30">
        <f>'Monthly Data'!AP20</f>
        <v>0</v>
      </c>
      <c r="M20" s="30">
        <f>'Monthly Data'!AQ20</f>
        <v>1</v>
      </c>
      <c r="N20" s="30"/>
      <c r="O20" s="23">
        <f>'GS &gt; 50 OLS Model'!$B$5</f>
        <v>-17059648.826166701</v>
      </c>
      <c r="P20" s="23">
        <f>'GS &gt; 50 OLS Model'!$B$6*D20</f>
        <v>26189.360912920059</v>
      </c>
      <c r="Q20" s="23">
        <f>'GS &gt; 50 OLS Model'!$B$7*E20</f>
        <v>4564050.7378323274</v>
      </c>
      <c r="R20" s="23">
        <f>'GS &gt; 50 OLS Model'!$B$8*F20</f>
        <v>35771102.696317554</v>
      </c>
      <c r="S20" s="23">
        <f>'GS &gt; 50 OLS Model'!$B$9*G20</f>
        <v>-467708.68861420342</v>
      </c>
      <c r="T20" s="23">
        <f>'GS &gt; 50 OLS Model'!$B$10*H20</f>
        <v>3088955.0982250599</v>
      </c>
      <c r="U20" s="23">
        <f>'GS &gt; 50 OLS Model'!$B$11*I20</f>
        <v>0</v>
      </c>
      <c r="V20" s="23">
        <f>'GS &gt; 50 OLS Model'!$B$12*J20</f>
        <v>0</v>
      </c>
      <c r="W20" s="23">
        <f>'GS &gt; 50 OLS Model'!$B$13*K20</f>
        <v>0</v>
      </c>
      <c r="X20" s="23">
        <f>'GS &gt; 50 OLS Model'!$B$14*L20</f>
        <v>0</v>
      </c>
      <c r="Y20" s="23">
        <f>'GS &gt; 50 OLS Model'!$B$15*M20</f>
        <v>-1207404.17093835</v>
      </c>
      <c r="Z20" s="23">
        <f t="shared" si="2"/>
        <v>24715536.207568604</v>
      </c>
      <c r="AA20" s="13">
        <f t="shared" si="3"/>
        <v>1.7375471672576272E-2</v>
      </c>
    </row>
    <row r="21" spans="1:27">
      <c r="A21" s="11">
        <f>'Monthly Data'!A21</f>
        <v>40391</v>
      </c>
      <c r="B21" s="6">
        <f t="shared" si="1"/>
        <v>2010</v>
      </c>
      <c r="C21" s="30">
        <f>'Monthly Data'!N21</f>
        <v>23473713.540204924</v>
      </c>
      <c r="D21" s="30">
        <f>'Monthly Data'!U21</f>
        <v>10.100000000000001</v>
      </c>
      <c r="E21" s="30">
        <f>'Monthly Data'!V21</f>
        <v>90.299999999999969</v>
      </c>
      <c r="F21" s="30">
        <f>'Monthly Data'!Y21</f>
        <v>6662.6</v>
      </c>
      <c r="G21" s="30">
        <f>'Monthly Data'!AA21</f>
        <v>20</v>
      </c>
      <c r="H21" s="30">
        <f>'Monthly Data'!AF21</f>
        <v>336</v>
      </c>
      <c r="I21" s="30">
        <f>'Monthly Data'!AM21</f>
        <v>0</v>
      </c>
      <c r="J21" s="30">
        <f>'Monthly Data'!AN21</f>
        <v>0</v>
      </c>
      <c r="K21" s="30">
        <f>'Monthly Data'!AO21</f>
        <v>0</v>
      </c>
      <c r="L21" s="30">
        <f>'Monthly Data'!AP21</f>
        <v>0</v>
      </c>
      <c r="M21" s="30">
        <f>'Monthly Data'!AQ21</f>
        <v>1</v>
      </c>
      <c r="N21" s="30"/>
      <c r="O21" s="23">
        <f>'GS &gt; 50 OLS Model'!$B$5</f>
        <v>-17059648.826166701</v>
      </c>
      <c r="P21" s="23">
        <f>'GS &gt; 50 OLS Model'!$B$6*D21</f>
        <v>77797.807417791948</v>
      </c>
      <c r="Q21" s="23">
        <f>'GS &gt; 50 OLS Model'!$B$7*E21</f>
        <v>2948024.1890290356</v>
      </c>
      <c r="R21" s="23">
        <f>'GS &gt; 50 OLS Model'!$B$8*F21</f>
        <v>35887989.402714297</v>
      </c>
      <c r="S21" s="23">
        <f>'GS &gt; 50 OLS Model'!$B$9*G21</f>
        <v>-492324.93538337201</v>
      </c>
      <c r="T21" s="23">
        <f>'GS &gt; 50 OLS Model'!$B$10*H21</f>
        <v>2956948.4700957839</v>
      </c>
      <c r="U21" s="23">
        <f>'GS &gt; 50 OLS Model'!$B$11*I21</f>
        <v>0</v>
      </c>
      <c r="V21" s="23">
        <f>'GS &gt; 50 OLS Model'!$B$12*J21</f>
        <v>0</v>
      </c>
      <c r="W21" s="23">
        <f>'GS &gt; 50 OLS Model'!$B$13*K21</f>
        <v>0</v>
      </c>
      <c r="X21" s="23">
        <f>'GS &gt; 50 OLS Model'!$B$14*L21</f>
        <v>0</v>
      </c>
      <c r="Y21" s="23">
        <f>'GS &gt; 50 OLS Model'!$B$15*M21</f>
        <v>-1207404.17093835</v>
      </c>
      <c r="Z21" s="23">
        <f t="shared" si="2"/>
        <v>23111381.936768487</v>
      </c>
      <c r="AA21" s="13">
        <f t="shared" si="3"/>
        <v>1.5435631981102952E-2</v>
      </c>
    </row>
    <row r="22" spans="1:27">
      <c r="A22" s="11">
        <f>'Monthly Data'!A22</f>
        <v>40422</v>
      </c>
      <c r="B22" s="6">
        <f t="shared" si="1"/>
        <v>2010</v>
      </c>
      <c r="C22" s="30">
        <f>'Monthly Data'!N22</f>
        <v>20762206.116099935</v>
      </c>
      <c r="D22" s="30">
        <f>'Monthly Data'!U22</f>
        <v>99.40000000000002</v>
      </c>
      <c r="E22" s="30">
        <f>'Monthly Data'!V22</f>
        <v>29.400000000000002</v>
      </c>
      <c r="F22" s="30">
        <f>'Monthly Data'!Y22</f>
        <v>6611.2</v>
      </c>
      <c r="G22" s="30">
        <f>'Monthly Data'!AA22</f>
        <v>21</v>
      </c>
      <c r="H22" s="30">
        <f>'Monthly Data'!AF22</f>
        <v>339</v>
      </c>
      <c r="I22" s="30">
        <f>'Monthly Data'!AM22</f>
        <v>1</v>
      </c>
      <c r="J22" s="30">
        <f>'Monthly Data'!AN22</f>
        <v>0</v>
      </c>
      <c r="K22" s="30">
        <f>'Monthly Data'!AO22</f>
        <v>0</v>
      </c>
      <c r="L22" s="30">
        <f>'Monthly Data'!AP22</f>
        <v>0</v>
      </c>
      <c r="M22" s="30">
        <f>'Monthly Data'!AQ22</f>
        <v>0</v>
      </c>
      <c r="N22" s="30"/>
      <c r="O22" s="23">
        <f>'GS &gt; 50 OLS Model'!$B$5</f>
        <v>-17059648.826166701</v>
      </c>
      <c r="P22" s="23">
        <f>'GS &gt; 50 OLS Model'!$B$6*D22</f>
        <v>765653.66904242767</v>
      </c>
      <c r="Q22" s="23">
        <f>'GS &gt; 50 OLS Model'!$B$7*E22</f>
        <v>959821.82898619806</v>
      </c>
      <c r="R22" s="23">
        <f>'GS &gt; 50 OLS Model'!$B$8*F22</f>
        <v>35611124.116594829</v>
      </c>
      <c r="S22" s="23">
        <f>'GS &gt; 50 OLS Model'!$B$9*G22</f>
        <v>-516941.1821525406</v>
      </c>
      <c r="T22" s="23">
        <f>'GS &gt; 50 OLS Model'!$B$10*H22</f>
        <v>2983349.7957216389</v>
      </c>
      <c r="U22" s="23">
        <f>'GS &gt; 50 OLS Model'!$B$11*I22</f>
        <v>-1573400.2840208299</v>
      </c>
      <c r="V22" s="23">
        <f>'GS &gt; 50 OLS Model'!$B$12*J22</f>
        <v>0</v>
      </c>
      <c r="W22" s="23">
        <f>'GS &gt; 50 OLS Model'!$B$13*K22</f>
        <v>0</v>
      </c>
      <c r="X22" s="23">
        <f>'GS &gt; 50 OLS Model'!$B$14*L22</f>
        <v>0</v>
      </c>
      <c r="Y22" s="23">
        <f>'GS &gt; 50 OLS Model'!$B$15*M22</f>
        <v>0</v>
      </c>
      <c r="Z22" s="23">
        <f t="shared" si="2"/>
        <v>21169959.118005022</v>
      </c>
      <c r="AA22" s="13">
        <f t="shared" si="3"/>
        <v>1.9639194391240421E-2</v>
      </c>
    </row>
    <row r="23" spans="1:27">
      <c r="A23" s="11">
        <f>'Monthly Data'!A23</f>
        <v>40452</v>
      </c>
      <c r="B23" s="6">
        <f t="shared" si="1"/>
        <v>2010</v>
      </c>
      <c r="C23" s="30">
        <f>'Monthly Data'!N23</f>
        <v>21314314.684494946</v>
      </c>
      <c r="D23" s="30">
        <f>'Monthly Data'!U23</f>
        <v>284.69999999999993</v>
      </c>
      <c r="E23" s="30">
        <f>'Monthly Data'!V23</f>
        <v>0</v>
      </c>
      <c r="F23" s="30">
        <f>'Monthly Data'!Y23</f>
        <v>6587.1</v>
      </c>
      <c r="G23" s="30">
        <f>'Monthly Data'!AA23</f>
        <v>22</v>
      </c>
      <c r="H23" s="30">
        <f>'Monthly Data'!AF23</f>
        <v>340</v>
      </c>
      <c r="I23" s="30">
        <f>'Monthly Data'!AM23</f>
        <v>1</v>
      </c>
      <c r="J23" s="30">
        <f>'Monthly Data'!AN23</f>
        <v>0</v>
      </c>
      <c r="K23" s="30">
        <f>'Monthly Data'!AO23</f>
        <v>0</v>
      </c>
      <c r="L23" s="30">
        <f>'Monthly Data'!AP23</f>
        <v>0</v>
      </c>
      <c r="M23" s="30">
        <f>'Monthly Data'!AQ23</f>
        <v>0</v>
      </c>
      <c r="N23" s="30"/>
      <c r="O23" s="23">
        <f>'GS &gt; 50 OLS Model'!$B$5</f>
        <v>-17059648.826166701</v>
      </c>
      <c r="P23" s="23">
        <f>'GS &gt; 50 OLS Model'!$B$6*D23</f>
        <v>2192973.83879657</v>
      </c>
      <c r="Q23" s="23">
        <f>'GS &gt; 50 OLS Model'!$B$7*E23</f>
        <v>0</v>
      </c>
      <c r="R23" s="23">
        <f>'GS &gt; 50 OLS Model'!$B$8*F23</f>
        <v>35481309.848200299</v>
      </c>
      <c r="S23" s="23">
        <f>'GS &gt; 50 OLS Model'!$B$9*G23</f>
        <v>-541557.42892170919</v>
      </c>
      <c r="T23" s="23">
        <f>'GS &gt; 50 OLS Model'!$B$10*H23</f>
        <v>2992150.237596924</v>
      </c>
      <c r="U23" s="23">
        <f>'GS &gt; 50 OLS Model'!$B$11*I23</f>
        <v>-1573400.2840208299</v>
      </c>
      <c r="V23" s="23">
        <f>'GS &gt; 50 OLS Model'!$B$12*J23</f>
        <v>0</v>
      </c>
      <c r="W23" s="23">
        <f>'GS &gt; 50 OLS Model'!$B$13*K23</f>
        <v>0</v>
      </c>
      <c r="X23" s="23">
        <f>'GS &gt; 50 OLS Model'!$B$14*L23</f>
        <v>0</v>
      </c>
      <c r="Y23" s="23">
        <f>'GS &gt; 50 OLS Model'!$B$15*M23</f>
        <v>0</v>
      </c>
      <c r="Z23" s="23">
        <f t="shared" si="2"/>
        <v>21491827.385484554</v>
      </c>
      <c r="AA23" s="13">
        <f t="shared" si="3"/>
        <v>8.3283325604054711E-3</v>
      </c>
    </row>
    <row r="24" spans="1:27">
      <c r="A24" s="11">
        <f>'Monthly Data'!A24</f>
        <v>40483</v>
      </c>
      <c r="B24" s="6">
        <f t="shared" si="1"/>
        <v>2010</v>
      </c>
      <c r="C24" s="30">
        <f>'Monthly Data'!N24</f>
        <v>22646691.283989962</v>
      </c>
      <c r="D24" s="30">
        <f>'Monthly Data'!U24</f>
        <v>451.4</v>
      </c>
      <c r="E24" s="30">
        <f>'Monthly Data'!V24</f>
        <v>0</v>
      </c>
      <c r="F24" s="30">
        <f>'Monthly Data'!Y24</f>
        <v>6566.6</v>
      </c>
      <c r="G24" s="30">
        <f>'Monthly Data'!AA24</f>
        <v>23</v>
      </c>
      <c r="H24" s="30">
        <f>'Monthly Data'!AF24</f>
        <v>341</v>
      </c>
      <c r="I24" s="30">
        <f>'Monthly Data'!AM24</f>
        <v>1</v>
      </c>
      <c r="J24" s="30">
        <f>'Monthly Data'!AN24</f>
        <v>0</v>
      </c>
      <c r="K24" s="30">
        <f>'Monthly Data'!AO24</f>
        <v>0</v>
      </c>
      <c r="L24" s="30">
        <f>'Monthly Data'!AP24</f>
        <v>0</v>
      </c>
      <c r="M24" s="30">
        <f>'Monthly Data'!AQ24</f>
        <v>0</v>
      </c>
      <c r="N24" s="30"/>
      <c r="O24" s="23">
        <f>'GS &gt; 50 OLS Model'!$B$5</f>
        <v>-17059648.826166701</v>
      </c>
      <c r="P24" s="23">
        <f>'GS &gt; 50 OLS Model'!$B$6*D24</f>
        <v>3477022.7988506216</v>
      </c>
      <c r="Q24" s="23">
        <f>'GS &gt; 50 OLS Model'!$B$7*E24</f>
        <v>0</v>
      </c>
      <c r="R24" s="23">
        <f>'GS &gt; 50 OLS Model'!$B$8*F24</f>
        <v>35370886.922802463</v>
      </c>
      <c r="S24" s="23">
        <f>'GS &gt; 50 OLS Model'!$B$9*G24</f>
        <v>-566173.67569087783</v>
      </c>
      <c r="T24" s="23">
        <f>'GS &gt; 50 OLS Model'!$B$10*H24</f>
        <v>3000950.679472209</v>
      </c>
      <c r="U24" s="23">
        <f>'GS &gt; 50 OLS Model'!$B$11*I24</f>
        <v>-1573400.2840208299</v>
      </c>
      <c r="V24" s="23">
        <f>'GS &gt; 50 OLS Model'!$B$12*J24</f>
        <v>0</v>
      </c>
      <c r="W24" s="23">
        <f>'GS &gt; 50 OLS Model'!$B$13*K24</f>
        <v>0</v>
      </c>
      <c r="X24" s="23">
        <f>'GS &gt; 50 OLS Model'!$B$14*L24</f>
        <v>0</v>
      </c>
      <c r="Y24" s="23">
        <f>'GS &gt; 50 OLS Model'!$B$15*M24</f>
        <v>0</v>
      </c>
      <c r="Z24" s="23">
        <f t="shared" si="2"/>
        <v>22649637.615246885</v>
      </c>
      <c r="AA24" s="13">
        <f t="shared" si="3"/>
        <v>1.3009985520512826E-4</v>
      </c>
    </row>
    <row r="25" spans="1:27">
      <c r="A25" s="11">
        <f>'Monthly Data'!A25</f>
        <v>40513</v>
      </c>
      <c r="B25" s="6">
        <f t="shared" si="1"/>
        <v>2010</v>
      </c>
      <c r="C25" s="30">
        <f>'Monthly Data'!N25</f>
        <v>25374125.159584977</v>
      </c>
      <c r="D25" s="30">
        <f>'Monthly Data'!U25</f>
        <v>713.49999999999989</v>
      </c>
      <c r="E25" s="30">
        <f>'Monthly Data'!V25</f>
        <v>0</v>
      </c>
      <c r="F25" s="30">
        <f>'Monthly Data'!Y25</f>
        <v>6584.1</v>
      </c>
      <c r="G25" s="30">
        <f>'Monthly Data'!AA25</f>
        <v>24</v>
      </c>
      <c r="H25" s="30">
        <f>'Monthly Data'!AF25</f>
        <v>341</v>
      </c>
      <c r="I25" s="30">
        <f>'Monthly Data'!AM25</f>
        <v>0</v>
      </c>
      <c r="J25" s="30">
        <f>'Monthly Data'!AN25</f>
        <v>0</v>
      </c>
      <c r="K25" s="30">
        <f>'Monthly Data'!AO25</f>
        <v>0</v>
      </c>
      <c r="L25" s="30">
        <f>'Monthly Data'!AP25</f>
        <v>1</v>
      </c>
      <c r="M25" s="30">
        <f>'Monthly Data'!AQ25</f>
        <v>0</v>
      </c>
      <c r="N25" s="30"/>
      <c r="O25" s="23">
        <f>'GS &gt; 50 OLS Model'!$B$5</f>
        <v>-17059648.826166701</v>
      </c>
      <c r="P25" s="23">
        <f>'GS &gt; 50 OLS Model'!$B$6*D25</f>
        <v>5495914.4151083697</v>
      </c>
      <c r="Q25" s="23">
        <f>'GS &gt; 50 OLS Model'!$B$7*E25</f>
        <v>0</v>
      </c>
      <c r="R25" s="23">
        <f>'GS &gt; 50 OLS Model'!$B$8*F25</f>
        <v>35465150.395703055</v>
      </c>
      <c r="S25" s="23">
        <f>'GS &gt; 50 OLS Model'!$B$9*G25</f>
        <v>-590789.92246004636</v>
      </c>
      <c r="T25" s="23">
        <f>'GS &gt; 50 OLS Model'!$B$10*H25</f>
        <v>3000950.679472209</v>
      </c>
      <c r="U25" s="23">
        <f>'GS &gt; 50 OLS Model'!$B$11*I25</f>
        <v>0</v>
      </c>
      <c r="V25" s="23">
        <f>'GS &gt; 50 OLS Model'!$B$12*J25</f>
        <v>0</v>
      </c>
      <c r="W25" s="23">
        <f>'GS &gt; 50 OLS Model'!$B$13*K25</f>
        <v>0</v>
      </c>
      <c r="X25" s="23">
        <f>'GS &gt; 50 OLS Model'!$B$14*L25</f>
        <v>-1083532.53757107</v>
      </c>
      <c r="Y25" s="23">
        <f>'GS &gt; 50 OLS Model'!$B$15*M25</f>
        <v>0</v>
      </c>
      <c r="Z25" s="23">
        <f t="shared" si="2"/>
        <v>25228044.204085819</v>
      </c>
      <c r="AA25" s="13">
        <f t="shared" si="3"/>
        <v>5.7570834296912024E-3</v>
      </c>
    </row>
    <row r="26" spans="1:27">
      <c r="A26" s="11">
        <f>'Monthly Data'!A26</f>
        <v>40544</v>
      </c>
      <c r="B26" s="6">
        <f t="shared" si="1"/>
        <v>2011</v>
      </c>
      <c r="C26" s="30">
        <f>'Monthly Data'!N26</f>
        <v>26819955.496768035</v>
      </c>
      <c r="D26" s="30">
        <f>'Monthly Data'!U26</f>
        <v>853.19999999999982</v>
      </c>
      <c r="E26" s="30">
        <f>'Monthly Data'!V26</f>
        <v>0</v>
      </c>
      <c r="F26" s="30">
        <f>'Monthly Data'!Y26</f>
        <v>6571.2</v>
      </c>
      <c r="G26" s="30">
        <f>'Monthly Data'!AA26</f>
        <v>25</v>
      </c>
      <c r="H26" s="30">
        <f>'Monthly Data'!AF26</f>
        <v>341</v>
      </c>
      <c r="I26" s="30">
        <f>'Monthly Data'!AM26</f>
        <v>0</v>
      </c>
      <c r="J26" s="30">
        <f>'Monthly Data'!AN26</f>
        <v>0</v>
      </c>
      <c r="K26" s="30">
        <f>'Monthly Data'!AO26</f>
        <v>0</v>
      </c>
      <c r="L26" s="30">
        <f>'Monthly Data'!AP26</f>
        <v>0</v>
      </c>
      <c r="M26" s="30">
        <f>'Monthly Data'!AQ26</f>
        <v>0</v>
      </c>
      <c r="N26" s="30"/>
      <c r="O26" s="23">
        <f>'GS &gt; 50 OLS Model'!$B$5</f>
        <v>-17059648.826166701</v>
      </c>
      <c r="P26" s="23">
        <f>'GS &gt; 50 OLS Model'!$B$6*D26</f>
        <v>6571989.0385009963</v>
      </c>
      <c r="Q26" s="23">
        <f>'GS &gt; 50 OLS Model'!$B$7*E26</f>
        <v>0</v>
      </c>
      <c r="R26" s="23">
        <f>'GS &gt; 50 OLS Model'!$B$8*F26</f>
        <v>35395664.7499649</v>
      </c>
      <c r="S26" s="23">
        <f>'GS &gt; 50 OLS Model'!$B$9*G26</f>
        <v>-615406.16922921501</v>
      </c>
      <c r="T26" s="23">
        <f>'GS &gt; 50 OLS Model'!$B$10*H26</f>
        <v>3000950.679472209</v>
      </c>
      <c r="U26" s="23">
        <f>'GS &gt; 50 OLS Model'!$B$11*I26</f>
        <v>0</v>
      </c>
      <c r="V26" s="23">
        <f>'GS &gt; 50 OLS Model'!$B$12*J26</f>
        <v>0</v>
      </c>
      <c r="W26" s="23">
        <f>'GS &gt; 50 OLS Model'!$B$13*K26</f>
        <v>0</v>
      </c>
      <c r="X26" s="23">
        <f>'GS &gt; 50 OLS Model'!$B$14*L26</f>
        <v>0</v>
      </c>
      <c r="Y26" s="23">
        <f>'GS &gt; 50 OLS Model'!$B$15*M26</f>
        <v>0</v>
      </c>
      <c r="Z26" s="23">
        <f t="shared" si="2"/>
        <v>27293549.472542189</v>
      </c>
      <c r="AA26" s="13">
        <f t="shared" si="3"/>
        <v>1.7658268516934153E-2</v>
      </c>
    </row>
    <row r="27" spans="1:27">
      <c r="A27" s="11">
        <f>'Monthly Data'!A27</f>
        <v>40575</v>
      </c>
      <c r="B27" s="6">
        <f t="shared" si="1"/>
        <v>2011</v>
      </c>
      <c r="C27" s="30">
        <f>'Monthly Data'!N27</f>
        <v>24243560.417216163</v>
      </c>
      <c r="D27" s="30">
        <f>'Monthly Data'!U27</f>
        <v>700.39999999999986</v>
      </c>
      <c r="E27" s="30">
        <f>'Monthly Data'!V27</f>
        <v>0</v>
      </c>
      <c r="F27" s="30">
        <f>'Monthly Data'!Y27</f>
        <v>6548.1</v>
      </c>
      <c r="G27" s="30">
        <f>'Monthly Data'!AA27</f>
        <v>26</v>
      </c>
      <c r="H27" s="30">
        <f>'Monthly Data'!AF27</f>
        <v>341</v>
      </c>
      <c r="I27" s="30">
        <f>'Monthly Data'!AM27</f>
        <v>0</v>
      </c>
      <c r="J27" s="30">
        <f>'Monthly Data'!AN27</f>
        <v>1</v>
      </c>
      <c r="K27" s="30">
        <f>'Monthly Data'!AO27</f>
        <v>0</v>
      </c>
      <c r="L27" s="30">
        <f>'Monthly Data'!AP27</f>
        <v>0</v>
      </c>
      <c r="M27" s="30">
        <f>'Monthly Data'!AQ27</f>
        <v>0</v>
      </c>
      <c r="N27" s="30"/>
      <c r="O27" s="23">
        <f>'GS &gt; 50 OLS Model'!$B$5</f>
        <v>-17059648.826166701</v>
      </c>
      <c r="P27" s="23">
        <f>'GS &gt; 50 OLS Model'!$B$6*D27</f>
        <v>5395008.3480615309</v>
      </c>
      <c r="Q27" s="23">
        <f>'GS &gt; 50 OLS Model'!$B$7*E27</f>
        <v>0</v>
      </c>
      <c r="R27" s="23">
        <f>'GS &gt; 50 OLS Model'!$B$8*F27</f>
        <v>35271236.965736121</v>
      </c>
      <c r="S27" s="23">
        <f>'GS &gt; 50 OLS Model'!$B$9*G27</f>
        <v>-640022.41599838354</v>
      </c>
      <c r="T27" s="23">
        <f>'GS &gt; 50 OLS Model'!$B$10*H27</f>
        <v>3000950.679472209</v>
      </c>
      <c r="U27" s="23">
        <f>'GS &gt; 50 OLS Model'!$B$11*I27</f>
        <v>0</v>
      </c>
      <c r="V27" s="23">
        <f>'GS &gt; 50 OLS Model'!$B$12*J27</f>
        <v>-1514604.0647521601</v>
      </c>
      <c r="W27" s="23">
        <f>'GS &gt; 50 OLS Model'!$B$13*K27</f>
        <v>0</v>
      </c>
      <c r="X27" s="23">
        <f>'GS &gt; 50 OLS Model'!$B$14*L27</f>
        <v>0</v>
      </c>
      <c r="Y27" s="23">
        <f>'GS &gt; 50 OLS Model'!$B$15*M27</f>
        <v>0</v>
      </c>
      <c r="Z27" s="23">
        <f t="shared" si="2"/>
        <v>24452920.686352614</v>
      </c>
      <c r="AA27" s="13">
        <f t="shared" si="3"/>
        <v>8.6357063704132105E-3</v>
      </c>
    </row>
    <row r="28" spans="1:27">
      <c r="A28" s="11">
        <f>'Monthly Data'!A28</f>
        <v>40603</v>
      </c>
      <c r="B28" s="6">
        <f t="shared" si="1"/>
        <v>2011</v>
      </c>
      <c r="C28" s="30">
        <f>'Monthly Data'!N28</f>
        <v>24885464.581564292</v>
      </c>
      <c r="D28" s="30">
        <f>'Monthly Data'!U28</f>
        <v>595.70000000000016</v>
      </c>
      <c r="E28" s="30">
        <f>'Monthly Data'!V28</f>
        <v>0</v>
      </c>
      <c r="F28" s="30">
        <f>'Monthly Data'!Y28</f>
        <v>6523.7</v>
      </c>
      <c r="G28" s="30">
        <f>'Monthly Data'!AA28</f>
        <v>27</v>
      </c>
      <c r="H28" s="30">
        <f>'Monthly Data'!AF28</f>
        <v>342</v>
      </c>
      <c r="I28" s="30">
        <f>'Monthly Data'!AM28</f>
        <v>0</v>
      </c>
      <c r="J28" s="30">
        <f>'Monthly Data'!AN28</f>
        <v>0</v>
      </c>
      <c r="K28" s="30">
        <f>'Monthly Data'!AO28</f>
        <v>0</v>
      </c>
      <c r="L28" s="30">
        <f>'Monthly Data'!AP28</f>
        <v>0</v>
      </c>
      <c r="M28" s="30">
        <f>'Monthly Data'!AQ28</f>
        <v>0</v>
      </c>
      <c r="N28" s="30"/>
      <c r="O28" s="23">
        <f>'GS &gt; 50 OLS Model'!$B$5</f>
        <v>-17059648.826166701</v>
      </c>
      <c r="P28" s="23">
        <f>'GS &gt; 50 OLS Model'!$B$6*D28</f>
        <v>4588530.0870077889</v>
      </c>
      <c r="Q28" s="23">
        <f>'GS &gt; 50 OLS Model'!$B$7*E28</f>
        <v>0</v>
      </c>
      <c r="R28" s="23">
        <f>'GS &gt; 50 OLS Model'!$B$8*F28</f>
        <v>35139806.752091862</v>
      </c>
      <c r="S28" s="23">
        <f>'GS &gt; 50 OLS Model'!$B$9*G28</f>
        <v>-664638.66276755219</v>
      </c>
      <c r="T28" s="23">
        <f>'GS &gt; 50 OLS Model'!$B$10*H28</f>
        <v>3009751.121347494</v>
      </c>
      <c r="U28" s="23">
        <f>'GS &gt; 50 OLS Model'!$B$11*I28</f>
        <v>0</v>
      </c>
      <c r="V28" s="23">
        <f>'GS &gt; 50 OLS Model'!$B$12*J28</f>
        <v>0</v>
      </c>
      <c r="W28" s="23">
        <f>'GS &gt; 50 OLS Model'!$B$13*K28</f>
        <v>0</v>
      </c>
      <c r="X28" s="23">
        <f>'GS &gt; 50 OLS Model'!$B$14*L28</f>
        <v>0</v>
      </c>
      <c r="Y28" s="23">
        <f>'GS &gt; 50 OLS Model'!$B$15*M28</f>
        <v>0</v>
      </c>
      <c r="Z28" s="23">
        <f t="shared" si="2"/>
        <v>25013800.471512891</v>
      </c>
      <c r="AA28" s="13">
        <f t="shared" si="3"/>
        <v>5.1570622492486291E-3</v>
      </c>
    </row>
    <row r="29" spans="1:27">
      <c r="A29" s="11">
        <f>'Monthly Data'!A29</f>
        <v>40634</v>
      </c>
      <c r="B29" s="6">
        <f t="shared" si="1"/>
        <v>2011</v>
      </c>
      <c r="C29" s="30">
        <f>'Monthly Data'!N29</f>
        <v>21554917.346312415</v>
      </c>
      <c r="D29" s="30">
        <f>'Monthly Data'!U29</f>
        <v>350.99999999999989</v>
      </c>
      <c r="E29" s="30">
        <f>'Monthly Data'!V29</f>
        <v>0</v>
      </c>
      <c r="F29" s="30">
        <f>'Monthly Data'!Y29</f>
        <v>6550</v>
      </c>
      <c r="G29" s="30">
        <f>'Monthly Data'!AA29</f>
        <v>28</v>
      </c>
      <c r="H29" s="30">
        <f>'Monthly Data'!AF29</f>
        <v>343</v>
      </c>
      <c r="I29" s="30">
        <f>'Monthly Data'!AM29</f>
        <v>0</v>
      </c>
      <c r="J29" s="30">
        <f>'Monthly Data'!AN29</f>
        <v>0</v>
      </c>
      <c r="K29" s="30">
        <f>'Monthly Data'!AO29</f>
        <v>1</v>
      </c>
      <c r="L29" s="30">
        <f>'Monthly Data'!AP29</f>
        <v>0</v>
      </c>
      <c r="M29" s="30">
        <f>'Monthly Data'!AQ29</f>
        <v>0</v>
      </c>
      <c r="N29" s="30"/>
      <c r="O29" s="23">
        <f>'GS &gt; 50 OLS Model'!$B$5</f>
        <v>-17059648.826166701</v>
      </c>
      <c r="P29" s="23">
        <f>'GS &gt; 50 OLS Model'!$B$6*D29</f>
        <v>2703666.3765985109</v>
      </c>
      <c r="Q29" s="23">
        <f>'GS &gt; 50 OLS Model'!$B$7*E29</f>
        <v>0</v>
      </c>
      <c r="R29" s="23">
        <f>'GS &gt; 50 OLS Model'!$B$8*F29</f>
        <v>35281471.285651036</v>
      </c>
      <c r="S29" s="23">
        <f>'GS &gt; 50 OLS Model'!$B$9*G29</f>
        <v>-689254.90953672084</v>
      </c>
      <c r="T29" s="23">
        <f>'GS &gt; 50 OLS Model'!$B$10*H29</f>
        <v>3018551.5632227794</v>
      </c>
      <c r="U29" s="23">
        <f>'GS &gt; 50 OLS Model'!$B$11*I29</f>
        <v>0</v>
      </c>
      <c r="V29" s="23">
        <f>'GS &gt; 50 OLS Model'!$B$12*J29</f>
        <v>0</v>
      </c>
      <c r="W29" s="23">
        <f>'GS &gt; 50 OLS Model'!$B$13*K29</f>
        <v>-1589866.56724812</v>
      </c>
      <c r="X29" s="23">
        <f>'GS &gt; 50 OLS Model'!$B$14*L29</f>
        <v>0</v>
      </c>
      <c r="Y29" s="23">
        <f>'GS &gt; 50 OLS Model'!$B$15*M29</f>
        <v>0</v>
      </c>
      <c r="Z29" s="23">
        <f t="shared" si="2"/>
        <v>21664918.922520787</v>
      </c>
      <c r="AA29" s="13">
        <f t="shared" si="3"/>
        <v>5.1033170037736468E-3</v>
      </c>
    </row>
    <row r="30" spans="1:27">
      <c r="A30" s="11">
        <f>'Monthly Data'!A30</f>
        <v>40664</v>
      </c>
      <c r="B30" s="6">
        <f t="shared" si="1"/>
        <v>2011</v>
      </c>
      <c r="C30" s="30">
        <f>'Monthly Data'!N30</f>
        <v>21110104.172260538</v>
      </c>
      <c r="D30" s="30">
        <f>'Monthly Data'!U30</f>
        <v>150</v>
      </c>
      <c r="E30" s="30">
        <f>'Monthly Data'!V30</f>
        <v>1.2999999999999998</v>
      </c>
      <c r="F30" s="30">
        <f>'Monthly Data'!Y30</f>
        <v>6612</v>
      </c>
      <c r="G30" s="30">
        <f>'Monthly Data'!AA30</f>
        <v>29</v>
      </c>
      <c r="H30" s="30">
        <f>'Monthly Data'!AF30</f>
        <v>339</v>
      </c>
      <c r="I30" s="30">
        <f>'Monthly Data'!AM30</f>
        <v>0</v>
      </c>
      <c r="J30" s="30">
        <f>'Monthly Data'!AN30</f>
        <v>0</v>
      </c>
      <c r="K30" s="30">
        <f>'Monthly Data'!AO30</f>
        <v>0</v>
      </c>
      <c r="L30" s="30">
        <f>'Monthly Data'!AP30</f>
        <v>0</v>
      </c>
      <c r="M30" s="30">
        <f>'Monthly Data'!AQ30</f>
        <v>1</v>
      </c>
      <c r="N30" s="30"/>
      <c r="O30" s="23">
        <f>'GS &gt; 50 OLS Model'!$B$5</f>
        <v>-17059648.826166701</v>
      </c>
      <c r="P30" s="23">
        <f>'GS &gt; 50 OLS Model'!$B$6*D30</f>
        <v>1155412.9814523554</v>
      </c>
      <c r="Q30" s="23">
        <f>'GS &gt; 50 OLS Model'!$B$7*E30</f>
        <v>42441.101281702628</v>
      </c>
      <c r="R30" s="23">
        <f>'GS &gt; 50 OLS Model'!$B$8*F30</f>
        <v>35615433.303927429</v>
      </c>
      <c r="S30" s="23">
        <f>'GS &gt; 50 OLS Model'!$B$9*G30</f>
        <v>-713871.15630588937</v>
      </c>
      <c r="T30" s="23">
        <f>'GS &gt; 50 OLS Model'!$B$10*H30</f>
        <v>2983349.7957216389</v>
      </c>
      <c r="U30" s="23">
        <f>'GS &gt; 50 OLS Model'!$B$11*I30</f>
        <v>0</v>
      </c>
      <c r="V30" s="23">
        <f>'GS &gt; 50 OLS Model'!$B$12*J30</f>
        <v>0</v>
      </c>
      <c r="W30" s="23">
        <f>'GS &gt; 50 OLS Model'!$B$13*K30</f>
        <v>0</v>
      </c>
      <c r="X30" s="23">
        <f>'GS &gt; 50 OLS Model'!$B$14*L30</f>
        <v>0</v>
      </c>
      <c r="Y30" s="23">
        <f>'GS &gt; 50 OLS Model'!$B$15*M30</f>
        <v>-1207404.17093835</v>
      </c>
      <c r="Z30" s="23">
        <f t="shared" si="2"/>
        <v>20815713.028972186</v>
      </c>
      <c r="AA30" s="13">
        <f t="shared" si="3"/>
        <v>1.394550878982362E-2</v>
      </c>
    </row>
    <row r="31" spans="1:27">
      <c r="A31" s="11">
        <f>'Monthly Data'!A31</f>
        <v>40695</v>
      </c>
      <c r="B31" s="6">
        <f t="shared" si="1"/>
        <v>2011</v>
      </c>
      <c r="C31" s="30">
        <f>'Monthly Data'!N31</f>
        <v>21224541.706708666</v>
      </c>
      <c r="D31" s="30">
        <f>'Monthly Data'!U31</f>
        <v>25.199999999999996</v>
      </c>
      <c r="E31" s="30">
        <f>'Monthly Data'!V31</f>
        <v>24.900000000000002</v>
      </c>
      <c r="F31" s="30">
        <f>'Monthly Data'!Y31</f>
        <v>6706.8</v>
      </c>
      <c r="G31" s="30">
        <f>'Monthly Data'!AA31</f>
        <v>30</v>
      </c>
      <c r="H31" s="30">
        <f>'Monthly Data'!AF31</f>
        <v>338</v>
      </c>
      <c r="I31" s="30">
        <f>'Monthly Data'!AM31</f>
        <v>0</v>
      </c>
      <c r="J31" s="30">
        <f>'Monthly Data'!AN31</f>
        <v>0</v>
      </c>
      <c r="K31" s="30">
        <f>'Monthly Data'!AO31</f>
        <v>0</v>
      </c>
      <c r="L31" s="30">
        <f>'Monthly Data'!AP31</f>
        <v>0</v>
      </c>
      <c r="M31" s="30">
        <f>'Monthly Data'!AQ31</f>
        <v>1</v>
      </c>
      <c r="N31" s="30"/>
      <c r="O31" s="23">
        <f>'GS &gt; 50 OLS Model'!$B$5</f>
        <v>-17059648.826166701</v>
      </c>
      <c r="P31" s="23">
        <f>'GS &gt; 50 OLS Model'!$B$6*D31</f>
        <v>194109.38088399568</v>
      </c>
      <c r="Q31" s="23">
        <f>'GS &gt; 50 OLS Model'!$B$7*E31</f>
        <v>812910.32454953506</v>
      </c>
      <c r="R31" s="23">
        <f>'GS &gt; 50 OLS Model'!$B$8*F31</f>
        <v>36126072.002840362</v>
      </c>
      <c r="S31" s="23">
        <f>'GS &gt; 50 OLS Model'!$B$9*G31</f>
        <v>-738487.40307505801</v>
      </c>
      <c r="T31" s="23">
        <f>'GS &gt; 50 OLS Model'!$B$10*H31</f>
        <v>2974549.3538463539</v>
      </c>
      <c r="U31" s="23">
        <f>'GS &gt; 50 OLS Model'!$B$11*I31</f>
        <v>0</v>
      </c>
      <c r="V31" s="23">
        <f>'GS &gt; 50 OLS Model'!$B$12*J31</f>
        <v>0</v>
      </c>
      <c r="W31" s="23">
        <f>'GS &gt; 50 OLS Model'!$B$13*K31</f>
        <v>0</v>
      </c>
      <c r="X31" s="23">
        <f>'GS &gt; 50 OLS Model'!$B$14*L31</f>
        <v>0</v>
      </c>
      <c r="Y31" s="23">
        <f>'GS &gt; 50 OLS Model'!$B$15*M31</f>
        <v>-1207404.17093835</v>
      </c>
      <c r="Z31" s="23">
        <f t="shared" si="2"/>
        <v>21102100.661940135</v>
      </c>
      <c r="AA31" s="13">
        <f t="shared" si="3"/>
        <v>5.7688428075612884E-3</v>
      </c>
    </row>
    <row r="32" spans="1:27">
      <c r="A32" s="11">
        <f>'Monthly Data'!A32</f>
        <v>40725</v>
      </c>
      <c r="B32" s="6">
        <f t="shared" si="1"/>
        <v>2011</v>
      </c>
      <c r="C32" s="30">
        <f>'Monthly Data'!N32</f>
        <v>23605421.411356788</v>
      </c>
      <c r="D32" s="30">
        <f>'Monthly Data'!U32</f>
        <v>0</v>
      </c>
      <c r="E32" s="30">
        <f>'Monthly Data'!V32</f>
        <v>118.30000000000003</v>
      </c>
      <c r="F32" s="30">
        <f>'Monthly Data'!Y32</f>
        <v>6755.3</v>
      </c>
      <c r="G32" s="30">
        <f>'Monthly Data'!AA32</f>
        <v>31</v>
      </c>
      <c r="H32" s="30">
        <f>'Monthly Data'!AF32</f>
        <v>339</v>
      </c>
      <c r="I32" s="30">
        <f>'Monthly Data'!AM32</f>
        <v>0</v>
      </c>
      <c r="J32" s="30">
        <f>'Monthly Data'!AN32</f>
        <v>0</v>
      </c>
      <c r="K32" s="30">
        <f>'Monthly Data'!AO32</f>
        <v>0</v>
      </c>
      <c r="L32" s="30">
        <f>'Monthly Data'!AP32</f>
        <v>0</v>
      </c>
      <c r="M32" s="30">
        <f>'Monthly Data'!AQ32</f>
        <v>1</v>
      </c>
      <c r="N32" s="30"/>
      <c r="O32" s="23">
        <f>'GS &gt; 50 OLS Model'!$B$5</f>
        <v>-17059648.826166701</v>
      </c>
      <c r="P32" s="23">
        <f>'GS &gt; 50 OLS Model'!$B$6*D32</f>
        <v>0</v>
      </c>
      <c r="Q32" s="23">
        <f>'GS &gt; 50 OLS Model'!$B$7*E32</f>
        <v>3862140.2166349404</v>
      </c>
      <c r="R32" s="23">
        <f>'GS &gt; 50 OLS Model'!$B$8*F32</f>
        <v>36387316.484879158</v>
      </c>
      <c r="S32" s="23">
        <f>'GS &gt; 50 OLS Model'!$B$9*G32</f>
        <v>-763103.64984422654</v>
      </c>
      <c r="T32" s="23">
        <f>'GS &gt; 50 OLS Model'!$B$10*H32</f>
        <v>2983349.7957216389</v>
      </c>
      <c r="U32" s="23">
        <f>'GS &gt; 50 OLS Model'!$B$11*I32</f>
        <v>0</v>
      </c>
      <c r="V32" s="23">
        <f>'GS &gt; 50 OLS Model'!$B$12*J32</f>
        <v>0</v>
      </c>
      <c r="W32" s="23">
        <f>'GS &gt; 50 OLS Model'!$B$13*K32</f>
        <v>0</v>
      </c>
      <c r="X32" s="23">
        <f>'GS &gt; 50 OLS Model'!$B$14*L32</f>
        <v>0</v>
      </c>
      <c r="Y32" s="23">
        <f>'GS &gt; 50 OLS Model'!$B$15*M32</f>
        <v>-1207404.17093835</v>
      </c>
      <c r="Z32" s="23">
        <f t="shared" si="2"/>
        <v>24202649.850286461</v>
      </c>
      <c r="AA32" s="13">
        <f t="shared" si="3"/>
        <v>2.5300477738657998E-2</v>
      </c>
    </row>
    <row r="33" spans="1:27">
      <c r="A33" s="11">
        <f>'Monthly Data'!A33</f>
        <v>40756</v>
      </c>
      <c r="B33" s="6">
        <f t="shared" si="1"/>
        <v>2011</v>
      </c>
      <c r="C33" s="30">
        <f>'Monthly Data'!N33</f>
        <v>22936909.924904913</v>
      </c>
      <c r="D33" s="30">
        <f>'Monthly Data'!U33</f>
        <v>7</v>
      </c>
      <c r="E33" s="30">
        <f>'Monthly Data'!V33</f>
        <v>68.2</v>
      </c>
      <c r="F33" s="30">
        <f>'Monthly Data'!Y33</f>
        <v>6778</v>
      </c>
      <c r="G33" s="30">
        <f>'Monthly Data'!AA33</f>
        <v>32</v>
      </c>
      <c r="H33" s="30">
        <f>'Monthly Data'!AF33</f>
        <v>341</v>
      </c>
      <c r="I33" s="30">
        <f>'Monthly Data'!AM33</f>
        <v>0</v>
      </c>
      <c r="J33" s="30">
        <f>'Monthly Data'!AN33</f>
        <v>0</v>
      </c>
      <c r="K33" s="30">
        <f>'Monthly Data'!AO33</f>
        <v>0</v>
      </c>
      <c r="L33" s="30">
        <f>'Monthly Data'!AP33</f>
        <v>0</v>
      </c>
      <c r="M33" s="30">
        <f>'Monthly Data'!AQ33</f>
        <v>1</v>
      </c>
      <c r="N33" s="30"/>
      <c r="O33" s="23">
        <f>'GS &gt; 50 OLS Model'!$B$5</f>
        <v>-17059648.826166701</v>
      </c>
      <c r="P33" s="23">
        <f>'GS &gt; 50 OLS Model'!$B$6*D33</f>
        <v>53919.272467776587</v>
      </c>
      <c r="Q33" s="23">
        <f>'GS &gt; 50 OLS Model'!$B$7*E33</f>
        <v>2226525.4672400919</v>
      </c>
      <c r="R33" s="23">
        <f>'GS &gt; 50 OLS Model'!$B$8*F33</f>
        <v>36509589.675441638</v>
      </c>
      <c r="S33" s="23">
        <f>'GS &gt; 50 OLS Model'!$B$9*G33</f>
        <v>-787719.89661339519</v>
      </c>
      <c r="T33" s="23">
        <f>'GS &gt; 50 OLS Model'!$B$10*H33</f>
        <v>3000950.679472209</v>
      </c>
      <c r="U33" s="23">
        <f>'GS &gt; 50 OLS Model'!$B$11*I33</f>
        <v>0</v>
      </c>
      <c r="V33" s="23">
        <f>'GS &gt; 50 OLS Model'!$B$12*J33</f>
        <v>0</v>
      </c>
      <c r="W33" s="23">
        <f>'GS &gt; 50 OLS Model'!$B$13*K33</f>
        <v>0</v>
      </c>
      <c r="X33" s="23">
        <f>'GS &gt; 50 OLS Model'!$B$14*L33</f>
        <v>0</v>
      </c>
      <c r="Y33" s="23">
        <f>'GS &gt; 50 OLS Model'!$B$15*M33</f>
        <v>-1207404.17093835</v>
      </c>
      <c r="Z33" s="23">
        <f t="shared" si="2"/>
        <v>22736212.200903267</v>
      </c>
      <c r="AA33" s="13">
        <f t="shared" si="3"/>
        <v>8.7499896306314703E-3</v>
      </c>
    </row>
    <row r="34" spans="1:27">
      <c r="A34" s="11">
        <f>'Monthly Data'!A34</f>
        <v>40787</v>
      </c>
      <c r="B34" s="6">
        <f t="shared" si="1"/>
        <v>2011</v>
      </c>
      <c r="C34" s="30">
        <f>'Monthly Data'!N34</f>
        <v>21272148.788853042</v>
      </c>
      <c r="D34" s="30">
        <f>'Monthly Data'!U34</f>
        <v>72.5</v>
      </c>
      <c r="E34" s="30">
        <f>'Monthly Data'!V34</f>
        <v>24.500000000000004</v>
      </c>
      <c r="F34" s="30">
        <f>'Monthly Data'!Y34</f>
        <v>6734.6</v>
      </c>
      <c r="G34" s="30">
        <f>'Monthly Data'!AA34</f>
        <v>33</v>
      </c>
      <c r="H34" s="30">
        <f>'Monthly Data'!AF34</f>
        <v>347</v>
      </c>
      <c r="I34" s="30">
        <f>'Monthly Data'!AM34</f>
        <v>1</v>
      </c>
      <c r="J34" s="30">
        <f>'Monthly Data'!AN34</f>
        <v>0</v>
      </c>
      <c r="K34" s="30">
        <f>'Monthly Data'!AO34</f>
        <v>0</v>
      </c>
      <c r="L34" s="30">
        <f>'Monthly Data'!AP34</f>
        <v>0</v>
      </c>
      <c r="M34" s="30">
        <f>'Monthly Data'!AQ34</f>
        <v>0</v>
      </c>
      <c r="N34" s="30"/>
      <c r="O34" s="23">
        <f>'GS &gt; 50 OLS Model'!$B$5</f>
        <v>-17059648.826166701</v>
      </c>
      <c r="P34" s="23">
        <f>'GS &gt; 50 OLS Model'!$B$6*D34</f>
        <v>558449.60770197178</v>
      </c>
      <c r="Q34" s="23">
        <f>'GS &gt; 50 OLS Model'!$B$7*E34</f>
        <v>799851.52415516507</v>
      </c>
      <c r="R34" s="23">
        <f>'GS &gt; 50 OLS Model'!$B$8*F34</f>
        <v>36275816.262648165</v>
      </c>
      <c r="S34" s="23">
        <f>'GS &gt; 50 OLS Model'!$B$9*G34</f>
        <v>-812336.14338256384</v>
      </c>
      <c r="T34" s="23">
        <f>'GS &gt; 50 OLS Model'!$B$10*H34</f>
        <v>3053753.3307239194</v>
      </c>
      <c r="U34" s="23">
        <f>'GS &gt; 50 OLS Model'!$B$11*I34</f>
        <v>-1573400.2840208299</v>
      </c>
      <c r="V34" s="23">
        <f>'GS &gt; 50 OLS Model'!$B$12*J34</f>
        <v>0</v>
      </c>
      <c r="W34" s="23">
        <f>'GS &gt; 50 OLS Model'!$B$13*K34</f>
        <v>0</v>
      </c>
      <c r="X34" s="23">
        <f>'GS &gt; 50 OLS Model'!$B$14*L34</f>
        <v>0</v>
      </c>
      <c r="Y34" s="23">
        <f>'GS &gt; 50 OLS Model'!$B$15*M34</f>
        <v>0</v>
      </c>
      <c r="Z34" s="23">
        <f t="shared" si="2"/>
        <v>21242485.471659128</v>
      </c>
      <c r="AA34" s="13">
        <f t="shared" si="3"/>
        <v>1.3944673614476725E-3</v>
      </c>
    </row>
    <row r="35" spans="1:27">
      <c r="A35" s="11">
        <f>'Monthly Data'!A35</f>
        <v>40817</v>
      </c>
      <c r="B35" s="6">
        <f t="shared" si="1"/>
        <v>2011</v>
      </c>
      <c r="C35" s="30">
        <f>'Monthly Data'!N35</f>
        <v>21689864.312401172</v>
      </c>
      <c r="D35" s="30">
        <f>'Monthly Data'!U35</f>
        <v>266.49999999999994</v>
      </c>
      <c r="E35" s="30">
        <f>'Monthly Data'!V35</f>
        <v>0.5</v>
      </c>
      <c r="F35" s="30">
        <f>'Monthly Data'!Y35</f>
        <v>6702.2</v>
      </c>
      <c r="G35" s="30">
        <f>'Monthly Data'!AA35</f>
        <v>34</v>
      </c>
      <c r="H35" s="30">
        <f>'Monthly Data'!AF35</f>
        <v>348</v>
      </c>
      <c r="I35" s="30">
        <f>'Monthly Data'!AM35</f>
        <v>1</v>
      </c>
      <c r="J35" s="30">
        <f>'Monthly Data'!AN35</f>
        <v>0</v>
      </c>
      <c r="K35" s="30">
        <f>'Monthly Data'!AO35</f>
        <v>0</v>
      </c>
      <c r="L35" s="30">
        <f>'Monthly Data'!AP35</f>
        <v>0</v>
      </c>
      <c r="M35" s="30">
        <f>'Monthly Data'!AQ35</f>
        <v>0</v>
      </c>
      <c r="N35" s="30"/>
      <c r="O35" s="23">
        <f>'GS &gt; 50 OLS Model'!$B$5</f>
        <v>-17059648.826166701</v>
      </c>
      <c r="P35" s="23">
        <f>'GS &gt; 50 OLS Model'!$B$6*D35</f>
        <v>2052783.7303803512</v>
      </c>
      <c r="Q35" s="23">
        <f>'GS &gt; 50 OLS Model'!$B$7*E35</f>
        <v>16323.50049296255</v>
      </c>
      <c r="R35" s="23">
        <f>'GS &gt; 50 OLS Model'!$B$8*F35</f>
        <v>36101294.175677925</v>
      </c>
      <c r="S35" s="23">
        <f>'GS &gt; 50 OLS Model'!$B$9*G35</f>
        <v>-836952.39015173237</v>
      </c>
      <c r="T35" s="23">
        <f>'GS &gt; 50 OLS Model'!$B$10*H35</f>
        <v>3062553.7725992044</v>
      </c>
      <c r="U35" s="23">
        <f>'GS &gt; 50 OLS Model'!$B$11*I35</f>
        <v>-1573400.2840208299</v>
      </c>
      <c r="V35" s="23">
        <f>'GS &gt; 50 OLS Model'!$B$12*J35</f>
        <v>0</v>
      </c>
      <c r="W35" s="23">
        <f>'GS &gt; 50 OLS Model'!$B$13*K35</f>
        <v>0</v>
      </c>
      <c r="X35" s="23">
        <f>'GS &gt; 50 OLS Model'!$B$14*L35</f>
        <v>0</v>
      </c>
      <c r="Y35" s="23">
        <f>'GS &gt; 50 OLS Model'!$B$15*M35</f>
        <v>0</v>
      </c>
      <c r="Z35" s="23">
        <f t="shared" si="2"/>
        <v>21762953.678811181</v>
      </c>
      <c r="AA35" s="13">
        <f t="shared" si="3"/>
        <v>3.3697475169644441E-3</v>
      </c>
    </row>
    <row r="36" spans="1:27">
      <c r="A36" s="11">
        <f>'Monthly Data'!A36</f>
        <v>40848</v>
      </c>
      <c r="B36" s="6">
        <f t="shared" si="1"/>
        <v>2011</v>
      </c>
      <c r="C36" s="30">
        <f>'Monthly Data'!N36</f>
        <v>22036090.227049295</v>
      </c>
      <c r="D36" s="30">
        <f>'Monthly Data'!U36</f>
        <v>394.7</v>
      </c>
      <c r="E36" s="30">
        <f>'Monthly Data'!V36</f>
        <v>0</v>
      </c>
      <c r="F36" s="30">
        <f>'Monthly Data'!Y36</f>
        <v>6669.4</v>
      </c>
      <c r="G36" s="30">
        <f>'Monthly Data'!AA36</f>
        <v>35</v>
      </c>
      <c r="H36" s="30">
        <f>'Monthly Data'!AF36</f>
        <v>353</v>
      </c>
      <c r="I36" s="30">
        <f>'Monthly Data'!AM36</f>
        <v>1</v>
      </c>
      <c r="J36" s="30">
        <f>'Monthly Data'!AN36</f>
        <v>0</v>
      </c>
      <c r="K36" s="30">
        <f>'Monthly Data'!AO36</f>
        <v>0</v>
      </c>
      <c r="L36" s="30">
        <f>'Monthly Data'!AP36</f>
        <v>0</v>
      </c>
      <c r="M36" s="30">
        <f>'Monthly Data'!AQ36</f>
        <v>0</v>
      </c>
      <c r="N36" s="30"/>
      <c r="O36" s="23">
        <f>'GS &gt; 50 OLS Model'!$B$5</f>
        <v>-17059648.826166701</v>
      </c>
      <c r="P36" s="23">
        <f>'GS &gt; 50 OLS Model'!$B$6*D36</f>
        <v>3040276.6918616313</v>
      </c>
      <c r="Q36" s="23">
        <f>'GS &gt; 50 OLS Model'!$B$7*E36</f>
        <v>0</v>
      </c>
      <c r="R36" s="23">
        <f>'GS &gt; 50 OLS Model'!$B$8*F36</f>
        <v>35924617.495041378</v>
      </c>
      <c r="S36" s="23">
        <f>'GS &gt; 50 OLS Model'!$B$9*G36</f>
        <v>-861568.63692090102</v>
      </c>
      <c r="T36" s="23">
        <f>'GS &gt; 50 OLS Model'!$B$10*H36</f>
        <v>3106555.9819756299</v>
      </c>
      <c r="U36" s="23">
        <f>'GS &gt; 50 OLS Model'!$B$11*I36</f>
        <v>-1573400.2840208299</v>
      </c>
      <c r="V36" s="23">
        <f>'GS &gt; 50 OLS Model'!$B$12*J36</f>
        <v>0</v>
      </c>
      <c r="W36" s="23">
        <f>'GS &gt; 50 OLS Model'!$B$13*K36</f>
        <v>0</v>
      </c>
      <c r="X36" s="23">
        <f>'GS &gt; 50 OLS Model'!$B$14*L36</f>
        <v>0</v>
      </c>
      <c r="Y36" s="23">
        <f>'GS &gt; 50 OLS Model'!$B$15*M36</f>
        <v>0</v>
      </c>
      <c r="Z36" s="23">
        <f t="shared" si="2"/>
        <v>22576832.421770211</v>
      </c>
      <c r="AA36" s="13">
        <f t="shared" si="3"/>
        <v>2.4538935407750127E-2</v>
      </c>
    </row>
    <row r="37" spans="1:27">
      <c r="A37" s="11">
        <f>'Monthly Data'!A37</f>
        <v>40878</v>
      </c>
      <c r="B37" s="6">
        <f t="shared" si="1"/>
        <v>2011</v>
      </c>
      <c r="C37" s="30">
        <f>'Monthly Data'!N37</f>
        <v>24098497.192697417</v>
      </c>
      <c r="D37" s="30">
        <f>'Monthly Data'!U37</f>
        <v>623.09999999999991</v>
      </c>
      <c r="E37" s="30">
        <f>'Monthly Data'!V37</f>
        <v>0</v>
      </c>
      <c r="F37" s="30">
        <f>'Monthly Data'!Y37</f>
        <v>6668.3</v>
      </c>
      <c r="G37" s="30">
        <f>'Monthly Data'!AA37</f>
        <v>36</v>
      </c>
      <c r="H37" s="30">
        <f>'Monthly Data'!AF37</f>
        <v>357</v>
      </c>
      <c r="I37" s="30">
        <f>'Monthly Data'!AM37</f>
        <v>0</v>
      </c>
      <c r="J37" s="30">
        <f>'Monthly Data'!AN37</f>
        <v>0</v>
      </c>
      <c r="K37" s="30">
        <f>'Monthly Data'!AO37</f>
        <v>0</v>
      </c>
      <c r="L37" s="30">
        <f>'Monthly Data'!AP37</f>
        <v>1</v>
      </c>
      <c r="M37" s="30">
        <f>'Monthly Data'!AQ37</f>
        <v>0</v>
      </c>
      <c r="N37" s="30"/>
      <c r="O37" s="23">
        <f>'GS &gt; 50 OLS Model'!$B$5</f>
        <v>-17059648.826166701</v>
      </c>
      <c r="P37" s="23">
        <f>'GS &gt; 50 OLS Model'!$B$6*D37</f>
        <v>4799585.5249530841</v>
      </c>
      <c r="Q37" s="23">
        <f>'GS &gt; 50 OLS Model'!$B$7*E37</f>
        <v>0</v>
      </c>
      <c r="R37" s="23">
        <f>'GS &gt; 50 OLS Model'!$B$8*F37</f>
        <v>35918692.362459056</v>
      </c>
      <c r="S37" s="23">
        <f>'GS &gt; 50 OLS Model'!$B$9*G37</f>
        <v>-886184.88369006955</v>
      </c>
      <c r="T37" s="23">
        <f>'GS &gt; 50 OLS Model'!$B$10*H37</f>
        <v>3141757.7494767704</v>
      </c>
      <c r="U37" s="23">
        <f>'GS &gt; 50 OLS Model'!$B$11*I37</f>
        <v>0</v>
      </c>
      <c r="V37" s="23">
        <f>'GS &gt; 50 OLS Model'!$B$12*J37</f>
        <v>0</v>
      </c>
      <c r="W37" s="23">
        <f>'GS &gt; 50 OLS Model'!$B$13*K37</f>
        <v>0</v>
      </c>
      <c r="X37" s="23">
        <f>'GS &gt; 50 OLS Model'!$B$14*L37</f>
        <v>-1083532.53757107</v>
      </c>
      <c r="Y37" s="23">
        <f>'GS &gt; 50 OLS Model'!$B$15*M37</f>
        <v>0</v>
      </c>
      <c r="Z37" s="23">
        <f t="shared" si="2"/>
        <v>24830669.389461074</v>
      </c>
      <c r="AA37" s="13">
        <f t="shared" si="3"/>
        <v>3.0382483642404375E-2</v>
      </c>
    </row>
    <row r="38" spans="1:27">
      <c r="A38" s="11">
        <f>'Monthly Data'!A38</f>
        <v>40909</v>
      </c>
      <c r="B38" s="6">
        <f t="shared" si="1"/>
        <v>2012</v>
      </c>
      <c r="C38" s="30">
        <f>'Monthly Data'!N38</f>
        <v>25884369.936335795</v>
      </c>
      <c r="D38" s="30">
        <f>'Monthly Data'!U38</f>
        <v>712.69999999999993</v>
      </c>
      <c r="E38" s="30">
        <f>'Monthly Data'!V38</f>
        <v>0</v>
      </c>
      <c r="F38" s="30">
        <f>'Monthly Data'!Y38</f>
        <v>6635.9</v>
      </c>
      <c r="G38" s="30">
        <f>'Monthly Data'!AA38</f>
        <v>37</v>
      </c>
      <c r="H38" s="30">
        <f>'Monthly Data'!AF38</f>
        <v>358</v>
      </c>
      <c r="I38" s="30">
        <f>'Monthly Data'!AM38</f>
        <v>0</v>
      </c>
      <c r="J38" s="30">
        <f>'Monthly Data'!AN38</f>
        <v>0</v>
      </c>
      <c r="K38" s="30">
        <f>'Monthly Data'!AO38</f>
        <v>0</v>
      </c>
      <c r="L38" s="30">
        <f>'Monthly Data'!AP38</f>
        <v>0</v>
      </c>
      <c r="M38" s="30">
        <f>'Monthly Data'!AQ38</f>
        <v>0</v>
      </c>
      <c r="N38" s="30"/>
      <c r="O38" s="23">
        <f>'GS &gt; 50 OLS Model'!$B$5</f>
        <v>-17059648.826166701</v>
      </c>
      <c r="P38" s="23">
        <f>'GS &gt; 50 OLS Model'!$B$6*D38</f>
        <v>5489752.2125406247</v>
      </c>
      <c r="Q38" s="23">
        <f>'GS &gt; 50 OLS Model'!$B$7*E38</f>
        <v>0</v>
      </c>
      <c r="R38" s="23">
        <f>'GS &gt; 50 OLS Model'!$B$8*F38</f>
        <v>35744170.275488809</v>
      </c>
      <c r="S38" s="23">
        <f>'GS &gt; 50 OLS Model'!$B$9*G38</f>
        <v>-910801.13045923819</v>
      </c>
      <c r="T38" s="23">
        <f>'GS &gt; 50 OLS Model'!$B$10*H38</f>
        <v>3150558.1913520554</v>
      </c>
      <c r="U38" s="23">
        <f>'GS &gt; 50 OLS Model'!$B$11*I38</f>
        <v>0</v>
      </c>
      <c r="V38" s="23">
        <f>'GS &gt; 50 OLS Model'!$B$12*J38</f>
        <v>0</v>
      </c>
      <c r="W38" s="23">
        <f>'GS &gt; 50 OLS Model'!$B$13*K38</f>
        <v>0</v>
      </c>
      <c r="X38" s="23">
        <f>'GS &gt; 50 OLS Model'!$B$14*L38</f>
        <v>0</v>
      </c>
      <c r="Y38" s="23">
        <f>'GS &gt; 50 OLS Model'!$B$15*M38</f>
        <v>0</v>
      </c>
      <c r="Z38" s="23">
        <f t="shared" si="2"/>
        <v>26414030.722755548</v>
      </c>
      <c r="AA38" s="13">
        <f t="shared" si="3"/>
        <v>2.0462572112919356E-2</v>
      </c>
    </row>
    <row r="39" spans="1:27">
      <c r="A39" s="11">
        <f>'Monthly Data'!A39</f>
        <v>40940</v>
      </c>
      <c r="B39" s="6">
        <f t="shared" si="1"/>
        <v>2012</v>
      </c>
      <c r="C39" s="30">
        <f>'Monthly Data'!N39</f>
        <v>23846238.243764419</v>
      </c>
      <c r="D39" s="30">
        <f>'Monthly Data'!U39</f>
        <v>604.40000000000009</v>
      </c>
      <c r="E39" s="30">
        <f>'Monthly Data'!V39</f>
        <v>0</v>
      </c>
      <c r="F39" s="30">
        <f>'Monthly Data'!Y39</f>
        <v>6598</v>
      </c>
      <c r="G39" s="30">
        <f>'Monthly Data'!AA39</f>
        <v>38</v>
      </c>
      <c r="H39" s="30">
        <f>'Monthly Data'!AF39</f>
        <v>357</v>
      </c>
      <c r="I39" s="30">
        <f>'Monthly Data'!AM39</f>
        <v>0</v>
      </c>
      <c r="J39" s="30">
        <f>'Monthly Data'!AN39</f>
        <v>1</v>
      </c>
      <c r="K39" s="30">
        <f>'Monthly Data'!AO39</f>
        <v>0</v>
      </c>
      <c r="L39" s="30">
        <f>'Monthly Data'!AP39</f>
        <v>0</v>
      </c>
      <c r="M39" s="30">
        <f>'Monthly Data'!AQ39</f>
        <v>0</v>
      </c>
      <c r="N39" s="30"/>
      <c r="O39" s="23">
        <f>'GS &gt; 50 OLS Model'!$B$5</f>
        <v>-17059648.826166701</v>
      </c>
      <c r="P39" s="23">
        <f>'GS &gt; 50 OLS Model'!$B$6*D39</f>
        <v>4655544.0399320247</v>
      </c>
      <c r="Q39" s="23">
        <f>'GS &gt; 50 OLS Model'!$B$7*E39</f>
        <v>0</v>
      </c>
      <c r="R39" s="23">
        <f>'GS &gt; 50 OLS Model'!$B$8*F39</f>
        <v>35540022.525606953</v>
      </c>
      <c r="S39" s="23">
        <f>'GS &gt; 50 OLS Model'!$B$9*G39</f>
        <v>-935417.37722840684</v>
      </c>
      <c r="T39" s="23">
        <f>'GS &gt; 50 OLS Model'!$B$10*H39</f>
        <v>3141757.7494767704</v>
      </c>
      <c r="U39" s="23">
        <f>'GS &gt; 50 OLS Model'!$B$11*I39</f>
        <v>0</v>
      </c>
      <c r="V39" s="23">
        <f>'GS &gt; 50 OLS Model'!$B$12*J39</f>
        <v>-1514604.0647521601</v>
      </c>
      <c r="W39" s="23">
        <f>'GS &gt; 50 OLS Model'!$B$13*K39</f>
        <v>0</v>
      </c>
      <c r="X39" s="23">
        <f>'GS &gt; 50 OLS Model'!$B$14*L39</f>
        <v>0</v>
      </c>
      <c r="Y39" s="23">
        <f>'GS &gt; 50 OLS Model'!$B$15*M39</f>
        <v>0</v>
      </c>
      <c r="Z39" s="23">
        <f t="shared" si="2"/>
        <v>23827654.046868481</v>
      </c>
      <c r="AA39" s="13">
        <f t="shared" si="3"/>
        <v>7.7933453092115992E-4</v>
      </c>
    </row>
    <row r="40" spans="1:27">
      <c r="A40" s="11">
        <f>'Monthly Data'!A40</f>
        <v>40969</v>
      </c>
      <c r="B40" s="6">
        <f t="shared" si="1"/>
        <v>2012</v>
      </c>
      <c r="C40" s="30">
        <f>'Monthly Data'!N40</f>
        <v>23337909.585693043</v>
      </c>
      <c r="D40" s="30">
        <f>'Monthly Data'!U40</f>
        <v>412.19999999999993</v>
      </c>
      <c r="E40" s="30">
        <f>'Monthly Data'!V40</f>
        <v>0</v>
      </c>
      <c r="F40" s="30">
        <f>'Monthly Data'!Y40</f>
        <v>6569.8</v>
      </c>
      <c r="G40" s="30">
        <f>'Monthly Data'!AA40</f>
        <v>39</v>
      </c>
      <c r="H40" s="30">
        <f>'Monthly Data'!AF40</f>
        <v>358</v>
      </c>
      <c r="I40" s="30">
        <f>'Monthly Data'!AM40</f>
        <v>0</v>
      </c>
      <c r="J40" s="30">
        <f>'Monthly Data'!AN40</f>
        <v>0</v>
      </c>
      <c r="K40" s="30">
        <f>'Monthly Data'!AO40</f>
        <v>0</v>
      </c>
      <c r="L40" s="30">
        <f>'Monthly Data'!AP40</f>
        <v>0</v>
      </c>
      <c r="M40" s="30">
        <f>'Monthly Data'!AQ40</f>
        <v>0</v>
      </c>
      <c r="N40" s="30"/>
      <c r="O40" s="23">
        <f>'GS &gt; 50 OLS Model'!$B$5</f>
        <v>-17059648.826166701</v>
      </c>
      <c r="P40" s="23">
        <f>'GS &gt; 50 OLS Model'!$B$6*D40</f>
        <v>3175074.8730310723</v>
      </c>
      <c r="Q40" s="23">
        <f>'GS &gt; 50 OLS Model'!$B$7*E40</f>
        <v>0</v>
      </c>
      <c r="R40" s="23">
        <f>'GS &gt; 50 OLS Model'!$B$8*F40</f>
        <v>35388123.672132857</v>
      </c>
      <c r="S40" s="23">
        <f>'GS &gt; 50 OLS Model'!$B$9*G40</f>
        <v>-960033.62399757537</v>
      </c>
      <c r="T40" s="23">
        <f>'GS &gt; 50 OLS Model'!$B$10*H40</f>
        <v>3150558.1913520554</v>
      </c>
      <c r="U40" s="23">
        <f>'GS &gt; 50 OLS Model'!$B$11*I40</f>
        <v>0</v>
      </c>
      <c r="V40" s="23">
        <f>'GS &gt; 50 OLS Model'!$B$12*J40</f>
        <v>0</v>
      </c>
      <c r="W40" s="23">
        <f>'GS &gt; 50 OLS Model'!$B$13*K40</f>
        <v>0</v>
      </c>
      <c r="X40" s="23">
        <f>'GS &gt; 50 OLS Model'!$B$14*L40</f>
        <v>0</v>
      </c>
      <c r="Y40" s="23">
        <f>'GS &gt; 50 OLS Model'!$B$15*M40</f>
        <v>0</v>
      </c>
      <c r="Z40" s="23">
        <f t="shared" si="2"/>
        <v>23694074.286351707</v>
      </c>
      <c r="AA40" s="13">
        <f t="shared" si="3"/>
        <v>1.5261208350768723E-2</v>
      </c>
    </row>
    <row r="41" spans="1:27">
      <c r="A41" s="11">
        <f>'Monthly Data'!A41</f>
        <v>41000</v>
      </c>
      <c r="B41" s="6">
        <f t="shared" si="1"/>
        <v>2012</v>
      </c>
      <c r="C41" s="30">
        <f>'Monthly Data'!N41</f>
        <v>21042150.547521669</v>
      </c>
      <c r="D41" s="30">
        <f>'Monthly Data'!U41</f>
        <v>358.9</v>
      </c>
      <c r="E41" s="30">
        <f>'Monthly Data'!V41</f>
        <v>0.8</v>
      </c>
      <c r="F41" s="30">
        <f>'Monthly Data'!Y41</f>
        <v>6603.3</v>
      </c>
      <c r="G41" s="30">
        <f>'Monthly Data'!AA41</f>
        <v>40</v>
      </c>
      <c r="H41" s="30">
        <f>'Monthly Data'!AF41</f>
        <v>360</v>
      </c>
      <c r="I41" s="30">
        <f>'Monthly Data'!AM41</f>
        <v>0</v>
      </c>
      <c r="J41" s="30">
        <f>'Monthly Data'!AN41</f>
        <v>0</v>
      </c>
      <c r="K41" s="30">
        <f>'Monthly Data'!AO41</f>
        <v>1</v>
      </c>
      <c r="L41" s="30">
        <f>'Monthly Data'!AP41</f>
        <v>0</v>
      </c>
      <c r="M41" s="30">
        <f>'Monthly Data'!AQ41</f>
        <v>0</v>
      </c>
      <c r="N41" s="30"/>
      <c r="O41" s="23">
        <f>'GS &gt; 50 OLS Model'!$B$5</f>
        <v>-17059648.826166701</v>
      </c>
      <c r="P41" s="23">
        <f>'GS &gt; 50 OLS Model'!$B$6*D41</f>
        <v>2764518.1269550025</v>
      </c>
      <c r="Q41" s="23">
        <f>'GS &gt; 50 OLS Model'!$B$7*E41</f>
        <v>26117.600788740081</v>
      </c>
      <c r="R41" s="23">
        <f>'GS &gt; 50 OLS Model'!$B$8*F41</f>
        <v>35568570.891685419</v>
      </c>
      <c r="S41" s="23">
        <f>'GS &gt; 50 OLS Model'!$B$9*G41</f>
        <v>-984649.87076674402</v>
      </c>
      <c r="T41" s="23">
        <f>'GS &gt; 50 OLS Model'!$B$10*H41</f>
        <v>3168159.0751026254</v>
      </c>
      <c r="U41" s="23">
        <f>'GS &gt; 50 OLS Model'!$B$11*I41</f>
        <v>0</v>
      </c>
      <c r="V41" s="23">
        <f>'GS &gt; 50 OLS Model'!$B$12*J41</f>
        <v>0</v>
      </c>
      <c r="W41" s="23">
        <f>'GS &gt; 50 OLS Model'!$B$13*K41</f>
        <v>-1589866.56724812</v>
      </c>
      <c r="X41" s="23">
        <f>'GS &gt; 50 OLS Model'!$B$14*L41</f>
        <v>0</v>
      </c>
      <c r="Y41" s="23">
        <f>'GS &gt; 50 OLS Model'!$B$15*M41</f>
        <v>0</v>
      </c>
      <c r="Z41" s="23">
        <f t="shared" si="2"/>
        <v>21893200.430350222</v>
      </c>
      <c r="AA41" s="13">
        <f t="shared" si="3"/>
        <v>4.044500493932586E-2</v>
      </c>
    </row>
    <row r="42" spans="1:27">
      <c r="A42" s="11">
        <f>'Monthly Data'!A42</f>
        <v>41030</v>
      </c>
      <c r="B42" s="6">
        <f t="shared" si="1"/>
        <v>2012</v>
      </c>
      <c r="C42" s="30">
        <f>'Monthly Data'!N42</f>
        <v>21123089.636950299</v>
      </c>
      <c r="D42" s="30">
        <f>'Monthly Data'!U42</f>
        <v>94.000000000000014</v>
      </c>
      <c r="E42" s="30">
        <f>'Monthly Data'!V42</f>
        <v>20.100000000000001</v>
      </c>
      <c r="F42" s="30">
        <f>'Monthly Data'!Y42</f>
        <v>6658.1</v>
      </c>
      <c r="G42" s="30">
        <f>'Monthly Data'!AA42</f>
        <v>41</v>
      </c>
      <c r="H42" s="30">
        <f>'Monthly Data'!AF42</f>
        <v>360</v>
      </c>
      <c r="I42" s="30">
        <f>'Monthly Data'!AM42</f>
        <v>0</v>
      </c>
      <c r="J42" s="30">
        <f>'Monthly Data'!AN42</f>
        <v>0</v>
      </c>
      <c r="K42" s="30">
        <f>'Monthly Data'!AO42</f>
        <v>0</v>
      </c>
      <c r="L42" s="30">
        <f>'Monthly Data'!AP42</f>
        <v>0</v>
      </c>
      <c r="M42" s="30">
        <f>'Monthly Data'!AQ42</f>
        <v>1</v>
      </c>
      <c r="N42" s="30"/>
      <c r="O42" s="23">
        <f>'GS &gt; 50 OLS Model'!$B$5</f>
        <v>-17059648.826166701</v>
      </c>
      <c r="P42" s="23">
        <f>'GS &gt; 50 OLS Model'!$B$6*D42</f>
        <v>724058.80171014287</v>
      </c>
      <c r="Q42" s="23">
        <f>'GS &gt; 50 OLS Model'!$B$7*E42</f>
        <v>656204.71981709462</v>
      </c>
      <c r="R42" s="23">
        <f>'GS &gt; 50 OLS Model'!$B$8*F42</f>
        <v>35863750.223968424</v>
      </c>
      <c r="S42" s="23">
        <f>'GS &gt; 50 OLS Model'!$B$9*G42</f>
        <v>-1009266.1175359125</v>
      </c>
      <c r="T42" s="23">
        <f>'GS &gt; 50 OLS Model'!$B$10*H42</f>
        <v>3168159.0751026254</v>
      </c>
      <c r="U42" s="23">
        <f>'GS &gt; 50 OLS Model'!$B$11*I42</f>
        <v>0</v>
      </c>
      <c r="V42" s="23">
        <f>'GS &gt; 50 OLS Model'!$B$12*J42</f>
        <v>0</v>
      </c>
      <c r="W42" s="23">
        <f>'GS &gt; 50 OLS Model'!$B$13*K42</f>
        <v>0</v>
      </c>
      <c r="X42" s="23">
        <f>'GS &gt; 50 OLS Model'!$B$14*L42</f>
        <v>0</v>
      </c>
      <c r="Y42" s="23">
        <f>'GS &gt; 50 OLS Model'!$B$15*M42</f>
        <v>-1207404.17093835</v>
      </c>
      <c r="Z42" s="23">
        <f t="shared" si="2"/>
        <v>21135853.705957323</v>
      </c>
      <c r="AA42" s="13">
        <f t="shared" si="3"/>
        <v>6.0427092941442515E-4</v>
      </c>
    </row>
    <row r="43" spans="1:27">
      <c r="A43" s="11">
        <f>'Monthly Data'!A43</f>
        <v>41061</v>
      </c>
      <c r="B43" s="6">
        <f t="shared" si="1"/>
        <v>2012</v>
      </c>
      <c r="C43" s="30">
        <f>'Monthly Data'!N43</f>
        <v>22012463.81367892</v>
      </c>
      <c r="D43" s="30">
        <f>'Monthly Data'!U43</f>
        <v>41.300000000000004</v>
      </c>
      <c r="E43" s="30">
        <f>'Monthly Data'!V43</f>
        <v>51.8</v>
      </c>
      <c r="F43" s="30">
        <f>'Monthly Data'!Y43</f>
        <v>6737.2</v>
      </c>
      <c r="G43" s="30">
        <f>'Monthly Data'!AA43</f>
        <v>42</v>
      </c>
      <c r="H43" s="30">
        <f>'Monthly Data'!AF43</f>
        <v>361</v>
      </c>
      <c r="I43" s="30">
        <f>'Monthly Data'!AM43</f>
        <v>0</v>
      </c>
      <c r="J43" s="30">
        <f>'Monthly Data'!AN43</f>
        <v>0</v>
      </c>
      <c r="K43" s="30">
        <f>'Monthly Data'!AO43</f>
        <v>0</v>
      </c>
      <c r="L43" s="30">
        <f>'Monthly Data'!AP43</f>
        <v>0</v>
      </c>
      <c r="M43" s="30">
        <f>'Monthly Data'!AQ43</f>
        <v>1</v>
      </c>
      <c r="N43" s="30"/>
      <c r="O43" s="23">
        <f>'GS &gt; 50 OLS Model'!$B$5</f>
        <v>-17059648.826166701</v>
      </c>
      <c r="P43" s="23">
        <f>'GS &gt; 50 OLS Model'!$B$6*D43</f>
        <v>318123.70755988191</v>
      </c>
      <c r="Q43" s="23">
        <f>'GS &gt; 50 OLS Model'!$B$7*E43</f>
        <v>1691114.6510709201</v>
      </c>
      <c r="R43" s="23">
        <f>'GS &gt; 50 OLS Model'!$B$8*F43</f>
        <v>36289821.121479109</v>
      </c>
      <c r="S43" s="23">
        <f>'GS &gt; 50 OLS Model'!$B$9*G43</f>
        <v>-1033882.3643050812</v>
      </c>
      <c r="T43" s="23">
        <f>'GS &gt; 50 OLS Model'!$B$10*H43</f>
        <v>3176959.5169779104</v>
      </c>
      <c r="U43" s="23">
        <f>'GS &gt; 50 OLS Model'!$B$11*I43</f>
        <v>0</v>
      </c>
      <c r="V43" s="23">
        <f>'GS &gt; 50 OLS Model'!$B$12*J43</f>
        <v>0</v>
      </c>
      <c r="W43" s="23">
        <f>'GS &gt; 50 OLS Model'!$B$13*K43</f>
        <v>0</v>
      </c>
      <c r="X43" s="23">
        <f>'GS &gt; 50 OLS Model'!$B$14*L43</f>
        <v>0</v>
      </c>
      <c r="Y43" s="23">
        <f>'GS &gt; 50 OLS Model'!$B$15*M43</f>
        <v>-1207404.17093835</v>
      </c>
      <c r="Z43" s="23">
        <f t="shared" si="2"/>
        <v>22175083.635677688</v>
      </c>
      <c r="AA43" s="13">
        <f t="shared" si="3"/>
        <v>7.3876247282102436E-3</v>
      </c>
    </row>
    <row r="44" spans="1:27">
      <c r="A44" s="11">
        <f>'Monthly Data'!A44</f>
        <v>41091</v>
      </c>
      <c r="B44" s="6">
        <f t="shared" si="1"/>
        <v>2012</v>
      </c>
      <c r="C44" s="30">
        <f>'Monthly Data'!N44</f>
        <v>24325640.430607546</v>
      </c>
      <c r="D44" s="30">
        <f>'Monthly Data'!U44</f>
        <v>0.2</v>
      </c>
      <c r="E44" s="30">
        <f>'Monthly Data'!V44</f>
        <v>120.69999999999996</v>
      </c>
      <c r="F44" s="30">
        <f>'Monthly Data'!Y44</f>
        <v>6778.6</v>
      </c>
      <c r="G44" s="30">
        <f>'Monthly Data'!AA44</f>
        <v>43</v>
      </c>
      <c r="H44" s="30">
        <f>'Monthly Data'!AF44</f>
        <v>360</v>
      </c>
      <c r="I44" s="30">
        <f>'Monthly Data'!AM44</f>
        <v>0</v>
      </c>
      <c r="J44" s="30">
        <f>'Monthly Data'!AN44</f>
        <v>0</v>
      </c>
      <c r="K44" s="30">
        <f>'Monthly Data'!AO44</f>
        <v>0</v>
      </c>
      <c r="L44" s="30">
        <f>'Monthly Data'!AP44</f>
        <v>0</v>
      </c>
      <c r="M44" s="30">
        <f>'Monthly Data'!AQ44</f>
        <v>1</v>
      </c>
      <c r="N44" s="30"/>
      <c r="O44" s="23">
        <f>'GS &gt; 50 OLS Model'!$B$5</f>
        <v>-17059648.826166701</v>
      </c>
      <c r="P44" s="23">
        <f>'GS &gt; 50 OLS Model'!$B$6*D44</f>
        <v>1540.550641936474</v>
      </c>
      <c r="Q44" s="23">
        <f>'GS &gt; 50 OLS Model'!$B$7*E44</f>
        <v>3940493.0190011584</v>
      </c>
      <c r="R44" s="23">
        <f>'GS &gt; 50 OLS Model'!$B$8*F44</f>
        <v>36512821.565941088</v>
      </c>
      <c r="S44" s="23">
        <f>'GS &gt; 50 OLS Model'!$B$9*G44</f>
        <v>-1058498.6110742497</v>
      </c>
      <c r="T44" s="23">
        <f>'GS &gt; 50 OLS Model'!$B$10*H44</f>
        <v>3168159.0751026254</v>
      </c>
      <c r="U44" s="23">
        <f>'GS &gt; 50 OLS Model'!$B$11*I44</f>
        <v>0</v>
      </c>
      <c r="V44" s="23">
        <f>'GS &gt; 50 OLS Model'!$B$12*J44</f>
        <v>0</v>
      </c>
      <c r="W44" s="23">
        <f>'GS &gt; 50 OLS Model'!$B$13*K44</f>
        <v>0</v>
      </c>
      <c r="X44" s="23">
        <f>'GS &gt; 50 OLS Model'!$B$14*L44</f>
        <v>0</v>
      </c>
      <c r="Y44" s="23">
        <f>'GS &gt; 50 OLS Model'!$B$15*M44</f>
        <v>-1207404.17093835</v>
      </c>
      <c r="Z44" s="23">
        <f t="shared" si="2"/>
        <v>24297462.602507502</v>
      </c>
      <c r="AA44" s="13">
        <f t="shared" si="3"/>
        <v>1.1583591470253646E-3</v>
      </c>
    </row>
    <row r="45" spans="1:27">
      <c r="A45" s="11">
        <f>'Monthly Data'!A45</f>
        <v>41122</v>
      </c>
      <c r="B45" s="6">
        <f t="shared" si="1"/>
        <v>2012</v>
      </c>
      <c r="C45" s="30">
        <f>'Monthly Data'!N45</f>
        <v>23912145.189136177</v>
      </c>
      <c r="D45" s="30">
        <f>'Monthly Data'!U45</f>
        <v>7.3000000000000007</v>
      </c>
      <c r="E45" s="30">
        <f>'Monthly Data'!V45</f>
        <v>87.199999999999974</v>
      </c>
      <c r="F45" s="30">
        <f>'Monthly Data'!Y45</f>
        <v>6797.9</v>
      </c>
      <c r="G45" s="30">
        <f>'Monthly Data'!AA45</f>
        <v>44</v>
      </c>
      <c r="H45" s="30">
        <f>'Monthly Data'!AF45</f>
        <v>359</v>
      </c>
      <c r="I45" s="30">
        <f>'Monthly Data'!AM45</f>
        <v>0</v>
      </c>
      <c r="J45" s="30">
        <f>'Monthly Data'!AN45</f>
        <v>0</v>
      </c>
      <c r="K45" s="30">
        <f>'Monthly Data'!AO45</f>
        <v>0</v>
      </c>
      <c r="L45" s="30">
        <f>'Monthly Data'!AP45</f>
        <v>0</v>
      </c>
      <c r="M45" s="30">
        <f>'Monthly Data'!AQ45</f>
        <v>1</v>
      </c>
      <c r="N45" s="30"/>
      <c r="O45" s="23">
        <f>'GS &gt; 50 OLS Model'!$B$5</f>
        <v>-17059648.826166701</v>
      </c>
      <c r="P45" s="23">
        <f>'GS &gt; 50 OLS Model'!$B$6*D45</f>
        <v>56230.098430681304</v>
      </c>
      <c r="Q45" s="23">
        <f>'GS &gt; 50 OLS Model'!$B$7*E45</f>
        <v>2846818.485972668</v>
      </c>
      <c r="R45" s="23">
        <f>'GS &gt; 50 OLS Model'!$B$8*F45</f>
        <v>36616780.71034003</v>
      </c>
      <c r="S45" s="23">
        <f>'GS &gt; 50 OLS Model'!$B$9*G45</f>
        <v>-1083114.8578434184</v>
      </c>
      <c r="T45" s="23">
        <f>'GS &gt; 50 OLS Model'!$B$10*H45</f>
        <v>3159358.6332273404</v>
      </c>
      <c r="U45" s="23">
        <f>'GS &gt; 50 OLS Model'!$B$11*I45</f>
        <v>0</v>
      </c>
      <c r="V45" s="23">
        <f>'GS &gt; 50 OLS Model'!$B$12*J45</f>
        <v>0</v>
      </c>
      <c r="W45" s="23">
        <f>'GS &gt; 50 OLS Model'!$B$13*K45</f>
        <v>0</v>
      </c>
      <c r="X45" s="23">
        <f>'GS &gt; 50 OLS Model'!$B$14*L45</f>
        <v>0</v>
      </c>
      <c r="Y45" s="23">
        <f>'GS &gt; 50 OLS Model'!$B$15*M45</f>
        <v>-1207404.17093835</v>
      </c>
      <c r="Z45" s="23">
        <f t="shared" si="2"/>
        <v>23329020.073022254</v>
      </c>
      <c r="AA45" s="13">
        <f t="shared" si="3"/>
        <v>2.4386148189617478E-2</v>
      </c>
    </row>
    <row r="46" spans="1:27">
      <c r="A46" s="11">
        <f>'Monthly Data'!A46</f>
        <v>41153</v>
      </c>
      <c r="B46" s="6">
        <f t="shared" si="1"/>
        <v>2012</v>
      </c>
      <c r="C46" s="30">
        <f>'Monthly Data'!N46</f>
        <v>21690402.018964801</v>
      </c>
      <c r="D46" s="30">
        <f>'Monthly Data'!U46</f>
        <v>106.30000000000003</v>
      </c>
      <c r="E46" s="30">
        <f>'Monthly Data'!V46</f>
        <v>20.200000000000003</v>
      </c>
      <c r="F46" s="30">
        <f>'Monthly Data'!Y46</f>
        <v>6763.1</v>
      </c>
      <c r="G46" s="30">
        <f>'Monthly Data'!AA46</f>
        <v>45</v>
      </c>
      <c r="H46" s="30">
        <f>'Monthly Data'!AF46</f>
        <v>360</v>
      </c>
      <c r="I46" s="30">
        <f>'Monthly Data'!AM46</f>
        <v>1</v>
      </c>
      <c r="J46" s="30">
        <f>'Monthly Data'!AN46</f>
        <v>0</v>
      </c>
      <c r="K46" s="30">
        <f>'Monthly Data'!AO46</f>
        <v>0</v>
      </c>
      <c r="L46" s="30">
        <f>'Monthly Data'!AP46</f>
        <v>0</v>
      </c>
      <c r="M46" s="30">
        <f>'Monthly Data'!AQ46</f>
        <v>0</v>
      </c>
      <c r="N46" s="30"/>
      <c r="O46" s="23">
        <f>'GS &gt; 50 OLS Model'!$B$5</f>
        <v>-17059648.826166701</v>
      </c>
      <c r="P46" s="23">
        <f>'GS &gt; 50 OLS Model'!$B$6*D46</f>
        <v>818802.6661892361</v>
      </c>
      <c r="Q46" s="23">
        <f>'GS &gt; 50 OLS Model'!$B$7*E46</f>
        <v>659469.41991568718</v>
      </c>
      <c r="R46" s="23">
        <f>'GS &gt; 50 OLS Model'!$B$8*F46</f>
        <v>36429331.06137199</v>
      </c>
      <c r="S46" s="23">
        <f>'GS &gt; 50 OLS Model'!$B$9*G46</f>
        <v>-1107731.104612587</v>
      </c>
      <c r="T46" s="23">
        <f>'GS &gt; 50 OLS Model'!$B$10*H46</f>
        <v>3168159.0751026254</v>
      </c>
      <c r="U46" s="23">
        <f>'GS &gt; 50 OLS Model'!$B$11*I46</f>
        <v>-1573400.2840208299</v>
      </c>
      <c r="V46" s="23">
        <f>'GS &gt; 50 OLS Model'!$B$12*J46</f>
        <v>0</v>
      </c>
      <c r="W46" s="23">
        <f>'GS &gt; 50 OLS Model'!$B$13*K46</f>
        <v>0</v>
      </c>
      <c r="X46" s="23">
        <f>'GS &gt; 50 OLS Model'!$B$14*L46</f>
        <v>0</v>
      </c>
      <c r="Y46" s="23">
        <f>'GS &gt; 50 OLS Model'!$B$15*M46</f>
        <v>0</v>
      </c>
      <c r="Z46" s="23">
        <f t="shared" si="2"/>
        <v>21334982.007779423</v>
      </c>
      <c r="AA46" s="13">
        <f t="shared" si="3"/>
        <v>1.6386049962311425E-2</v>
      </c>
    </row>
    <row r="47" spans="1:27">
      <c r="A47" s="11">
        <f>'Monthly Data'!A47</f>
        <v>41183</v>
      </c>
      <c r="B47" s="6">
        <f t="shared" si="1"/>
        <v>2012</v>
      </c>
      <c r="C47" s="30">
        <f>'Monthly Data'!N47</f>
        <v>21873357.22849343</v>
      </c>
      <c r="D47" s="30">
        <f>'Monthly Data'!U47</f>
        <v>259.09999999999991</v>
      </c>
      <c r="E47" s="30">
        <f>'Monthly Data'!V47</f>
        <v>0</v>
      </c>
      <c r="F47" s="30">
        <f>'Monthly Data'!Y47</f>
        <v>6740.9</v>
      </c>
      <c r="G47" s="30">
        <f>'Monthly Data'!AA47</f>
        <v>46</v>
      </c>
      <c r="H47" s="30">
        <f>'Monthly Data'!AF47</f>
        <v>361</v>
      </c>
      <c r="I47" s="30">
        <f>'Monthly Data'!AM47</f>
        <v>1</v>
      </c>
      <c r="J47" s="30">
        <f>'Monthly Data'!AN47</f>
        <v>0</v>
      </c>
      <c r="K47" s="30">
        <f>'Monthly Data'!AO47</f>
        <v>0</v>
      </c>
      <c r="L47" s="30">
        <f>'Monthly Data'!AP47</f>
        <v>0</v>
      </c>
      <c r="M47" s="30">
        <f>'Monthly Data'!AQ47</f>
        <v>0</v>
      </c>
      <c r="N47" s="30"/>
      <c r="O47" s="23">
        <f>'GS &gt; 50 OLS Model'!$B$5</f>
        <v>-17059648.826166701</v>
      </c>
      <c r="P47" s="23">
        <f>'GS &gt; 50 OLS Model'!$B$6*D47</f>
        <v>1995783.3566287013</v>
      </c>
      <c r="Q47" s="23">
        <f>'GS &gt; 50 OLS Model'!$B$7*E47</f>
        <v>0</v>
      </c>
      <c r="R47" s="23">
        <f>'GS &gt; 50 OLS Model'!$B$8*F47</f>
        <v>36309751.112892374</v>
      </c>
      <c r="S47" s="23">
        <f>'GS &gt; 50 OLS Model'!$B$9*G47</f>
        <v>-1132347.3513817557</v>
      </c>
      <c r="T47" s="23">
        <f>'GS &gt; 50 OLS Model'!$B$10*H47</f>
        <v>3176959.5169779104</v>
      </c>
      <c r="U47" s="23">
        <f>'GS &gt; 50 OLS Model'!$B$11*I47</f>
        <v>-1573400.2840208299</v>
      </c>
      <c r="V47" s="23">
        <f>'GS &gt; 50 OLS Model'!$B$12*J47</f>
        <v>0</v>
      </c>
      <c r="W47" s="23">
        <f>'GS &gt; 50 OLS Model'!$B$13*K47</f>
        <v>0</v>
      </c>
      <c r="X47" s="23">
        <f>'GS &gt; 50 OLS Model'!$B$14*L47</f>
        <v>0</v>
      </c>
      <c r="Y47" s="23">
        <f>'GS &gt; 50 OLS Model'!$B$15*M47</f>
        <v>0</v>
      </c>
      <c r="Z47" s="23">
        <f t="shared" si="2"/>
        <v>21717097.524929699</v>
      </c>
      <c r="AA47" s="13">
        <f t="shared" si="3"/>
        <v>7.1438372231300068E-3</v>
      </c>
    </row>
    <row r="48" spans="1:27">
      <c r="A48" s="11">
        <f>'Monthly Data'!A48</f>
        <v>41214</v>
      </c>
      <c r="B48" s="6">
        <f t="shared" si="1"/>
        <v>2012</v>
      </c>
      <c r="C48" s="30">
        <f>'Monthly Data'!N48</f>
        <v>23887273.539022051</v>
      </c>
      <c r="D48" s="30">
        <f>'Monthly Data'!U48</f>
        <v>498.9</v>
      </c>
      <c r="E48" s="30">
        <f>'Monthly Data'!V48</f>
        <v>0</v>
      </c>
      <c r="F48" s="30">
        <f>'Monthly Data'!Y48</f>
        <v>6727.4</v>
      </c>
      <c r="G48" s="30">
        <f>'Monthly Data'!AA48</f>
        <v>47</v>
      </c>
      <c r="H48" s="30">
        <f>'Monthly Data'!AF48</f>
        <v>360</v>
      </c>
      <c r="I48" s="30">
        <f>'Monthly Data'!AM48</f>
        <v>1</v>
      </c>
      <c r="J48" s="30">
        <f>'Monthly Data'!AN48</f>
        <v>0</v>
      </c>
      <c r="K48" s="30">
        <f>'Monthly Data'!AO48</f>
        <v>0</v>
      </c>
      <c r="L48" s="30">
        <f>'Monthly Data'!AP48</f>
        <v>0</v>
      </c>
      <c r="M48" s="30">
        <f>'Monthly Data'!AQ48</f>
        <v>0</v>
      </c>
      <c r="N48" s="30"/>
      <c r="O48" s="23">
        <f>'GS &gt; 50 OLS Model'!$B$5</f>
        <v>-17059648.826166701</v>
      </c>
      <c r="P48" s="23">
        <f>'GS &gt; 50 OLS Model'!$B$6*D48</f>
        <v>3842903.576310534</v>
      </c>
      <c r="Q48" s="23">
        <f>'GS &gt; 50 OLS Model'!$B$7*E48</f>
        <v>0</v>
      </c>
      <c r="R48" s="23">
        <f>'GS &gt; 50 OLS Model'!$B$8*F48</f>
        <v>36237033.576654777</v>
      </c>
      <c r="S48" s="23">
        <f>'GS &gt; 50 OLS Model'!$B$9*G48</f>
        <v>-1156963.5981509241</v>
      </c>
      <c r="T48" s="23">
        <f>'GS &gt; 50 OLS Model'!$B$10*H48</f>
        <v>3168159.0751026254</v>
      </c>
      <c r="U48" s="23">
        <f>'GS &gt; 50 OLS Model'!$B$11*I48</f>
        <v>-1573400.2840208299</v>
      </c>
      <c r="V48" s="23">
        <f>'GS &gt; 50 OLS Model'!$B$12*J48</f>
        <v>0</v>
      </c>
      <c r="W48" s="23">
        <f>'GS &gt; 50 OLS Model'!$B$13*K48</f>
        <v>0</v>
      </c>
      <c r="X48" s="23">
        <f>'GS &gt; 50 OLS Model'!$B$14*L48</f>
        <v>0</v>
      </c>
      <c r="Y48" s="23">
        <f>'GS &gt; 50 OLS Model'!$B$15*M48</f>
        <v>0</v>
      </c>
      <c r="Z48" s="23">
        <f t="shared" si="2"/>
        <v>23458083.519729484</v>
      </c>
      <c r="AA48" s="13">
        <f t="shared" si="3"/>
        <v>1.7967308767635019E-2</v>
      </c>
    </row>
    <row r="49" spans="1:27">
      <c r="A49" s="11">
        <f>'Monthly Data'!A49</f>
        <v>41244</v>
      </c>
      <c r="B49" s="6">
        <f t="shared" si="1"/>
        <v>2012</v>
      </c>
      <c r="C49" s="30">
        <f>'Monthly Data'!N49</f>
        <v>25316304.236350678</v>
      </c>
      <c r="D49" s="30">
        <f>'Monthly Data'!U49</f>
        <v>648.19999999999993</v>
      </c>
      <c r="E49" s="30">
        <f>'Monthly Data'!V49</f>
        <v>0</v>
      </c>
      <c r="F49" s="30">
        <f>'Monthly Data'!Y49</f>
        <v>6740.2</v>
      </c>
      <c r="G49" s="30">
        <f>'Monthly Data'!AA49</f>
        <v>48</v>
      </c>
      <c r="H49" s="30">
        <f>'Monthly Data'!AF49</f>
        <v>361</v>
      </c>
      <c r="I49" s="30">
        <f>'Monthly Data'!AM49</f>
        <v>0</v>
      </c>
      <c r="J49" s="30">
        <f>'Monthly Data'!AN49</f>
        <v>0</v>
      </c>
      <c r="K49" s="30">
        <f>'Monthly Data'!AO49</f>
        <v>0</v>
      </c>
      <c r="L49" s="30">
        <f>'Monthly Data'!AP49</f>
        <v>1</v>
      </c>
      <c r="M49" s="30">
        <f>'Monthly Data'!AQ49</f>
        <v>0</v>
      </c>
      <c r="N49" s="30"/>
      <c r="O49" s="23">
        <f>'GS &gt; 50 OLS Model'!$B$5</f>
        <v>-17059648.826166701</v>
      </c>
      <c r="P49" s="23">
        <f>'GS &gt; 50 OLS Model'!$B$6*D49</f>
        <v>4992924.6305161119</v>
      </c>
      <c r="Q49" s="23">
        <f>'GS &gt; 50 OLS Model'!$B$7*E49</f>
        <v>0</v>
      </c>
      <c r="R49" s="23">
        <f>'GS &gt; 50 OLS Model'!$B$8*F49</f>
        <v>36305980.573976353</v>
      </c>
      <c r="S49" s="23">
        <f>'GS &gt; 50 OLS Model'!$B$9*G49</f>
        <v>-1181579.8449200927</v>
      </c>
      <c r="T49" s="23">
        <f>'GS &gt; 50 OLS Model'!$B$10*H49</f>
        <v>3176959.5169779104</v>
      </c>
      <c r="U49" s="23">
        <f>'GS &gt; 50 OLS Model'!$B$11*I49</f>
        <v>0</v>
      </c>
      <c r="V49" s="23">
        <f>'GS &gt; 50 OLS Model'!$B$12*J49</f>
        <v>0</v>
      </c>
      <c r="W49" s="23">
        <f>'GS &gt; 50 OLS Model'!$B$13*K49</f>
        <v>0</v>
      </c>
      <c r="X49" s="23">
        <f>'GS &gt; 50 OLS Model'!$B$14*L49</f>
        <v>-1083532.53757107</v>
      </c>
      <c r="Y49" s="23">
        <f>'GS &gt; 50 OLS Model'!$B$15*M49</f>
        <v>0</v>
      </c>
      <c r="Z49" s="23">
        <f t="shared" si="2"/>
        <v>25151103.512812514</v>
      </c>
      <c r="AA49" s="13">
        <f t="shared" si="3"/>
        <v>6.5254676194386576E-3</v>
      </c>
    </row>
    <row r="50" spans="1:27">
      <c r="A50" s="11">
        <f>'Monthly Data'!A50</f>
        <v>41275</v>
      </c>
      <c r="B50" s="6">
        <f t="shared" si="1"/>
        <v>2013</v>
      </c>
      <c r="C50" s="30">
        <f>'Monthly Data'!N50</f>
        <v>27247888.509537995</v>
      </c>
      <c r="D50" s="30">
        <f>'Monthly Data'!U50</f>
        <v>743.9</v>
      </c>
      <c r="E50" s="30">
        <f>'Monthly Data'!V50</f>
        <v>0</v>
      </c>
      <c r="F50" s="30">
        <f>'Monthly Data'!Y50</f>
        <v>6721.7</v>
      </c>
      <c r="G50" s="30">
        <f>'Monthly Data'!AA50</f>
        <v>49</v>
      </c>
      <c r="H50" s="30">
        <f>'Monthly Data'!AF50</f>
        <v>365</v>
      </c>
      <c r="I50" s="30">
        <f>'Monthly Data'!AM50</f>
        <v>0</v>
      </c>
      <c r="J50" s="30">
        <f>'Monthly Data'!AN50</f>
        <v>0</v>
      </c>
      <c r="K50" s="30">
        <f>'Monthly Data'!AO50</f>
        <v>0</v>
      </c>
      <c r="L50" s="30">
        <f>'Monthly Data'!AP50</f>
        <v>0</v>
      </c>
      <c r="M50" s="30">
        <f>'Monthly Data'!AQ50</f>
        <v>0</v>
      </c>
      <c r="N50" s="30"/>
      <c r="O50" s="23">
        <f>'GS &gt; 50 OLS Model'!$B$5</f>
        <v>-17059648.826166701</v>
      </c>
      <c r="P50" s="23">
        <f>'GS &gt; 50 OLS Model'!$B$6*D50</f>
        <v>5730078.1126827151</v>
      </c>
      <c r="Q50" s="23">
        <f>'GS &gt; 50 OLS Model'!$B$7*E50</f>
        <v>0</v>
      </c>
      <c r="R50" s="23">
        <f>'GS &gt; 50 OLS Model'!$B$8*F50</f>
        <v>36206330.616910011</v>
      </c>
      <c r="S50" s="23">
        <f>'GS &gt; 50 OLS Model'!$B$9*G50</f>
        <v>-1206196.0916892614</v>
      </c>
      <c r="T50" s="23">
        <f>'GS &gt; 50 OLS Model'!$B$10*H50</f>
        <v>3212161.2844790509</v>
      </c>
      <c r="U50" s="23">
        <f>'GS &gt; 50 OLS Model'!$B$11*I50</f>
        <v>0</v>
      </c>
      <c r="V50" s="23">
        <f>'GS &gt; 50 OLS Model'!$B$12*J50</f>
        <v>0</v>
      </c>
      <c r="W50" s="23">
        <f>'GS &gt; 50 OLS Model'!$B$13*K50</f>
        <v>0</v>
      </c>
      <c r="X50" s="23">
        <f>'GS &gt; 50 OLS Model'!$B$14*L50</f>
        <v>0</v>
      </c>
      <c r="Y50" s="23">
        <f>'GS &gt; 50 OLS Model'!$B$15*M50</f>
        <v>0</v>
      </c>
      <c r="Z50" s="23">
        <f t="shared" si="2"/>
        <v>26882725.096215814</v>
      </c>
      <c r="AA50" s="13">
        <f t="shared" si="3"/>
        <v>1.3401530661517379E-2</v>
      </c>
    </row>
    <row r="51" spans="1:27">
      <c r="A51" s="11">
        <f>'Monthly Data'!A51</f>
        <v>41306</v>
      </c>
      <c r="B51" s="6">
        <f t="shared" si="1"/>
        <v>2013</v>
      </c>
      <c r="C51" s="30">
        <f>'Monthly Data'!N51</f>
        <v>24661696.396936703</v>
      </c>
      <c r="D51" s="30">
        <f>'Monthly Data'!U51</f>
        <v>693.5</v>
      </c>
      <c r="E51" s="30">
        <f>'Monthly Data'!V51</f>
        <v>0</v>
      </c>
      <c r="F51" s="30">
        <f>'Monthly Data'!Y51</f>
        <v>6702</v>
      </c>
      <c r="G51" s="30">
        <f>'Monthly Data'!AA51</f>
        <v>50</v>
      </c>
      <c r="H51" s="30">
        <f>'Monthly Data'!AF51</f>
        <v>365</v>
      </c>
      <c r="I51" s="30">
        <f>'Monthly Data'!AM51</f>
        <v>0</v>
      </c>
      <c r="J51" s="30">
        <f>'Monthly Data'!AN51</f>
        <v>1</v>
      </c>
      <c r="K51" s="30">
        <f>'Monthly Data'!AO51</f>
        <v>0</v>
      </c>
      <c r="L51" s="30">
        <f>'Monthly Data'!AP51</f>
        <v>0</v>
      </c>
      <c r="M51" s="30">
        <f>'Monthly Data'!AQ51</f>
        <v>0</v>
      </c>
      <c r="N51" s="30"/>
      <c r="O51" s="23">
        <f>'GS &gt; 50 OLS Model'!$B$5</f>
        <v>-17059648.826166701</v>
      </c>
      <c r="P51" s="23">
        <f>'GS &gt; 50 OLS Model'!$B$6*D51</f>
        <v>5341859.3509147232</v>
      </c>
      <c r="Q51" s="23">
        <f>'GS &gt; 50 OLS Model'!$B$7*E51</f>
        <v>0</v>
      </c>
      <c r="R51" s="23">
        <f>'GS &gt; 50 OLS Model'!$B$8*F51</f>
        <v>36100216.878844775</v>
      </c>
      <c r="S51" s="23">
        <f>'GS &gt; 50 OLS Model'!$B$9*G51</f>
        <v>-1230812.33845843</v>
      </c>
      <c r="T51" s="23">
        <f>'GS &gt; 50 OLS Model'!$B$10*H51</f>
        <v>3212161.2844790509</v>
      </c>
      <c r="U51" s="23">
        <f>'GS &gt; 50 OLS Model'!$B$11*I51</f>
        <v>0</v>
      </c>
      <c r="V51" s="23">
        <f>'GS &gt; 50 OLS Model'!$B$12*J51</f>
        <v>-1514604.0647521601</v>
      </c>
      <c r="W51" s="23">
        <f>'GS &gt; 50 OLS Model'!$B$13*K51</f>
        <v>0</v>
      </c>
      <c r="X51" s="23">
        <f>'GS &gt; 50 OLS Model'!$B$14*L51</f>
        <v>0</v>
      </c>
      <c r="Y51" s="23">
        <f>'GS &gt; 50 OLS Model'!$B$15*M51</f>
        <v>0</v>
      </c>
      <c r="Z51" s="23">
        <f t="shared" si="2"/>
        <v>24849172.284861259</v>
      </c>
      <c r="AA51" s="13">
        <f t="shared" si="3"/>
        <v>7.6019055991558872E-3</v>
      </c>
    </row>
    <row r="52" spans="1:27">
      <c r="A52" s="11">
        <f>'Monthly Data'!A52</f>
        <v>41334</v>
      </c>
      <c r="B52" s="6">
        <f t="shared" si="1"/>
        <v>2013</v>
      </c>
      <c r="C52" s="30">
        <f>'Monthly Data'!N52</f>
        <v>25156036.893035416</v>
      </c>
      <c r="D52" s="30">
        <f>'Monthly Data'!U52</f>
        <v>588.30000000000018</v>
      </c>
      <c r="E52" s="30">
        <f>'Monthly Data'!V52</f>
        <v>0</v>
      </c>
      <c r="F52" s="30">
        <f>'Monthly Data'!Y52</f>
        <v>6675.8</v>
      </c>
      <c r="G52" s="30">
        <f>'Monthly Data'!AA52</f>
        <v>51</v>
      </c>
      <c r="H52" s="30">
        <f>'Monthly Data'!AF52</f>
        <v>369</v>
      </c>
      <c r="I52" s="30">
        <f>'Monthly Data'!AM52</f>
        <v>0</v>
      </c>
      <c r="J52" s="30">
        <f>'Monthly Data'!AN52</f>
        <v>0</v>
      </c>
      <c r="K52" s="30">
        <f>'Monthly Data'!AO52</f>
        <v>0</v>
      </c>
      <c r="L52" s="30">
        <f>'Monthly Data'!AP52</f>
        <v>0</v>
      </c>
      <c r="M52" s="30">
        <f>'Monthly Data'!AQ52</f>
        <v>0</v>
      </c>
      <c r="N52" s="30"/>
      <c r="O52" s="23">
        <f>'GS &gt; 50 OLS Model'!$B$5</f>
        <v>-17059648.826166701</v>
      </c>
      <c r="P52" s="23">
        <f>'GS &gt; 50 OLS Model'!$B$6*D52</f>
        <v>4531529.7132561393</v>
      </c>
      <c r="Q52" s="23">
        <f>'GS &gt; 50 OLS Model'!$B$7*E52</f>
        <v>0</v>
      </c>
      <c r="R52" s="23">
        <f>'GS &gt; 50 OLS Model'!$B$8*F52</f>
        <v>35959090.993702173</v>
      </c>
      <c r="S52" s="23">
        <f>'GS &gt; 50 OLS Model'!$B$9*G52</f>
        <v>-1255428.5852275987</v>
      </c>
      <c r="T52" s="23">
        <f>'GS &gt; 50 OLS Model'!$B$10*H52</f>
        <v>3247363.0519801909</v>
      </c>
      <c r="U52" s="23">
        <f>'GS &gt; 50 OLS Model'!$B$11*I52</f>
        <v>0</v>
      </c>
      <c r="V52" s="23">
        <f>'GS &gt; 50 OLS Model'!$B$12*J52</f>
        <v>0</v>
      </c>
      <c r="W52" s="23">
        <f>'GS &gt; 50 OLS Model'!$B$13*K52</f>
        <v>0</v>
      </c>
      <c r="X52" s="23">
        <f>'GS &gt; 50 OLS Model'!$B$14*L52</f>
        <v>0</v>
      </c>
      <c r="Y52" s="23">
        <f>'GS &gt; 50 OLS Model'!$B$15*M52</f>
        <v>0</v>
      </c>
      <c r="Z52" s="23">
        <f t="shared" si="2"/>
        <v>25422906.347544204</v>
      </c>
      <c r="AA52" s="13">
        <f t="shared" si="3"/>
        <v>1.0608565078972083E-2</v>
      </c>
    </row>
    <row r="53" spans="1:27">
      <c r="A53" s="11">
        <f>'Monthly Data'!A53</f>
        <v>41365</v>
      </c>
      <c r="B53" s="6">
        <f t="shared" si="1"/>
        <v>2013</v>
      </c>
      <c r="C53" s="30">
        <f>'Monthly Data'!N53</f>
        <v>22478377.571534127</v>
      </c>
      <c r="D53" s="30">
        <f>'Monthly Data'!U53</f>
        <v>386.99999999999989</v>
      </c>
      <c r="E53" s="30">
        <f>'Monthly Data'!V53</f>
        <v>0</v>
      </c>
      <c r="F53" s="30">
        <f>'Monthly Data'!Y53</f>
        <v>6703.7</v>
      </c>
      <c r="G53" s="30">
        <f>'Monthly Data'!AA53</f>
        <v>52</v>
      </c>
      <c r="H53" s="30">
        <f>'Monthly Data'!AF53</f>
        <v>371</v>
      </c>
      <c r="I53" s="30">
        <f>'Monthly Data'!AM53</f>
        <v>0</v>
      </c>
      <c r="J53" s="30">
        <f>'Monthly Data'!AN53</f>
        <v>0</v>
      </c>
      <c r="K53" s="30">
        <f>'Monthly Data'!AO53</f>
        <v>1</v>
      </c>
      <c r="L53" s="30">
        <f>'Monthly Data'!AP53</f>
        <v>0</v>
      </c>
      <c r="M53" s="30">
        <f>'Monthly Data'!AQ53</f>
        <v>0</v>
      </c>
      <c r="N53" s="30"/>
      <c r="O53" s="23">
        <f>'GS &gt; 50 OLS Model'!$B$5</f>
        <v>-17059648.826166701</v>
      </c>
      <c r="P53" s="23">
        <f>'GS &gt; 50 OLS Model'!$B$6*D53</f>
        <v>2980965.4921470764</v>
      </c>
      <c r="Q53" s="23">
        <f>'GS &gt; 50 OLS Model'!$B$7*E53</f>
        <v>0</v>
      </c>
      <c r="R53" s="23">
        <f>'GS &gt; 50 OLS Model'!$B$8*F53</f>
        <v>36109373.901926547</v>
      </c>
      <c r="S53" s="23">
        <f>'GS &gt; 50 OLS Model'!$B$9*G53</f>
        <v>-1280044.8319967671</v>
      </c>
      <c r="T53" s="23">
        <f>'GS &gt; 50 OLS Model'!$B$10*H53</f>
        <v>3264963.9357307614</v>
      </c>
      <c r="U53" s="23">
        <f>'GS &gt; 50 OLS Model'!$B$11*I53</f>
        <v>0</v>
      </c>
      <c r="V53" s="23">
        <f>'GS &gt; 50 OLS Model'!$B$12*J53</f>
        <v>0</v>
      </c>
      <c r="W53" s="23">
        <f>'GS &gt; 50 OLS Model'!$B$13*K53</f>
        <v>-1589866.56724812</v>
      </c>
      <c r="X53" s="23">
        <f>'GS &gt; 50 OLS Model'!$B$14*L53</f>
        <v>0</v>
      </c>
      <c r="Y53" s="23">
        <f>'GS &gt; 50 OLS Model'!$B$15*M53</f>
        <v>0</v>
      </c>
      <c r="Z53" s="23">
        <f t="shared" si="2"/>
        <v>22425743.104392797</v>
      </c>
      <c r="AA53" s="13">
        <f t="shared" si="3"/>
        <v>2.3415598823281975E-3</v>
      </c>
    </row>
    <row r="54" spans="1:27">
      <c r="A54" s="11">
        <f>'Monthly Data'!A54</f>
        <v>41395</v>
      </c>
      <c r="B54" s="6">
        <f t="shared" si="1"/>
        <v>2013</v>
      </c>
      <c r="C54" s="30">
        <f>'Monthly Data'!N54</f>
        <v>21098970.468832832</v>
      </c>
      <c r="D54" s="30">
        <f>'Monthly Data'!U54</f>
        <v>139.70000000000002</v>
      </c>
      <c r="E54" s="30">
        <f>'Monthly Data'!V54</f>
        <v>6.3</v>
      </c>
      <c r="F54" s="30">
        <f>'Monthly Data'!Y54</f>
        <v>6770.3</v>
      </c>
      <c r="G54" s="30">
        <f>'Monthly Data'!AA54</f>
        <v>53</v>
      </c>
      <c r="H54" s="30">
        <f>'Monthly Data'!AF54</f>
        <v>371</v>
      </c>
      <c r="I54" s="30">
        <f>'Monthly Data'!AM54</f>
        <v>0</v>
      </c>
      <c r="J54" s="30">
        <f>'Monthly Data'!AN54</f>
        <v>0</v>
      </c>
      <c r="K54" s="30">
        <f>'Monthly Data'!AO54</f>
        <v>0</v>
      </c>
      <c r="L54" s="30">
        <f>'Monthly Data'!AP54</f>
        <v>0</v>
      </c>
      <c r="M54" s="30">
        <f>'Monthly Data'!AQ54</f>
        <v>1</v>
      </c>
      <c r="N54" s="30"/>
      <c r="O54" s="23">
        <f>'GS &gt; 50 OLS Model'!$B$5</f>
        <v>-17059648.826166701</v>
      </c>
      <c r="P54" s="23">
        <f>'GS &gt; 50 OLS Model'!$B$6*D54</f>
        <v>1076074.6233926271</v>
      </c>
      <c r="Q54" s="23">
        <f>'GS &gt; 50 OLS Model'!$B$7*E54</f>
        <v>205676.10621132812</v>
      </c>
      <c r="R54" s="23">
        <f>'GS &gt; 50 OLS Model'!$B$8*F54</f>
        <v>36468113.747365378</v>
      </c>
      <c r="S54" s="23">
        <f>'GS &gt; 50 OLS Model'!$B$9*G54</f>
        <v>-1304661.0787659357</v>
      </c>
      <c r="T54" s="23">
        <f>'GS &gt; 50 OLS Model'!$B$10*H54</f>
        <v>3264963.9357307614</v>
      </c>
      <c r="U54" s="23">
        <f>'GS &gt; 50 OLS Model'!$B$11*I54</f>
        <v>0</v>
      </c>
      <c r="V54" s="23">
        <f>'GS &gt; 50 OLS Model'!$B$12*J54</f>
        <v>0</v>
      </c>
      <c r="W54" s="23">
        <f>'GS &gt; 50 OLS Model'!$B$13*K54</f>
        <v>0</v>
      </c>
      <c r="X54" s="23">
        <f>'GS &gt; 50 OLS Model'!$B$14*L54</f>
        <v>0</v>
      </c>
      <c r="Y54" s="23">
        <f>'GS &gt; 50 OLS Model'!$B$15*M54</f>
        <v>-1207404.17093835</v>
      </c>
      <c r="Z54" s="23">
        <f t="shared" si="2"/>
        <v>21443114.336829111</v>
      </c>
      <c r="AA54" s="13">
        <f t="shared" si="3"/>
        <v>1.6310931782413021E-2</v>
      </c>
    </row>
    <row r="55" spans="1:27">
      <c r="A55" s="11">
        <f>'Monthly Data'!A55</f>
        <v>41426</v>
      </c>
      <c r="B55" s="6">
        <f t="shared" si="1"/>
        <v>2013</v>
      </c>
      <c r="C55" s="30">
        <f>'Monthly Data'!N55</f>
        <v>21584100.430531546</v>
      </c>
      <c r="D55" s="30">
        <f>'Monthly Data'!U55</f>
        <v>72.200000000000017</v>
      </c>
      <c r="E55" s="30">
        <f>'Monthly Data'!V55</f>
        <v>30.800000000000004</v>
      </c>
      <c r="F55" s="30">
        <f>'Monthly Data'!Y55</f>
        <v>6861.8</v>
      </c>
      <c r="G55" s="30">
        <f>'Monthly Data'!AA55</f>
        <v>54</v>
      </c>
      <c r="H55" s="30">
        <f>'Monthly Data'!AF55</f>
        <v>370</v>
      </c>
      <c r="I55" s="30">
        <f>'Monthly Data'!AM55</f>
        <v>0</v>
      </c>
      <c r="J55" s="30">
        <f>'Monthly Data'!AN55</f>
        <v>0</v>
      </c>
      <c r="K55" s="30">
        <f>'Monthly Data'!AO55</f>
        <v>0</v>
      </c>
      <c r="L55" s="30">
        <f>'Monthly Data'!AP55</f>
        <v>0</v>
      </c>
      <c r="M55" s="30">
        <f>'Monthly Data'!AQ55</f>
        <v>1</v>
      </c>
      <c r="N55" s="30"/>
      <c r="O55" s="23">
        <f>'GS &gt; 50 OLS Model'!$B$5</f>
        <v>-17059648.826166701</v>
      </c>
      <c r="P55" s="23">
        <f>'GS &gt; 50 OLS Model'!$B$6*D55</f>
        <v>556138.78173906717</v>
      </c>
      <c r="Q55" s="23">
        <f>'GS &gt; 50 OLS Model'!$B$7*E55</f>
        <v>1005527.6303664932</v>
      </c>
      <c r="R55" s="23">
        <f>'GS &gt; 50 OLS Model'!$B$8*F55</f>
        <v>36960977.048531346</v>
      </c>
      <c r="S55" s="23">
        <f>'GS &gt; 50 OLS Model'!$B$9*G55</f>
        <v>-1329277.3255351044</v>
      </c>
      <c r="T55" s="23">
        <f>'GS &gt; 50 OLS Model'!$B$10*H55</f>
        <v>3256163.4938554759</v>
      </c>
      <c r="U55" s="23">
        <f>'GS &gt; 50 OLS Model'!$B$11*I55</f>
        <v>0</v>
      </c>
      <c r="V55" s="23">
        <f>'GS &gt; 50 OLS Model'!$B$12*J55</f>
        <v>0</v>
      </c>
      <c r="W55" s="23">
        <f>'GS &gt; 50 OLS Model'!$B$13*K55</f>
        <v>0</v>
      </c>
      <c r="X55" s="23">
        <f>'GS &gt; 50 OLS Model'!$B$14*L55</f>
        <v>0</v>
      </c>
      <c r="Y55" s="23">
        <f>'GS &gt; 50 OLS Model'!$B$15*M55</f>
        <v>-1207404.17093835</v>
      </c>
      <c r="Z55" s="23">
        <f t="shared" si="2"/>
        <v>22182476.631852228</v>
      </c>
      <c r="AA55" s="13">
        <f t="shared" si="3"/>
        <v>2.7723008575064607E-2</v>
      </c>
    </row>
    <row r="56" spans="1:27">
      <c r="A56" s="11">
        <f>'Monthly Data'!A56</f>
        <v>41456</v>
      </c>
      <c r="B56" s="6">
        <f t="shared" si="1"/>
        <v>2013</v>
      </c>
      <c r="C56" s="30">
        <f>'Monthly Data'!N56</f>
        <v>24380210.304030258</v>
      </c>
      <c r="D56" s="30">
        <f>'Monthly Data'!U56</f>
        <v>4.8</v>
      </c>
      <c r="E56" s="30">
        <f>'Monthly Data'!V56</f>
        <v>97.09999999999998</v>
      </c>
      <c r="F56" s="30">
        <f>'Monthly Data'!Y56</f>
        <v>6917.1</v>
      </c>
      <c r="G56" s="30">
        <f>'Monthly Data'!AA56</f>
        <v>55</v>
      </c>
      <c r="H56" s="30">
        <f>'Monthly Data'!AF56</f>
        <v>371</v>
      </c>
      <c r="I56" s="30">
        <f>'Monthly Data'!AM56</f>
        <v>0</v>
      </c>
      <c r="J56" s="30">
        <f>'Monthly Data'!AN56</f>
        <v>0</v>
      </c>
      <c r="K56" s="30">
        <f>'Monthly Data'!AO56</f>
        <v>0</v>
      </c>
      <c r="L56" s="30">
        <f>'Monthly Data'!AP56</f>
        <v>0</v>
      </c>
      <c r="M56" s="30">
        <f>'Monthly Data'!AQ56</f>
        <v>1</v>
      </c>
      <c r="N56" s="30"/>
      <c r="O56" s="23">
        <f>'GS &gt; 50 OLS Model'!$B$5</f>
        <v>-17059648.826166701</v>
      </c>
      <c r="P56" s="23">
        <f>'GS &gt; 50 OLS Model'!$B$6*D56</f>
        <v>36973.21540647537</v>
      </c>
      <c r="Q56" s="23">
        <f>'GS &gt; 50 OLS Model'!$B$7*E56</f>
        <v>3170023.7957333266</v>
      </c>
      <c r="R56" s="23">
        <f>'GS &gt; 50 OLS Model'!$B$8*F56</f>
        <v>37258849.622897223</v>
      </c>
      <c r="S56" s="23">
        <f>'GS &gt; 50 OLS Model'!$B$9*G56</f>
        <v>-1353893.572304273</v>
      </c>
      <c r="T56" s="23">
        <f>'GS &gt; 50 OLS Model'!$B$10*H56</f>
        <v>3264963.9357307614</v>
      </c>
      <c r="U56" s="23">
        <f>'GS &gt; 50 OLS Model'!$B$11*I56</f>
        <v>0</v>
      </c>
      <c r="V56" s="23">
        <f>'GS &gt; 50 OLS Model'!$B$12*J56</f>
        <v>0</v>
      </c>
      <c r="W56" s="23">
        <f>'GS &gt; 50 OLS Model'!$B$13*K56</f>
        <v>0</v>
      </c>
      <c r="X56" s="23">
        <f>'GS &gt; 50 OLS Model'!$B$14*L56</f>
        <v>0</v>
      </c>
      <c r="Y56" s="23">
        <f>'GS &gt; 50 OLS Model'!$B$15*M56</f>
        <v>-1207404.17093835</v>
      </c>
      <c r="Z56" s="23">
        <f t="shared" si="2"/>
        <v>24109864.000358462</v>
      </c>
      <c r="AA56" s="13">
        <f t="shared" si="3"/>
        <v>1.1088760117344243E-2</v>
      </c>
    </row>
    <row r="57" spans="1:27">
      <c r="A57" s="11">
        <f>'Monthly Data'!A57</f>
        <v>41487</v>
      </c>
      <c r="B57" s="6">
        <f t="shared" si="1"/>
        <v>2013</v>
      </c>
      <c r="C57" s="30">
        <f>'Monthly Data'!N57</f>
        <v>23693758.831728969</v>
      </c>
      <c r="D57" s="30">
        <f>'Monthly Data'!U57</f>
        <v>7.7</v>
      </c>
      <c r="E57" s="30">
        <f>'Monthly Data'!V57</f>
        <v>59.999999999999993</v>
      </c>
      <c r="F57" s="30">
        <f>'Monthly Data'!Y57</f>
        <v>6934.7</v>
      </c>
      <c r="G57" s="30">
        <f>'Monthly Data'!AA57</f>
        <v>56</v>
      </c>
      <c r="H57" s="30">
        <f>'Monthly Data'!AF57</f>
        <v>373</v>
      </c>
      <c r="I57" s="30">
        <f>'Monthly Data'!AM57</f>
        <v>0</v>
      </c>
      <c r="J57" s="30">
        <f>'Monthly Data'!AN57</f>
        <v>0</v>
      </c>
      <c r="K57" s="30">
        <f>'Monthly Data'!AO57</f>
        <v>0</v>
      </c>
      <c r="L57" s="30">
        <f>'Monthly Data'!AP57</f>
        <v>0</v>
      </c>
      <c r="M57" s="30">
        <f>'Monthly Data'!AQ57</f>
        <v>1</v>
      </c>
      <c r="N57" s="30"/>
      <c r="O57" s="23">
        <f>'GS &gt; 50 OLS Model'!$B$5</f>
        <v>-17059648.826166701</v>
      </c>
      <c r="P57" s="23">
        <f>'GS &gt; 50 OLS Model'!$B$6*D57</f>
        <v>59311.199714554248</v>
      </c>
      <c r="Q57" s="23">
        <f>'GS &gt; 50 OLS Model'!$B$7*E57</f>
        <v>1958820.0591555058</v>
      </c>
      <c r="R57" s="23">
        <f>'GS &gt; 50 OLS Model'!$B$8*F57</f>
        <v>37353651.744214393</v>
      </c>
      <c r="S57" s="23">
        <f>'GS &gt; 50 OLS Model'!$B$9*G57</f>
        <v>-1378509.8190734417</v>
      </c>
      <c r="T57" s="23">
        <f>'GS &gt; 50 OLS Model'!$B$10*H57</f>
        <v>3282564.8194813314</v>
      </c>
      <c r="U57" s="23">
        <f>'GS &gt; 50 OLS Model'!$B$11*I57</f>
        <v>0</v>
      </c>
      <c r="V57" s="23">
        <f>'GS &gt; 50 OLS Model'!$B$12*J57</f>
        <v>0</v>
      </c>
      <c r="W57" s="23">
        <f>'GS &gt; 50 OLS Model'!$B$13*K57</f>
        <v>0</v>
      </c>
      <c r="X57" s="23">
        <f>'GS &gt; 50 OLS Model'!$B$14*L57</f>
        <v>0</v>
      </c>
      <c r="Y57" s="23">
        <f>'GS &gt; 50 OLS Model'!$B$15*M57</f>
        <v>-1207404.17093835</v>
      </c>
      <c r="Z57" s="23">
        <f t="shared" si="2"/>
        <v>23008785.00638729</v>
      </c>
      <c r="AA57" s="13">
        <f t="shared" si="3"/>
        <v>2.8909462200839647E-2</v>
      </c>
    </row>
    <row r="58" spans="1:27">
      <c r="A58" s="11">
        <f>'Monthly Data'!A58</f>
        <v>41518</v>
      </c>
      <c r="B58" s="6">
        <f t="shared" si="1"/>
        <v>2013</v>
      </c>
      <c r="C58" s="30">
        <f>'Monthly Data'!N58</f>
        <v>21820286.767527681</v>
      </c>
      <c r="D58" s="30">
        <f>'Monthly Data'!U58</f>
        <v>118.4</v>
      </c>
      <c r="E58" s="30">
        <f>'Monthly Data'!V58</f>
        <v>16.5</v>
      </c>
      <c r="F58" s="30">
        <f>'Monthly Data'!Y58</f>
        <v>6906.9</v>
      </c>
      <c r="G58" s="30">
        <f>'Monthly Data'!AA58</f>
        <v>57</v>
      </c>
      <c r="H58" s="30">
        <f>'Monthly Data'!AF58</f>
        <v>373</v>
      </c>
      <c r="I58" s="30">
        <f>'Monthly Data'!AM58</f>
        <v>1</v>
      </c>
      <c r="J58" s="30">
        <f>'Monthly Data'!AN58</f>
        <v>0</v>
      </c>
      <c r="K58" s="30">
        <f>'Monthly Data'!AO58</f>
        <v>0</v>
      </c>
      <c r="L58" s="30">
        <f>'Monthly Data'!AP58</f>
        <v>0</v>
      </c>
      <c r="M58" s="30">
        <f>'Monthly Data'!AQ58</f>
        <v>0</v>
      </c>
      <c r="N58" s="30"/>
      <c r="O58" s="23">
        <f>'GS &gt; 50 OLS Model'!$B$5</f>
        <v>-17059648.826166701</v>
      </c>
      <c r="P58" s="23">
        <f>'GS &gt; 50 OLS Model'!$B$6*D58</f>
        <v>912005.98002639262</v>
      </c>
      <c r="Q58" s="23">
        <f>'GS &gt; 50 OLS Model'!$B$7*E58</f>
        <v>538675.51626776415</v>
      </c>
      <c r="R58" s="23">
        <f>'GS &gt; 50 OLS Model'!$B$8*F58</f>
        <v>37203907.48440659</v>
      </c>
      <c r="S58" s="23">
        <f>'GS &gt; 50 OLS Model'!$B$9*G58</f>
        <v>-1403126.0658426101</v>
      </c>
      <c r="T58" s="23">
        <f>'GS &gt; 50 OLS Model'!$B$10*H58</f>
        <v>3282564.8194813314</v>
      </c>
      <c r="U58" s="23">
        <f>'GS &gt; 50 OLS Model'!$B$11*I58</f>
        <v>-1573400.2840208299</v>
      </c>
      <c r="V58" s="23">
        <f>'GS &gt; 50 OLS Model'!$B$12*J58</f>
        <v>0</v>
      </c>
      <c r="W58" s="23">
        <f>'GS &gt; 50 OLS Model'!$B$13*K58</f>
        <v>0</v>
      </c>
      <c r="X58" s="23">
        <f>'GS &gt; 50 OLS Model'!$B$14*L58</f>
        <v>0</v>
      </c>
      <c r="Y58" s="23">
        <f>'GS &gt; 50 OLS Model'!$B$15*M58</f>
        <v>0</v>
      </c>
      <c r="Z58" s="23">
        <f t="shared" si="2"/>
        <v>21900978.624151938</v>
      </c>
      <c r="AA58" s="13">
        <f t="shared" si="3"/>
        <v>3.6980199886437839E-3</v>
      </c>
    </row>
    <row r="59" spans="1:27">
      <c r="A59" s="11">
        <f>'Monthly Data'!A59</f>
        <v>41548</v>
      </c>
      <c r="B59" s="6">
        <f t="shared" si="1"/>
        <v>2013</v>
      </c>
      <c r="C59" s="30">
        <f>'Monthly Data'!N59</f>
        <v>22103727.918226391</v>
      </c>
      <c r="D59" s="30">
        <f>'Monthly Data'!U59</f>
        <v>235.69999999999996</v>
      </c>
      <c r="E59" s="30">
        <f>'Monthly Data'!V59</f>
        <v>1.5</v>
      </c>
      <c r="F59" s="30">
        <f>'Monthly Data'!Y59</f>
        <v>6889</v>
      </c>
      <c r="G59" s="30">
        <f>'Monthly Data'!AA59</f>
        <v>58</v>
      </c>
      <c r="H59" s="30">
        <f>'Monthly Data'!AF59</f>
        <v>374</v>
      </c>
      <c r="I59" s="30">
        <f>'Monthly Data'!AM59</f>
        <v>1</v>
      </c>
      <c r="J59" s="30">
        <f>'Monthly Data'!AN59</f>
        <v>0</v>
      </c>
      <c r="K59" s="30">
        <f>'Monthly Data'!AO59</f>
        <v>0</v>
      </c>
      <c r="L59" s="30">
        <f>'Monthly Data'!AP59</f>
        <v>0</v>
      </c>
      <c r="M59" s="30">
        <f>'Monthly Data'!AQ59</f>
        <v>0</v>
      </c>
      <c r="N59" s="30"/>
      <c r="O59" s="23">
        <f>'GS &gt; 50 OLS Model'!$B$5</f>
        <v>-17059648.826166701</v>
      </c>
      <c r="P59" s="23">
        <f>'GS &gt; 50 OLS Model'!$B$6*D59</f>
        <v>1815538.9315221342</v>
      </c>
      <c r="Q59" s="23">
        <f>'GS &gt; 50 OLS Model'!$B$7*E59</f>
        <v>48970.501478887651</v>
      </c>
      <c r="R59" s="23">
        <f>'GS &gt; 50 OLS Model'!$B$8*F59</f>
        <v>37107489.417839698</v>
      </c>
      <c r="S59" s="23">
        <f>'GS &gt; 50 OLS Model'!$B$9*G59</f>
        <v>-1427742.3126117787</v>
      </c>
      <c r="T59" s="23">
        <f>'GS &gt; 50 OLS Model'!$B$10*H59</f>
        <v>3291365.2613566164</v>
      </c>
      <c r="U59" s="23">
        <f>'GS &gt; 50 OLS Model'!$B$11*I59</f>
        <v>-1573400.2840208299</v>
      </c>
      <c r="V59" s="23">
        <f>'GS &gt; 50 OLS Model'!$B$12*J59</f>
        <v>0</v>
      </c>
      <c r="W59" s="23">
        <f>'GS &gt; 50 OLS Model'!$B$13*K59</f>
        <v>0</v>
      </c>
      <c r="X59" s="23">
        <f>'GS &gt; 50 OLS Model'!$B$14*L59</f>
        <v>0</v>
      </c>
      <c r="Y59" s="23">
        <f>'GS &gt; 50 OLS Model'!$B$15*M59</f>
        <v>0</v>
      </c>
      <c r="Z59" s="23">
        <f t="shared" si="2"/>
        <v>22202572.689398032</v>
      </c>
      <c r="AA59" s="13">
        <f t="shared" si="3"/>
        <v>4.4718597486053356E-3</v>
      </c>
    </row>
    <row r="60" spans="1:27">
      <c r="A60" s="11">
        <f>'Monthly Data'!A60</f>
        <v>41579</v>
      </c>
      <c r="B60" s="6">
        <f t="shared" si="1"/>
        <v>2013</v>
      </c>
      <c r="C60" s="30">
        <f>'Monthly Data'!N60</f>
        <v>24077093.308325101</v>
      </c>
      <c r="D60" s="30">
        <f>'Monthly Data'!U60</f>
        <v>501.50000000000006</v>
      </c>
      <c r="E60" s="30">
        <f>'Monthly Data'!V60</f>
        <v>0</v>
      </c>
      <c r="F60" s="30">
        <f>'Monthly Data'!Y60</f>
        <v>6863.8</v>
      </c>
      <c r="G60" s="30">
        <f>'Monthly Data'!AA60</f>
        <v>59</v>
      </c>
      <c r="H60" s="30">
        <f>'Monthly Data'!AF60</f>
        <v>373</v>
      </c>
      <c r="I60" s="30">
        <f>'Monthly Data'!AM60</f>
        <v>1</v>
      </c>
      <c r="J60" s="30">
        <f>'Monthly Data'!AN60</f>
        <v>0</v>
      </c>
      <c r="K60" s="30">
        <f>'Monthly Data'!AO60</f>
        <v>0</v>
      </c>
      <c r="L60" s="30">
        <f>'Monthly Data'!AP60</f>
        <v>0</v>
      </c>
      <c r="M60" s="30">
        <f>'Monthly Data'!AQ60</f>
        <v>0</v>
      </c>
      <c r="N60" s="30"/>
      <c r="O60" s="23">
        <f>'GS &gt; 50 OLS Model'!$B$5</f>
        <v>-17059648.826166701</v>
      </c>
      <c r="P60" s="23">
        <f>'GS &gt; 50 OLS Model'!$B$6*D60</f>
        <v>3862930.734655709</v>
      </c>
      <c r="Q60" s="23">
        <f>'GS &gt; 50 OLS Model'!$B$7*E60</f>
        <v>0</v>
      </c>
      <c r="R60" s="23">
        <f>'GS &gt; 50 OLS Model'!$B$8*F60</f>
        <v>36971750.016862839</v>
      </c>
      <c r="S60" s="23">
        <f>'GS &gt; 50 OLS Model'!$B$9*G60</f>
        <v>-1452358.5593809474</v>
      </c>
      <c r="T60" s="23">
        <f>'GS &gt; 50 OLS Model'!$B$10*H60</f>
        <v>3282564.8194813314</v>
      </c>
      <c r="U60" s="23">
        <f>'GS &gt; 50 OLS Model'!$B$11*I60</f>
        <v>-1573400.2840208299</v>
      </c>
      <c r="V60" s="23">
        <f>'GS &gt; 50 OLS Model'!$B$12*J60</f>
        <v>0</v>
      </c>
      <c r="W60" s="23">
        <f>'GS &gt; 50 OLS Model'!$B$13*K60</f>
        <v>0</v>
      </c>
      <c r="X60" s="23">
        <f>'GS &gt; 50 OLS Model'!$B$14*L60</f>
        <v>0</v>
      </c>
      <c r="Y60" s="23">
        <f>'GS &gt; 50 OLS Model'!$B$15*M60</f>
        <v>0</v>
      </c>
      <c r="Z60" s="23">
        <f t="shared" si="2"/>
        <v>24031837.9014314</v>
      </c>
      <c r="AA60" s="13">
        <f t="shared" si="3"/>
        <v>1.8796042493240855E-3</v>
      </c>
    </row>
    <row r="61" spans="1:27">
      <c r="A61" s="11">
        <f>'Monthly Data'!A61</f>
        <v>41609</v>
      </c>
      <c r="B61" s="6">
        <f t="shared" si="1"/>
        <v>2013</v>
      </c>
      <c r="C61" s="30">
        <f>'Monthly Data'!N61</f>
        <v>27124967.93432381</v>
      </c>
      <c r="D61" s="30">
        <f>'Monthly Data'!U61</f>
        <v>756.99999999999977</v>
      </c>
      <c r="E61" s="30">
        <f>'Monthly Data'!V61</f>
        <v>0</v>
      </c>
      <c r="F61" s="30">
        <f>'Monthly Data'!Y61</f>
        <v>6849.3</v>
      </c>
      <c r="G61" s="30">
        <f>'Monthly Data'!AA61</f>
        <v>60</v>
      </c>
      <c r="H61" s="30">
        <f>'Monthly Data'!AF61</f>
        <v>374</v>
      </c>
      <c r="I61" s="30">
        <f>'Monthly Data'!AM61</f>
        <v>0</v>
      </c>
      <c r="J61" s="30">
        <f>'Monthly Data'!AN61</f>
        <v>0</v>
      </c>
      <c r="K61" s="30">
        <f>'Monthly Data'!AO61</f>
        <v>0</v>
      </c>
      <c r="L61" s="30">
        <f>'Monthly Data'!AP61</f>
        <v>1</v>
      </c>
      <c r="M61" s="30">
        <f>'Monthly Data'!AQ61</f>
        <v>0</v>
      </c>
      <c r="N61" s="30"/>
      <c r="O61" s="23">
        <f>'GS &gt; 50 OLS Model'!$B$5</f>
        <v>-17059648.826166701</v>
      </c>
      <c r="P61" s="23">
        <f>'GS &gt; 50 OLS Model'!$B$6*D61</f>
        <v>5830984.179729552</v>
      </c>
      <c r="Q61" s="23">
        <f>'GS &gt; 50 OLS Model'!$B$7*E61</f>
        <v>0</v>
      </c>
      <c r="R61" s="23">
        <f>'GS &gt; 50 OLS Model'!$B$8*F61</f>
        <v>36893645.996459492</v>
      </c>
      <c r="S61" s="23">
        <f>'GS &gt; 50 OLS Model'!$B$9*G61</f>
        <v>-1476974.806150116</v>
      </c>
      <c r="T61" s="23">
        <f>'GS &gt; 50 OLS Model'!$B$10*H61</f>
        <v>3291365.2613566164</v>
      </c>
      <c r="U61" s="23">
        <f>'GS &gt; 50 OLS Model'!$B$11*I61</f>
        <v>0</v>
      </c>
      <c r="V61" s="23">
        <f>'GS &gt; 50 OLS Model'!$B$12*J61</f>
        <v>0</v>
      </c>
      <c r="W61" s="23">
        <f>'GS &gt; 50 OLS Model'!$B$13*K61</f>
        <v>0</v>
      </c>
      <c r="X61" s="23">
        <f>'GS &gt; 50 OLS Model'!$B$14*L61</f>
        <v>-1083532.53757107</v>
      </c>
      <c r="Y61" s="23">
        <f>'GS &gt; 50 OLS Model'!$B$15*M61</f>
        <v>0</v>
      </c>
      <c r="Z61" s="23">
        <f t="shared" si="2"/>
        <v>26395839.267657775</v>
      </c>
      <c r="AA61" s="13">
        <f t="shared" si="3"/>
        <v>2.6880351284891236E-2</v>
      </c>
    </row>
    <row r="62" spans="1:27" s="30" customFormat="1">
      <c r="A62" s="11">
        <f>'Monthly Data'!A62</f>
        <v>41640</v>
      </c>
      <c r="B62" s="6">
        <f t="shared" si="1"/>
        <v>2014</v>
      </c>
      <c r="C62" s="30">
        <f>'Monthly Data'!N62</f>
        <v>27950268.010342397</v>
      </c>
      <c r="D62" s="30">
        <f>'Monthly Data'!U62</f>
        <v>844.5</v>
      </c>
      <c r="E62" s="30">
        <f>'Monthly Data'!V62</f>
        <v>0</v>
      </c>
      <c r="F62" s="30">
        <f>'Monthly Data'!Y62</f>
        <v>6806.1</v>
      </c>
      <c r="G62" s="30">
        <f>'Monthly Data'!AA62</f>
        <v>61</v>
      </c>
      <c r="H62" s="30">
        <f>'Monthly Data'!AF62</f>
        <v>322</v>
      </c>
      <c r="I62" s="30">
        <f>'Monthly Data'!AM62</f>
        <v>0</v>
      </c>
      <c r="J62" s="30">
        <f>'Monthly Data'!AN62</f>
        <v>0</v>
      </c>
      <c r="K62" s="30">
        <f>'Monthly Data'!AO62</f>
        <v>0</v>
      </c>
      <c r="L62" s="30">
        <f>'Monthly Data'!AP62</f>
        <v>0</v>
      </c>
      <c r="M62" s="30">
        <f>'Monthly Data'!AQ62</f>
        <v>0</v>
      </c>
      <c r="O62" s="23">
        <f>'GS &gt; 50 OLS Model'!$B$5</f>
        <v>-17059648.826166701</v>
      </c>
      <c r="P62" s="23">
        <f>'GS &gt; 50 OLS Model'!$B$6*D62</f>
        <v>6504975.0855767615</v>
      </c>
      <c r="Q62" s="23">
        <f>'GS &gt; 50 OLS Model'!$B$7*E62</f>
        <v>0</v>
      </c>
      <c r="R62" s="23">
        <f>'GS &gt; 50 OLS Model'!$B$8*F62</f>
        <v>36660949.880499169</v>
      </c>
      <c r="S62" s="23">
        <f>'GS &gt; 50 OLS Model'!$B$9*G62</f>
        <v>-1501591.0529192847</v>
      </c>
      <c r="T62" s="23">
        <f>'GS &gt; 50 OLS Model'!$B$10*H62</f>
        <v>2833742.283841793</v>
      </c>
      <c r="U62" s="23">
        <f>'GS &gt; 50 OLS Model'!$B$11*I62</f>
        <v>0</v>
      </c>
      <c r="V62" s="23">
        <f>'GS &gt; 50 OLS Model'!$B$12*J62</f>
        <v>0</v>
      </c>
      <c r="W62" s="23">
        <f>'GS &gt; 50 OLS Model'!$B$13*K62</f>
        <v>0</v>
      </c>
      <c r="X62" s="23">
        <f>'GS &gt; 50 OLS Model'!$B$14*L62</f>
        <v>0</v>
      </c>
      <c r="Y62" s="23">
        <f>'GS &gt; 50 OLS Model'!$B$15*M62</f>
        <v>0</v>
      </c>
      <c r="Z62" s="23">
        <f t="shared" si="2"/>
        <v>27438427.370831739</v>
      </c>
      <c r="AA62" s="13">
        <f t="shared" si="3"/>
        <v>1.8312548535179055E-2</v>
      </c>
    </row>
    <row r="63" spans="1:27" s="30" customFormat="1">
      <c r="A63" s="11">
        <f>'Monthly Data'!A63</f>
        <v>41671</v>
      </c>
      <c r="B63" s="6">
        <f t="shared" si="1"/>
        <v>2014</v>
      </c>
      <c r="C63" s="30">
        <f>'Monthly Data'!N63</f>
        <v>25183796.294191923</v>
      </c>
      <c r="D63" s="30">
        <f>'Monthly Data'!U63</f>
        <v>740.90000000000009</v>
      </c>
      <c r="E63" s="30">
        <f>'Monthly Data'!V63</f>
        <v>0</v>
      </c>
      <c r="F63" s="30">
        <f>'Monthly Data'!Y63</f>
        <v>6772.3</v>
      </c>
      <c r="G63" s="30">
        <f>'Monthly Data'!AA63</f>
        <v>62</v>
      </c>
      <c r="H63" s="30">
        <f>'Monthly Data'!AF63</f>
        <v>322</v>
      </c>
      <c r="I63" s="30">
        <f>'Monthly Data'!AM63</f>
        <v>0</v>
      </c>
      <c r="J63" s="30">
        <f>'Monthly Data'!AN63</f>
        <v>1</v>
      </c>
      <c r="K63" s="30">
        <f>'Monthly Data'!AO63</f>
        <v>0</v>
      </c>
      <c r="L63" s="30">
        <f>'Monthly Data'!AP63</f>
        <v>0</v>
      </c>
      <c r="M63" s="30">
        <f>'Monthly Data'!AQ63</f>
        <v>0</v>
      </c>
      <c r="O63" s="23">
        <f>'GS &gt; 50 OLS Model'!$B$5</f>
        <v>-17059648.826166701</v>
      </c>
      <c r="P63" s="23">
        <f>'GS &gt; 50 OLS Model'!$B$6*D63</f>
        <v>5706969.8530536685</v>
      </c>
      <c r="Q63" s="23">
        <f>'GS &gt; 50 OLS Model'!$B$7*E63</f>
        <v>0</v>
      </c>
      <c r="R63" s="23">
        <f>'GS &gt; 50 OLS Model'!$B$8*F63</f>
        <v>36478886.715696879</v>
      </c>
      <c r="S63" s="23">
        <f>'GS &gt; 50 OLS Model'!$B$9*G63</f>
        <v>-1526207.2996884531</v>
      </c>
      <c r="T63" s="23">
        <f>'GS &gt; 50 OLS Model'!$B$10*H63</f>
        <v>2833742.283841793</v>
      </c>
      <c r="U63" s="23">
        <f>'GS &gt; 50 OLS Model'!$B$11*I63</f>
        <v>0</v>
      </c>
      <c r="V63" s="23">
        <f>'GS &gt; 50 OLS Model'!$B$12*J63</f>
        <v>-1514604.0647521601</v>
      </c>
      <c r="W63" s="23">
        <f>'GS &gt; 50 OLS Model'!$B$13*K63</f>
        <v>0</v>
      </c>
      <c r="X63" s="23">
        <f>'GS &gt; 50 OLS Model'!$B$14*L63</f>
        <v>0</v>
      </c>
      <c r="Y63" s="23">
        <f>'GS &gt; 50 OLS Model'!$B$15*M63</f>
        <v>0</v>
      </c>
      <c r="Z63" s="23">
        <f t="shared" si="2"/>
        <v>24919138.661985025</v>
      </c>
      <c r="AA63" s="13">
        <f t="shared" si="3"/>
        <v>1.0509044351980227E-2</v>
      </c>
    </row>
    <row r="64" spans="1:27" s="30" customFormat="1">
      <c r="A64" s="11">
        <f>'Monthly Data'!A64</f>
        <v>41699</v>
      </c>
      <c r="B64" s="6">
        <f t="shared" si="1"/>
        <v>2014</v>
      </c>
      <c r="C64" s="30">
        <f>'Monthly Data'!N64</f>
        <v>26456428.892041452</v>
      </c>
      <c r="D64" s="30">
        <f>'Monthly Data'!U64</f>
        <v>720.19999999999993</v>
      </c>
      <c r="E64" s="30">
        <f>'Monthly Data'!V64</f>
        <v>0</v>
      </c>
      <c r="F64" s="30">
        <f>'Monthly Data'!Y64</f>
        <v>6751.3</v>
      </c>
      <c r="G64" s="30">
        <f>'Monthly Data'!AA64</f>
        <v>63</v>
      </c>
      <c r="H64" s="30">
        <f>'Monthly Data'!AF64</f>
        <v>325</v>
      </c>
      <c r="I64" s="30">
        <f>'Monthly Data'!AM64</f>
        <v>0</v>
      </c>
      <c r="J64" s="30">
        <f>'Monthly Data'!AN64</f>
        <v>0</v>
      </c>
      <c r="K64" s="30">
        <f>'Monthly Data'!AO64</f>
        <v>0</v>
      </c>
      <c r="L64" s="30">
        <f>'Monthly Data'!AP64</f>
        <v>0</v>
      </c>
      <c r="M64" s="30">
        <f>'Monthly Data'!AQ64</f>
        <v>0</v>
      </c>
      <c r="O64" s="23">
        <f>'GS &gt; 50 OLS Model'!$B$5</f>
        <v>-17059648.826166701</v>
      </c>
      <c r="P64" s="23">
        <f>'GS &gt; 50 OLS Model'!$B$6*D64</f>
        <v>5547522.861613242</v>
      </c>
      <c r="Q64" s="23">
        <f>'GS &gt; 50 OLS Model'!$B$7*E64</f>
        <v>0</v>
      </c>
      <c r="R64" s="23">
        <f>'GS &gt; 50 OLS Model'!$B$8*F64</f>
        <v>36365770.548216164</v>
      </c>
      <c r="S64" s="23">
        <f>'GS &gt; 50 OLS Model'!$B$9*G64</f>
        <v>-1550823.5464576217</v>
      </c>
      <c r="T64" s="23">
        <f>'GS &gt; 50 OLS Model'!$B$10*H64</f>
        <v>2860143.609467648</v>
      </c>
      <c r="U64" s="23">
        <f>'GS &gt; 50 OLS Model'!$B$11*I64</f>
        <v>0</v>
      </c>
      <c r="V64" s="23">
        <f>'GS &gt; 50 OLS Model'!$B$12*J64</f>
        <v>0</v>
      </c>
      <c r="W64" s="23">
        <f>'GS &gt; 50 OLS Model'!$B$13*K64</f>
        <v>0</v>
      </c>
      <c r="X64" s="23">
        <f>'GS &gt; 50 OLS Model'!$B$14*L64</f>
        <v>0</v>
      </c>
      <c r="Y64" s="23">
        <f>'GS &gt; 50 OLS Model'!$B$15*M64</f>
        <v>0</v>
      </c>
      <c r="Z64" s="23">
        <f t="shared" si="2"/>
        <v>26162964.646672729</v>
      </c>
      <c r="AA64" s="13">
        <f t="shared" si="3"/>
        <v>1.1092360445403949E-2</v>
      </c>
    </row>
    <row r="65" spans="1:27" s="30" customFormat="1">
      <c r="A65" s="11">
        <f>'Monthly Data'!A65</f>
        <v>41730</v>
      </c>
      <c r="B65" s="6">
        <f t="shared" si="1"/>
        <v>2014</v>
      </c>
      <c r="C65" s="30">
        <f>'Monthly Data'!N65</f>
        <v>22397499.332090985</v>
      </c>
      <c r="D65" s="30">
        <f>'Monthly Data'!U65</f>
        <v>352.09999999999991</v>
      </c>
      <c r="E65" s="30">
        <f>'Monthly Data'!V65</f>
        <v>0</v>
      </c>
      <c r="F65" s="30">
        <f>'Monthly Data'!Y65</f>
        <v>6785</v>
      </c>
      <c r="G65" s="30">
        <f>'Monthly Data'!AA65</f>
        <v>64</v>
      </c>
      <c r="H65" s="30">
        <f>'Monthly Data'!AF65</f>
        <v>323</v>
      </c>
      <c r="I65" s="30">
        <f>'Monthly Data'!AM65</f>
        <v>0</v>
      </c>
      <c r="J65" s="30">
        <f>'Monthly Data'!AN65</f>
        <v>0</v>
      </c>
      <c r="K65" s="30">
        <f>'Monthly Data'!AO65</f>
        <v>1</v>
      </c>
      <c r="L65" s="30">
        <f>'Monthly Data'!AP65</f>
        <v>0</v>
      </c>
      <c r="M65" s="30">
        <f>'Monthly Data'!AQ65</f>
        <v>0</v>
      </c>
      <c r="O65" s="23">
        <f>'GS &gt; 50 OLS Model'!$B$5</f>
        <v>-17059648.826166701</v>
      </c>
      <c r="P65" s="23">
        <f>'GS &gt; 50 OLS Model'!$B$6*D65</f>
        <v>2712139.4051291617</v>
      </c>
      <c r="Q65" s="23">
        <f>'GS &gt; 50 OLS Model'!$B$7*E65</f>
        <v>0</v>
      </c>
      <c r="R65" s="23">
        <f>'GS &gt; 50 OLS Model'!$B$8*F65</f>
        <v>36547295.064601876</v>
      </c>
      <c r="S65" s="23">
        <f>'GS &gt; 50 OLS Model'!$B$9*G65</f>
        <v>-1575439.7932267904</v>
      </c>
      <c r="T65" s="23">
        <f>'GS &gt; 50 OLS Model'!$B$10*H65</f>
        <v>2842542.725717078</v>
      </c>
      <c r="U65" s="23">
        <f>'GS &gt; 50 OLS Model'!$B$11*I65</f>
        <v>0</v>
      </c>
      <c r="V65" s="23">
        <f>'GS &gt; 50 OLS Model'!$B$12*J65</f>
        <v>0</v>
      </c>
      <c r="W65" s="23">
        <f>'GS &gt; 50 OLS Model'!$B$13*K65</f>
        <v>-1589866.56724812</v>
      </c>
      <c r="X65" s="23">
        <f>'GS &gt; 50 OLS Model'!$B$14*L65</f>
        <v>0</v>
      </c>
      <c r="Y65" s="23">
        <f>'GS &gt; 50 OLS Model'!$B$15*M65</f>
        <v>0</v>
      </c>
      <c r="Z65" s="23">
        <f t="shared" si="2"/>
        <v>21877022.008806504</v>
      </c>
      <c r="AA65" s="13">
        <f t="shared" si="3"/>
        <v>2.3238189030270195E-2</v>
      </c>
    </row>
    <row r="66" spans="1:27" s="30" customFormat="1">
      <c r="A66" s="11">
        <f>'Monthly Data'!A66</f>
        <v>41760</v>
      </c>
      <c r="B66" s="6">
        <f t="shared" si="1"/>
        <v>2014</v>
      </c>
      <c r="C66" s="30">
        <f>'Monthly Data'!N66</f>
        <v>20822092.799240515</v>
      </c>
      <c r="D66" s="30">
        <f>'Monthly Data'!U66</f>
        <v>127.70000000000003</v>
      </c>
      <c r="E66" s="30">
        <f>'Monthly Data'!V66</f>
        <v>12.399999999999999</v>
      </c>
      <c r="F66" s="30">
        <f>'Monthly Data'!Y66</f>
        <v>6842.6</v>
      </c>
      <c r="G66" s="30">
        <f>'Monthly Data'!AA66</f>
        <v>65</v>
      </c>
      <c r="H66" s="30">
        <f>'Monthly Data'!AF66</f>
        <v>324</v>
      </c>
      <c r="I66" s="30">
        <f>'Monthly Data'!AM66</f>
        <v>0</v>
      </c>
      <c r="J66" s="30">
        <f>'Monthly Data'!AN66</f>
        <v>0</v>
      </c>
      <c r="K66" s="30">
        <f>'Monthly Data'!AO66</f>
        <v>0</v>
      </c>
      <c r="L66" s="30">
        <f>'Monthly Data'!AP66</f>
        <v>0</v>
      </c>
      <c r="M66" s="30">
        <f>'Monthly Data'!AQ66</f>
        <v>1</v>
      </c>
      <c r="O66" s="23">
        <f>'GS &gt; 50 OLS Model'!$B$5</f>
        <v>-17059648.826166701</v>
      </c>
      <c r="P66" s="23">
        <f>'GS &gt; 50 OLS Model'!$B$6*D66</f>
        <v>983641.58487643884</v>
      </c>
      <c r="Q66" s="23">
        <f>'GS &gt; 50 OLS Model'!$B$7*E66</f>
        <v>404822.81222547119</v>
      </c>
      <c r="R66" s="23">
        <f>'GS &gt; 50 OLS Model'!$B$8*F66</f>
        <v>36857556.552548982</v>
      </c>
      <c r="S66" s="23">
        <f>'GS &gt; 50 OLS Model'!$B$9*G66</f>
        <v>-1600056.039995959</v>
      </c>
      <c r="T66" s="23">
        <f>'GS &gt; 50 OLS Model'!$B$10*H66</f>
        <v>2851343.167592363</v>
      </c>
      <c r="U66" s="23">
        <f>'GS &gt; 50 OLS Model'!$B$11*I66</f>
        <v>0</v>
      </c>
      <c r="V66" s="23">
        <f>'GS &gt; 50 OLS Model'!$B$12*J66</f>
        <v>0</v>
      </c>
      <c r="W66" s="23">
        <f>'GS &gt; 50 OLS Model'!$B$13*K66</f>
        <v>0</v>
      </c>
      <c r="X66" s="23">
        <f>'GS &gt; 50 OLS Model'!$B$14*L66</f>
        <v>0</v>
      </c>
      <c r="Y66" s="23">
        <f>'GS &gt; 50 OLS Model'!$B$15*M66</f>
        <v>-1207404.17093835</v>
      </c>
      <c r="Z66" s="23">
        <f t="shared" si="2"/>
        <v>21230255.080142245</v>
      </c>
      <c r="AA66" s="13">
        <f t="shared" si="3"/>
        <v>1.9602365854243901E-2</v>
      </c>
    </row>
    <row r="67" spans="1:27" s="30" customFormat="1">
      <c r="A67" s="11">
        <f>'Monthly Data'!A67</f>
        <v>41791</v>
      </c>
      <c r="B67" s="6">
        <f t="shared" ref="B67:B73" si="4">YEAR(A67)</f>
        <v>2014</v>
      </c>
      <c r="C67" s="30">
        <f>'Monthly Data'!N67</f>
        <v>21310374.756490044</v>
      </c>
      <c r="D67" s="30">
        <f>'Monthly Data'!U67</f>
        <v>25.699999999999996</v>
      </c>
      <c r="E67" s="30">
        <f>'Monthly Data'!V67</f>
        <v>47.4</v>
      </c>
      <c r="F67" s="30">
        <f>'Monthly Data'!Y67</f>
        <v>6912.9</v>
      </c>
      <c r="G67" s="30">
        <f>'Monthly Data'!AA67</f>
        <v>66</v>
      </c>
      <c r="H67" s="30">
        <f>'Monthly Data'!AF67</f>
        <v>325</v>
      </c>
      <c r="I67" s="30">
        <f>'Monthly Data'!AM67</f>
        <v>0</v>
      </c>
      <c r="J67" s="30">
        <f>'Monthly Data'!AN67</f>
        <v>0</v>
      </c>
      <c r="K67" s="30">
        <f>'Monthly Data'!AO67</f>
        <v>0</v>
      </c>
      <c r="L67" s="30">
        <f>'Monthly Data'!AP67</f>
        <v>0</v>
      </c>
      <c r="M67" s="30">
        <f>'Monthly Data'!AQ67</f>
        <v>1</v>
      </c>
      <c r="O67" s="23">
        <f>'GS &gt; 50 OLS Model'!$B$5</f>
        <v>-17059648.826166701</v>
      </c>
      <c r="P67" s="23">
        <f>'GS &gt; 50 OLS Model'!$B$6*D67</f>
        <v>197960.75748883688</v>
      </c>
      <c r="Q67" s="23">
        <f>'GS &gt; 50 OLS Model'!$B$7*E67</f>
        <v>1547467.8467328497</v>
      </c>
      <c r="R67" s="23">
        <f>'GS &gt; 50 OLS Model'!$B$8*F67</f>
        <v>37236226.389401078</v>
      </c>
      <c r="S67" s="23">
        <f>'GS &gt; 50 OLS Model'!$B$9*G67</f>
        <v>-1624672.2867651277</v>
      </c>
      <c r="T67" s="23">
        <f>'GS &gt; 50 OLS Model'!$B$10*H67</f>
        <v>2860143.609467648</v>
      </c>
      <c r="U67" s="23">
        <f>'GS &gt; 50 OLS Model'!$B$11*I67</f>
        <v>0</v>
      </c>
      <c r="V67" s="23">
        <f>'GS &gt; 50 OLS Model'!$B$12*J67</f>
        <v>0</v>
      </c>
      <c r="W67" s="23">
        <f>'GS &gt; 50 OLS Model'!$B$13*K67</f>
        <v>0</v>
      </c>
      <c r="X67" s="23">
        <f>'GS &gt; 50 OLS Model'!$B$14*L67</f>
        <v>0</v>
      </c>
      <c r="Y67" s="23">
        <f>'GS &gt; 50 OLS Model'!$B$15*M67</f>
        <v>-1207404.17093835</v>
      </c>
      <c r="Z67" s="23">
        <f t="shared" ref="Z67:Z73" si="5">SUM(O67:Y67)</f>
        <v>21950073.31922023</v>
      </c>
      <c r="AA67" s="13">
        <f t="shared" ref="AA67:AA73" si="6">ABS(Z67-C67)/C67</f>
        <v>3.001817518649532E-2</v>
      </c>
    </row>
    <row r="68" spans="1:27" s="30" customFormat="1">
      <c r="A68" s="11">
        <f>'Monthly Data'!A68</f>
        <v>41821</v>
      </c>
      <c r="B68" s="6">
        <f t="shared" si="4"/>
        <v>2014</v>
      </c>
      <c r="C68" s="30">
        <f>'Monthly Data'!N68</f>
        <v>22627282.128939569</v>
      </c>
      <c r="D68" s="30">
        <f>'Monthly Data'!U68</f>
        <v>10.600000000000001</v>
      </c>
      <c r="E68" s="30">
        <f>'Monthly Data'!V68</f>
        <v>55.899999999999984</v>
      </c>
      <c r="F68" s="30">
        <f>'Monthly Data'!Y68</f>
        <v>6957.8</v>
      </c>
      <c r="G68" s="30">
        <f>'Monthly Data'!AA68</f>
        <v>67</v>
      </c>
      <c r="H68" s="30">
        <f>'Monthly Data'!AF68</f>
        <v>325</v>
      </c>
      <c r="I68" s="30">
        <f>'Monthly Data'!AM68</f>
        <v>0</v>
      </c>
      <c r="J68" s="30">
        <f>'Monthly Data'!AN68</f>
        <v>0</v>
      </c>
      <c r="K68" s="30">
        <f>'Monthly Data'!AO68</f>
        <v>0</v>
      </c>
      <c r="L68" s="30">
        <f>'Monthly Data'!AP68</f>
        <v>0</v>
      </c>
      <c r="M68" s="30">
        <f>'Monthly Data'!AQ68</f>
        <v>1</v>
      </c>
      <c r="O68" s="23">
        <f>'GS &gt; 50 OLS Model'!$B$5</f>
        <v>-17059648.826166701</v>
      </c>
      <c r="P68" s="23">
        <f>'GS &gt; 50 OLS Model'!$B$6*D68</f>
        <v>81649.184022633126</v>
      </c>
      <c r="Q68" s="23">
        <f>'GS &gt; 50 OLS Model'!$B$7*E68</f>
        <v>1824967.3551132127</v>
      </c>
      <c r="R68" s="23">
        <f>'GS &gt; 50 OLS Model'!$B$8*F68</f>
        <v>37478079.52844318</v>
      </c>
      <c r="S68" s="23">
        <f>'GS &gt; 50 OLS Model'!$B$9*G68</f>
        <v>-1649288.5335342961</v>
      </c>
      <c r="T68" s="23">
        <f>'GS &gt; 50 OLS Model'!$B$10*H68</f>
        <v>2860143.609467648</v>
      </c>
      <c r="U68" s="23">
        <f>'GS &gt; 50 OLS Model'!$B$11*I68</f>
        <v>0</v>
      </c>
      <c r="V68" s="23">
        <f>'GS &gt; 50 OLS Model'!$B$12*J68</f>
        <v>0</v>
      </c>
      <c r="W68" s="23">
        <f>'GS &gt; 50 OLS Model'!$B$13*K68</f>
        <v>0</v>
      </c>
      <c r="X68" s="23">
        <f>'GS &gt; 50 OLS Model'!$B$14*L68</f>
        <v>0</v>
      </c>
      <c r="Y68" s="23">
        <f>'GS &gt; 50 OLS Model'!$B$15*M68</f>
        <v>-1207404.17093835</v>
      </c>
      <c r="Z68" s="23">
        <f t="shared" si="5"/>
        <v>22328498.146407325</v>
      </c>
      <c r="AA68" s="13">
        <f t="shared" si="6"/>
        <v>1.3204589964877356E-2</v>
      </c>
    </row>
    <row r="69" spans="1:27" s="30" customFormat="1">
      <c r="A69" s="11">
        <f>'Monthly Data'!A69</f>
        <v>41852</v>
      </c>
      <c r="B69" s="6">
        <f t="shared" si="4"/>
        <v>2014</v>
      </c>
      <c r="C69" s="30">
        <f>'Monthly Data'!N69</f>
        <v>22450638.6115891</v>
      </c>
      <c r="D69" s="30">
        <f>'Monthly Data'!U69</f>
        <v>18.999999999999996</v>
      </c>
      <c r="E69" s="30">
        <f>'Monthly Data'!V69</f>
        <v>51.999999999999993</v>
      </c>
      <c r="F69" s="30">
        <f>'Monthly Data'!Y69</f>
        <v>6969.7</v>
      </c>
      <c r="G69" s="30">
        <f>'Monthly Data'!AA69</f>
        <v>68</v>
      </c>
      <c r="H69" s="30">
        <f>'Monthly Data'!AF69</f>
        <v>326</v>
      </c>
      <c r="I69" s="30">
        <f>'Monthly Data'!AM69</f>
        <v>0</v>
      </c>
      <c r="J69" s="30">
        <f>'Monthly Data'!AN69</f>
        <v>0</v>
      </c>
      <c r="K69" s="30">
        <f>'Monthly Data'!AO69</f>
        <v>0</v>
      </c>
      <c r="L69" s="30">
        <f>'Monthly Data'!AP69</f>
        <v>0</v>
      </c>
      <c r="M69" s="30">
        <f>'Monthly Data'!AQ69</f>
        <v>1</v>
      </c>
      <c r="O69" s="23">
        <f>'GS &gt; 50 OLS Model'!$B$5</f>
        <v>-17059648.826166701</v>
      </c>
      <c r="P69" s="23">
        <f>'GS &gt; 50 OLS Model'!$B$6*D69</f>
        <v>146352.310983965</v>
      </c>
      <c r="Q69" s="23">
        <f>'GS &gt; 50 OLS Model'!$B$7*E69</f>
        <v>1697644.0512681049</v>
      </c>
      <c r="R69" s="23">
        <f>'GS &gt; 50 OLS Model'!$B$8*F69</f>
        <v>37542178.690015577</v>
      </c>
      <c r="S69" s="23">
        <f>'GS &gt; 50 OLS Model'!$B$9*G69</f>
        <v>-1673904.7803034647</v>
      </c>
      <c r="T69" s="23">
        <f>'GS &gt; 50 OLS Model'!$B$10*H69</f>
        <v>2868944.051342933</v>
      </c>
      <c r="U69" s="23">
        <f>'GS &gt; 50 OLS Model'!$B$11*I69</f>
        <v>0</v>
      </c>
      <c r="V69" s="23">
        <f>'GS &gt; 50 OLS Model'!$B$12*J69</f>
        <v>0</v>
      </c>
      <c r="W69" s="23">
        <f>'GS &gt; 50 OLS Model'!$B$13*K69</f>
        <v>0</v>
      </c>
      <c r="X69" s="23">
        <f>'GS &gt; 50 OLS Model'!$B$14*L69</f>
        <v>0</v>
      </c>
      <c r="Y69" s="23">
        <f>'GS &gt; 50 OLS Model'!$B$15*M69</f>
        <v>-1207404.17093835</v>
      </c>
      <c r="Z69" s="23">
        <f t="shared" si="5"/>
        <v>22314161.326202065</v>
      </c>
      <c r="AA69" s="13">
        <f t="shared" si="6"/>
        <v>6.07899346420308E-3</v>
      </c>
    </row>
    <row r="70" spans="1:27" s="30" customFormat="1">
      <c r="A70" s="11">
        <f>'Monthly Data'!A70</f>
        <v>41883</v>
      </c>
      <c r="B70" s="6">
        <f t="shared" si="4"/>
        <v>2014</v>
      </c>
      <c r="C70" s="30">
        <f>'Monthly Data'!N70</f>
        <v>21090477.322838631</v>
      </c>
      <c r="D70" s="30">
        <f>'Monthly Data'!U70</f>
        <v>90.500000000000014</v>
      </c>
      <c r="E70" s="30">
        <f>'Monthly Data'!V70</f>
        <v>25.400000000000006</v>
      </c>
      <c r="F70" s="30">
        <f>'Monthly Data'!Y70</f>
        <v>6944.1</v>
      </c>
      <c r="G70" s="30">
        <f>'Monthly Data'!AA70</f>
        <v>69</v>
      </c>
      <c r="H70" s="30">
        <f>'Monthly Data'!AF70</f>
        <v>324</v>
      </c>
      <c r="I70" s="30">
        <f>'Monthly Data'!AM70</f>
        <v>1</v>
      </c>
      <c r="J70" s="30">
        <f>'Monthly Data'!AN70</f>
        <v>0</v>
      </c>
      <c r="K70" s="30">
        <f>'Monthly Data'!AO70</f>
        <v>0</v>
      </c>
      <c r="L70" s="30">
        <f>'Monthly Data'!AP70</f>
        <v>0</v>
      </c>
      <c r="M70" s="30">
        <f>'Monthly Data'!AQ70</f>
        <v>0</v>
      </c>
      <c r="O70" s="23">
        <f>'GS &gt; 50 OLS Model'!$B$5</f>
        <v>-17059648.826166701</v>
      </c>
      <c r="P70" s="23">
        <f>'GS &gt; 50 OLS Model'!$B$6*D70</f>
        <v>697099.16547625454</v>
      </c>
      <c r="Q70" s="23">
        <f>'GS &gt; 50 OLS Model'!$B$7*E70</f>
        <v>829233.82504249772</v>
      </c>
      <c r="R70" s="23">
        <f>'GS &gt; 50 OLS Model'!$B$8*F70</f>
        <v>37404284.695372425</v>
      </c>
      <c r="S70" s="23">
        <f>'GS &gt; 50 OLS Model'!$B$9*G70</f>
        <v>-1698521.0270726334</v>
      </c>
      <c r="T70" s="23">
        <f>'GS &gt; 50 OLS Model'!$B$10*H70</f>
        <v>2851343.167592363</v>
      </c>
      <c r="U70" s="23">
        <f>'GS &gt; 50 OLS Model'!$B$11*I70</f>
        <v>-1573400.2840208299</v>
      </c>
      <c r="V70" s="23">
        <f>'GS &gt; 50 OLS Model'!$B$12*J70</f>
        <v>0</v>
      </c>
      <c r="W70" s="23">
        <f>'GS &gt; 50 OLS Model'!$B$13*K70</f>
        <v>0</v>
      </c>
      <c r="X70" s="23">
        <f>'GS &gt; 50 OLS Model'!$B$14*L70</f>
        <v>0</v>
      </c>
      <c r="Y70" s="23">
        <f>'GS &gt; 50 OLS Model'!$B$15*M70</f>
        <v>0</v>
      </c>
      <c r="Z70" s="23">
        <f t="shared" si="5"/>
        <v>21450390.716223374</v>
      </c>
      <c r="AA70" s="13">
        <f t="shared" si="6"/>
        <v>1.7065208523990943E-2</v>
      </c>
    </row>
    <row r="71" spans="1:27" s="30" customFormat="1">
      <c r="A71" s="11">
        <f>'Monthly Data'!A71</f>
        <v>41913</v>
      </c>
      <c r="B71" s="6">
        <f t="shared" si="4"/>
        <v>2014</v>
      </c>
      <c r="C71" s="30">
        <f>'Monthly Data'!N71</f>
        <v>21359556.577988163</v>
      </c>
      <c r="D71" s="30">
        <f>'Monthly Data'!U71</f>
        <v>225.59999999999994</v>
      </c>
      <c r="E71" s="30">
        <f>'Monthly Data'!V71</f>
        <v>1.8</v>
      </c>
      <c r="F71" s="30">
        <f>'Monthly Data'!Y71</f>
        <v>6936.6</v>
      </c>
      <c r="G71" s="30">
        <f>'Monthly Data'!AA71</f>
        <v>70</v>
      </c>
      <c r="H71" s="30">
        <f>'Monthly Data'!AF71</f>
        <v>324</v>
      </c>
      <c r="I71" s="30">
        <f>'Monthly Data'!AM71</f>
        <v>1</v>
      </c>
      <c r="J71" s="30">
        <f>'Monthly Data'!AN71</f>
        <v>0</v>
      </c>
      <c r="K71" s="30">
        <f>'Monthly Data'!AO71</f>
        <v>0</v>
      </c>
      <c r="L71" s="30">
        <f>'Monthly Data'!AP71</f>
        <v>0</v>
      </c>
      <c r="M71" s="30">
        <f>'Monthly Data'!AQ71</f>
        <v>0</v>
      </c>
      <c r="O71" s="23">
        <f>'GS &gt; 50 OLS Model'!$B$5</f>
        <v>-17059648.826166701</v>
      </c>
      <c r="P71" s="23">
        <f>'GS &gt; 50 OLS Model'!$B$6*D71</f>
        <v>1737741.1241043422</v>
      </c>
      <c r="Q71" s="23">
        <f>'GS &gt; 50 OLS Model'!$B$7*E71</f>
        <v>58764.601774665185</v>
      </c>
      <c r="R71" s="23">
        <f>'GS &gt; 50 OLS Model'!$B$8*F71</f>
        <v>37363886.064129315</v>
      </c>
      <c r="S71" s="23">
        <f>'GS &gt; 50 OLS Model'!$B$9*G71</f>
        <v>-1723137.273841802</v>
      </c>
      <c r="T71" s="23">
        <f>'GS &gt; 50 OLS Model'!$B$10*H71</f>
        <v>2851343.167592363</v>
      </c>
      <c r="U71" s="23">
        <f>'GS &gt; 50 OLS Model'!$B$11*I71</f>
        <v>-1573400.2840208299</v>
      </c>
      <c r="V71" s="23">
        <f>'GS &gt; 50 OLS Model'!$B$12*J71</f>
        <v>0</v>
      </c>
      <c r="W71" s="23">
        <f>'GS &gt; 50 OLS Model'!$B$13*K71</f>
        <v>0</v>
      </c>
      <c r="X71" s="23">
        <f>'GS &gt; 50 OLS Model'!$B$14*L71</f>
        <v>0</v>
      </c>
      <c r="Y71" s="23">
        <f>'GS &gt; 50 OLS Model'!$B$15*M71</f>
        <v>0</v>
      </c>
      <c r="Z71" s="23">
        <f t="shared" si="5"/>
        <v>21655548.57357135</v>
      </c>
      <c r="AA71" s="13">
        <f t="shared" si="6"/>
        <v>1.385759084007478E-2</v>
      </c>
    </row>
    <row r="72" spans="1:27" s="30" customFormat="1">
      <c r="A72" s="11">
        <f>'Monthly Data'!A72</f>
        <v>41944</v>
      </c>
      <c r="B72" s="6">
        <f t="shared" si="4"/>
        <v>2014</v>
      </c>
      <c r="C72" s="30">
        <f>'Monthly Data'!N72</f>
        <v>23170252.922537688</v>
      </c>
      <c r="D72" s="30">
        <f>'Monthly Data'!U72</f>
        <v>491.6</v>
      </c>
      <c r="E72" s="30">
        <f>'Monthly Data'!V72</f>
        <v>0</v>
      </c>
      <c r="F72" s="30">
        <f>'Monthly Data'!Y72</f>
        <v>6914.3</v>
      </c>
      <c r="G72" s="30">
        <f>'Monthly Data'!AA72</f>
        <v>71</v>
      </c>
      <c r="H72" s="30">
        <f>'Monthly Data'!AF72</f>
        <v>327</v>
      </c>
      <c r="I72" s="30">
        <f>'Monthly Data'!AM72</f>
        <v>1</v>
      </c>
      <c r="J72" s="30">
        <f>'Monthly Data'!AN72</f>
        <v>0</v>
      </c>
      <c r="K72" s="30">
        <f>'Monthly Data'!AO72</f>
        <v>0</v>
      </c>
      <c r="L72" s="30">
        <f>'Monthly Data'!AP72</f>
        <v>0</v>
      </c>
      <c r="M72" s="30">
        <f>'Monthly Data'!AQ72</f>
        <v>0</v>
      </c>
      <c r="O72" s="23">
        <f>'GS &gt; 50 OLS Model'!$B$5</f>
        <v>-17059648.826166701</v>
      </c>
      <c r="P72" s="23">
        <f>'GS &gt; 50 OLS Model'!$B$6*D72</f>
        <v>3786673.477879853</v>
      </c>
      <c r="Q72" s="23">
        <f>'GS &gt; 50 OLS Model'!$B$7*E72</f>
        <v>0</v>
      </c>
      <c r="R72" s="23">
        <f>'GS &gt; 50 OLS Model'!$B$8*F72</f>
        <v>37243767.467233129</v>
      </c>
      <c r="S72" s="23">
        <f>'GS &gt; 50 OLS Model'!$B$9*G72</f>
        <v>-1747753.5206109707</v>
      </c>
      <c r="T72" s="23">
        <f>'GS &gt; 50 OLS Model'!$B$10*H72</f>
        <v>2877744.493218218</v>
      </c>
      <c r="U72" s="23">
        <f>'GS &gt; 50 OLS Model'!$B$11*I72</f>
        <v>-1573400.2840208299</v>
      </c>
      <c r="V72" s="23">
        <f>'GS &gt; 50 OLS Model'!$B$12*J72</f>
        <v>0</v>
      </c>
      <c r="W72" s="23">
        <f>'GS &gt; 50 OLS Model'!$B$13*K72</f>
        <v>0</v>
      </c>
      <c r="X72" s="23">
        <f>'GS &gt; 50 OLS Model'!$B$14*L72</f>
        <v>0</v>
      </c>
      <c r="Y72" s="23">
        <f>'GS &gt; 50 OLS Model'!$B$15*M72</f>
        <v>0</v>
      </c>
      <c r="Z72" s="23">
        <f t="shared" si="5"/>
        <v>23527382.807532698</v>
      </c>
      <c r="AA72" s="13">
        <f t="shared" si="6"/>
        <v>1.5413292474146011E-2</v>
      </c>
    </row>
    <row r="73" spans="1:27" s="30" customFormat="1">
      <c r="A73" s="11">
        <f>'Monthly Data'!A73</f>
        <v>41974</v>
      </c>
      <c r="B73" s="6">
        <f t="shared" si="4"/>
        <v>2014</v>
      </c>
      <c r="C73" s="30">
        <f>'Monthly Data'!N73</f>
        <v>25213323.109987214</v>
      </c>
      <c r="D73" s="30">
        <f>'Monthly Data'!U73</f>
        <v>619.89999999999986</v>
      </c>
      <c r="E73" s="30">
        <f>'Monthly Data'!V73</f>
        <v>0</v>
      </c>
      <c r="F73" s="30">
        <f>'Monthly Data'!Y73</f>
        <v>6903.2</v>
      </c>
      <c r="G73" s="30">
        <f>'Monthly Data'!AA73</f>
        <v>72</v>
      </c>
      <c r="H73" s="30">
        <f>'Monthly Data'!AF73</f>
        <v>327</v>
      </c>
      <c r="I73" s="30">
        <f>'Monthly Data'!AM73</f>
        <v>0</v>
      </c>
      <c r="J73" s="30">
        <f>'Monthly Data'!AN73</f>
        <v>0</v>
      </c>
      <c r="K73" s="30">
        <f>'Monthly Data'!AO73</f>
        <v>0</v>
      </c>
      <c r="L73" s="30">
        <f>'Monthly Data'!AP73</f>
        <v>1</v>
      </c>
      <c r="M73" s="30">
        <f>'Monthly Data'!AQ73</f>
        <v>0</v>
      </c>
      <c r="O73" s="23">
        <f>'GS &gt; 50 OLS Model'!$B$5</f>
        <v>-17059648.826166701</v>
      </c>
      <c r="P73" s="23">
        <f>'GS &gt; 50 OLS Model'!$B$6*D73</f>
        <v>4774936.7146821003</v>
      </c>
      <c r="Q73" s="23">
        <f>'GS &gt; 50 OLS Model'!$B$7*E73</f>
        <v>0</v>
      </c>
      <c r="R73" s="23">
        <f>'GS &gt; 50 OLS Model'!$B$8*F73</f>
        <v>37183977.492993318</v>
      </c>
      <c r="S73" s="23">
        <f>'GS &gt; 50 OLS Model'!$B$9*G73</f>
        <v>-1772369.7673801391</v>
      </c>
      <c r="T73" s="23">
        <f>'GS &gt; 50 OLS Model'!$B$10*H73</f>
        <v>2877744.493218218</v>
      </c>
      <c r="U73" s="23">
        <f>'GS &gt; 50 OLS Model'!$B$11*I73</f>
        <v>0</v>
      </c>
      <c r="V73" s="23">
        <f>'GS &gt; 50 OLS Model'!$B$12*J73</f>
        <v>0</v>
      </c>
      <c r="W73" s="23">
        <f>'GS &gt; 50 OLS Model'!$B$13*K73</f>
        <v>0</v>
      </c>
      <c r="X73" s="23">
        <f>'GS &gt; 50 OLS Model'!$B$14*L73</f>
        <v>-1083532.53757107</v>
      </c>
      <c r="Y73" s="23">
        <f>'GS &gt; 50 OLS Model'!$B$15*M73</f>
        <v>0</v>
      </c>
      <c r="Z73" s="23">
        <f t="shared" si="5"/>
        <v>24921107.569775723</v>
      </c>
      <c r="AA73" s="13">
        <f t="shared" si="6"/>
        <v>1.1589727341246112E-2</v>
      </c>
    </row>
    <row r="74" spans="1:27">
      <c r="AA74" s="14">
        <f>AVERAGE(AA2:AA73)</f>
        <v>1.3983627869504503E-2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Monthly Data</vt:lpstr>
      <vt:lpstr>Weather Data</vt:lpstr>
      <vt:lpstr>Ontario Employment Growth</vt:lpstr>
      <vt:lpstr>Res OLS Model</vt:lpstr>
      <vt:lpstr>Res Predicted Monthly</vt:lpstr>
      <vt:lpstr>GS &lt; 50 OLS Model</vt:lpstr>
      <vt:lpstr>GS &lt; 50 Predicted Monthly</vt:lpstr>
      <vt:lpstr>GS &gt; 50 OLS Model</vt:lpstr>
      <vt:lpstr>GS &gt; 50 Predicted Monthly</vt:lpstr>
      <vt:lpstr>LU OLS Model</vt:lpstr>
      <vt:lpstr>LU Predicted Monthly</vt:lpstr>
      <vt:lpstr>Model Annual Summary</vt:lpstr>
      <vt:lpstr>Res Normalized Monthly</vt:lpstr>
      <vt:lpstr>GS &lt; 50 Normalized Monthly</vt:lpstr>
      <vt:lpstr>GS &gt; 50 Normalized Monthly</vt:lpstr>
      <vt:lpstr>LU Normalized Monthly</vt:lpstr>
      <vt:lpstr>Connection count </vt:lpstr>
      <vt:lpstr>Normalized Annual Summary</vt:lpstr>
      <vt:lpstr>kW Forecast</vt:lpstr>
      <vt:lpstr>Annual CDM</vt:lpstr>
      <vt:lpstr>CDM Adjustments</vt:lpstr>
      <vt:lpstr>LRAMVA kWh</vt:lpstr>
      <vt:lpstr>Summary Tables</vt:lpstr>
      <vt:lpstr>'Summary Tables'!Print_Area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Gibson,Sherry</cp:lastModifiedBy>
  <dcterms:created xsi:type="dcterms:W3CDTF">2010-02-17T15:09:16Z</dcterms:created>
  <dcterms:modified xsi:type="dcterms:W3CDTF">2015-11-02T18:29:08Z</dcterms:modified>
</cp:coreProperties>
</file>