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15" yWindow="255" windowWidth="11745" windowHeight="7200" tabRatio="812" activeTab="1"/>
  </bookViews>
  <sheets>
    <sheet name="Table" sheetId="1" r:id="rId1"/>
    <sheet name="ResidentialRPP" sheetId="2" r:id="rId2"/>
    <sheet name="Residential 10th " sheetId="17" r:id="rId3"/>
    <sheet name="GS &lt;50RPP" sheetId="3" r:id="rId4"/>
    <sheet name="GS 50-2999RPP" sheetId="4" r:id="rId5"/>
    <sheet name="GS3000-4999RPP" sheetId="5" r:id="rId6"/>
    <sheet name="UMSLRPP" sheetId="6" r:id="rId7"/>
    <sheet name="Sentinel LightsRPP" sheetId="7" r:id="rId8"/>
    <sheet name="Street LightingRPP" sheetId="8" r:id="rId9"/>
    <sheet name="ResidentialNonRPP" sheetId="10" r:id="rId10"/>
    <sheet name="ResidentialNonRPP 10th" sheetId="18" r:id="rId11"/>
    <sheet name="GS &lt;50NonRPP" sheetId="11" r:id="rId12"/>
    <sheet name="GS 50-2999NonRPP" sheetId="12" r:id="rId13"/>
    <sheet name="GS3000-4999NonRPP" sheetId="13" r:id="rId14"/>
    <sheet name="UMSLNonRPP" sheetId="14" r:id="rId15"/>
    <sheet name="Sentinel LightsNonRPP" sheetId="15" r:id="rId16"/>
    <sheet name="Street LightingNonRPP" sheetId="16" r:id="rId17"/>
  </sheets>
  <externalReferences>
    <externalReference r:id="rId18"/>
  </externalReferences>
  <definedNames>
    <definedName name="_xlnm.Print_Area" localSheetId="2">'Residential 10th '!$A$1:$N$42</definedName>
    <definedName name="_xlnm.Print_Area" localSheetId="10">'ResidentialNonRPP 10th'!$A$1:$N$42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I17" i="12" l="1"/>
  <c r="I20" i="12"/>
  <c r="I21" i="11"/>
  <c r="I22" i="18"/>
  <c r="I22" i="10"/>
  <c r="I17" i="4"/>
  <c r="I20" i="4"/>
  <c r="I21" i="3"/>
  <c r="I22" i="17"/>
  <c r="I22" i="2"/>
  <c r="I25" i="12" l="1"/>
  <c r="I24" i="12"/>
  <c r="I19" i="4"/>
  <c r="C18" i="1" l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D17" i="1"/>
  <c r="C17" i="1"/>
  <c r="B21" i="1"/>
  <c r="D9" i="1"/>
  <c r="C9" i="1"/>
  <c r="B9" i="1"/>
  <c r="C6" i="1"/>
  <c r="C7" i="1"/>
  <c r="D7" i="1"/>
  <c r="C8" i="1"/>
  <c r="D8" i="1"/>
  <c r="C10" i="1"/>
  <c r="D10" i="1"/>
  <c r="C11" i="1"/>
  <c r="D11" i="1"/>
  <c r="C12" i="1"/>
  <c r="D12" i="1"/>
  <c r="D5" i="1"/>
  <c r="C5" i="1"/>
  <c r="J32" i="18"/>
  <c r="J30" i="18"/>
  <c r="J29" i="18"/>
  <c r="J27" i="18"/>
  <c r="K27" i="18" s="1"/>
  <c r="J26" i="18"/>
  <c r="J23" i="18"/>
  <c r="J22" i="18"/>
  <c r="K22" i="18" s="1"/>
  <c r="J21" i="18"/>
  <c r="K21" i="18" s="1"/>
  <c r="J19" i="18"/>
  <c r="F23" i="18"/>
  <c r="F22" i="18"/>
  <c r="G22" i="18" s="1"/>
  <c r="F19" i="18"/>
  <c r="J15" i="18"/>
  <c r="F34" i="18"/>
  <c r="F33" i="18"/>
  <c r="F32" i="18"/>
  <c r="F26" i="18"/>
  <c r="G26" i="18" s="1"/>
  <c r="F21" i="18"/>
  <c r="G19" i="18"/>
  <c r="G16" i="18"/>
  <c r="M16" i="18" s="1"/>
  <c r="N16" i="18" s="1"/>
  <c r="F15" i="18"/>
  <c r="E9" i="18"/>
  <c r="E14" i="18"/>
  <c r="G14" i="18" s="1"/>
  <c r="F14" i="18"/>
  <c r="I14" i="18"/>
  <c r="J14" i="18"/>
  <c r="K14" i="18"/>
  <c r="E15" i="18"/>
  <c r="G15" i="18" s="1"/>
  <c r="I15" i="18"/>
  <c r="K15" i="18"/>
  <c r="I16" i="18"/>
  <c r="K16" i="18"/>
  <c r="E17" i="18"/>
  <c r="G17" i="18"/>
  <c r="M17" i="18" s="1"/>
  <c r="N17" i="18" s="1"/>
  <c r="K17" i="18"/>
  <c r="E18" i="18"/>
  <c r="G18" i="18"/>
  <c r="K18" i="18"/>
  <c r="M18" i="18"/>
  <c r="N18" i="18"/>
  <c r="E19" i="18"/>
  <c r="K19" i="18"/>
  <c r="G21" i="18"/>
  <c r="K23" i="18"/>
  <c r="G24" i="18"/>
  <c r="K24" i="18"/>
  <c r="M24" i="18" s="1"/>
  <c r="N24" i="18" s="1"/>
  <c r="K26" i="18"/>
  <c r="E29" i="18"/>
  <c r="I29" i="18"/>
  <c r="E30" i="18"/>
  <c r="I30" i="18"/>
  <c r="K30" i="18" s="1"/>
  <c r="E31" i="18"/>
  <c r="G31" i="18"/>
  <c r="I31" i="18"/>
  <c r="K31" i="18"/>
  <c r="M31" i="18"/>
  <c r="N31" i="18" s="1"/>
  <c r="G32" i="18"/>
  <c r="K32" i="18"/>
  <c r="G33" i="18"/>
  <c r="I33" i="18"/>
  <c r="J33" i="18"/>
  <c r="G34" i="18"/>
  <c r="I34" i="18"/>
  <c r="J34" i="18"/>
  <c r="K34" i="18" s="1"/>
  <c r="M34" i="18" s="1"/>
  <c r="N34" i="18" s="1"/>
  <c r="G35" i="18"/>
  <c r="M35" i="18" s="1"/>
  <c r="N35" i="18" s="1"/>
  <c r="K35" i="18"/>
  <c r="J35" i="17"/>
  <c r="J34" i="17"/>
  <c r="J33" i="17"/>
  <c r="K33" i="17" s="1"/>
  <c r="J32" i="17"/>
  <c r="K32" i="17" s="1"/>
  <c r="J30" i="17"/>
  <c r="J29" i="17"/>
  <c r="J27" i="17"/>
  <c r="K27" i="17" s="1"/>
  <c r="J26" i="17"/>
  <c r="J23" i="17"/>
  <c r="J22" i="17"/>
  <c r="K22" i="17" s="1"/>
  <c r="J21" i="17"/>
  <c r="K21" i="17" s="1"/>
  <c r="J19" i="17"/>
  <c r="K19" i="17" s="1"/>
  <c r="J15" i="17"/>
  <c r="K15" i="17" s="1"/>
  <c r="F35" i="17"/>
  <c r="G35" i="17" s="1"/>
  <c r="F34" i="17"/>
  <c r="F33" i="17"/>
  <c r="F32" i="17"/>
  <c r="G32" i="17" s="1"/>
  <c r="F30" i="17"/>
  <c r="G30" i="17" s="1"/>
  <c r="F29" i="17"/>
  <c r="F27" i="17"/>
  <c r="F26" i="17"/>
  <c r="G26" i="17" s="1"/>
  <c r="F23" i="17"/>
  <c r="F22" i="17"/>
  <c r="F21" i="17"/>
  <c r="G21" i="17" s="1"/>
  <c r="F19" i="17"/>
  <c r="G19" i="17" s="1"/>
  <c r="F15" i="17"/>
  <c r="G15" i="17" s="1"/>
  <c r="K35" i="17"/>
  <c r="K34" i="17"/>
  <c r="G34" i="17"/>
  <c r="G33" i="17"/>
  <c r="K31" i="17"/>
  <c r="M31" i="17" s="1"/>
  <c r="N31" i="17" s="1"/>
  <c r="G31" i="17"/>
  <c r="K30" i="17"/>
  <c r="K29" i="17"/>
  <c r="M29" i="17" s="1"/>
  <c r="N29" i="17" s="1"/>
  <c r="G29" i="17"/>
  <c r="G27" i="17"/>
  <c r="K26" i="17"/>
  <c r="M24" i="17"/>
  <c r="N24" i="17" s="1"/>
  <c r="K24" i="17"/>
  <c r="G24" i="17"/>
  <c r="K23" i="17"/>
  <c r="G23" i="17"/>
  <c r="G22" i="17"/>
  <c r="N18" i="17"/>
  <c r="M18" i="17"/>
  <c r="K18" i="17"/>
  <c r="G18" i="17"/>
  <c r="K17" i="17"/>
  <c r="M17" i="17" s="1"/>
  <c r="N17" i="17" s="1"/>
  <c r="G17" i="17"/>
  <c r="N16" i="17"/>
  <c r="M16" i="17"/>
  <c r="K16" i="17"/>
  <c r="M14" i="17"/>
  <c r="N14" i="17" s="1"/>
  <c r="K14" i="17"/>
  <c r="G14" i="17"/>
  <c r="E9" i="17"/>
  <c r="G38" i="15"/>
  <c r="G38" i="14"/>
  <c r="G38" i="7"/>
  <c r="G38" i="6"/>
  <c r="E20" i="8"/>
  <c r="E20" i="7"/>
  <c r="I20" i="16"/>
  <c r="I20" i="15"/>
  <c r="I20" i="14"/>
  <c r="I15" i="11"/>
  <c r="I14" i="11"/>
  <c r="G16" i="11"/>
  <c r="N16" i="10"/>
  <c r="I31" i="10"/>
  <c r="I30" i="10"/>
  <c r="I29" i="10"/>
  <c r="E31" i="10"/>
  <c r="E30" i="10"/>
  <c r="E29" i="10"/>
  <c r="E19" i="10"/>
  <c r="G18" i="10"/>
  <c r="G17" i="10"/>
  <c r="E18" i="10"/>
  <c r="E17" i="10"/>
  <c r="I16" i="10"/>
  <c r="F28" i="5"/>
  <c r="F27" i="5"/>
  <c r="J28" i="5"/>
  <c r="G17" i="3"/>
  <c r="M16" i="2"/>
  <c r="N16" i="2"/>
  <c r="K16" i="2"/>
  <c r="G18" i="2"/>
  <c r="G17" i="2"/>
  <c r="M26" i="17" l="1"/>
  <c r="N26" i="17" s="1"/>
  <c r="M32" i="18"/>
  <c r="N32" i="18" s="1"/>
  <c r="K29" i="18"/>
  <c r="M21" i="18"/>
  <c r="N21" i="18" s="1"/>
  <c r="M19" i="18"/>
  <c r="N19" i="18" s="1"/>
  <c r="G23" i="18"/>
  <c r="M23" i="18" s="1"/>
  <c r="N23" i="18" s="1"/>
  <c r="M26" i="18"/>
  <c r="N26" i="18" s="1"/>
  <c r="F27" i="18"/>
  <c r="M15" i="18"/>
  <c r="N15" i="18" s="1"/>
  <c r="K20" i="18"/>
  <c r="K25" i="18" s="1"/>
  <c r="K33" i="18"/>
  <c r="M33" i="18" s="1"/>
  <c r="N33" i="18" s="1"/>
  <c r="M22" i="18"/>
  <c r="N22" i="18" s="1"/>
  <c r="M14" i="18"/>
  <c r="N14" i="18" s="1"/>
  <c r="G20" i="18"/>
  <c r="G25" i="18" s="1"/>
  <c r="M30" i="17"/>
  <c r="N30" i="17" s="1"/>
  <c r="M34" i="17"/>
  <c r="N34" i="17" s="1"/>
  <c r="M32" i="17"/>
  <c r="N32" i="17" s="1"/>
  <c r="M22" i="17"/>
  <c r="N22" i="17" s="1"/>
  <c r="K20" i="17"/>
  <c r="M35" i="17"/>
  <c r="N35" i="17" s="1"/>
  <c r="M33" i="17"/>
  <c r="N33" i="17" s="1"/>
  <c r="M27" i="17"/>
  <c r="N27" i="17" s="1"/>
  <c r="M23" i="17"/>
  <c r="N23" i="17" s="1"/>
  <c r="M21" i="17"/>
  <c r="N21" i="17" s="1"/>
  <c r="M19" i="17"/>
  <c r="N19" i="17" s="1"/>
  <c r="M15" i="17"/>
  <c r="N15" i="17" s="1"/>
  <c r="G20" i="17"/>
  <c r="G25" i="17" s="1"/>
  <c r="G28" i="17" s="1"/>
  <c r="G37" i="17" s="1"/>
  <c r="G38" i="17" s="1"/>
  <c r="G39" i="17" s="1"/>
  <c r="K25" i="17"/>
  <c r="N20" i="5"/>
  <c r="F30" i="18" l="1"/>
  <c r="G30" i="18" s="1"/>
  <c r="M30" i="18" s="1"/>
  <c r="N30" i="18" s="1"/>
  <c r="F29" i="18"/>
  <c r="G29" i="18" s="1"/>
  <c r="M29" i="18" s="1"/>
  <c r="N29" i="18" s="1"/>
  <c r="G27" i="18"/>
  <c r="M27" i="18" s="1"/>
  <c r="N27" i="18" s="1"/>
  <c r="M20" i="18"/>
  <c r="N20" i="18" s="1"/>
  <c r="K28" i="18"/>
  <c r="M25" i="18"/>
  <c r="N25" i="18" s="1"/>
  <c r="M20" i="17"/>
  <c r="N20" i="17" s="1"/>
  <c r="G40" i="17"/>
  <c r="M40" i="17" s="1"/>
  <c r="N40" i="17" s="1"/>
  <c r="K28" i="17"/>
  <c r="M25" i="17"/>
  <c r="N25" i="17" s="1"/>
  <c r="N33" i="16"/>
  <c r="N22" i="16"/>
  <c r="N22" i="15"/>
  <c r="N16" i="15"/>
  <c r="N33" i="15"/>
  <c r="N38" i="16"/>
  <c r="N38" i="8"/>
  <c r="N38" i="5"/>
  <c r="N38" i="4"/>
  <c r="N33" i="14"/>
  <c r="N22" i="14"/>
  <c r="N16" i="14"/>
  <c r="N38" i="12"/>
  <c r="N38" i="13"/>
  <c r="N33" i="13"/>
  <c r="N22" i="13"/>
  <c r="N20" i="13"/>
  <c r="N16" i="13"/>
  <c r="N33" i="12"/>
  <c r="N22" i="12"/>
  <c r="N16" i="12"/>
  <c r="N34" i="11"/>
  <c r="N35" i="10"/>
  <c r="N22" i="8"/>
  <c r="N16" i="8"/>
  <c r="N22" i="7"/>
  <c r="N16" i="7"/>
  <c r="N22" i="6"/>
  <c r="N16" i="6"/>
  <c r="N22" i="5"/>
  <c r="N16" i="5"/>
  <c r="G28" i="18" l="1"/>
  <c r="G37" i="18" s="1"/>
  <c r="G38" i="18" s="1"/>
  <c r="G39" i="18" s="1"/>
  <c r="G40" i="18"/>
  <c r="G41" i="18"/>
  <c r="K37" i="18"/>
  <c r="G41" i="17"/>
  <c r="K37" i="17"/>
  <c r="M28" i="17"/>
  <c r="N28" i="17" s="1"/>
  <c r="N22" i="4"/>
  <c r="N16" i="4"/>
  <c r="M28" i="18" l="1"/>
  <c r="N28" i="18" s="1"/>
  <c r="K38" i="18"/>
  <c r="M38" i="18" s="1"/>
  <c r="N38" i="18" s="1"/>
  <c r="K39" i="18"/>
  <c r="M37" i="18"/>
  <c r="N37" i="18" s="1"/>
  <c r="K38" i="17"/>
  <c r="M38" i="17" s="1"/>
  <c r="N38" i="17" s="1"/>
  <c r="M37" i="17"/>
  <c r="N37" i="17" s="1"/>
  <c r="E19" i="13"/>
  <c r="F19" i="13"/>
  <c r="J19" i="13"/>
  <c r="M39" i="18" l="1"/>
  <c r="N39" i="18" s="1"/>
  <c r="F18" i="1" s="1"/>
  <c r="M40" i="18"/>
  <c r="N40" i="18" s="1"/>
  <c r="K39" i="17"/>
  <c r="K41" i="17" s="1"/>
  <c r="M41" i="17" s="1"/>
  <c r="N41" i="17" s="1"/>
  <c r="E6" i="1" s="1"/>
  <c r="K16" i="11"/>
  <c r="M16" i="11" s="1"/>
  <c r="N16" i="11" s="1"/>
  <c r="J26" i="10"/>
  <c r="K18" i="10"/>
  <c r="M18" i="10" s="1"/>
  <c r="N18" i="10" s="1"/>
  <c r="K17" i="10"/>
  <c r="M17" i="10" s="1"/>
  <c r="N17" i="10" s="1"/>
  <c r="F27" i="10"/>
  <c r="J27" i="10"/>
  <c r="J30" i="10"/>
  <c r="F30" i="10"/>
  <c r="J14" i="10"/>
  <c r="I15" i="10"/>
  <c r="I14" i="10"/>
  <c r="F16" i="10"/>
  <c r="F15" i="10"/>
  <c r="F14" i="10"/>
  <c r="E15" i="10"/>
  <c r="E14" i="10"/>
  <c r="K17" i="3"/>
  <c r="M17" i="3" s="1"/>
  <c r="N17" i="3" s="1"/>
  <c r="K18" i="2"/>
  <c r="K17" i="2"/>
  <c r="M17" i="2" s="1"/>
  <c r="N17" i="2" s="1"/>
  <c r="M39" i="17" l="1"/>
  <c r="N39" i="17" s="1"/>
  <c r="F6" i="1" s="1"/>
  <c r="K41" i="18"/>
  <c r="M41" i="18" s="1"/>
  <c r="N41" i="18" s="1"/>
  <c r="E18" i="1" s="1"/>
  <c r="M18" i="2"/>
  <c r="N18" i="2" s="1"/>
  <c r="M20" i="1"/>
  <c r="N20" i="1"/>
  <c r="M17" i="1"/>
  <c r="N17" i="1"/>
  <c r="M18" i="1"/>
  <c r="N18" i="1"/>
  <c r="M19" i="1"/>
  <c r="N19" i="1"/>
  <c r="M21" i="1"/>
  <c r="N21" i="1"/>
  <c r="M22" i="1"/>
  <c r="N22" i="1"/>
  <c r="M23" i="1"/>
  <c r="N23" i="1"/>
  <c r="M38" i="16"/>
  <c r="K33" i="16"/>
  <c r="M33" i="16" s="1"/>
  <c r="G33" i="16"/>
  <c r="I32" i="16"/>
  <c r="F32" i="16"/>
  <c r="J32" i="16" s="1"/>
  <c r="I31" i="16"/>
  <c r="F31" i="16"/>
  <c r="J31" i="16"/>
  <c r="K31" i="16"/>
  <c r="M31" i="16" s="1"/>
  <c r="N31" i="16" s="1"/>
  <c r="J30" i="16"/>
  <c r="K30" i="16" s="1"/>
  <c r="M30" i="16" s="1"/>
  <c r="N30" i="16" s="1"/>
  <c r="F30" i="16"/>
  <c r="G30" i="16"/>
  <c r="K29" i="16"/>
  <c r="G29" i="16"/>
  <c r="M29" i="16" s="1"/>
  <c r="N29" i="16" s="1"/>
  <c r="J28" i="16"/>
  <c r="K28" i="16"/>
  <c r="M28" i="16" s="1"/>
  <c r="N28" i="16" s="1"/>
  <c r="F28" i="16"/>
  <c r="G28" i="16"/>
  <c r="J27" i="16"/>
  <c r="K27" i="16"/>
  <c r="M27" i="16"/>
  <c r="N27" i="16"/>
  <c r="F27" i="16"/>
  <c r="G27" i="16"/>
  <c r="J25" i="16"/>
  <c r="K25" i="16"/>
  <c r="G25" i="16"/>
  <c r="K24" i="16"/>
  <c r="J24" i="16"/>
  <c r="G24" i="16"/>
  <c r="J22" i="16"/>
  <c r="K22" i="16"/>
  <c r="M22" i="16"/>
  <c r="G22" i="16"/>
  <c r="J21" i="16"/>
  <c r="K21" i="16" s="1"/>
  <c r="M21" i="16" s="1"/>
  <c r="N21" i="16" s="1"/>
  <c r="G21" i="16"/>
  <c r="J20" i="16"/>
  <c r="K20" i="16" s="1"/>
  <c r="G20" i="16"/>
  <c r="I19" i="16"/>
  <c r="K19" i="16" s="1"/>
  <c r="M19" i="16" s="1"/>
  <c r="N19" i="16" s="1"/>
  <c r="F19" i="16"/>
  <c r="J19" i="16"/>
  <c r="E19" i="16"/>
  <c r="G19" i="16" s="1"/>
  <c r="J17" i="16"/>
  <c r="K17" i="16" s="1"/>
  <c r="G17" i="16"/>
  <c r="K16" i="16"/>
  <c r="M16" i="16"/>
  <c r="G16" i="16"/>
  <c r="J15" i="16"/>
  <c r="K15" i="16" s="1"/>
  <c r="M15" i="16" s="1"/>
  <c r="N15" i="16" s="1"/>
  <c r="G15" i="16"/>
  <c r="K14" i="16"/>
  <c r="G14" i="16"/>
  <c r="E9" i="16"/>
  <c r="M38" i="15"/>
  <c r="N38" i="15" s="1"/>
  <c r="K33" i="15"/>
  <c r="M33" i="15" s="1"/>
  <c r="J33" i="15"/>
  <c r="G33" i="15"/>
  <c r="I32" i="15"/>
  <c r="F32" i="15"/>
  <c r="I31" i="15"/>
  <c r="F31" i="15"/>
  <c r="J31" i="15" s="1"/>
  <c r="J30" i="15"/>
  <c r="K30" i="15" s="1"/>
  <c r="M30" i="15" s="1"/>
  <c r="N30" i="15" s="1"/>
  <c r="F30" i="15"/>
  <c r="G30" i="15" s="1"/>
  <c r="K29" i="15"/>
  <c r="G29" i="15"/>
  <c r="M29" i="15"/>
  <c r="N29" i="15"/>
  <c r="J28" i="15"/>
  <c r="K28" i="15" s="1"/>
  <c r="G28" i="15"/>
  <c r="F28" i="15"/>
  <c r="K27" i="15"/>
  <c r="M27" i="15" s="1"/>
  <c r="N27" i="15" s="1"/>
  <c r="J27" i="15"/>
  <c r="F27" i="15"/>
  <c r="G27" i="15" s="1"/>
  <c r="J25" i="15"/>
  <c r="K25" i="15" s="1"/>
  <c r="M25" i="15" s="1"/>
  <c r="N25" i="15" s="1"/>
  <c r="G25" i="15"/>
  <c r="J24" i="15"/>
  <c r="K24" i="15" s="1"/>
  <c r="G24" i="15"/>
  <c r="M22" i="15"/>
  <c r="K22" i="15"/>
  <c r="J22" i="15"/>
  <c r="G22" i="15"/>
  <c r="J21" i="15"/>
  <c r="K21" i="15" s="1"/>
  <c r="M21" i="15" s="1"/>
  <c r="N21" i="15" s="1"/>
  <c r="G21" i="15"/>
  <c r="J20" i="15"/>
  <c r="K20" i="15"/>
  <c r="G20" i="15"/>
  <c r="F19" i="15"/>
  <c r="J19" i="15"/>
  <c r="E19" i="15"/>
  <c r="G19" i="15"/>
  <c r="J17" i="15"/>
  <c r="K17" i="15"/>
  <c r="G17" i="15"/>
  <c r="K16" i="15"/>
  <c r="G16" i="15"/>
  <c r="M16" i="15" s="1"/>
  <c r="J15" i="15"/>
  <c r="K15" i="15"/>
  <c r="G15" i="15"/>
  <c r="K14" i="15"/>
  <c r="G14" i="15"/>
  <c r="E9" i="15"/>
  <c r="M38" i="14"/>
  <c r="N38" i="14" s="1"/>
  <c r="K33" i="14"/>
  <c r="G33" i="14"/>
  <c r="M33" i="14" s="1"/>
  <c r="I32" i="14"/>
  <c r="G32" i="14"/>
  <c r="F32" i="14"/>
  <c r="J32" i="14" s="1"/>
  <c r="J31" i="14"/>
  <c r="I31" i="14"/>
  <c r="F31" i="14"/>
  <c r="G31" i="14" s="1"/>
  <c r="J30" i="14"/>
  <c r="K30" i="14" s="1"/>
  <c r="M30" i="14" s="1"/>
  <c r="N30" i="14" s="1"/>
  <c r="G30" i="14"/>
  <c r="F30" i="14"/>
  <c r="M29" i="14"/>
  <c r="N29" i="14" s="1"/>
  <c r="K29" i="14"/>
  <c r="G29" i="14"/>
  <c r="J28" i="14"/>
  <c r="K28" i="14"/>
  <c r="M28" i="14" s="1"/>
  <c r="N28" i="14" s="1"/>
  <c r="F28" i="14"/>
  <c r="G28" i="14" s="1"/>
  <c r="J27" i="14"/>
  <c r="K27" i="14" s="1"/>
  <c r="F27" i="14"/>
  <c r="G27" i="14"/>
  <c r="K25" i="14"/>
  <c r="J25" i="14"/>
  <c r="G25" i="14"/>
  <c r="J24" i="14"/>
  <c r="K24" i="14" s="1"/>
  <c r="G24" i="14"/>
  <c r="J22" i="14"/>
  <c r="K22" i="14" s="1"/>
  <c r="G22" i="14"/>
  <c r="K21" i="14"/>
  <c r="M21" i="14" s="1"/>
  <c r="N21" i="14" s="1"/>
  <c r="J21" i="14"/>
  <c r="G21" i="14"/>
  <c r="J20" i="14"/>
  <c r="K20" i="14" s="1"/>
  <c r="G20" i="14"/>
  <c r="F19" i="14"/>
  <c r="J19" i="14"/>
  <c r="E19" i="14"/>
  <c r="G19" i="14" s="1"/>
  <c r="J17" i="14"/>
  <c r="K17" i="14" s="1"/>
  <c r="G17" i="14"/>
  <c r="K16" i="14"/>
  <c r="G16" i="14"/>
  <c r="J15" i="14"/>
  <c r="K15" i="14"/>
  <c r="M15" i="14" s="1"/>
  <c r="N15" i="14" s="1"/>
  <c r="G15" i="14"/>
  <c r="K14" i="14"/>
  <c r="G14" i="14"/>
  <c r="E9" i="14"/>
  <c r="M38" i="13"/>
  <c r="J33" i="13"/>
  <c r="K33" i="13"/>
  <c r="M33" i="13" s="1"/>
  <c r="G33" i="13"/>
  <c r="I32" i="13"/>
  <c r="F32" i="13"/>
  <c r="I31" i="13"/>
  <c r="I19" i="13" s="1"/>
  <c r="F31" i="13"/>
  <c r="J31" i="13" s="1"/>
  <c r="G31" i="13"/>
  <c r="J30" i="13"/>
  <c r="K30" i="13" s="1"/>
  <c r="M30" i="13" s="1"/>
  <c r="N30" i="13" s="1"/>
  <c r="F30" i="13"/>
  <c r="G30" i="13" s="1"/>
  <c r="K29" i="13"/>
  <c r="G29" i="13"/>
  <c r="M29" i="13" s="1"/>
  <c r="N29" i="13" s="1"/>
  <c r="J28" i="13"/>
  <c r="K28" i="13" s="1"/>
  <c r="F28" i="13"/>
  <c r="G28" i="13"/>
  <c r="J27" i="13"/>
  <c r="K27" i="13" s="1"/>
  <c r="M27" i="13" s="1"/>
  <c r="N27" i="13" s="1"/>
  <c r="F27" i="13"/>
  <c r="G27" i="13" s="1"/>
  <c r="J25" i="13"/>
  <c r="K25" i="13" s="1"/>
  <c r="G25" i="13"/>
  <c r="J24" i="13"/>
  <c r="K24" i="13" s="1"/>
  <c r="G24" i="13"/>
  <c r="M22" i="13"/>
  <c r="J22" i="13"/>
  <c r="K22" i="13" s="1"/>
  <c r="G22" i="13"/>
  <c r="J21" i="13"/>
  <c r="K21" i="13" s="1"/>
  <c r="M21" i="13" s="1"/>
  <c r="G21" i="13"/>
  <c r="J20" i="13"/>
  <c r="K20" i="13" s="1"/>
  <c r="M20" i="13" s="1"/>
  <c r="G20" i="13"/>
  <c r="K17" i="13"/>
  <c r="J17" i="13"/>
  <c r="G17" i="13"/>
  <c r="K16" i="13"/>
  <c r="M16" i="13" s="1"/>
  <c r="G16" i="13"/>
  <c r="K15" i="13"/>
  <c r="M15" i="13" s="1"/>
  <c r="N15" i="13" s="1"/>
  <c r="J15" i="13"/>
  <c r="G15" i="13"/>
  <c r="K14" i="13"/>
  <c r="G14" i="13"/>
  <c r="E9" i="13"/>
  <c r="M38" i="12"/>
  <c r="K33" i="12"/>
  <c r="M33" i="12" s="1"/>
  <c r="G33" i="12"/>
  <c r="I32" i="12"/>
  <c r="F32" i="12"/>
  <c r="G32" i="12" s="1"/>
  <c r="J32" i="12"/>
  <c r="K32" i="12" s="1"/>
  <c r="M32" i="12" s="1"/>
  <c r="N32" i="12" s="1"/>
  <c r="I31" i="12"/>
  <c r="F31" i="12"/>
  <c r="J31" i="12" s="1"/>
  <c r="J30" i="12"/>
  <c r="K30" i="12" s="1"/>
  <c r="F30" i="12"/>
  <c r="G30" i="12" s="1"/>
  <c r="M29" i="12"/>
  <c r="N29" i="12" s="1"/>
  <c r="K29" i="12"/>
  <c r="G29" i="12"/>
  <c r="J28" i="12"/>
  <c r="K28" i="12" s="1"/>
  <c r="F28" i="12"/>
  <c r="G28" i="12" s="1"/>
  <c r="J27" i="12"/>
  <c r="K27" i="12" s="1"/>
  <c r="M27" i="12" s="1"/>
  <c r="N27" i="12" s="1"/>
  <c r="F27" i="12"/>
  <c r="G27" i="12" s="1"/>
  <c r="F25" i="12"/>
  <c r="G25" i="12" s="1"/>
  <c r="J25" i="12"/>
  <c r="K25" i="12" s="1"/>
  <c r="F24" i="12"/>
  <c r="G24" i="12" s="1"/>
  <c r="J22" i="12"/>
  <c r="K22" i="12" s="1"/>
  <c r="M22" i="12" s="1"/>
  <c r="G22" i="12"/>
  <c r="J21" i="12"/>
  <c r="K21" i="12" s="1"/>
  <c r="G21" i="12"/>
  <c r="F21" i="12"/>
  <c r="F20" i="12"/>
  <c r="G20" i="12" s="1"/>
  <c r="I19" i="12"/>
  <c r="F19" i="12"/>
  <c r="J19" i="12" s="1"/>
  <c r="K19" i="12" s="1"/>
  <c r="M19" i="12" s="1"/>
  <c r="N19" i="12" s="1"/>
  <c r="E19" i="12"/>
  <c r="G19" i="12" s="1"/>
  <c r="J17" i="12"/>
  <c r="K17" i="12" s="1"/>
  <c r="G17" i="12"/>
  <c r="F17" i="12"/>
  <c r="K16" i="12"/>
  <c r="M16" i="12" s="1"/>
  <c r="G16" i="12"/>
  <c r="F15" i="12"/>
  <c r="K14" i="12"/>
  <c r="G14" i="12"/>
  <c r="E9" i="12"/>
  <c r="J34" i="11"/>
  <c r="K34" i="11" s="1"/>
  <c r="G34" i="11"/>
  <c r="J33" i="11"/>
  <c r="I33" i="11"/>
  <c r="K33" i="11" s="1"/>
  <c r="M33" i="11" s="1"/>
  <c r="N33" i="11" s="1"/>
  <c r="G33" i="11"/>
  <c r="J32" i="11"/>
  <c r="I32" i="11"/>
  <c r="I20" i="11" s="1"/>
  <c r="K20" i="11" s="1"/>
  <c r="G32" i="11"/>
  <c r="J31" i="11"/>
  <c r="K31" i="11" s="1"/>
  <c r="F31" i="11"/>
  <c r="G31" i="11" s="1"/>
  <c r="K30" i="11"/>
  <c r="G30" i="11"/>
  <c r="J29" i="11"/>
  <c r="K29" i="11" s="1"/>
  <c r="F29" i="11"/>
  <c r="G29" i="11"/>
  <c r="M29" i="11" s="1"/>
  <c r="N29" i="11" s="1"/>
  <c r="J28" i="11"/>
  <c r="K28" i="11" s="1"/>
  <c r="F28" i="11"/>
  <c r="G28" i="11" s="1"/>
  <c r="J26" i="11"/>
  <c r="K26" i="11" s="1"/>
  <c r="G26" i="11"/>
  <c r="J25" i="11"/>
  <c r="K25" i="11" s="1"/>
  <c r="G25" i="11"/>
  <c r="M23" i="11"/>
  <c r="N23" i="11" s="1"/>
  <c r="J23" i="11"/>
  <c r="K23" i="11" s="1"/>
  <c r="G23" i="11"/>
  <c r="J22" i="11"/>
  <c r="K22" i="11" s="1"/>
  <c r="G22" i="11"/>
  <c r="J21" i="11"/>
  <c r="K21" i="11" s="1"/>
  <c r="G21" i="11"/>
  <c r="F20" i="11"/>
  <c r="J20" i="11" s="1"/>
  <c r="E20" i="11"/>
  <c r="G20" i="11" s="1"/>
  <c r="J18" i="11"/>
  <c r="K18" i="11" s="1"/>
  <c r="G18" i="11"/>
  <c r="K17" i="11"/>
  <c r="G17" i="11"/>
  <c r="J15" i="11"/>
  <c r="K15" i="11" s="1"/>
  <c r="G15" i="11"/>
  <c r="K14" i="11"/>
  <c r="G14" i="11"/>
  <c r="E9" i="11"/>
  <c r="K35" i="10"/>
  <c r="M35" i="10" s="1"/>
  <c r="G35" i="10"/>
  <c r="J34" i="10"/>
  <c r="I34" i="10"/>
  <c r="G34" i="10"/>
  <c r="J33" i="10"/>
  <c r="I33" i="10"/>
  <c r="G33" i="10"/>
  <c r="K32" i="10"/>
  <c r="M32" i="10" s="1"/>
  <c r="N32" i="10" s="1"/>
  <c r="G32" i="10"/>
  <c r="K31" i="10"/>
  <c r="G31" i="10"/>
  <c r="K30" i="10"/>
  <c r="G30" i="10"/>
  <c r="K29" i="10"/>
  <c r="G29" i="10"/>
  <c r="K27" i="10"/>
  <c r="G27" i="10"/>
  <c r="K26" i="10"/>
  <c r="G26" i="10"/>
  <c r="K24" i="10"/>
  <c r="G24" i="10"/>
  <c r="K23" i="10"/>
  <c r="G23" i="10"/>
  <c r="K22" i="10"/>
  <c r="G22" i="10"/>
  <c r="K21" i="10"/>
  <c r="G21" i="10"/>
  <c r="K19" i="10"/>
  <c r="G19" i="10"/>
  <c r="K16" i="10"/>
  <c r="G16" i="10"/>
  <c r="K15" i="10"/>
  <c r="M15" i="10" s="1"/>
  <c r="N15" i="10" s="1"/>
  <c r="G15" i="10"/>
  <c r="K14" i="10"/>
  <c r="G14" i="10"/>
  <c r="E9" i="10"/>
  <c r="J33" i="8"/>
  <c r="K33" i="8" s="1"/>
  <c r="G33" i="8"/>
  <c r="J32" i="8"/>
  <c r="K32" i="8" s="1"/>
  <c r="G32" i="8"/>
  <c r="J31" i="8"/>
  <c r="K31" i="8" s="1"/>
  <c r="G31" i="8"/>
  <c r="J30" i="8"/>
  <c r="K30" i="8" s="1"/>
  <c r="M30" i="8" s="1"/>
  <c r="N30" i="8" s="1"/>
  <c r="G30" i="8"/>
  <c r="F30" i="8"/>
  <c r="K29" i="8"/>
  <c r="M29" i="8" s="1"/>
  <c r="N29" i="8" s="1"/>
  <c r="G29" i="8"/>
  <c r="K28" i="8"/>
  <c r="M28" i="8"/>
  <c r="N28" i="8" s="1"/>
  <c r="J28" i="8"/>
  <c r="F28" i="8"/>
  <c r="G28" i="8" s="1"/>
  <c r="N27" i="8"/>
  <c r="J27" i="8"/>
  <c r="K27" i="8" s="1"/>
  <c r="M27" i="8" s="1"/>
  <c r="G27" i="8"/>
  <c r="F27" i="8"/>
  <c r="K25" i="8"/>
  <c r="J25" i="8"/>
  <c r="G25" i="8"/>
  <c r="J24" i="8"/>
  <c r="K24" i="8" s="1"/>
  <c r="G24" i="8"/>
  <c r="J22" i="8"/>
  <c r="K22" i="8" s="1"/>
  <c r="M22" i="8" s="1"/>
  <c r="G22" i="8"/>
  <c r="J21" i="8"/>
  <c r="K21" i="8" s="1"/>
  <c r="M21" i="8" s="1"/>
  <c r="N21" i="8" s="1"/>
  <c r="G21" i="8"/>
  <c r="K20" i="8"/>
  <c r="J20" i="8"/>
  <c r="G20" i="8"/>
  <c r="I19" i="8"/>
  <c r="K19" i="8" s="1"/>
  <c r="G19" i="8"/>
  <c r="F19" i="8"/>
  <c r="J19" i="8" s="1"/>
  <c r="E19" i="8"/>
  <c r="J17" i="8"/>
  <c r="K17" i="8"/>
  <c r="G17" i="8"/>
  <c r="K16" i="8"/>
  <c r="M16" i="8" s="1"/>
  <c r="G16" i="8"/>
  <c r="J15" i="8"/>
  <c r="K15" i="8" s="1"/>
  <c r="G15" i="8"/>
  <c r="K14" i="8"/>
  <c r="M14" i="8" s="1"/>
  <c r="N14" i="8" s="1"/>
  <c r="G14" i="8"/>
  <c r="E9" i="8"/>
  <c r="J33" i="7"/>
  <c r="K33" i="7" s="1"/>
  <c r="G33" i="7"/>
  <c r="M33" i="7" s="1"/>
  <c r="N33" i="7" s="1"/>
  <c r="J32" i="7"/>
  <c r="K32" i="7" s="1"/>
  <c r="M32" i="7" s="1"/>
  <c r="N32" i="7" s="1"/>
  <c r="G32" i="7"/>
  <c r="J31" i="7"/>
  <c r="K31" i="7"/>
  <c r="G31" i="7"/>
  <c r="J30" i="7"/>
  <c r="K30" i="7" s="1"/>
  <c r="M30" i="7"/>
  <c r="N30" i="7" s="1"/>
  <c r="G30" i="7"/>
  <c r="F30" i="7"/>
  <c r="K29" i="7"/>
  <c r="M29" i="7" s="1"/>
  <c r="N29" i="7" s="1"/>
  <c r="G29" i="7"/>
  <c r="K28" i="7"/>
  <c r="M28" i="7" s="1"/>
  <c r="N28" i="7" s="1"/>
  <c r="J28" i="7"/>
  <c r="G28" i="7"/>
  <c r="F28" i="7"/>
  <c r="J27" i="7"/>
  <c r="K27" i="7" s="1"/>
  <c r="M27" i="7" s="1"/>
  <c r="N27" i="7" s="1"/>
  <c r="G27" i="7"/>
  <c r="F27" i="7"/>
  <c r="K25" i="7"/>
  <c r="J25" i="7"/>
  <c r="G25" i="7"/>
  <c r="J24" i="7"/>
  <c r="K24" i="7"/>
  <c r="G24" i="7"/>
  <c r="K22" i="7"/>
  <c r="M22" i="7" s="1"/>
  <c r="J22" i="7"/>
  <c r="G22" i="7"/>
  <c r="J21" i="7"/>
  <c r="K21" i="7"/>
  <c r="M21" i="7" s="1"/>
  <c r="N21" i="7" s="1"/>
  <c r="G21" i="7"/>
  <c r="K20" i="7"/>
  <c r="J20" i="7"/>
  <c r="G20" i="7"/>
  <c r="I19" i="7"/>
  <c r="K19" i="7" s="1"/>
  <c r="F19" i="7"/>
  <c r="J19" i="7" s="1"/>
  <c r="E19" i="7"/>
  <c r="G19" i="7" s="1"/>
  <c r="J17" i="7"/>
  <c r="K17" i="7"/>
  <c r="G17" i="7"/>
  <c r="M16" i="7"/>
  <c r="K16" i="7"/>
  <c r="G16" i="7"/>
  <c r="K15" i="7"/>
  <c r="M15" i="7" s="1"/>
  <c r="N15" i="7" s="1"/>
  <c r="J15" i="7"/>
  <c r="G15" i="7"/>
  <c r="K14" i="7"/>
  <c r="G14" i="7"/>
  <c r="G18" i="7" s="1"/>
  <c r="E9" i="7"/>
  <c r="J33" i="6"/>
  <c r="K33" i="6"/>
  <c r="G33" i="6"/>
  <c r="J32" i="6"/>
  <c r="K32" i="6" s="1"/>
  <c r="G32" i="6"/>
  <c r="K31" i="6"/>
  <c r="J31" i="6"/>
  <c r="G31" i="6"/>
  <c r="J30" i="6"/>
  <c r="K30" i="6" s="1"/>
  <c r="F30" i="6"/>
  <c r="G30" i="6" s="1"/>
  <c r="K29" i="6"/>
  <c r="M29" i="6"/>
  <c r="N29" i="6" s="1"/>
  <c r="G29" i="6"/>
  <c r="J28" i="6"/>
  <c r="K28" i="6"/>
  <c r="M28" i="6" s="1"/>
  <c r="N28" i="6" s="1"/>
  <c r="F28" i="6"/>
  <c r="G28" i="6"/>
  <c r="J27" i="6"/>
  <c r="K27" i="6" s="1"/>
  <c r="F27" i="6"/>
  <c r="G27" i="6"/>
  <c r="J25" i="6"/>
  <c r="K25" i="6" s="1"/>
  <c r="G25" i="6"/>
  <c r="K24" i="6"/>
  <c r="M24" i="6" s="1"/>
  <c r="N24" i="6" s="1"/>
  <c r="J24" i="6"/>
  <c r="G24" i="6"/>
  <c r="J22" i="6"/>
  <c r="K22" i="6" s="1"/>
  <c r="G22" i="6"/>
  <c r="K21" i="6"/>
  <c r="M21" i="6" s="1"/>
  <c r="N21" i="6" s="1"/>
  <c r="J21" i="6"/>
  <c r="G21" i="6"/>
  <c r="J20" i="6"/>
  <c r="K20" i="6" s="1"/>
  <c r="G20" i="6"/>
  <c r="I19" i="6"/>
  <c r="K19" i="6" s="1"/>
  <c r="F19" i="6"/>
  <c r="J19" i="6" s="1"/>
  <c r="E19" i="6"/>
  <c r="G19" i="6" s="1"/>
  <c r="J17" i="6"/>
  <c r="K17" i="6" s="1"/>
  <c r="M17" i="6" s="1"/>
  <c r="N17" i="6" s="1"/>
  <c r="G17" i="6"/>
  <c r="M16" i="6"/>
  <c r="K16" i="6"/>
  <c r="G16" i="6"/>
  <c r="J15" i="6"/>
  <c r="K15" i="6"/>
  <c r="G15" i="6"/>
  <c r="K14" i="6"/>
  <c r="G14" i="6"/>
  <c r="E9" i="6"/>
  <c r="J33" i="5"/>
  <c r="K33" i="5" s="1"/>
  <c r="G33" i="5"/>
  <c r="J32" i="5"/>
  <c r="K32" i="5"/>
  <c r="M32" i="5" s="1"/>
  <c r="N32" i="5" s="1"/>
  <c r="G32" i="5"/>
  <c r="J31" i="5"/>
  <c r="K31" i="5" s="1"/>
  <c r="G31" i="5"/>
  <c r="M31" i="5" s="1"/>
  <c r="N31" i="5" s="1"/>
  <c r="J30" i="5"/>
  <c r="K30" i="5" s="1"/>
  <c r="M30" i="5" s="1"/>
  <c r="N30" i="5" s="1"/>
  <c r="G30" i="5"/>
  <c r="F30" i="5"/>
  <c r="K29" i="5"/>
  <c r="G29" i="5"/>
  <c r="M29" i="5"/>
  <c r="N29" i="5"/>
  <c r="K28" i="5"/>
  <c r="G28" i="5"/>
  <c r="J27" i="5"/>
  <c r="K27" i="5" s="1"/>
  <c r="G27" i="5"/>
  <c r="J25" i="5"/>
  <c r="K25" i="5" s="1"/>
  <c r="G25" i="5"/>
  <c r="J24" i="5"/>
  <c r="K24" i="5" s="1"/>
  <c r="G24" i="5"/>
  <c r="J22" i="5"/>
  <c r="K22" i="5"/>
  <c r="M22" i="5" s="1"/>
  <c r="G22" i="5"/>
  <c r="J21" i="5"/>
  <c r="K21" i="5"/>
  <c r="M21" i="5" s="1"/>
  <c r="N21" i="5" s="1"/>
  <c r="G21" i="5"/>
  <c r="K20" i="5"/>
  <c r="G20" i="5"/>
  <c r="I19" i="5"/>
  <c r="K19" i="5" s="1"/>
  <c r="F19" i="5"/>
  <c r="J19" i="5" s="1"/>
  <c r="E19" i="5"/>
  <c r="G19" i="5" s="1"/>
  <c r="J17" i="5"/>
  <c r="K17" i="5" s="1"/>
  <c r="G17" i="5"/>
  <c r="G18" i="5" s="1"/>
  <c r="K16" i="5"/>
  <c r="M16" i="5"/>
  <c r="G16" i="5"/>
  <c r="J15" i="5"/>
  <c r="K15" i="5"/>
  <c r="G15" i="5"/>
  <c r="K14" i="5"/>
  <c r="M14" i="5" s="1"/>
  <c r="N14" i="5" s="1"/>
  <c r="G14" i="5"/>
  <c r="E9" i="5"/>
  <c r="F33" i="4"/>
  <c r="F32" i="4"/>
  <c r="F31" i="4"/>
  <c r="J30" i="4"/>
  <c r="K30" i="4" s="1"/>
  <c r="F30" i="4"/>
  <c r="G30" i="4" s="1"/>
  <c r="K29" i="4"/>
  <c r="M29" i="4"/>
  <c r="N29" i="4" s="1"/>
  <c r="G29" i="4"/>
  <c r="J28" i="4"/>
  <c r="K28" i="4"/>
  <c r="F28" i="4"/>
  <c r="G28" i="4" s="1"/>
  <c r="J27" i="4"/>
  <c r="K27" i="4" s="1"/>
  <c r="F27" i="4"/>
  <c r="G27" i="4"/>
  <c r="M27" i="4" s="1"/>
  <c r="N27" i="4" s="1"/>
  <c r="J25" i="4"/>
  <c r="K25" i="4" s="1"/>
  <c r="M25" i="4" s="1"/>
  <c r="N25" i="4" s="1"/>
  <c r="F25" i="4"/>
  <c r="G25" i="4" s="1"/>
  <c r="F24" i="4"/>
  <c r="J24" i="4" s="1"/>
  <c r="K24" i="4" s="1"/>
  <c r="J22" i="4"/>
  <c r="K22" i="4"/>
  <c r="G22" i="4"/>
  <c r="F21" i="4"/>
  <c r="G21" i="4" s="1"/>
  <c r="F20" i="4"/>
  <c r="G20" i="4" s="1"/>
  <c r="J20" i="4"/>
  <c r="K20" i="4" s="1"/>
  <c r="F19" i="4"/>
  <c r="J19" i="4"/>
  <c r="E19" i="4"/>
  <c r="G19" i="4" s="1"/>
  <c r="F17" i="4"/>
  <c r="J17" i="4" s="1"/>
  <c r="K17" i="4" s="1"/>
  <c r="K16" i="4"/>
  <c r="M16" i="4" s="1"/>
  <c r="G16" i="4"/>
  <c r="F15" i="4"/>
  <c r="G15" i="4" s="1"/>
  <c r="J15" i="4"/>
  <c r="K15" i="4"/>
  <c r="K14" i="4"/>
  <c r="M14" i="4" s="1"/>
  <c r="N14" i="4" s="1"/>
  <c r="G14" i="4"/>
  <c r="E9" i="4"/>
  <c r="J34" i="3"/>
  <c r="K34" i="3" s="1"/>
  <c r="G34" i="3"/>
  <c r="J33" i="3"/>
  <c r="K33" i="3" s="1"/>
  <c r="G33" i="3"/>
  <c r="J32" i="3"/>
  <c r="K32" i="3"/>
  <c r="G32" i="3"/>
  <c r="J31" i="3"/>
  <c r="K31" i="3" s="1"/>
  <c r="F31" i="3"/>
  <c r="G31" i="3" s="1"/>
  <c r="K30" i="3"/>
  <c r="G30" i="3"/>
  <c r="J29" i="3"/>
  <c r="K29" i="3"/>
  <c r="F29" i="3"/>
  <c r="G29" i="3" s="1"/>
  <c r="J28" i="3"/>
  <c r="K28" i="3" s="1"/>
  <c r="F28" i="3"/>
  <c r="G28" i="3" s="1"/>
  <c r="J26" i="3"/>
  <c r="K26" i="3"/>
  <c r="G26" i="3"/>
  <c r="J25" i="3"/>
  <c r="K25" i="3" s="1"/>
  <c r="G25" i="3"/>
  <c r="J23" i="3"/>
  <c r="K23" i="3" s="1"/>
  <c r="G23" i="3"/>
  <c r="J22" i="3"/>
  <c r="K22" i="3" s="1"/>
  <c r="G22" i="3"/>
  <c r="J21" i="3"/>
  <c r="K21" i="3" s="1"/>
  <c r="G21" i="3"/>
  <c r="I20" i="3"/>
  <c r="F20" i="3"/>
  <c r="J20" i="3" s="1"/>
  <c r="E20" i="3"/>
  <c r="J18" i="3"/>
  <c r="K18" i="3" s="1"/>
  <c r="G18" i="3"/>
  <c r="K16" i="3"/>
  <c r="G16" i="3"/>
  <c r="J15" i="3"/>
  <c r="K15" i="3" s="1"/>
  <c r="M15" i="3" s="1"/>
  <c r="N15" i="3" s="1"/>
  <c r="G15" i="3"/>
  <c r="K14" i="3"/>
  <c r="G14" i="3"/>
  <c r="E9" i="3"/>
  <c r="K35" i="2"/>
  <c r="G35" i="2"/>
  <c r="K34" i="2"/>
  <c r="G34" i="2"/>
  <c r="M34" i="2" s="1"/>
  <c r="N34" i="2" s="1"/>
  <c r="K33" i="2"/>
  <c r="G33" i="2"/>
  <c r="K32" i="2"/>
  <c r="G32" i="2"/>
  <c r="K31" i="2"/>
  <c r="M31" i="2" s="1"/>
  <c r="N31" i="2" s="1"/>
  <c r="G31" i="2"/>
  <c r="K30" i="2"/>
  <c r="G30" i="2"/>
  <c r="K29" i="2"/>
  <c r="G29" i="2"/>
  <c r="K27" i="2"/>
  <c r="G27" i="2"/>
  <c r="K26" i="2"/>
  <c r="G26" i="2"/>
  <c r="K24" i="2"/>
  <c r="G24" i="2"/>
  <c r="K23" i="2"/>
  <c r="G23" i="2"/>
  <c r="M23" i="2" s="1"/>
  <c r="N23" i="2" s="1"/>
  <c r="K22" i="2"/>
  <c r="G22" i="2"/>
  <c r="K21" i="2"/>
  <c r="M21" i="2" s="1"/>
  <c r="N21" i="2" s="1"/>
  <c r="G21" i="2"/>
  <c r="K19" i="2"/>
  <c r="G19" i="2"/>
  <c r="K15" i="2"/>
  <c r="G15" i="2"/>
  <c r="K14" i="2"/>
  <c r="G14" i="2"/>
  <c r="E9" i="2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M15" i="15"/>
  <c r="N15" i="15" s="1"/>
  <c r="G32" i="16"/>
  <c r="K32" i="16"/>
  <c r="M32" i="16" s="1"/>
  <c r="N32" i="16" s="1"/>
  <c r="K31" i="14"/>
  <c r="J32" i="13"/>
  <c r="K32" i="13" s="1"/>
  <c r="M32" i="13" s="1"/>
  <c r="N32" i="13" s="1"/>
  <c r="G32" i="13"/>
  <c r="G31" i="15"/>
  <c r="M31" i="15" s="1"/>
  <c r="N31" i="15" s="1"/>
  <c r="M28" i="13"/>
  <c r="N28" i="13" s="1"/>
  <c r="M14" i="14"/>
  <c r="N14" i="14" s="1"/>
  <c r="I19" i="14"/>
  <c r="K31" i="15"/>
  <c r="M27" i="14"/>
  <c r="N27" i="14" s="1"/>
  <c r="N21" i="13"/>
  <c r="K18" i="16"/>
  <c r="K19" i="13"/>
  <c r="G31" i="16"/>
  <c r="I19" i="15"/>
  <c r="K19" i="15" s="1"/>
  <c r="M19" i="15" s="1"/>
  <c r="N19" i="15" s="1"/>
  <c r="M22" i="4"/>
  <c r="J32" i="4"/>
  <c r="K32" i="4"/>
  <c r="G32" i="4"/>
  <c r="M14" i="7"/>
  <c r="N14" i="7" s="1"/>
  <c r="M25" i="5"/>
  <c r="N25" i="5" s="1"/>
  <c r="M32" i="8"/>
  <c r="N32" i="8" s="1"/>
  <c r="M31" i="6"/>
  <c r="N31" i="6" s="1"/>
  <c r="M29" i="2"/>
  <c r="N29" i="2" s="1"/>
  <c r="M19" i="2" l="1"/>
  <c r="N19" i="2" s="1"/>
  <c r="M24" i="16"/>
  <c r="N24" i="16" s="1"/>
  <c r="M17" i="15"/>
  <c r="N17" i="15" s="1"/>
  <c r="M24" i="15"/>
  <c r="N24" i="15" s="1"/>
  <c r="M31" i="14"/>
  <c r="N31" i="14" s="1"/>
  <c r="M25" i="14"/>
  <c r="N25" i="14" s="1"/>
  <c r="M24" i="14"/>
  <c r="N24" i="14" s="1"/>
  <c r="M17" i="13"/>
  <c r="N17" i="13" s="1"/>
  <c r="K31" i="13"/>
  <c r="M31" i="13" s="1"/>
  <c r="N31" i="13" s="1"/>
  <c r="M25" i="13"/>
  <c r="N25" i="13" s="1"/>
  <c r="J20" i="12"/>
  <c r="K20" i="12" s="1"/>
  <c r="M20" i="12" s="1"/>
  <c r="N20" i="12" s="1"/>
  <c r="J24" i="12"/>
  <c r="K24" i="12" s="1"/>
  <c r="M30" i="12"/>
  <c r="N30" i="12" s="1"/>
  <c r="G31" i="12"/>
  <c r="M28" i="12"/>
  <c r="N28" i="12" s="1"/>
  <c r="M25" i="12"/>
  <c r="N25" i="12" s="1"/>
  <c r="M31" i="10"/>
  <c r="N31" i="10" s="1"/>
  <c r="M25" i="8"/>
  <c r="N25" i="8" s="1"/>
  <c r="M33" i="8"/>
  <c r="N33" i="8" s="1"/>
  <c r="M31" i="8"/>
  <c r="N31" i="8" s="1"/>
  <c r="M19" i="8"/>
  <c r="N19" i="8" s="1"/>
  <c r="M24" i="8"/>
  <c r="N24" i="8" s="1"/>
  <c r="M17" i="8"/>
  <c r="N17" i="8" s="1"/>
  <c r="G18" i="8"/>
  <c r="G23" i="8" s="1"/>
  <c r="G26" i="8" s="1"/>
  <c r="G35" i="8" s="1"/>
  <c r="G36" i="8" s="1"/>
  <c r="G37" i="8" s="1"/>
  <c r="M31" i="7"/>
  <c r="N31" i="7" s="1"/>
  <c r="M25" i="7"/>
  <c r="N25" i="7" s="1"/>
  <c r="M24" i="7"/>
  <c r="N24" i="7" s="1"/>
  <c r="M33" i="6"/>
  <c r="N33" i="6" s="1"/>
  <c r="M19" i="6"/>
  <c r="N19" i="6" s="1"/>
  <c r="M25" i="6"/>
  <c r="N25" i="6" s="1"/>
  <c r="M28" i="5"/>
  <c r="N28" i="5" s="1"/>
  <c r="M27" i="5"/>
  <c r="N27" i="5" s="1"/>
  <c r="M19" i="5"/>
  <c r="N19" i="5" s="1"/>
  <c r="M33" i="5"/>
  <c r="N33" i="5" s="1"/>
  <c r="G23" i="5"/>
  <c r="G26" i="5" s="1"/>
  <c r="G35" i="5" s="1"/>
  <c r="G36" i="5" s="1"/>
  <c r="G37" i="5" s="1"/>
  <c r="M24" i="5"/>
  <c r="N24" i="5" s="1"/>
  <c r="K18" i="4"/>
  <c r="G24" i="4"/>
  <c r="M24" i="4" s="1"/>
  <c r="N24" i="4" s="1"/>
  <c r="G17" i="4"/>
  <c r="M17" i="4" s="1"/>
  <c r="N17" i="4" s="1"/>
  <c r="M26" i="3"/>
  <c r="N26" i="3" s="1"/>
  <c r="M33" i="2"/>
  <c r="N33" i="2" s="1"/>
  <c r="K23" i="16"/>
  <c r="K26" i="16" s="1"/>
  <c r="K35" i="16" s="1"/>
  <c r="K36" i="16" s="1"/>
  <c r="M25" i="16"/>
  <c r="N25" i="16" s="1"/>
  <c r="M24" i="12"/>
  <c r="N24" i="12" s="1"/>
  <c r="M25" i="3"/>
  <c r="N25" i="3" s="1"/>
  <c r="K18" i="13"/>
  <c r="K23" i="13" s="1"/>
  <c r="M14" i="13"/>
  <c r="N14" i="13" s="1"/>
  <c r="M15" i="6"/>
  <c r="N15" i="6" s="1"/>
  <c r="K20" i="2"/>
  <c r="K25" i="2" s="1"/>
  <c r="K28" i="2" s="1"/>
  <c r="K37" i="2" s="1"/>
  <c r="K38" i="2" s="1"/>
  <c r="M20" i="14"/>
  <c r="N20" i="14" s="1"/>
  <c r="M20" i="8"/>
  <c r="N20" i="8" s="1"/>
  <c r="G18" i="13"/>
  <c r="M17" i="12"/>
  <c r="N17" i="12" s="1"/>
  <c r="M21" i="11"/>
  <c r="N21" i="11" s="1"/>
  <c r="M23" i="10"/>
  <c r="N23" i="10" s="1"/>
  <c r="M30" i="10"/>
  <c r="N30" i="10" s="1"/>
  <c r="K34" i="10"/>
  <c r="M31" i="11"/>
  <c r="N31" i="11" s="1"/>
  <c r="M15" i="11"/>
  <c r="N15" i="11" s="1"/>
  <c r="M25" i="11"/>
  <c r="N25" i="11" s="1"/>
  <c r="M26" i="11"/>
  <c r="N26" i="11" s="1"/>
  <c r="M20" i="11"/>
  <c r="N20" i="11" s="1"/>
  <c r="K32" i="11"/>
  <c r="M32" i="11" s="1"/>
  <c r="N32" i="11" s="1"/>
  <c r="M17" i="11"/>
  <c r="N17" i="11" s="1"/>
  <c r="K20" i="3"/>
  <c r="M29" i="3"/>
  <c r="N29" i="3" s="1"/>
  <c r="M34" i="3"/>
  <c r="N34" i="3" s="1"/>
  <c r="M14" i="3"/>
  <c r="N14" i="3" s="1"/>
  <c r="K19" i="3"/>
  <c r="G20" i="3"/>
  <c r="M30" i="3"/>
  <c r="N30" i="3" s="1"/>
  <c r="M28" i="3"/>
  <c r="N28" i="3" s="1"/>
  <c r="M26" i="2"/>
  <c r="N26" i="2" s="1"/>
  <c r="M16" i="10"/>
  <c r="M29" i="10"/>
  <c r="N29" i="10" s="1"/>
  <c r="M14" i="2"/>
  <c r="N14" i="2" s="1"/>
  <c r="M21" i="3"/>
  <c r="N21" i="3" s="1"/>
  <c r="M17" i="7"/>
  <c r="N17" i="7" s="1"/>
  <c r="M17" i="5"/>
  <c r="N17" i="5" s="1"/>
  <c r="M28" i="4"/>
  <c r="N28" i="4" s="1"/>
  <c r="M18" i="3"/>
  <c r="N18" i="3" s="1"/>
  <c r="M20" i="16"/>
  <c r="N20" i="16" s="1"/>
  <c r="M20" i="15"/>
  <c r="N20" i="15" s="1"/>
  <c r="K19" i="11"/>
  <c r="K24" i="11" s="1"/>
  <c r="M18" i="11"/>
  <c r="N18" i="11" s="1"/>
  <c r="M30" i="11"/>
  <c r="N30" i="11" s="1"/>
  <c r="M24" i="10"/>
  <c r="N24" i="10" s="1"/>
  <c r="M26" i="10"/>
  <c r="N26" i="10" s="1"/>
  <c r="M22" i="10"/>
  <c r="N22" i="10" s="1"/>
  <c r="M27" i="10"/>
  <c r="N27" i="10" s="1"/>
  <c r="K20" i="10"/>
  <c r="K25" i="10" s="1"/>
  <c r="M19" i="10"/>
  <c r="N19" i="10" s="1"/>
  <c r="M14" i="10"/>
  <c r="N14" i="10" s="1"/>
  <c r="G20" i="10"/>
  <c r="G25" i="10" s="1"/>
  <c r="G28" i="10" s="1"/>
  <c r="G37" i="10" s="1"/>
  <c r="M15" i="2"/>
  <c r="N15" i="2" s="1"/>
  <c r="M22" i="2"/>
  <c r="N22" i="2" s="1"/>
  <c r="M32" i="2"/>
  <c r="N32" i="2" s="1"/>
  <c r="M31" i="3"/>
  <c r="N31" i="3" s="1"/>
  <c r="M22" i="3"/>
  <c r="N22" i="3" s="1"/>
  <c r="M32" i="3"/>
  <c r="N32" i="3" s="1"/>
  <c r="M23" i="3"/>
  <c r="N23" i="3" s="1"/>
  <c r="G19" i="3"/>
  <c r="G24" i="3" s="1"/>
  <c r="G27" i="3" s="1"/>
  <c r="G36" i="3" s="1"/>
  <c r="G37" i="3" s="1"/>
  <c r="G38" i="3" s="1"/>
  <c r="M24" i="2"/>
  <c r="N24" i="2" s="1"/>
  <c r="M35" i="2"/>
  <c r="N35" i="2" s="1"/>
  <c r="G20" i="2"/>
  <c r="G25" i="2" s="1"/>
  <c r="M27" i="2"/>
  <c r="N27" i="2" s="1"/>
  <c r="M15" i="8"/>
  <c r="N15" i="8" s="1"/>
  <c r="K18" i="8"/>
  <c r="M21" i="10"/>
  <c r="N21" i="10" s="1"/>
  <c r="M15" i="4"/>
  <c r="N15" i="4" s="1"/>
  <c r="K19" i="14"/>
  <c r="M19" i="14" s="1"/>
  <c r="N19" i="14" s="1"/>
  <c r="M16" i="14"/>
  <c r="G18" i="14"/>
  <c r="G23" i="14" s="1"/>
  <c r="G26" i="14" s="1"/>
  <c r="G35" i="14" s="1"/>
  <c r="J15" i="12"/>
  <c r="K15" i="12" s="1"/>
  <c r="G15" i="12"/>
  <c r="G18" i="12" s="1"/>
  <c r="G23" i="12" s="1"/>
  <c r="G26" i="12" s="1"/>
  <c r="M15" i="5"/>
  <c r="N15" i="5" s="1"/>
  <c r="K18" i="5"/>
  <c r="M21" i="12"/>
  <c r="N21" i="12" s="1"/>
  <c r="K18" i="14"/>
  <c r="G33" i="4"/>
  <c r="J33" i="4"/>
  <c r="K33" i="4" s="1"/>
  <c r="K18" i="6"/>
  <c r="M22" i="14"/>
  <c r="M33" i="3"/>
  <c r="N33" i="3" s="1"/>
  <c r="J21" i="4"/>
  <c r="K21" i="4" s="1"/>
  <c r="M21" i="4" s="1"/>
  <c r="N21" i="4" s="1"/>
  <c r="M20" i="7"/>
  <c r="N20" i="7" s="1"/>
  <c r="M14" i="11"/>
  <c r="N14" i="11" s="1"/>
  <c r="G19" i="11"/>
  <c r="G24" i="11" s="1"/>
  <c r="G27" i="11" s="1"/>
  <c r="G36" i="11" s="1"/>
  <c r="M28" i="11"/>
  <c r="N28" i="11" s="1"/>
  <c r="G18" i="15"/>
  <c r="G23" i="15" s="1"/>
  <c r="G26" i="15" s="1"/>
  <c r="M32" i="4"/>
  <c r="N32" i="4" s="1"/>
  <c r="M30" i="4"/>
  <c r="N30" i="4" s="1"/>
  <c r="G18" i="6"/>
  <c r="G23" i="6" s="1"/>
  <c r="G26" i="6" s="1"/>
  <c r="G35" i="6" s="1"/>
  <c r="M22" i="6"/>
  <c r="J32" i="15"/>
  <c r="K32" i="15" s="1"/>
  <c r="G32" i="15"/>
  <c r="M34" i="11"/>
  <c r="G23" i="7"/>
  <c r="G26" i="7" s="1"/>
  <c r="G35" i="7" s="1"/>
  <c r="G18" i="16"/>
  <c r="G23" i="16" s="1"/>
  <c r="M14" i="16"/>
  <c r="N14" i="16" s="1"/>
  <c r="M20" i="5"/>
  <c r="M14" i="6"/>
  <c r="N14" i="6" s="1"/>
  <c r="M30" i="6"/>
  <c r="N30" i="6" s="1"/>
  <c r="K33" i="10"/>
  <c r="M33" i="10" s="1"/>
  <c r="N33" i="10" s="1"/>
  <c r="M14" i="12"/>
  <c r="N14" i="12" s="1"/>
  <c r="G19" i="13"/>
  <c r="M30" i="2"/>
  <c r="N30" i="2" s="1"/>
  <c r="J31" i="4"/>
  <c r="K31" i="4" s="1"/>
  <c r="G31" i="4"/>
  <c r="M34" i="10"/>
  <c r="N34" i="10" s="1"/>
  <c r="M22" i="11"/>
  <c r="N22" i="11" s="1"/>
  <c r="M17" i="14"/>
  <c r="N17" i="14" s="1"/>
  <c r="M28" i="15"/>
  <c r="N28" i="15" s="1"/>
  <c r="M17" i="16"/>
  <c r="N17" i="16" s="1"/>
  <c r="M16" i="3"/>
  <c r="N16" i="3" s="1"/>
  <c r="K19" i="4"/>
  <c r="M27" i="6"/>
  <c r="N27" i="6" s="1"/>
  <c r="K18" i="7"/>
  <c r="M24" i="13"/>
  <c r="N24" i="13" s="1"/>
  <c r="K32" i="14"/>
  <c r="M32" i="14" s="1"/>
  <c r="N32" i="14" s="1"/>
  <c r="M20" i="4"/>
  <c r="N20" i="4" s="1"/>
  <c r="M20" i="6"/>
  <c r="N20" i="6" s="1"/>
  <c r="M32" i="6"/>
  <c r="N32" i="6" s="1"/>
  <c r="M19" i="7"/>
  <c r="N19" i="7" s="1"/>
  <c r="K31" i="12"/>
  <c r="M14" i="15"/>
  <c r="N14" i="15" s="1"/>
  <c r="K18" i="15"/>
  <c r="G23" i="13" l="1"/>
  <c r="G26" i="13" s="1"/>
  <c r="G35" i="13" s="1"/>
  <c r="M18" i="13"/>
  <c r="O20" i="1" s="1"/>
  <c r="M19" i="13"/>
  <c r="N19" i="13" s="1"/>
  <c r="G35" i="12"/>
  <c r="G36" i="12" s="1"/>
  <c r="G37" i="12" s="1"/>
  <c r="G39" i="12" s="1"/>
  <c r="M31" i="12"/>
  <c r="N31" i="12" s="1"/>
  <c r="G18" i="4"/>
  <c r="K24" i="3"/>
  <c r="M24" i="3" s="1"/>
  <c r="M20" i="3"/>
  <c r="N20" i="3" s="1"/>
  <c r="M19" i="3"/>
  <c r="N19" i="3" s="1"/>
  <c r="M19" i="11"/>
  <c r="M20" i="10"/>
  <c r="N20" i="10" s="1"/>
  <c r="M20" i="2"/>
  <c r="N20" i="2" s="1"/>
  <c r="G36" i="13"/>
  <c r="G37" i="13" s="1"/>
  <c r="G39" i="13" s="1"/>
  <c r="G39" i="3"/>
  <c r="G40" i="3" s="1"/>
  <c r="M18" i="14"/>
  <c r="K23" i="14"/>
  <c r="K23" i="7"/>
  <c r="M18" i="7"/>
  <c r="K27" i="11"/>
  <c r="M24" i="11"/>
  <c r="G36" i="6"/>
  <c r="G37" i="6" s="1"/>
  <c r="G37" i="11"/>
  <c r="G38" i="11" s="1"/>
  <c r="M32" i="15"/>
  <c r="N32" i="15" s="1"/>
  <c r="G28" i="2"/>
  <c r="M25" i="2"/>
  <c r="G39" i="8"/>
  <c r="K18" i="12"/>
  <c r="M15" i="12"/>
  <c r="N15" i="12" s="1"/>
  <c r="G23" i="4"/>
  <c r="G26" i="4" s="1"/>
  <c r="G35" i="4" s="1"/>
  <c r="M18" i="4"/>
  <c r="K23" i="4"/>
  <c r="M19" i="4"/>
  <c r="N19" i="4" s="1"/>
  <c r="M31" i="4"/>
  <c r="N31" i="4" s="1"/>
  <c r="M23" i="13"/>
  <c r="N23" i="13" s="1"/>
  <c r="K26" i="13"/>
  <c r="G26" i="16"/>
  <c r="M23" i="16"/>
  <c r="G38" i="10"/>
  <c r="G39" i="10" s="1"/>
  <c r="G40" i="10" s="1"/>
  <c r="K23" i="6"/>
  <c r="M18" i="6"/>
  <c r="G36" i="14"/>
  <c r="G37" i="14" s="1"/>
  <c r="G39" i="14" s="1"/>
  <c r="G39" i="5"/>
  <c r="G35" i="15"/>
  <c r="K28" i="10"/>
  <c r="M25" i="10"/>
  <c r="K23" i="8"/>
  <c r="M18" i="8"/>
  <c r="M18" i="15"/>
  <c r="K23" i="15"/>
  <c r="G36" i="7"/>
  <c r="G37" i="7" s="1"/>
  <c r="M18" i="16"/>
  <c r="M33" i="4"/>
  <c r="N33" i="4" s="1"/>
  <c r="M18" i="5"/>
  <c r="K23" i="5"/>
  <c r="K39" i="2"/>
  <c r="K37" i="16"/>
  <c r="N18" i="13" l="1"/>
  <c r="P20" i="1" s="1"/>
  <c r="K27" i="3"/>
  <c r="M27" i="3" s="1"/>
  <c r="N27" i="3" s="1"/>
  <c r="N24" i="3"/>
  <c r="P6" i="1" s="1"/>
  <c r="O6" i="1"/>
  <c r="N25" i="2"/>
  <c r="P5" i="1" s="1"/>
  <c r="O5" i="1"/>
  <c r="N23" i="16"/>
  <c r="P23" i="1" s="1"/>
  <c r="O23" i="1"/>
  <c r="N24" i="11"/>
  <c r="P18" i="1" s="1"/>
  <c r="O18" i="1"/>
  <c r="N25" i="10"/>
  <c r="P17" i="1" s="1"/>
  <c r="O17" i="1"/>
  <c r="N19" i="11"/>
  <c r="G39" i="11"/>
  <c r="G40" i="11" s="1"/>
  <c r="G39" i="6"/>
  <c r="M28" i="10"/>
  <c r="N28" i="10" s="1"/>
  <c r="K37" i="10"/>
  <c r="N18" i="5"/>
  <c r="P8" i="1" s="1"/>
  <c r="O8" i="1"/>
  <c r="M23" i="8"/>
  <c r="K26" i="8"/>
  <c r="G35" i="16"/>
  <c r="M26" i="16"/>
  <c r="N26" i="16" s="1"/>
  <c r="N18" i="4"/>
  <c r="G36" i="4"/>
  <c r="G37" i="4" s="1"/>
  <c r="G36" i="15"/>
  <c r="G37" i="15" s="1"/>
  <c r="G39" i="15" s="1"/>
  <c r="K23" i="12"/>
  <c r="M18" i="12"/>
  <c r="N18" i="14"/>
  <c r="K39" i="16"/>
  <c r="M23" i="15"/>
  <c r="K26" i="15"/>
  <c r="M28" i="2"/>
  <c r="N28" i="2" s="1"/>
  <c r="G37" i="2"/>
  <c r="M27" i="11"/>
  <c r="N27" i="11" s="1"/>
  <c r="K36" i="11"/>
  <c r="M23" i="14"/>
  <c r="K26" i="14"/>
  <c r="N18" i="6"/>
  <c r="N18" i="15"/>
  <c r="G41" i="10"/>
  <c r="N18" i="7"/>
  <c r="N18" i="16"/>
  <c r="G39" i="7"/>
  <c r="M26" i="13"/>
  <c r="N26" i="13" s="1"/>
  <c r="K35" i="13"/>
  <c r="M23" i="6"/>
  <c r="K26" i="6"/>
  <c r="M23" i="5"/>
  <c r="N23" i="5" s="1"/>
  <c r="K26" i="5"/>
  <c r="N18" i="8"/>
  <c r="M23" i="4"/>
  <c r="K26" i="4"/>
  <c r="M23" i="7"/>
  <c r="K26" i="7"/>
  <c r="K36" i="3" l="1"/>
  <c r="M36" i="3" s="1"/>
  <c r="N36" i="3" s="1"/>
  <c r="N23" i="8"/>
  <c r="O11" i="1"/>
  <c r="N23" i="7"/>
  <c r="P10" i="1" s="1"/>
  <c r="O10" i="1"/>
  <c r="N23" i="6"/>
  <c r="P9" i="1" s="1"/>
  <c r="O9" i="1"/>
  <c r="N23" i="4"/>
  <c r="P7" i="1" s="1"/>
  <c r="O7" i="1"/>
  <c r="N23" i="15"/>
  <c r="P22" i="1" s="1"/>
  <c r="O22" i="1"/>
  <c r="N23" i="14"/>
  <c r="P21" i="1" s="1"/>
  <c r="O21" i="1"/>
  <c r="G39" i="4"/>
  <c r="M37" i="10"/>
  <c r="N37" i="10" s="1"/>
  <c r="K38" i="10"/>
  <c r="M38" i="10" s="1"/>
  <c r="N38" i="10" s="1"/>
  <c r="M36" i="11"/>
  <c r="N36" i="11" s="1"/>
  <c r="K37" i="11"/>
  <c r="M37" i="11" s="1"/>
  <c r="N37" i="11" s="1"/>
  <c r="K35" i="15"/>
  <c r="M26" i="15"/>
  <c r="N26" i="15" s="1"/>
  <c r="K35" i="4"/>
  <c r="M26" i="4"/>
  <c r="N26" i="4" s="1"/>
  <c r="K36" i="13"/>
  <c r="M36" i="13" s="1"/>
  <c r="N36" i="13" s="1"/>
  <c r="M35" i="13"/>
  <c r="N35" i="13" s="1"/>
  <c r="K26" i="12"/>
  <c r="M23" i="12"/>
  <c r="G36" i="16"/>
  <c r="M36" i="16" s="1"/>
  <c r="N36" i="16" s="1"/>
  <c r="M35" i="16"/>
  <c r="N35" i="16" s="1"/>
  <c r="K35" i="7"/>
  <c r="M26" i="7"/>
  <c r="N26" i="7" s="1"/>
  <c r="K35" i="14"/>
  <c r="M26" i="14"/>
  <c r="N26" i="14" s="1"/>
  <c r="K35" i="8"/>
  <c r="M26" i="8"/>
  <c r="N26" i="8" s="1"/>
  <c r="P11" i="1" s="1"/>
  <c r="M26" i="5"/>
  <c r="N26" i="5" s="1"/>
  <c r="K35" i="5"/>
  <c r="G38" i="2"/>
  <c r="M38" i="2" s="1"/>
  <c r="N38" i="2" s="1"/>
  <c r="M37" i="2"/>
  <c r="N37" i="2" s="1"/>
  <c r="K35" i="6"/>
  <c r="M26" i="6"/>
  <c r="N26" i="6" s="1"/>
  <c r="K41" i="2"/>
  <c r="N18" i="12"/>
  <c r="K37" i="3" l="1"/>
  <c r="M37" i="3" s="1"/>
  <c r="N37" i="3" s="1"/>
  <c r="K37" i="13"/>
  <c r="K39" i="13" s="1"/>
  <c r="M39" i="13" s="1"/>
  <c r="N23" i="12"/>
  <c r="P19" i="1" s="1"/>
  <c r="O19" i="1"/>
  <c r="K38" i="11"/>
  <c r="M39" i="11" s="1"/>
  <c r="N39" i="11" s="1"/>
  <c r="K36" i="5"/>
  <c r="M36" i="5" s="1"/>
  <c r="N36" i="5" s="1"/>
  <c r="M35" i="5"/>
  <c r="N35" i="5" s="1"/>
  <c r="G37" i="16"/>
  <c r="K36" i="4"/>
  <c r="M36" i="4" s="1"/>
  <c r="N36" i="4" s="1"/>
  <c r="M35" i="4"/>
  <c r="N35" i="4" s="1"/>
  <c r="K36" i="8"/>
  <c r="M36" i="8" s="1"/>
  <c r="N36" i="8" s="1"/>
  <c r="M35" i="8"/>
  <c r="N35" i="8" s="1"/>
  <c r="M35" i="15"/>
  <c r="N35" i="15" s="1"/>
  <c r="K36" i="15"/>
  <c r="M36" i="15" s="1"/>
  <c r="N36" i="15" s="1"/>
  <c r="K36" i="6"/>
  <c r="M36" i="6" s="1"/>
  <c r="N36" i="6" s="1"/>
  <c r="M35" i="6"/>
  <c r="N35" i="6" s="1"/>
  <c r="K35" i="12"/>
  <c r="M26" i="12"/>
  <c r="N26" i="12" s="1"/>
  <c r="M35" i="14"/>
  <c r="N35" i="14" s="1"/>
  <c r="K36" i="14"/>
  <c r="M36" i="14" s="1"/>
  <c r="N36" i="14" s="1"/>
  <c r="K39" i="10"/>
  <c r="G39" i="2"/>
  <c r="K36" i="7"/>
  <c r="M36" i="7" s="1"/>
  <c r="N36" i="7" s="1"/>
  <c r="M35" i="7"/>
  <c r="N35" i="7" s="1"/>
  <c r="M37" i="13" l="1"/>
  <c r="N37" i="13" s="1"/>
  <c r="K38" i="3"/>
  <c r="M38" i="3" s="1"/>
  <c r="N38" i="3" s="1"/>
  <c r="F7" i="1" s="1"/>
  <c r="K37" i="4"/>
  <c r="M37" i="4" s="1"/>
  <c r="N37" i="4" s="1"/>
  <c r="F9" i="1" s="1"/>
  <c r="K37" i="5"/>
  <c r="M37" i="5" s="1"/>
  <c r="N37" i="5" s="1"/>
  <c r="K37" i="6"/>
  <c r="M37" i="6" s="1"/>
  <c r="N37" i="6" s="1"/>
  <c r="F10" i="1" s="1"/>
  <c r="M38" i="11"/>
  <c r="N38" i="11" s="1"/>
  <c r="F19" i="1" s="1"/>
  <c r="K37" i="8"/>
  <c r="M37" i="8" s="1"/>
  <c r="N37" i="8" s="1"/>
  <c r="F12" i="1" s="1"/>
  <c r="K37" i="7"/>
  <c r="M37" i="7" s="1"/>
  <c r="N37" i="7" s="1"/>
  <c r="F11" i="1" s="1"/>
  <c r="G39" i="16"/>
  <c r="M39" i="16" s="1"/>
  <c r="M37" i="16"/>
  <c r="N37" i="16" s="1"/>
  <c r="F24" i="1" s="1"/>
  <c r="K40" i="11"/>
  <c r="M40" i="11" s="1"/>
  <c r="M38" i="4"/>
  <c r="M38" i="5"/>
  <c r="N39" i="13"/>
  <c r="R20" i="1" s="1"/>
  <c r="Q20" i="1"/>
  <c r="G40" i="2"/>
  <c r="M40" i="2" s="1"/>
  <c r="N40" i="2" s="1"/>
  <c r="M39" i="2"/>
  <c r="N39" i="2" s="1"/>
  <c r="F5" i="1" s="1"/>
  <c r="M35" i="12"/>
  <c r="N35" i="12" s="1"/>
  <c r="K36" i="12"/>
  <c r="M36" i="12" s="1"/>
  <c r="N36" i="12" s="1"/>
  <c r="K37" i="14"/>
  <c r="M39" i="10"/>
  <c r="N39" i="10" s="1"/>
  <c r="F17" i="1" s="1"/>
  <c r="M40" i="10"/>
  <c r="N40" i="10" s="1"/>
  <c r="M38" i="6"/>
  <c r="N38" i="6" s="1"/>
  <c r="M39" i="3"/>
  <c r="N39" i="3" s="1"/>
  <c r="K37" i="15"/>
  <c r="M38" i="8" l="1"/>
  <c r="G41" i="2"/>
  <c r="M41" i="2" s="1"/>
  <c r="Q5" i="1" s="1"/>
  <c r="M38" i="7"/>
  <c r="N38" i="7" s="1"/>
  <c r="K40" i="3"/>
  <c r="M40" i="3" s="1"/>
  <c r="N40" i="3" s="1"/>
  <c r="M37" i="14"/>
  <c r="N37" i="14" s="1"/>
  <c r="F22" i="1" s="1"/>
  <c r="K39" i="14"/>
  <c r="M39" i="14" s="1"/>
  <c r="K39" i="5"/>
  <c r="M39" i="5" s="1"/>
  <c r="K39" i="8"/>
  <c r="M39" i="8" s="1"/>
  <c r="K39" i="6"/>
  <c r="M39" i="6" s="1"/>
  <c r="K37" i="12"/>
  <c r="Q18" i="1"/>
  <c r="N40" i="11"/>
  <c r="Q23" i="1"/>
  <c r="N39" i="16"/>
  <c r="M37" i="15"/>
  <c r="N37" i="15" s="1"/>
  <c r="F23" i="1" s="1"/>
  <c r="K39" i="15"/>
  <c r="M39" i="15" s="1"/>
  <c r="K41" i="10"/>
  <c r="M41" i="10" s="1"/>
  <c r="K39" i="4"/>
  <c r="M39" i="4" s="1"/>
  <c r="R23" i="1" l="1"/>
  <c r="E24" i="1"/>
  <c r="R18" i="1"/>
  <c r="E19" i="1"/>
  <c r="R6" i="1"/>
  <c r="E7" i="1"/>
  <c r="Q6" i="1"/>
  <c r="N41" i="2"/>
  <c r="K39" i="7"/>
  <c r="M39" i="7" s="1"/>
  <c r="Q10" i="1" s="1"/>
  <c r="N39" i="8"/>
  <c r="Q11" i="1"/>
  <c r="Q17" i="1"/>
  <c r="N41" i="10"/>
  <c r="Q22" i="1"/>
  <c r="N39" i="15"/>
  <c r="Q9" i="1"/>
  <c r="N39" i="6"/>
  <c r="M37" i="12"/>
  <c r="N37" i="12" s="1"/>
  <c r="F21" i="1" s="1"/>
  <c r="K39" i="12"/>
  <c r="M39" i="12" s="1"/>
  <c r="N39" i="5"/>
  <c r="R8" i="1" s="1"/>
  <c r="Q8" i="1"/>
  <c r="N39" i="14"/>
  <c r="Q21" i="1"/>
  <c r="N39" i="4"/>
  <c r="Q7" i="1"/>
  <c r="R22" i="1" l="1"/>
  <c r="E23" i="1"/>
  <c r="R21" i="1"/>
  <c r="E22" i="1"/>
  <c r="R11" i="1"/>
  <c r="E12" i="1"/>
  <c r="R9" i="1"/>
  <c r="E10" i="1"/>
  <c r="R7" i="1"/>
  <c r="E9" i="1"/>
  <c r="R5" i="1"/>
  <c r="E5" i="1"/>
  <c r="R17" i="1"/>
  <c r="E17" i="1"/>
  <c r="N39" i="7"/>
  <c r="Q19" i="1"/>
  <c r="N39" i="12"/>
  <c r="R19" i="1" l="1"/>
  <c r="E21" i="1"/>
  <c r="R10" i="1"/>
  <c r="E11" i="1"/>
</calcChain>
</file>

<file path=xl/sharedStrings.xml><?xml version="1.0" encoding="utf-8"?>
<sst xmlns="http://schemas.openxmlformats.org/spreadsheetml/2006/main" count="820" uniqueCount="87">
  <si>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</si>
  <si>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</si>
  <si>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</si>
  <si>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</si>
  <si>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</si>
  <si>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</si>
  <si>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</si>
  <si>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</si>
  <si>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</si>
  <si>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</si>
  <si>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</si>
  <si>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</si>
  <si>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</si>
  <si>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</si>
  <si>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</si>
  <si>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</si>
  <si>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</si>
  <si>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</si>
  <si>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</si>
  <si>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</si>
  <si>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</si>
  <si>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</si>
  <si>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</si>
  <si>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</si>
  <si>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</si>
  <si>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</si>
  <si>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</si>
  <si>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</si>
  <si>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</si>
  <si>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</si>
  <si>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</si>
  <si>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</si>
  <si>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</si>
  <si>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</si>
  <si>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</si>
  <si>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</si>
  <si>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</si>
  <si>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</si>
  <si>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</si>
  <si>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</si>
  <si>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</si>
  <si>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</si>
  <si>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</si>
  <si>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</si>
  <si>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</si>
  <si>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</si>
  <si>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</si>
  <si>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</si>
  <si>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</si>
  <si>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</si>
  <si>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</si>
  <si>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</si>
  <si>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</si>
  <si>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3,000 TO 4,999 KW</t>
  </si>
  <si>
    <t>Rate Class:</t>
  </si>
  <si>
    <t>GS 3,000 - 4,999 (H1 Only - No Rate Riders)</t>
  </si>
  <si>
    <t>Cost of Power - Spot</t>
  </si>
  <si>
    <t>Global Adjustment</t>
  </si>
  <si>
    <t>SMDR</t>
  </si>
  <si>
    <t>SMIRR</t>
  </si>
  <si>
    <t>RESIDENTIAL NON RPP</t>
  </si>
  <si>
    <t>GENERAL SERVICE LESS THAN 50 KW NON RPP</t>
  </si>
  <si>
    <t>UNMETERED SCATTERED LOAD NON RPP</t>
  </si>
  <si>
    <t>SENTINEL LIGHTING NON RPP</t>
  </si>
  <si>
    <t>STREET LIGHTING NON RPP</t>
  </si>
  <si>
    <t>Fixed Rate Rider</t>
  </si>
  <si>
    <t>Non-Retailer Avg Price</t>
  </si>
  <si>
    <t>Non-RPP Retailer Avg Price</t>
  </si>
  <si>
    <t>GENERAL SERVICE 50 TO 2,999 KW NON RPP Interval Metered</t>
  </si>
  <si>
    <t>RESIDENTIAL NON RPP 10th Percentile</t>
  </si>
  <si>
    <t xml:space="preserve">2016 RPP BILL IMPACTS  </t>
  </si>
  <si>
    <t xml:space="preserve">2016 Non-RPP BILL IMPACTS </t>
  </si>
  <si>
    <t>Residential 10 th Percentile</t>
  </si>
  <si>
    <t>Change in Total Bill</t>
  </si>
  <si>
    <t>Including OCEB</t>
  </si>
  <si>
    <t>excluding OCEB</t>
  </si>
  <si>
    <t xml:space="preserve">Residential </t>
  </si>
  <si>
    <t>Rate Class RPP</t>
  </si>
  <si>
    <t>Rate Class non-RPP</t>
  </si>
  <si>
    <t>RESIDENTIAL RPP</t>
  </si>
  <si>
    <t>RESIDENTIAL RPP 10th Percentile</t>
  </si>
  <si>
    <t>GENERAL SERVICE LESS THAN 50 KW RPP</t>
  </si>
  <si>
    <t>GENERAL SERVICE 50 TO 2,999 KW Interval Metered RPP</t>
  </si>
  <si>
    <t>GENERAL SERVICE 3,000 TO 4,999 KW RPP</t>
  </si>
  <si>
    <t>UNMETERED SCATTERED LOAD RPP</t>
  </si>
  <si>
    <t>SENTINEL LIGHTING RPP</t>
  </si>
  <si>
    <t>STREET LIGHTING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</si>
</sst>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33" applyNumberFormat="0" applyAlignment="0" applyProtection="0"/>
    <xf numFmtId="0" fontId="24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36" borderId="0" applyNumberFormat="0" applyBorder="0" applyAlignment="0" applyProtection="0"/>
    <xf numFmtId="38" fontId="4" fillId="2" borderId="0" applyNumberFormat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1" fillId="37" borderId="33" applyNumberFormat="0" applyAlignment="0" applyProtection="0"/>
    <xf numFmtId="0" fontId="32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3" fillId="38" borderId="0" applyNumberFormat="0" applyBorder="0" applyAlignment="0" applyProtection="0"/>
    <xf numFmtId="177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39" borderId="39" applyNumberFormat="0" applyFont="0" applyAlignment="0" applyProtection="0"/>
    <xf numFmtId="0" fontId="34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0" applyNumberForma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170" fontId="12" fillId="0" borderId="17" xfId="47" applyNumberFormat="1" applyFont="1" applyFill="1" applyBorder="1" applyAlignment="1" applyProtection="1">
      <alignment horizontal="right" vertical="center"/>
      <protection locked="0"/>
    </xf>
    <xf numFmtId="0" fontId="7" fillId="8" borderId="0" xfId="74" applyFont="1" applyFill="1" applyAlignment="1" applyProtection="1">
      <alignment horizontal="left" vertical="center"/>
      <protection locked="0"/>
    </xf>
    <xf numFmtId="0" fontId="2" fillId="0" borderId="0" xfId="74" applyFont="1" applyBorder="1" applyAlignment="1" applyProtection="1">
      <alignment vertical="top"/>
    </xf>
    <xf numFmtId="0" fontId="2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/>
    </xf>
    <xf numFmtId="0" fontId="7" fillId="0" borderId="0" xfId="74" applyFont="1" applyAlignment="1" applyProtection="1">
      <alignment horizontal="left" vertical="top" indent="1"/>
    </xf>
    <xf numFmtId="0" fontId="6" fillId="0" borderId="0" xfId="74" applyFont="1" applyFill="1" applyAlignment="1" applyProtection="1">
      <alignment vertical="top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0" fontId="4" fillId="0" borderId="9" xfId="0" applyNumberFormat="1" applyFont="1" applyBorder="1"/>
    <xf numFmtId="10" fontId="4" fillId="0" borderId="10" xfId="0" applyNumberFormat="1" applyFont="1" applyBorder="1"/>
    <xf numFmtId="0" fontId="4" fillId="0" borderId="45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0" fontId="4" fillId="0" borderId="46" xfId="0" applyNumberFormat="1" applyFont="1" applyBorder="1" applyAlignment="1">
      <alignment vertical="center"/>
    </xf>
    <xf numFmtId="10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0" fontId="4" fillId="0" borderId="47" xfId="0" applyNumberFormat="1" applyFont="1" applyBorder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19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  <xf numFmtId="0" fontId="6" fillId="0" borderId="11" xfId="74" applyBorder="1" applyAlignment="1" applyProtection="1">
      <alignment horizontal="left" vertical="center" wrapText="1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20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ch_rick\Distribution%20Rate%20Application\2015%20IRM%20filing\Procedural%20order%202%20response\PO2%20Spreadsheets\mich_rick\Distribution%20Rate%20Application\2012%20IRM%20rate%20filing\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24"/>
  <sheetViews>
    <sheetView showGridLines="0" workbookViewId="0">
      <selection activeCell="C40" sqref="C40"/>
    </sheetView>
  </sheetViews>
  <sheetFormatPr defaultRowHeight="11.25" x14ac:dyDescent="0.2"/>
  <cols>
    <col min="1" max="1" width="9.140625" style="1"/>
    <col min="2" max="2" width="22.85546875" style="1" customWidth="1"/>
    <col min="3" max="4" width="9.140625" style="1"/>
    <col min="5" max="6" width="14" style="1" bestFit="1" customWidth="1"/>
    <col min="7" max="7" width="10.42578125" style="1" bestFit="1" customWidth="1"/>
    <col min="8" max="8" width="6.85546875" style="1" bestFit="1" customWidth="1"/>
    <col min="9" max="11" width="9.140625" style="1"/>
    <col min="12" max="12" width="15.85546875" style="1" customWidth="1"/>
    <col min="13" max="16384" width="9.140625" style="1"/>
  </cols>
  <sheetData>
    <row r="2" spans="2:18" ht="12" thickBot="1" x14ac:dyDescent="0.25">
      <c r="L2" s="232" t="s">
        <v>70</v>
      </c>
      <c r="M2" s="232"/>
      <c r="N2" s="232"/>
      <c r="O2" s="232"/>
      <c r="P2" s="232"/>
      <c r="Q2" s="232"/>
      <c r="R2" s="232"/>
    </row>
    <row r="3" spans="2:18" ht="12" thickBot="1" x14ac:dyDescent="0.25">
      <c r="B3" s="230" t="s">
        <v>77</v>
      </c>
      <c r="C3" s="230" t="s">
        <v>1</v>
      </c>
      <c r="D3" s="230" t="s">
        <v>2</v>
      </c>
      <c r="E3" s="209" t="s">
        <v>73</v>
      </c>
      <c r="F3" s="209" t="s">
        <v>73</v>
      </c>
      <c r="L3" s="230" t="s">
        <v>0</v>
      </c>
      <c r="M3" s="230" t="s">
        <v>1</v>
      </c>
      <c r="N3" s="230" t="s">
        <v>2</v>
      </c>
      <c r="O3" s="233" t="s">
        <v>3</v>
      </c>
      <c r="P3" s="234"/>
      <c r="Q3" s="233" t="s">
        <v>4</v>
      </c>
      <c r="R3" s="234"/>
    </row>
    <row r="4" spans="2:18" ht="12" thickBot="1" x14ac:dyDescent="0.25">
      <c r="B4" s="231"/>
      <c r="C4" s="231"/>
      <c r="D4" s="231"/>
      <c r="E4" s="210" t="s">
        <v>74</v>
      </c>
      <c r="F4" s="210" t="s">
        <v>75</v>
      </c>
      <c r="L4" s="231"/>
      <c r="M4" s="231"/>
      <c r="N4" s="231"/>
      <c r="O4" s="2" t="s">
        <v>5</v>
      </c>
      <c r="P4" s="2" t="s">
        <v>6</v>
      </c>
      <c r="Q4" s="2" t="s">
        <v>5</v>
      </c>
      <c r="R4" s="2" t="s">
        <v>6</v>
      </c>
    </row>
    <row r="5" spans="2:18" s="9" customFormat="1" x14ac:dyDescent="0.2">
      <c r="B5" s="225" t="s">
        <v>76</v>
      </c>
      <c r="C5" s="214">
        <f>+M5</f>
        <v>800</v>
      </c>
      <c r="D5" s="5">
        <f>+N5</f>
        <v>0</v>
      </c>
      <c r="E5" s="215">
        <f>+ResidentialRPP!N41</f>
        <v>9.6704171539344491E-2</v>
      </c>
      <c r="F5" s="216">
        <f>+ResidentialRPP!N39</f>
        <v>-1.2966245614589891E-2</v>
      </c>
      <c r="L5" s="3" t="s">
        <v>7</v>
      </c>
      <c r="M5" s="4">
        <f>ResidentialRPP!E5</f>
        <v>800</v>
      </c>
      <c r="N5" s="5">
        <f>ResidentialRPP!E8</f>
        <v>0</v>
      </c>
      <c r="O5" s="6">
        <f>ResidentialRPP!M25</f>
        <v>5.2399999999999949</v>
      </c>
      <c r="P5" s="7">
        <f>ResidentialRPP!N25</f>
        <v>0.21316768349278903</v>
      </c>
      <c r="Q5" s="6">
        <f>ResidentialRPP!M41</f>
        <v>12.380435849599991</v>
      </c>
      <c r="R5" s="8">
        <f>ResidentialRPP!N41</f>
        <v>9.6704171539344491E-2</v>
      </c>
    </row>
    <row r="6" spans="2:18" s="9" customFormat="1" x14ac:dyDescent="0.2">
      <c r="B6" s="224" t="s">
        <v>72</v>
      </c>
      <c r="C6" s="10">
        <f>+'Residential 10th '!E5</f>
        <v>364</v>
      </c>
      <c r="D6" s="12">
        <v>0</v>
      </c>
      <c r="E6" s="217">
        <f>+'Residential 10th '!N41</f>
        <v>0.12106908618617825</v>
      </c>
      <c r="F6" s="218">
        <f>+'Residential 10th '!N39</f>
        <v>8.9621775675605073E-3</v>
      </c>
      <c r="L6" s="10" t="s">
        <v>8</v>
      </c>
      <c r="M6" s="11">
        <f>'GS &lt;50RPP'!E5</f>
        <v>2000</v>
      </c>
      <c r="N6" s="12">
        <f>'GS &lt;50RPP'!E8</f>
        <v>0</v>
      </c>
      <c r="O6" s="13">
        <f>'GS &lt;50RPP'!M24</f>
        <v>-0.82999999999998408</v>
      </c>
      <c r="P6" s="14">
        <f>'GS &lt;50RPP'!N24</f>
        <v>-1.1456547331220545E-2</v>
      </c>
      <c r="Q6" s="13">
        <f>'GS &lt;50RPP'!M40</f>
        <v>32.445746048000046</v>
      </c>
      <c r="R6" s="15">
        <f>'GS &lt;50RPP'!N40</f>
        <v>9.8773416610617906E-2</v>
      </c>
    </row>
    <row r="7" spans="2:18" s="9" customFormat="1" x14ac:dyDescent="0.2">
      <c r="B7" s="211" t="s">
        <v>8</v>
      </c>
      <c r="C7" s="219">
        <f>+M6</f>
        <v>2000</v>
      </c>
      <c r="D7" s="12">
        <f>+N6</f>
        <v>0</v>
      </c>
      <c r="E7" s="217">
        <f>+'GS &lt;50RPP'!N40</f>
        <v>9.8773416610617906E-2</v>
      </c>
      <c r="F7" s="218">
        <f>+'GS &lt;50RPP'!N38</f>
        <v>-1.1103925050443811E-2</v>
      </c>
      <c r="L7" s="10" t="s">
        <v>9</v>
      </c>
      <c r="M7" s="11">
        <f>'GS 50-2999RPP'!E5</f>
        <v>40000</v>
      </c>
      <c r="N7" s="11">
        <f>'GS 50-2999RPP'!E8</f>
        <v>100</v>
      </c>
      <c r="O7" s="13">
        <f>'GS 50-2999RPP'!M23</f>
        <v>306.80999999999995</v>
      </c>
      <c r="P7" s="14">
        <f>'GS 50-2999RPP'!N23</f>
        <v>0.85554594321590849</v>
      </c>
      <c r="Q7" s="13">
        <f>'GS 50-2999RPP'!M39</f>
        <v>264.97794654000063</v>
      </c>
      <c r="R7" s="15">
        <f>'GS 50-2999RPP'!N39</f>
        <v>4.3058120297979854E-2</v>
      </c>
    </row>
    <row r="8" spans="2:18" s="9" customFormat="1" ht="45" hidden="1" customHeight="1" x14ac:dyDescent="0.2">
      <c r="B8" s="211" t="s">
        <v>9</v>
      </c>
      <c r="C8" s="219">
        <f>+M7</f>
        <v>40000</v>
      </c>
      <c r="D8" s="12">
        <f>+N7</f>
        <v>100</v>
      </c>
      <c r="E8" s="12"/>
      <c r="F8" s="220"/>
      <c r="L8" s="16" t="s">
        <v>10</v>
      </c>
      <c r="M8" s="11">
        <f>'GS3000-4999RPP'!E5</f>
        <v>1282464</v>
      </c>
      <c r="N8" s="12">
        <f>'GS3000-4999RPP'!E8</f>
        <v>2440</v>
      </c>
      <c r="O8" s="13">
        <f>'GS3000-4999RPP'!M18</f>
        <v>93.644000000000233</v>
      </c>
      <c r="P8" s="14">
        <f>'GS3000-4999RPP'!N18</f>
        <v>1.9475879143231078E-2</v>
      </c>
      <c r="Q8" s="13">
        <f>'GS3000-4999RPP'!M39</f>
        <v>105.81771999999182</v>
      </c>
      <c r="R8" s="15">
        <f>'GS3000-4999RPP'!N39</f>
        <v>5.5313468866627477E-4</v>
      </c>
    </row>
    <row r="9" spans="2:18" s="9" customFormat="1" ht="13.5" customHeight="1" x14ac:dyDescent="0.2">
      <c r="B9" s="212" t="str">
        <f>+L7</f>
        <v>GS 50 - 2,999</v>
      </c>
      <c r="C9" s="219">
        <f>+M7</f>
        <v>40000</v>
      </c>
      <c r="D9" s="11">
        <f>+N7</f>
        <v>100</v>
      </c>
      <c r="E9" s="217">
        <f>+'GS 50-2999RPP'!N39</f>
        <v>4.3058120297979854E-2</v>
      </c>
      <c r="F9" s="218">
        <f>+'GS 50-2999RPP'!N37</f>
        <v>4.3058120297979854E-2</v>
      </c>
      <c r="L9" s="10" t="s">
        <v>11</v>
      </c>
      <c r="M9" s="11">
        <f>UMSLRPP!E5</f>
        <v>2000</v>
      </c>
      <c r="N9" s="12">
        <f>UMSLRPP!E8</f>
        <v>0</v>
      </c>
      <c r="O9" s="13">
        <f>UMSLRPP!M23</f>
        <v>14.97999999999999</v>
      </c>
      <c r="P9" s="14">
        <f>UMSLRPP!N23</f>
        <v>0.24049708982466744</v>
      </c>
      <c r="Q9" s="13">
        <f>UMSLRPP!M39</f>
        <v>49.16296604799993</v>
      </c>
      <c r="R9" s="15">
        <f>UMSLRPP!N39</f>
        <v>0.1545257361622254</v>
      </c>
    </row>
    <row r="10" spans="2:18" s="9" customFormat="1" x14ac:dyDescent="0.2">
      <c r="B10" s="211" t="s">
        <v>11</v>
      </c>
      <c r="C10" s="219">
        <f t="shared" ref="C10:D12" si="0">+M9</f>
        <v>2000</v>
      </c>
      <c r="D10" s="12">
        <f t="shared" si="0"/>
        <v>0</v>
      </c>
      <c r="E10" s="217">
        <f>+UMSLRPP!N39</f>
        <v>0.1545257361622254</v>
      </c>
      <c r="F10" s="218">
        <f>+UMSLRPP!N37</f>
        <v>3.9073162546002925E-2</v>
      </c>
      <c r="L10" s="10" t="s">
        <v>12</v>
      </c>
      <c r="M10" s="11">
        <f>'Sentinel LightsRPP'!E5</f>
        <v>36</v>
      </c>
      <c r="N10" s="12">
        <f>'Sentinel LightsRPP'!E8</f>
        <v>0.1</v>
      </c>
      <c r="O10" s="13">
        <f>'Sentinel LightsRPP'!M23</f>
        <v>0.35157999999999934</v>
      </c>
      <c r="P10" s="17">
        <f>'Sentinel LightsRPP'!N23</f>
        <v>8.5210903243407451E-2</v>
      </c>
      <c r="Q10" s="13">
        <f>'Sentinel LightsRPP'!M39</f>
        <v>1.3695719735807952</v>
      </c>
      <c r="R10" s="15">
        <f>'Sentinel LightsRPP'!N39</f>
        <v>0.14877264524123682</v>
      </c>
    </row>
    <row r="11" spans="2:18" s="9" customFormat="1" ht="12" thickBot="1" x14ac:dyDescent="0.25">
      <c r="B11" s="211" t="s">
        <v>12</v>
      </c>
      <c r="C11" s="219">
        <f t="shared" si="0"/>
        <v>36</v>
      </c>
      <c r="D11" s="12">
        <f t="shared" si="0"/>
        <v>0.1</v>
      </c>
      <c r="E11" s="217">
        <f>+'Sentinel LightsRPP'!N39</f>
        <v>0.14877264524123682</v>
      </c>
      <c r="F11" s="218">
        <f>+'Sentinel LightsRPP'!N37</f>
        <v>3.3895380717113052E-2</v>
      </c>
      <c r="L11" s="18" t="s">
        <v>13</v>
      </c>
      <c r="M11" s="19">
        <f>'Street LightingRPP'!E5</f>
        <v>36</v>
      </c>
      <c r="N11" s="20">
        <f>'Street LightingRPP'!E8</f>
        <v>0.1</v>
      </c>
      <c r="O11" s="21">
        <f>'Street LightingRPP'!M23</f>
        <v>0.29331999999999958</v>
      </c>
      <c r="P11" s="22">
        <f>'Street LightingRPP'!N26</f>
        <v>5.7882849664097194E-2</v>
      </c>
      <c r="Q11" s="21">
        <f>'Street LightingRPP'!M39</f>
        <v>0.2816256986599992</v>
      </c>
      <c r="R11" s="23">
        <f>'Street LightingRPP'!N39</f>
        <v>2.7932458623411996E-2</v>
      </c>
    </row>
    <row r="12" spans="2:18" ht="12" thickBot="1" x14ac:dyDescent="0.25">
      <c r="B12" s="213" t="s">
        <v>13</v>
      </c>
      <c r="C12" s="221">
        <f t="shared" si="0"/>
        <v>36</v>
      </c>
      <c r="D12" s="20">
        <f t="shared" si="0"/>
        <v>0.1</v>
      </c>
      <c r="E12" s="222">
        <f>+'Street LightingRPP'!N39</f>
        <v>2.7932458623411996E-2</v>
      </c>
      <c r="F12" s="223">
        <f>+'Street LightingRPP'!N37</f>
        <v>2.7932458623411996E-2</v>
      </c>
    </row>
    <row r="14" spans="2:18" ht="12" thickBot="1" x14ac:dyDescent="0.25">
      <c r="L14" s="232" t="s">
        <v>71</v>
      </c>
      <c r="M14" s="232"/>
      <c r="N14" s="232"/>
      <c r="O14" s="232"/>
      <c r="P14" s="232"/>
      <c r="Q14" s="232"/>
      <c r="R14" s="232"/>
    </row>
    <row r="15" spans="2:18" ht="12" thickBot="1" x14ac:dyDescent="0.25">
      <c r="B15" s="230" t="s">
        <v>78</v>
      </c>
      <c r="C15" s="230" t="s">
        <v>1</v>
      </c>
      <c r="D15" s="230" t="s">
        <v>2</v>
      </c>
      <c r="E15" s="209" t="s">
        <v>73</v>
      </c>
      <c r="F15" s="209" t="s">
        <v>73</v>
      </c>
      <c r="L15" s="230" t="s">
        <v>0</v>
      </c>
      <c r="M15" s="230" t="s">
        <v>1</v>
      </c>
      <c r="N15" s="230" t="s">
        <v>2</v>
      </c>
      <c r="O15" s="233" t="s">
        <v>3</v>
      </c>
      <c r="P15" s="234"/>
      <c r="Q15" s="233" t="s">
        <v>4</v>
      </c>
      <c r="R15" s="234"/>
    </row>
    <row r="16" spans="2:18" ht="12" thickBot="1" x14ac:dyDescent="0.25">
      <c r="B16" s="231"/>
      <c r="C16" s="231"/>
      <c r="D16" s="231"/>
      <c r="E16" s="210" t="s">
        <v>74</v>
      </c>
      <c r="F16" s="210" t="s">
        <v>75</v>
      </c>
      <c r="L16" s="231"/>
      <c r="M16" s="231"/>
      <c r="N16" s="231"/>
      <c r="O16" s="2" t="s">
        <v>5</v>
      </c>
      <c r="P16" s="2" t="s">
        <v>6</v>
      </c>
      <c r="Q16" s="2" t="s">
        <v>5</v>
      </c>
      <c r="R16" s="2" t="s">
        <v>6</v>
      </c>
    </row>
    <row r="17" spans="2:18" x14ac:dyDescent="0.2">
      <c r="B17" s="225" t="s">
        <v>76</v>
      </c>
      <c r="C17" s="214">
        <f>+C5</f>
        <v>800</v>
      </c>
      <c r="D17" s="5">
        <f>+D5</f>
        <v>0</v>
      </c>
      <c r="E17" s="226">
        <f>+ResidentialNonRPP!N41</f>
        <v>0.12850950455104057</v>
      </c>
      <c r="F17" s="216">
        <f>+ResidentialNonRPP!N39</f>
        <v>1.565855409593658E-2</v>
      </c>
      <c r="L17" s="182" t="s">
        <v>7</v>
      </c>
      <c r="M17" s="183">
        <f>ResidentialNonRPP!E5</f>
        <v>800</v>
      </c>
      <c r="N17" s="184">
        <f>ResidentialNonRPP!E8</f>
        <v>0</v>
      </c>
      <c r="O17" s="185">
        <f>ResidentialNonRPP!M25</f>
        <v>9.4799999999999933</v>
      </c>
      <c r="P17" s="186">
        <f>ResidentialNonRPP!N25</f>
        <v>0.37020837889343594</v>
      </c>
      <c r="Q17" s="185">
        <f>ResidentialNonRPP!M41</f>
        <v>21.775157855999936</v>
      </c>
      <c r="R17" s="187">
        <f>ResidentialNonRPP!N41</f>
        <v>0.12850950455104057</v>
      </c>
    </row>
    <row r="18" spans="2:18" x14ac:dyDescent="0.2">
      <c r="B18" s="224" t="s">
        <v>72</v>
      </c>
      <c r="C18" s="219">
        <f t="shared" ref="C18:D18" si="1">+C6</f>
        <v>364</v>
      </c>
      <c r="D18" s="12">
        <f t="shared" si="1"/>
        <v>0</v>
      </c>
      <c r="E18" s="227">
        <f>+'ResidentialNonRPP 10th'!N41</f>
        <v>0.14437604958572386</v>
      </c>
      <c r="F18" s="218">
        <f>+'ResidentialNonRPP 10th'!N39</f>
        <v>2.9938444627151572E-2</v>
      </c>
      <c r="L18" s="188" t="s">
        <v>8</v>
      </c>
      <c r="M18" s="189">
        <f>'GS &lt;50NonRPP'!E5</f>
        <v>2000</v>
      </c>
      <c r="N18" s="190">
        <f>'GS &lt;50NonRPP'!E8</f>
        <v>0</v>
      </c>
      <c r="O18" s="191">
        <f>'GS &lt;50NonRPP'!M24</f>
        <v>9.769999999999996</v>
      </c>
      <c r="P18" s="192">
        <f>'GS &lt;50NonRPP'!N24</f>
        <v>0.13698285756308901</v>
      </c>
      <c r="Q18" s="191">
        <f>'GS &lt;50NonRPP'!M40</f>
        <v>55.513016533519988</v>
      </c>
      <c r="R18" s="193">
        <f>'GS &lt;50NonRPP'!N40</f>
        <v>0.12961546876951929</v>
      </c>
    </row>
    <row r="19" spans="2:18" x14ac:dyDescent="0.2">
      <c r="B19" s="211" t="s">
        <v>8</v>
      </c>
      <c r="C19" s="219">
        <f t="shared" ref="C19:D19" si="2">+C7</f>
        <v>2000</v>
      </c>
      <c r="D19" s="12">
        <f t="shared" si="2"/>
        <v>0</v>
      </c>
      <c r="E19" s="227">
        <f>+'GS &lt;50NonRPP'!N40</f>
        <v>0.12961546876951929</v>
      </c>
      <c r="F19" s="218">
        <f>+'GS &lt;50NonRPP'!N38</f>
        <v>1.6653921892567331E-2</v>
      </c>
      <c r="L19" s="188" t="s">
        <v>9</v>
      </c>
      <c r="M19" s="189">
        <f>'GS 50-2999NonRPP'!E5</f>
        <v>40000</v>
      </c>
      <c r="N19" s="189">
        <f>'GS 50-2999NonRPP'!E8</f>
        <v>100</v>
      </c>
      <c r="O19" s="191">
        <f>'GS 50-2999NonRPP'!M23</f>
        <v>507.38000000000005</v>
      </c>
      <c r="P19" s="192">
        <f>'GS 50-2999NonRPP'!N23</f>
        <v>2.1468531430183884</v>
      </c>
      <c r="Q19" s="191">
        <f>'GS 50-2999NonRPP'!M39</f>
        <v>491.62204654000016</v>
      </c>
      <c r="R19" s="193">
        <f>'GS 50-2999NonRPP'!N39</f>
        <v>9.2706690417045365E-2</v>
      </c>
    </row>
    <row r="20" spans="2:18" ht="33.75" hidden="1" x14ac:dyDescent="0.2">
      <c r="B20" s="211" t="s">
        <v>9</v>
      </c>
      <c r="C20" s="219">
        <f t="shared" ref="C20:D20" si="3">+C8</f>
        <v>40000</v>
      </c>
      <c r="D20" s="12">
        <f t="shared" si="3"/>
        <v>100</v>
      </c>
      <c r="E20" s="228"/>
      <c r="F20" s="220"/>
      <c r="L20" s="194" t="s">
        <v>55</v>
      </c>
      <c r="M20" s="189">
        <f>'GS3000-4999NonRPP'!E5</f>
        <v>1282464</v>
      </c>
      <c r="N20" s="190">
        <f>'GS3000-4999NonRPP'!E8</f>
        <v>2440</v>
      </c>
      <c r="O20" s="191">
        <f>'GS3000-4999NonRPP'!M18</f>
        <v>93.644000000000233</v>
      </c>
      <c r="P20" s="192">
        <f>'GS3000-4999NonRPP'!N18</f>
        <v>1.9475879143231078E-2</v>
      </c>
      <c r="Q20" s="191">
        <f>'GS3000-4999NonRPP'!M39</f>
        <v>105.81772000002093</v>
      </c>
      <c r="R20" s="193">
        <f>'GS3000-4999NonRPP'!N39</f>
        <v>4.2054783688761196E-4</v>
      </c>
    </row>
    <row r="21" spans="2:18" x14ac:dyDescent="0.2">
      <c r="B21" s="212" t="str">
        <f>+L19</f>
        <v>GS 50 - 2,999</v>
      </c>
      <c r="C21" s="219">
        <f t="shared" ref="C21:D21" si="4">+C9</f>
        <v>40000</v>
      </c>
      <c r="D21" s="12">
        <f t="shared" si="4"/>
        <v>100</v>
      </c>
      <c r="E21" s="227">
        <f>+'GS 50-2999NonRPP'!N39</f>
        <v>9.2706690417045365E-2</v>
      </c>
      <c r="F21" s="218">
        <f>+'GS 50-2999NonRPP'!N37</f>
        <v>9.2706690417045365E-2</v>
      </c>
      <c r="L21" s="188" t="s">
        <v>11</v>
      </c>
      <c r="M21" s="189">
        <f>UMSLNonRPP!E5</f>
        <v>2000</v>
      </c>
      <c r="N21" s="190">
        <f>UMSLNonRPP!E8</f>
        <v>0</v>
      </c>
      <c r="O21" s="191">
        <f>UMSLNonRPP!M23</f>
        <v>25.579999999999984</v>
      </c>
      <c r="P21" s="192">
        <f>UMSLNonRPP!N23</f>
        <v>0.4182281208654231</v>
      </c>
      <c r="Q21" s="191">
        <f>UMSLNonRPP!M39</f>
        <v>72.230236533520042</v>
      </c>
      <c r="R21" s="193">
        <f>UMSLNonRPP!N39</f>
        <v>0.17281724737055223</v>
      </c>
    </row>
    <row r="22" spans="2:18" x14ac:dyDescent="0.2">
      <c r="B22" s="211" t="s">
        <v>11</v>
      </c>
      <c r="C22" s="219">
        <f t="shared" ref="C22:D22" si="5">+C10</f>
        <v>2000</v>
      </c>
      <c r="D22" s="12">
        <f t="shared" si="5"/>
        <v>0</v>
      </c>
      <c r="E22" s="227">
        <f>+UMSLNonRPP!N39</f>
        <v>0.17281724737055223</v>
      </c>
      <c r="F22" s="218">
        <f>+UMSLNonRPP!N37</f>
        <v>5.5535522633496946E-2</v>
      </c>
      <c r="L22" s="188" t="s">
        <v>12</v>
      </c>
      <c r="M22" s="189">
        <f>'Sentinel LightsNonRPP'!E5</f>
        <v>36</v>
      </c>
      <c r="N22" s="190">
        <f>'Sentinel LightsNonRPP'!E8</f>
        <v>0.1</v>
      </c>
      <c r="O22" s="191">
        <f>'Sentinel LightsNonRPP'!M23</f>
        <v>0.50002999999999975</v>
      </c>
      <c r="P22" s="195">
        <f>'Sentinel LightsNonRPP'!N23</f>
        <v>0.12053707302567407</v>
      </c>
      <c r="Q22" s="191">
        <f>'Sentinel LightsNonRPP'!M39</f>
        <v>1.7168623130293614</v>
      </c>
      <c r="R22" s="193">
        <f>'Sentinel LightsNonRPP'!N39</f>
        <v>0.15865023299150466</v>
      </c>
    </row>
    <row r="23" spans="2:18" ht="12" thickBot="1" x14ac:dyDescent="0.25">
      <c r="B23" s="211" t="s">
        <v>12</v>
      </c>
      <c r="C23" s="219">
        <f t="shared" ref="C23:D23" si="6">+C11</f>
        <v>36</v>
      </c>
      <c r="D23" s="12">
        <f t="shared" si="6"/>
        <v>0.1</v>
      </c>
      <c r="E23" s="227">
        <f>+'Sentinel LightsNonRPP'!N39</f>
        <v>0.15865023299150466</v>
      </c>
      <c r="F23" s="218">
        <f>+'Sentinel LightsNonRPP'!N37</f>
        <v>4.2785209692354248E-2</v>
      </c>
      <c r="L23" s="196" t="s">
        <v>13</v>
      </c>
      <c r="M23" s="197">
        <f>'Street LightingNonRPP'!E5</f>
        <v>36</v>
      </c>
      <c r="N23" s="198">
        <f>'Street LightingNonRPP'!E8</f>
        <v>0.1</v>
      </c>
      <c r="O23" s="199">
        <f>'Street LightingNonRPP'!M23</f>
        <v>0.46642000000000028</v>
      </c>
      <c r="P23" s="200">
        <f>'Street LightingNonRPP'!N23</f>
        <v>0.11722658592072277</v>
      </c>
      <c r="Q23" s="199">
        <f>'Street LightingNonRPP'!M39</f>
        <v>0.4772286986599994</v>
      </c>
      <c r="R23" s="201">
        <f>'Street LightingNonRPP'!N39</f>
        <v>4.0345711062326477E-2</v>
      </c>
    </row>
    <row r="24" spans="2:18" ht="12" thickBot="1" x14ac:dyDescent="0.25">
      <c r="B24" s="213" t="s">
        <v>13</v>
      </c>
      <c r="C24" s="221">
        <f t="shared" ref="C24:D24" si="7">+C12</f>
        <v>36</v>
      </c>
      <c r="D24" s="20">
        <f t="shared" si="7"/>
        <v>0.1</v>
      </c>
      <c r="E24" s="229">
        <f>+'Street LightingNonRPP'!N39</f>
        <v>4.0345711062326477E-2</v>
      </c>
      <c r="F24" s="223">
        <f>+'Street LightingNonRPP'!N37</f>
        <v>4.0345711062326477E-2</v>
      </c>
    </row>
  </sheetData>
  <mergeCells count="18">
    <mergeCell ref="L14:R14"/>
    <mergeCell ref="L15:L16"/>
    <mergeCell ref="M15:M16"/>
    <mergeCell ref="N15:N16"/>
    <mergeCell ref="O15:P15"/>
    <mergeCell ref="Q15:R15"/>
    <mergeCell ref="L2:R2"/>
    <mergeCell ref="L3:L4"/>
    <mergeCell ref="M3:M4"/>
    <mergeCell ref="N3:N4"/>
    <mergeCell ref="O3:P3"/>
    <mergeCell ref="Q3:R3"/>
    <mergeCell ref="B3:B4"/>
    <mergeCell ref="C3:C4"/>
    <mergeCell ref="D3:D4"/>
    <mergeCell ref="B15:B16"/>
    <mergeCell ref="C15:C16"/>
    <mergeCell ref="D15:D16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5"/>
  <sheetViews>
    <sheetView tabSelected="1" topLeftCell="A7" workbookViewId="0">
      <selection activeCell="I22" sqref="I22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45" t="s">
        <v>79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1.1599999999999999E-2</v>
      </c>
      <c r="J15" s="66">
        <v>800</v>
      </c>
      <c r="K15" s="58">
        <f>I15*J15</f>
        <v>9.2799999999999994</v>
      </c>
      <c r="L15" s="59"/>
      <c r="M15" s="62">
        <f t="shared" ref="M15:M35" si="0">K15-G15</f>
        <v>-2.8800000000000008</v>
      </c>
      <c r="N15" s="63">
        <f t="shared" ref="N15:N35" si="1">M15/G15</f>
        <v>-0.23684210526315796</v>
      </c>
    </row>
    <row r="16" spans="1:14" ht="14.25" x14ac:dyDescent="0.2">
      <c r="A16" s="204" t="s">
        <v>65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-7.0000000000000007E-2</v>
      </c>
      <c r="J16" s="66">
        <v>1</v>
      </c>
      <c r="K16" s="58">
        <f>+I16*J16</f>
        <v>-7.0000000000000007E-2</v>
      </c>
      <c r="L16" s="59"/>
      <c r="M16" s="62">
        <f t="shared" ref="M16" si="2">K16-G16</f>
        <v>-7.0000000000000007E-2</v>
      </c>
      <c r="N16" s="63" t="e">
        <f t="shared" ref="N16" si="3">M16/G16</f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ref="M17:M18" si="4">K17-G17</f>
        <v>0.04</v>
      </c>
      <c r="N17" s="63">
        <f>IFERROR(M17/G17,"")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4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v>800</v>
      </c>
      <c r="G19" s="75">
        <f>E19*F19</f>
        <v>-0.16</v>
      </c>
      <c r="H19" s="76"/>
      <c r="I19" s="73">
        <v>2.9999999999999997E-4</v>
      </c>
      <c r="J19" s="77">
        <v>800</v>
      </c>
      <c r="K19" s="75">
        <f>I19*J19</f>
        <v>0.24</v>
      </c>
      <c r="L19" s="76"/>
      <c r="M19" s="78">
        <f t="shared" si="0"/>
        <v>0.4</v>
      </c>
      <c r="N19" s="79">
        <f>-M19/G19</f>
        <v>2.5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26.029999999999998</v>
      </c>
      <c r="L20" s="88"/>
      <c r="M20" s="89">
        <f t="shared" si="0"/>
        <v>-4.0000000000006253E-2</v>
      </c>
      <c r="N20" s="90">
        <f t="shared" si="1"/>
        <v>-1.5343306482549384E-3</v>
      </c>
    </row>
    <row r="21" spans="1:14" ht="14.25" x14ac:dyDescent="0.2">
      <c r="A21" s="91" t="s">
        <v>33</v>
      </c>
      <c r="B21" s="92"/>
      <c r="C21" s="93"/>
      <c r="D21" s="94"/>
      <c r="E21" s="64">
        <v>8.3919999999999995E-2</v>
      </c>
      <c r="F21" s="95">
        <v>48.160000000000025</v>
      </c>
      <c r="G21" s="58">
        <f>E21*F21</f>
        <v>4.0415872000000022</v>
      </c>
      <c r="H21" s="86"/>
      <c r="I21" s="64">
        <v>8.3919999999999995E-2</v>
      </c>
      <c r="J21" s="95">
        <v>48.160000000000025</v>
      </c>
      <c r="K21" s="58">
        <f t="shared" ref="K21:K24" si="5">I21*J21</f>
        <v>4.0415872000000022</v>
      </c>
      <c r="L21" s="96"/>
      <c r="M21" s="62">
        <f t="shared" si="0"/>
        <v>0</v>
      </c>
      <c r="N21" s="63">
        <f t="shared" si="1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-8.8999999999999999E-3</v>
      </c>
      <c r="F22" s="95">
        <v>800</v>
      </c>
      <c r="G22" s="58">
        <f>E22*F22</f>
        <v>-7.12</v>
      </c>
      <c r="H22" s="86"/>
      <c r="I22" s="202">
        <f>-0.0023</f>
        <v>-2.3E-3</v>
      </c>
      <c r="J22" s="95">
        <v>800</v>
      </c>
      <c r="K22" s="58">
        <f t="shared" si="5"/>
        <v>-1.8399999999999999</v>
      </c>
      <c r="L22" s="96"/>
      <c r="M22" s="62">
        <f t="shared" si="0"/>
        <v>5.28</v>
      </c>
      <c r="N22" s="63">
        <f>IFERROR(M22/G22, "")</f>
        <v>-0.7415730337078652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5"/>
        <v>0.8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5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24.581587200000005</v>
      </c>
      <c r="H25" s="86"/>
      <c r="I25" s="102"/>
      <c r="J25" s="104"/>
      <c r="K25" s="103">
        <f>SUM(K20:K24)</f>
        <v>29.8215872</v>
      </c>
      <c r="L25" s="88"/>
      <c r="M25" s="105">
        <f t="shared" si="0"/>
        <v>5.2399999999999949</v>
      </c>
      <c r="N25" s="106">
        <f t="shared" si="1"/>
        <v>0.21316768349278903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848.16000000000008</v>
      </c>
      <c r="G26" s="58">
        <f>E26*F26</f>
        <v>6.0219360000000011</v>
      </c>
      <c r="H26" s="86"/>
      <c r="I26" s="64">
        <v>5.4000000000000003E-3</v>
      </c>
      <c r="J26" s="111">
        <v>848.16000000000008</v>
      </c>
      <c r="K26" s="58">
        <f>I26*J26</f>
        <v>4.580064000000001</v>
      </c>
      <c r="L26" s="96"/>
      <c r="M26" s="62">
        <f t="shared" si="0"/>
        <v>-1.441872</v>
      </c>
      <c r="N26" s="63">
        <f t="shared" si="1"/>
        <v>-0.23943661971830982</v>
      </c>
    </row>
    <row r="27" spans="1:14" ht="21.75" customHeight="1" x14ac:dyDescent="0.2">
      <c r="A27" s="244" t="s">
        <v>39</v>
      </c>
      <c r="B27" s="244"/>
      <c r="C27" s="244"/>
      <c r="D27" s="109"/>
      <c r="E27" s="64">
        <v>3.3999999999999998E-3</v>
      </c>
      <c r="F27" s="110">
        <v>848.16000000000008</v>
      </c>
      <c r="G27" s="58">
        <f>E27*F27</f>
        <v>2.8837440000000001</v>
      </c>
      <c r="H27" s="86"/>
      <c r="I27" s="64">
        <v>3.5999999999999999E-3</v>
      </c>
      <c r="J27" s="111">
        <v>848.16000000000008</v>
      </c>
      <c r="K27" s="58">
        <f>I27*J27</f>
        <v>3.0533760000000001</v>
      </c>
      <c r="L27" s="96"/>
      <c r="M27" s="62">
        <f t="shared" si="0"/>
        <v>0.16963200000000001</v>
      </c>
      <c r="N27" s="63">
        <f t="shared" si="1"/>
        <v>5.8823529411764705E-2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33.487267200000005</v>
      </c>
      <c r="H28" s="114"/>
      <c r="I28" s="115"/>
      <c r="J28" s="116"/>
      <c r="K28" s="103">
        <f>SUM(K25:K27)</f>
        <v>37.455027200000004</v>
      </c>
      <c r="L28" s="117"/>
      <c r="M28" s="105">
        <f t="shared" si="0"/>
        <v>3.9677599999999984</v>
      </c>
      <c r="N28" s="106">
        <f t="shared" si="1"/>
        <v>0.11848563145815606</v>
      </c>
    </row>
    <row r="29" spans="1:14" ht="25.5" x14ac:dyDescent="0.2">
      <c r="A29" s="118" t="s">
        <v>41</v>
      </c>
      <c r="B29" s="92"/>
      <c r="C29" s="93"/>
      <c r="D29" s="94"/>
      <c r="E29" s="119">
        <v>4.4000000000000003E-3</v>
      </c>
      <c r="F29" s="110">
        <v>848.16000000000008</v>
      </c>
      <c r="G29" s="120">
        <f t="shared" ref="G29:G35" si="6">E29*F29</f>
        <v>3.7319040000000006</v>
      </c>
      <c r="H29" s="96"/>
      <c r="I29" s="119">
        <v>4.4000000000000003E-3</v>
      </c>
      <c r="J29" s="111">
        <v>848.16000000000008</v>
      </c>
      <c r="K29" s="120">
        <f t="shared" ref="K29:K34" si="7">I29*J29</f>
        <v>3.7319040000000006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118" t="s">
        <v>42</v>
      </c>
      <c r="B30" s="92"/>
      <c r="C30" s="93"/>
      <c r="D30" s="94"/>
      <c r="E30" s="119">
        <v>1.2999999999999999E-3</v>
      </c>
      <c r="F30" s="110">
        <v>848.16000000000008</v>
      </c>
      <c r="G30" s="120">
        <f t="shared" si="6"/>
        <v>1.102608</v>
      </c>
      <c r="H30" s="96"/>
      <c r="I30" s="119">
        <v>1.2999999999999999E-3</v>
      </c>
      <c r="J30" s="111">
        <v>848.16000000000008</v>
      </c>
      <c r="K30" s="120">
        <f t="shared" si="7"/>
        <v>1.102608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6"/>
        <v>0.25</v>
      </c>
      <c r="H31" s="96"/>
      <c r="I31" s="119">
        <v>0.25</v>
      </c>
      <c r="J31" s="111">
        <v>1</v>
      </c>
      <c r="K31" s="120">
        <f t="shared" si="7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v>800</v>
      </c>
      <c r="G32" s="120">
        <f t="shared" si="6"/>
        <v>5.6000000000000005</v>
      </c>
      <c r="H32" s="96"/>
      <c r="I32" s="119"/>
      <c r="J32" s="111">
        <v>800</v>
      </c>
      <c r="K32" s="120">
        <f t="shared" si="7"/>
        <v>0</v>
      </c>
      <c r="L32" s="96"/>
      <c r="M32" s="62">
        <f t="shared" si="0"/>
        <v>-5.6000000000000005</v>
      </c>
      <c r="N32" s="121">
        <f t="shared" si="1"/>
        <v>-1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10">
        <v>512</v>
      </c>
      <c r="G33" s="120">
        <f t="shared" si="6"/>
        <v>40.96</v>
      </c>
      <c r="H33" s="96"/>
      <c r="I33" s="119">
        <v>0.08</v>
      </c>
      <c r="J33" s="110">
        <v>512</v>
      </c>
      <c r="K33" s="120">
        <f t="shared" si="7"/>
        <v>40.96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10">
        <v>144</v>
      </c>
      <c r="G34" s="120">
        <f t="shared" si="6"/>
        <v>17.567999999999998</v>
      </c>
      <c r="H34" s="96"/>
      <c r="I34" s="119">
        <v>0.122</v>
      </c>
      <c r="J34" s="110">
        <v>144</v>
      </c>
      <c r="K34" s="120">
        <f t="shared" si="7"/>
        <v>17.567999999999998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10">
        <v>144</v>
      </c>
      <c r="G35" s="120">
        <f t="shared" si="6"/>
        <v>23.184000000000001</v>
      </c>
      <c r="H35" s="96"/>
      <c r="I35" s="119">
        <v>0.161</v>
      </c>
      <c r="J35" s="110">
        <v>144</v>
      </c>
      <c r="K35" s="120">
        <f>I35*J35</f>
        <v>23.184000000000001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125.88377920000001</v>
      </c>
      <c r="H37" s="138"/>
      <c r="I37" s="139"/>
      <c r="J37" s="139"/>
      <c r="K37" s="140">
        <f>SUM(K28:K36)</f>
        <v>124.25153920000001</v>
      </c>
      <c r="L37" s="141"/>
      <c r="M37" s="142">
        <f>K37-G37</f>
        <v>-1.6322399999999959</v>
      </c>
      <c r="N37" s="143">
        <f>M37/G37</f>
        <v>-1.296624561458984E-2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16.364891296</v>
      </c>
      <c r="H38" s="147"/>
      <c r="I38" s="135">
        <v>0.13</v>
      </c>
      <c r="J38" s="147"/>
      <c r="K38" s="148">
        <f>K37*I38</f>
        <v>16.152700096</v>
      </c>
      <c r="L38" s="149"/>
      <c r="M38" s="150">
        <f>K38-G38</f>
        <v>-0.21219119999999947</v>
      </c>
      <c r="N38" s="151">
        <f>M38/G38</f>
        <v>-1.2966245614589842E-2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142.24867049600002</v>
      </c>
      <c r="H39" s="147"/>
      <c r="I39" s="147"/>
      <c r="J39" s="147"/>
      <c r="K39" s="148">
        <f>SUM(K37:K38)</f>
        <v>140.40423929600001</v>
      </c>
      <c r="L39" s="149"/>
      <c r="M39" s="150">
        <f>K39-G39</f>
        <v>-1.8444312000000025</v>
      </c>
      <c r="N39" s="151">
        <f>M39/G39</f>
        <v>-1.2966245614589891E-2</v>
      </c>
    </row>
    <row r="40" spans="1:14" ht="14.25" customHeight="1" x14ac:dyDescent="0.2">
      <c r="A40" s="243" t="s">
        <v>51</v>
      </c>
      <c r="B40" s="243"/>
      <c r="C40" s="243"/>
      <c r="D40" s="134"/>
      <c r="E40" s="147"/>
      <c r="F40" s="145"/>
      <c r="G40" s="153">
        <f>G39*-0.1</f>
        <v>-14.224867049600002</v>
      </c>
      <c r="H40" s="147"/>
      <c r="I40" s="147"/>
      <c r="J40" s="147"/>
      <c r="K40" s="154"/>
      <c r="L40" s="149"/>
      <c r="M40" s="155">
        <f>K40-G40</f>
        <v>14.224867049600002</v>
      </c>
      <c r="N40" s="156">
        <f>M40/G40</f>
        <v>-1</v>
      </c>
    </row>
    <row r="41" spans="1:14" ht="15.75" customHeight="1" thickBot="1" x14ac:dyDescent="0.25">
      <c r="A41" s="248" t="s">
        <v>52</v>
      </c>
      <c r="B41" s="248"/>
      <c r="C41" s="248"/>
      <c r="D41" s="157"/>
      <c r="E41" s="158"/>
      <c r="F41" s="159"/>
      <c r="G41" s="160">
        <f>SUM(G39:G40)</f>
        <v>128.02380344640002</v>
      </c>
      <c r="H41" s="161"/>
      <c r="I41" s="161"/>
      <c r="J41" s="161"/>
      <c r="K41" s="162">
        <f>SUM(K39:K40)</f>
        <v>140.40423929600001</v>
      </c>
      <c r="L41" s="163"/>
      <c r="M41" s="89">
        <f>K41-G41</f>
        <v>12.380435849599991</v>
      </c>
      <c r="N41" s="90">
        <f>M41/G41</f>
        <v>9.6704171539344491E-2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11">
    <mergeCell ref="C1:K1"/>
    <mergeCell ref="E9:J9"/>
    <mergeCell ref="E11:G11"/>
    <mergeCell ref="I11:K11"/>
    <mergeCell ref="A41:C41"/>
    <mergeCell ref="M11:N11"/>
    <mergeCell ref="C12:C13"/>
    <mergeCell ref="M12:M13"/>
    <mergeCell ref="N12:N13"/>
    <mergeCell ref="A40:C40"/>
    <mergeCell ref="A27:C27"/>
  </mergeCells>
  <phoneticPr fontId="0" type="noConversion"/>
  <dataValidations disablePrompts="1" count="3">
    <dataValidation type="list" allowBlank="1" showInputMessage="1" showErrorMessage="1" sqref="D26:D27 D42 D29:D36 D14:D19 D22:D24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6 C29:C35 C14:C19 C22:C24"/>
  </dataValidations>
  <pageMargins left="0.75" right="0.75" top="1" bottom="1" header="0.5" footer="0.5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3" workbookViewId="0">
      <selection activeCell="I19" sqref="I19"/>
    </sheetView>
  </sheetViews>
  <sheetFormatPr defaultRowHeight="12.75" x14ac:dyDescent="0.2"/>
  <cols>
    <col min="1" max="1" width="22.28515625" customWidth="1"/>
    <col min="5" max="5" width="9.85546875" bestFit="1" customWidth="1"/>
    <col min="7" max="7" width="10.7109375" customWidth="1"/>
    <col min="9" max="9" width="9.85546875" bestFit="1" customWidth="1"/>
    <col min="11" max="11" width="13.42578125" customWidth="1"/>
    <col min="14" max="14" width="10" bestFit="1" customWidth="1"/>
  </cols>
  <sheetData>
    <row r="1" spans="1:14" ht="15.75" x14ac:dyDescent="0.2">
      <c r="A1" s="24"/>
      <c r="B1" s="25"/>
      <c r="C1" s="245" t="s">
        <v>80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f>+E5</f>
        <v>364</v>
      </c>
      <c r="G15" s="58">
        <f>E15*F15</f>
        <v>5.5327999999999999</v>
      </c>
      <c r="H15" s="59"/>
      <c r="I15" s="64">
        <v>1.1599999999999999E-2</v>
      </c>
      <c r="J15" s="66">
        <f>+F15</f>
        <v>364</v>
      </c>
      <c r="K15" s="58">
        <f>I15*J15</f>
        <v>4.2223999999999995</v>
      </c>
      <c r="L15" s="59"/>
      <c r="M15" s="62">
        <f t="shared" ref="M15:M35" si="0">K15-G15</f>
        <v>-1.3104000000000005</v>
      </c>
      <c r="N15" s="63">
        <f t="shared" ref="N15:N35" si="1">M15/G15</f>
        <v>-0.23684210526315799</v>
      </c>
    </row>
    <row r="16" spans="1:14" ht="14.25" x14ac:dyDescent="0.2">
      <c r="A16" s="204" t="s">
        <v>65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-7.0000000000000007E-2</v>
      </c>
      <c r="J16" s="66">
        <v>1</v>
      </c>
      <c r="K16" s="58">
        <f>+I16*J16</f>
        <v>-7.0000000000000007E-2</v>
      </c>
      <c r="L16" s="59"/>
      <c r="M16" s="62">
        <f t="shared" si="0"/>
        <v>-7.0000000000000007E-2</v>
      </c>
      <c r="N16" s="63" t="e">
        <f t="shared" si="1"/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si="0"/>
        <v>0.04</v>
      </c>
      <c r="N17" s="63">
        <f>IFERROR(M17/G17,"")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0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f>+E5</f>
        <v>364</v>
      </c>
      <c r="G19" s="75">
        <f>E19*F19</f>
        <v>-7.2800000000000004E-2</v>
      </c>
      <c r="H19" s="76"/>
      <c r="I19" s="73">
        <v>2.9999999999999997E-4</v>
      </c>
      <c r="J19" s="66">
        <f>+F19</f>
        <v>364</v>
      </c>
      <c r="K19" s="75">
        <f>I19*J19</f>
        <v>0.10919999999999999</v>
      </c>
      <c r="L19" s="76"/>
      <c r="M19" s="78">
        <f t="shared" si="0"/>
        <v>0.182</v>
      </c>
      <c r="N19" s="79">
        <f>-M19/G19</f>
        <v>2.5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20.8416</v>
      </c>
      <c r="L20" s="88"/>
      <c r="M20" s="89">
        <f t="shared" si="0"/>
        <v>1.3115999999999985</v>
      </c>
      <c r="N20" s="90">
        <f t="shared" si="1"/>
        <v>6.7158218125959984E-2</v>
      </c>
    </row>
    <row r="21" spans="1:14" ht="14.25" x14ac:dyDescent="0.2">
      <c r="A21" s="208" t="s">
        <v>33</v>
      </c>
      <c r="B21" s="92"/>
      <c r="C21" s="93"/>
      <c r="D21" s="94"/>
      <c r="E21" s="64">
        <v>8.3919999999999995E-2</v>
      </c>
      <c r="F21" s="95">
        <f>+E5*0.0602</f>
        <v>21.912799999999997</v>
      </c>
      <c r="G21" s="58">
        <f>E21*F21</f>
        <v>1.8389221759999996</v>
      </c>
      <c r="H21" s="86"/>
      <c r="I21" s="64">
        <v>8.3919999999999995E-2</v>
      </c>
      <c r="J21" s="66">
        <f t="shared" ref="J21:J23" si="2">+F21</f>
        <v>21.912799999999997</v>
      </c>
      <c r="K21" s="58">
        <f t="shared" ref="K21:K24" si="3">I21*J21</f>
        <v>1.8389221759999996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208" t="s">
        <v>34</v>
      </c>
      <c r="B22" s="92"/>
      <c r="C22" s="93"/>
      <c r="D22" s="94"/>
      <c r="E22" s="97">
        <v>-8.8999999999999999E-3</v>
      </c>
      <c r="F22" s="95">
        <f>+E5</f>
        <v>364</v>
      </c>
      <c r="G22" s="58">
        <f>E22*F22</f>
        <v>-3.2395999999999998</v>
      </c>
      <c r="H22" s="86"/>
      <c r="I22" s="202">
        <f>-0.0023</f>
        <v>-2.3E-3</v>
      </c>
      <c r="J22" s="66">
        <f t="shared" si="2"/>
        <v>364</v>
      </c>
      <c r="K22" s="58">
        <f t="shared" si="3"/>
        <v>-0.83719999999999994</v>
      </c>
      <c r="L22" s="96"/>
      <c r="M22" s="62">
        <f t="shared" si="0"/>
        <v>2.4024000000000001</v>
      </c>
      <c r="N22" s="63">
        <f>IFERROR(M22/G22, "")</f>
        <v>-0.7415730337078652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f>+E5</f>
        <v>364</v>
      </c>
      <c r="G23" s="58">
        <f>E23*F23</f>
        <v>0.36399999999999999</v>
      </c>
      <c r="H23" s="86"/>
      <c r="I23" s="64">
        <v>1E-3</v>
      </c>
      <c r="J23" s="66">
        <f t="shared" si="2"/>
        <v>364</v>
      </c>
      <c r="K23" s="58">
        <f t="shared" si="3"/>
        <v>0.36399999999999999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19.283322176000002</v>
      </c>
      <c r="H25" s="86"/>
      <c r="I25" s="102"/>
      <c r="J25" s="104"/>
      <c r="K25" s="103">
        <f>SUM(K20:K24)</f>
        <v>22.997322176000001</v>
      </c>
      <c r="L25" s="88"/>
      <c r="M25" s="105">
        <f t="shared" si="0"/>
        <v>3.7139999999999986</v>
      </c>
      <c r="N25" s="106">
        <f t="shared" si="1"/>
        <v>0.1926016671869144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+F15+F21</f>
        <v>385.9128</v>
      </c>
      <c r="G26" s="58">
        <f>E26*F26</f>
        <v>2.7399808800000001</v>
      </c>
      <c r="H26" s="86"/>
      <c r="I26" s="64">
        <v>5.4000000000000003E-3</v>
      </c>
      <c r="J26" s="111">
        <f>+F26</f>
        <v>385.9128</v>
      </c>
      <c r="K26" s="58">
        <f>I26*J26</f>
        <v>2.0839291200000001</v>
      </c>
      <c r="L26" s="96"/>
      <c r="M26" s="62">
        <f t="shared" si="0"/>
        <v>-0.65605175999999998</v>
      </c>
      <c r="N26" s="63">
        <f t="shared" si="1"/>
        <v>-0.23943661971830985</v>
      </c>
    </row>
    <row r="27" spans="1:14" ht="21.75" customHeight="1" x14ac:dyDescent="0.2">
      <c r="A27" s="244" t="s">
        <v>39</v>
      </c>
      <c r="B27" s="244"/>
      <c r="C27" s="244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v>3.5999999999999999E-3</v>
      </c>
      <c r="J27" s="111">
        <f>+F27</f>
        <v>385.9128</v>
      </c>
      <c r="K27" s="58">
        <f>I27*J27</f>
        <v>1.38928608</v>
      </c>
      <c r="L27" s="96"/>
      <c r="M27" s="62">
        <f t="shared" si="0"/>
        <v>7.7182560000000011E-2</v>
      </c>
      <c r="N27" s="63">
        <f t="shared" si="1"/>
        <v>5.8823529411764719E-2</v>
      </c>
    </row>
    <row r="28" spans="1:14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23.335406576000004</v>
      </c>
      <c r="H28" s="114"/>
      <c r="I28" s="115"/>
      <c r="J28" s="116"/>
      <c r="K28" s="103">
        <f>SUM(K25:K27)</f>
        <v>26.470537376000003</v>
      </c>
      <c r="L28" s="117"/>
      <c r="M28" s="105">
        <f t="shared" si="0"/>
        <v>3.1351307999999989</v>
      </c>
      <c r="N28" s="106">
        <f t="shared" si="1"/>
        <v>0.13435081106426566</v>
      </c>
    </row>
    <row r="29" spans="1:14" ht="14.25" x14ac:dyDescent="0.2">
      <c r="A29" s="92" t="s">
        <v>41</v>
      </c>
      <c r="B29" s="92"/>
      <c r="C29" s="93"/>
      <c r="D29" s="94"/>
      <c r="E29" s="119">
        <v>4.4000000000000003E-3</v>
      </c>
      <c r="F29" s="110">
        <f>+F27</f>
        <v>385.9128</v>
      </c>
      <c r="G29" s="120">
        <f t="shared" ref="G29:G35" si="4">E29*F29</f>
        <v>1.69801632</v>
      </c>
      <c r="H29" s="96"/>
      <c r="I29" s="119">
        <v>4.4000000000000003E-3</v>
      </c>
      <c r="J29" s="111">
        <f>+F29</f>
        <v>385.9128</v>
      </c>
      <c r="K29" s="120">
        <f t="shared" ref="K29:K34" si="5">I29*J29</f>
        <v>1.69801632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42</v>
      </c>
      <c r="B30" s="92"/>
      <c r="C30" s="93"/>
      <c r="D30" s="94"/>
      <c r="E30" s="119"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v>1.2999999999999999E-3</v>
      </c>
      <c r="J30" s="111">
        <f>+F30</f>
        <v>385.9128</v>
      </c>
      <c r="K30" s="120">
        <f t="shared" si="5"/>
        <v>0.50168663999999996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4"/>
        <v>0.25</v>
      </c>
      <c r="H31" s="96"/>
      <c r="I31" s="119">
        <v>0.25</v>
      </c>
      <c r="J31" s="111">
        <v>1</v>
      </c>
      <c r="K31" s="120">
        <f t="shared" si="5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f>+E5</f>
        <v>364</v>
      </c>
      <c r="G32" s="120">
        <f t="shared" si="4"/>
        <v>2.548</v>
      </c>
      <c r="H32" s="96"/>
      <c r="I32" s="119"/>
      <c r="J32" s="111">
        <f>+F32</f>
        <v>364</v>
      </c>
      <c r="K32" s="120">
        <f t="shared" si="5"/>
        <v>0</v>
      </c>
      <c r="L32" s="96"/>
      <c r="M32" s="62">
        <f t="shared" si="0"/>
        <v>-2.548</v>
      </c>
      <c r="N32" s="121">
        <f t="shared" si="1"/>
        <v>-1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10">
        <f>+E5*0.64</f>
        <v>232.96</v>
      </c>
      <c r="G33" s="120">
        <f t="shared" si="4"/>
        <v>18.636800000000001</v>
      </c>
      <c r="H33" s="96"/>
      <c r="I33" s="119">
        <v>0.08</v>
      </c>
      <c r="J33" s="111">
        <f>+F33</f>
        <v>232.96</v>
      </c>
      <c r="K33" s="120">
        <f t="shared" si="5"/>
        <v>18.636800000000001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10">
        <f>+E5*0.18</f>
        <v>65.52</v>
      </c>
      <c r="G34" s="120">
        <f t="shared" si="4"/>
        <v>7.9934399999999997</v>
      </c>
      <c r="H34" s="96"/>
      <c r="I34" s="119">
        <v>0.122</v>
      </c>
      <c r="J34" s="111">
        <f>+F34</f>
        <v>65.52</v>
      </c>
      <c r="K34" s="120">
        <f t="shared" si="5"/>
        <v>7.9934399999999997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10">
        <f>+E5-F33-F34</f>
        <v>65.52</v>
      </c>
      <c r="G35" s="120">
        <f t="shared" si="4"/>
        <v>10.548719999999999</v>
      </c>
      <c r="H35" s="96"/>
      <c r="I35" s="119">
        <v>0.161</v>
      </c>
      <c r="J35" s="111">
        <f>+F35</f>
        <v>65.52</v>
      </c>
      <c r="K35" s="120">
        <f>I35*J35</f>
        <v>10.548719999999999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65.512069535999998</v>
      </c>
      <c r="H37" s="138"/>
      <c r="I37" s="139"/>
      <c r="J37" s="139"/>
      <c r="K37" s="140">
        <f>SUM(K28:K36)</f>
        <v>66.099200335999996</v>
      </c>
      <c r="L37" s="141"/>
      <c r="M37" s="142">
        <f>K37-G37</f>
        <v>0.58713079999999707</v>
      </c>
      <c r="N37" s="143">
        <f>M37/G37</f>
        <v>8.9621775675604119E-3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8.5165690396800002</v>
      </c>
      <c r="H38" s="147"/>
      <c r="I38" s="135">
        <v>0.13</v>
      </c>
      <c r="J38" s="147"/>
      <c r="K38" s="148">
        <f>K37*I38</f>
        <v>8.5928960436799997</v>
      </c>
      <c r="L38" s="149"/>
      <c r="M38" s="150">
        <f>K38-G38</f>
        <v>7.6327003999999476E-2</v>
      </c>
      <c r="N38" s="151">
        <f>M38/G38</f>
        <v>8.9621775675603945E-3</v>
      </c>
    </row>
    <row r="39" spans="1:14" ht="14.25" x14ac:dyDescent="0.2">
      <c r="A39" s="207" t="s">
        <v>50</v>
      </c>
      <c r="B39" s="92"/>
      <c r="C39" s="92"/>
      <c r="D39" s="134"/>
      <c r="E39" s="147"/>
      <c r="F39" s="145"/>
      <c r="G39" s="146">
        <f>SUM(G37:G38)</f>
        <v>74.028638575679992</v>
      </c>
      <c r="H39" s="147"/>
      <c r="I39" s="147"/>
      <c r="J39" s="147"/>
      <c r="K39" s="148">
        <f>SUM(K37:K38)</f>
        <v>74.692096379679995</v>
      </c>
      <c r="L39" s="149"/>
      <c r="M39" s="150">
        <f>K39-G39</f>
        <v>0.66345780400000365</v>
      </c>
      <c r="N39" s="151">
        <f>M39/G39</f>
        <v>8.9621775675605073E-3</v>
      </c>
    </row>
    <row r="40" spans="1:14" ht="14.25" x14ac:dyDescent="0.2">
      <c r="A40" s="243" t="s">
        <v>51</v>
      </c>
      <c r="B40" s="243"/>
      <c r="C40" s="243"/>
      <c r="D40" s="134"/>
      <c r="E40" s="147"/>
      <c r="F40" s="145"/>
      <c r="G40" s="153">
        <f>G39*-0.1</f>
        <v>-7.4028638575679997</v>
      </c>
      <c r="H40" s="147"/>
      <c r="I40" s="147"/>
      <c r="J40" s="147"/>
      <c r="K40" s="154"/>
      <c r="L40" s="149"/>
      <c r="M40" s="155">
        <f>K40-G40</f>
        <v>7.4028638575679997</v>
      </c>
      <c r="N40" s="156">
        <f>M40/G40</f>
        <v>-1</v>
      </c>
    </row>
    <row r="41" spans="1:14" ht="15.75" thickBot="1" x14ac:dyDescent="0.25">
      <c r="A41" s="248" t="s">
        <v>52</v>
      </c>
      <c r="B41" s="248"/>
      <c r="C41" s="248"/>
      <c r="D41" s="157"/>
      <c r="E41" s="158"/>
      <c r="F41" s="159"/>
      <c r="G41" s="160">
        <f>SUM(G39:G40)</f>
        <v>66.625774718111998</v>
      </c>
      <c r="H41" s="161"/>
      <c r="I41" s="161"/>
      <c r="J41" s="161"/>
      <c r="K41" s="162">
        <f>SUM(K39:K40)</f>
        <v>74.692096379679995</v>
      </c>
      <c r="L41" s="163"/>
      <c r="M41" s="89">
        <f>K41-G41</f>
        <v>8.0663216615679971</v>
      </c>
      <c r="N41" s="90">
        <f>M41/G41</f>
        <v>0.12106908618617825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</sheetData>
  <mergeCells count="11">
    <mergeCell ref="M11:N11"/>
    <mergeCell ref="C12:C13"/>
    <mergeCell ref="M12:M13"/>
    <mergeCell ref="N12:N13"/>
    <mergeCell ref="A27:C27"/>
    <mergeCell ref="A40:C40"/>
    <mergeCell ref="A41:C41"/>
    <mergeCell ref="C1:K1"/>
    <mergeCell ref="E9:J9"/>
    <mergeCell ref="E11:G11"/>
    <mergeCell ref="I11:K11"/>
  </mergeCells>
  <dataValidations count="3">
    <dataValidation showDropDown="1" showInputMessage="1" showErrorMessage="1" prompt="Select Charge Unit - monthly, per kWh, per kW" sqref="C26 C29:C35 C14:C19 C22:C24"/>
    <dataValidation type="list" allowBlank="1" showInputMessage="1" showErrorMessage="1" prompt="Select Charge Unit - monthly, per kWh, per kW" sqref="C36 C42">
      <formula1>"Monthly, per kWh, per kW"</formula1>
    </dataValidation>
    <dataValidation type="list" allowBlank="1" showInputMessage="1" showErrorMessage="1" sqref="D26:D27 D42 D29:D36 D14:D19 D22:D2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5"/>
  <sheetViews>
    <sheetView topLeftCell="A4" workbookViewId="0">
      <selection activeCell="I21" sqref="I21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5" t="s">
        <v>81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4" si="0">K15-G15</f>
        <v>0.39999999999999858</v>
      </c>
      <c r="N15" s="63">
        <f t="shared" ref="N15:N34" si="1">M15/G15</f>
        <v>1.7241379310344768E-2</v>
      </c>
    </row>
    <row r="16" spans="1:14" ht="14.25" x14ac:dyDescent="0.2">
      <c r="A16" s="67" t="s">
        <v>58</v>
      </c>
      <c r="B16" s="67"/>
      <c r="C16" s="54"/>
      <c r="D16" s="55"/>
      <c r="E16" s="68">
        <v>14.91</v>
      </c>
      <c r="F16" s="147">
        <v>1</v>
      </c>
      <c r="G16" s="58">
        <f>E16*F16</f>
        <v>14.91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>K16-G16</f>
        <v>-14.91</v>
      </c>
      <c r="N16" s="63">
        <f>IFERROR(M16/G16, "")</f>
        <v>-1</v>
      </c>
    </row>
    <row r="17" spans="1:14" ht="14.25" x14ac:dyDescent="0.2">
      <c r="A17" s="67" t="s">
        <v>59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ref="M17" si="2">K17-G17</f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v>1.5E-3</v>
      </c>
      <c r="J18" s="77">
        <f>F18</f>
        <v>2000</v>
      </c>
      <c r="K18" s="75">
        <f>I18*J18</f>
        <v>3</v>
      </c>
      <c r="L18" s="76"/>
      <c r="M18" s="78">
        <f t="shared" si="0"/>
        <v>3.2</v>
      </c>
      <c r="N18" s="79">
        <f t="shared" si="1"/>
        <v>-16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61.129999999999995</v>
      </c>
      <c r="L19" s="88"/>
      <c r="M19" s="89">
        <f t="shared" si="0"/>
        <v>-14.429999999999993</v>
      </c>
      <c r="N19" s="90">
        <f t="shared" si="1"/>
        <v>-0.19097406034939116</v>
      </c>
    </row>
    <row r="20" spans="1:14" ht="14.25" x14ac:dyDescent="0.2">
      <c r="A20" s="91" t="s">
        <v>33</v>
      </c>
      <c r="B20" s="92"/>
      <c r="C20" s="93"/>
      <c r="D20" s="94"/>
      <c r="E20" s="64">
        <f>E32*0.64+E33*0.18+E34*0.18</f>
        <v>0.10214000000000001</v>
      </c>
      <c r="F20" s="175">
        <f>E5*(E3-1)</f>
        <v>120.40000000000006</v>
      </c>
      <c r="G20" s="58">
        <f>E20*F20</f>
        <v>12.297656000000007</v>
      </c>
      <c r="H20" s="86"/>
      <c r="I20" s="64">
        <f>I32*0.64+I33*0.18+I34*0.18</f>
        <v>0.10214000000000001</v>
      </c>
      <c r="J20" s="175">
        <f>F20</f>
        <v>120.40000000000006</v>
      </c>
      <c r="K20" s="58">
        <f t="shared" ref="K20:K23" si="3">I20*J20</f>
        <v>12.297656000000007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-9.1000000000000004E-3</v>
      </c>
      <c r="F21" s="175">
        <v>2000</v>
      </c>
      <c r="G21" s="58">
        <f>E21*F21</f>
        <v>-18.2</v>
      </c>
      <c r="H21" s="86"/>
      <c r="I21" s="64">
        <f>-0.0023</f>
        <v>-2.3E-3</v>
      </c>
      <c r="J21" s="175">
        <f>F21</f>
        <v>2000</v>
      </c>
      <c r="K21" s="58">
        <f t="shared" si="3"/>
        <v>-4.5999999999999996</v>
      </c>
      <c r="L21" s="96"/>
      <c r="M21" s="62">
        <f t="shared" si="0"/>
        <v>13.6</v>
      </c>
      <c r="N21" s="63">
        <f>IFERROR(M21/G21, "")</f>
        <v>-0.74725274725274726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72.447655999999995</v>
      </c>
      <c r="H24" s="86"/>
      <c r="I24" s="102"/>
      <c r="J24" s="104"/>
      <c r="K24" s="103">
        <f>SUM(K19:K23)</f>
        <v>71.617656000000011</v>
      </c>
      <c r="L24" s="88"/>
      <c r="M24" s="105">
        <f t="shared" si="0"/>
        <v>-0.82999999999998408</v>
      </c>
      <c r="N24" s="106">
        <f t="shared" si="1"/>
        <v>-1.1456547331220545E-2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4.7000000000000002E-3</v>
      </c>
      <c r="J25" s="177">
        <f>F25</f>
        <v>2120.4</v>
      </c>
      <c r="K25" s="58">
        <f>I25*J25</f>
        <v>9.9658800000000003</v>
      </c>
      <c r="L25" s="96"/>
      <c r="M25" s="62">
        <f t="shared" si="0"/>
        <v>-3.1806000000000001</v>
      </c>
      <c r="N25" s="63">
        <f t="shared" si="1"/>
        <v>-0.24193548387096775</v>
      </c>
    </row>
    <row r="26" spans="1:14" ht="25.5" customHeight="1" x14ac:dyDescent="0.2">
      <c r="A26" s="244" t="s">
        <v>39</v>
      </c>
      <c r="B26" s="244"/>
      <c r="C26" s="244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3.3999999999999998E-3</v>
      </c>
      <c r="J26" s="177">
        <f>F26</f>
        <v>2120.4</v>
      </c>
      <c r="K26" s="58">
        <f>I26*J26</f>
        <v>7.2093600000000002</v>
      </c>
      <c r="L26" s="96"/>
      <c r="M26" s="62">
        <f t="shared" si="0"/>
        <v>0.42408000000000001</v>
      </c>
      <c r="N26" s="63">
        <f t="shared" si="1"/>
        <v>6.25E-2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92.379415999999992</v>
      </c>
      <c r="H27" s="114"/>
      <c r="I27" s="115"/>
      <c r="J27" s="116"/>
      <c r="K27" s="103">
        <f>SUM(K24:K26)</f>
        <v>88.792896000000013</v>
      </c>
      <c r="L27" s="117"/>
      <c r="M27" s="105">
        <f t="shared" si="0"/>
        <v>-3.5865199999999788</v>
      </c>
      <c r="N27" s="106">
        <f t="shared" si="1"/>
        <v>-3.8823800314996354E-2</v>
      </c>
    </row>
    <row r="28" spans="1:14" ht="25.5" x14ac:dyDescent="0.2">
      <c r="A28" s="118" t="s">
        <v>41</v>
      </c>
      <c r="B28" s="92"/>
      <c r="C28" s="93"/>
      <c r="D28" s="94"/>
      <c r="E28" s="119">
        <v>4.4000000000000003E-3</v>
      </c>
      <c r="F28" s="176">
        <f>E5*E3</f>
        <v>2120.4</v>
      </c>
      <c r="G28" s="120">
        <f t="shared" ref="G28:G34" si="4">E28*F28</f>
        <v>9.3297600000000003</v>
      </c>
      <c r="H28" s="96"/>
      <c r="I28" s="119">
        <v>4.4000000000000003E-3</v>
      </c>
      <c r="J28" s="177">
        <f>E5*E3</f>
        <v>2120.4</v>
      </c>
      <c r="K28" s="120">
        <f t="shared" ref="K28:K33" si="5">I28*J28</f>
        <v>9.3297600000000003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1280</v>
      </c>
      <c r="G32" s="120">
        <f t="shared" si="4"/>
        <v>102.4</v>
      </c>
      <c r="H32" s="96"/>
      <c r="I32" s="119">
        <v>0.08</v>
      </c>
      <c r="J32" s="176">
        <f>F32</f>
        <v>1280</v>
      </c>
      <c r="K32" s="120">
        <f t="shared" si="5"/>
        <v>102.4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360</v>
      </c>
      <c r="G33" s="120">
        <f t="shared" si="4"/>
        <v>43.92</v>
      </c>
      <c r="H33" s="96"/>
      <c r="I33" s="119">
        <v>0.122</v>
      </c>
      <c r="J33" s="176">
        <f>F33</f>
        <v>360</v>
      </c>
      <c r="K33" s="120">
        <f t="shared" si="5"/>
        <v>43.92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360</v>
      </c>
      <c r="G34" s="120">
        <f t="shared" si="4"/>
        <v>57.96</v>
      </c>
      <c r="H34" s="96"/>
      <c r="I34" s="119">
        <v>0.161</v>
      </c>
      <c r="J34" s="176">
        <f>F34</f>
        <v>360</v>
      </c>
      <c r="K34" s="120">
        <f>I34*J34</f>
        <v>57.96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SUM(G27:G35)</f>
        <v>322.99569599999995</v>
      </c>
      <c r="H36" s="138"/>
      <c r="I36" s="139"/>
      <c r="J36" s="139"/>
      <c r="K36" s="140">
        <f>SUM(K27:K35)</f>
        <v>319.409176</v>
      </c>
      <c r="L36" s="141"/>
      <c r="M36" s="142">
        <f>K36-G36</f>
        <v>-3.5865199999999504</v>
      </c>
      <c r="N36" s="143">
        <f>M36/G36</f>
        <v>-1.1103925050443863E-2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41.989440479999992</v>
      </c>
      <c r="H37" s="147"/>
      <c r="I37" s="135">
        <v>0.13</v>
      </c>
      <c r="J37" s="147"/>
      <c r="K37" s="148">
        <f>K36*I37</f>
        <v>41.523192880000003</v>
      </c>
      <c r="L37" s="149"/>
      <c r="M37" s="150">
        <f>K37-G37</f>
        <v>-0.46624759999998844</v>
      </c>
      <c r="N37" s="151">
        <f>M37/G37</f>
        <v>-1.1103925050443742E-2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364.98513647999994</v>
      </c>
      <c r="H38" s="147"/>
      <c r="I38" s="147"/>
      <c r="J38" s="147"/>
      <c r="K38" s="148">
        <f>SUM(K36:K37)</f>
        <v>360.93236888000001</v>
      </c>
      <c r="L38" s="149"/>
      <c r="M38" s="150">
        <f>K38-G38</f>
        <v>-4.0527675999999246</v>
      </c>
      <c r="N38" s="151">
        <f>M38/G38</f>
        <v>-1.1103925050443811E-2</v>
      </c>
    </row>
    <row r="39" spans="1:14" ht="14.25" customHeight="1" x14ac:dyDescent="0.2">
      <c r="A39" s="243" t="s">
        <v>51</v>
      </c>
      <c r="B39" s="243"/>
      <c r="C39" s="243"/>
      <c r="D39" s="134"/>
      <c r="E39" s="147"/>
      <c r="F39" s="145"/>
      <c r="G39" s="153">
        <f>G38*-0.1</f>
        <v>-36.498513647999992</v>
      </c>
      <c r="H39" s="147"/>
      <c r="I39" s="147"/>
      <c r="J39" s="147"/>
      <c r="K39" s="154"/>
      <c r="L39" s="149"/>
      <c r="M39" s="155">
        <f>K39-G39</f>
        <v>36.498513647999992</v>
      </c>
      <c r="N39" s="156">
        <f>M39/G39</f>
        <v>-1</v>
      </c>
    </row>
    <row r="40" spans="1:14" ht="15.75" customHeight="1" thickBot="1" x14ac:dyDescent="0.25">
      <c r="A40" s="248" t="s">
        <v>52</v>
      </c>
      <c r="B40" s="248"/>
      <c r="C40" s="248"/>
      <c r="D40" s="157"/>
      <c r="E40" s="158"/>
      <c r="F40" s="159"/>
      <c r="G40" s="160">
        <f>SUM(G38:G39)</f>
        <v>328.48662283199997</v>
      </c>
      <c r="H40" s="161"/>
      <c r="I40" s="161"/>
      <c r="J40" s="161"/>
      <c r="K40" s="162">
        <f>SUM(K38:K39)</f>
        <v>360.93236888000001</v>
      </c>
      <c r="L40" s="163"/>
      <c r="M40" s="89">
        <f>K40-G40</f>
        <v>32.445746048000046</v>
      </c>
      <c r="N40" s="90">
        <f>M40/G40</f>
        <v>9.8773416610617906E-2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171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</row>
  </sheetData>
  <mergeCells count="11">
    <mergeCell ref="C1:K1"/>
    <mergeCell ref="E9:J9"/>
    <mergeCell ref="E11:G11"/>
    <mergeCell ref="I11:K11"/>
    <mergeCell ref="A40:C40"/>
    <mergeCell ref="M11:N11"/>
    <mergeCell ref="C12:C13"/>
    <mergeCell ref="M12:M13"/>
    <mergeCell ref="N12:N13"/>
    <mergeCell ref="A39:C39"/>
    <mergeCell ref="A26:C26"/>
  </mergeCells>
  <phoneticPr fontId="0" type="noConversion"/>
  <dataValidations count="3">
    <dataValidation type="list" allowBlank="1" showInputMessage="1" showErrorMessage="1" sqref="D25:D26 D41 D28:D35 D14:D18 D21:D23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25 C28:C34 C14:C18 C21:C23"/>
  </dataValidations>
  <pageMargins left="0.75" right="0.75" top="1" bottom="1" header="0.5" footer="0.5"/>
  <pageSetup scale="65" orientation="portrait" r:id="rId1"/>
  <headerFooter alignWithMargins="0"/>
  <ignoredErrors>
    <ignoredError sqref="E15:H15 F31 J31:J34 F18:H18 F16:H16 J16:N16 H17 J17:N17 E14:H14 J14:N14 J15:N15 J18:N18" unlockedFormula="1"/>
    <ignoredError sqref="E19:K19 E30:K30 G39:J39 N21 L39:M39" formula="1"/>
    <ignoredError sqref="E20:K20 E22:K24 F21:H21 J21:K21 E27:K29 F25:H25 J25:K25 F26:H26 J26:K2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0"/>
  <sheetViews>
    <sheetView topLeftCell="A7" workbookViewId="0">
      <selection activeCell="I17" sqref="I17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5" t="s">
        <v>82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3" si="0">K15-G15</f>
        <v>4.1500000000000057</v>
      </c>
      <c r="N15" s="63">
        <f t="shared" ref="N15:N33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-0.0483+0.298</f>
        <v>0.24969999999999998</v>
      </c>
      <c r="J17" s="77">
        <f>F17</f>
        <v>100</v>
      </c>
      <c r="K17" s="75">
        <f>I17*J17</f>
        <v>24.97</v>
      </c>
      <c r="L17" s="76"/>
      <c r="M17" s="78">
        <f t="shared" si="0"/>
        <v>28.169999999999998</v>
      </c>
      <c r="N17" s="79">
        <f t="shared" si="1"/>
        <v>-8.8031249999999996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470.87</v>
      </c>
      <c r="L18" s="88"/>
      <c r="M18" s="89">
        <f t="shared" si="0"/>
        <v>36.69</v>
      </c>
      <c r="N18" s="90">
        <f t="shared" si="1"/>
        <v>8.4504122714081711E-2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2408.0000000000014</v>
      </c>
      <c r="G19" s="58">
        <f>E19*F19</f>
        <v>245.95312000000015</v>
      </c>
      <c r="H19" s="86"/>
      <c r="I19" s="64">
        <f>I31*0.64+I32*0.18+I33*0.18</f>
        <v>0.10214000000000001</v>
      </c>
      <c r="J19" s="175">
        <f>F19</f>
        <v>2408.0000000000014</v>
      </c>
      <c r="K19" s="58">
        <f>I19*J19</f>
        <v>245.95312000000015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-3.5657999999999999</v>
      </c>
      <c r="F20" s="175">
        <f>E8</f>
        <v>100</v>
      </c>
      <c r="G20" s="58">
        <f>E20*F20</f>
        <v>-356.58</v>
      </c>
      <c r="H20" s="86"/>
      <c r="I20" s="64">
        <f>-0.8646</f>
        <v>-0.86460000000000004</v>
      </c>
      <c r="J20" s="175">
        <f>F20</f>
        <v>100</v>
      </c>
      <c r="K20" s="58">
        <f>I20*J20</f>
        <v>-86.460000000000008</v>
      </c>
      <c r="L20" s="96"/>
      <c r="M20" s="62">
        <f t="shared" si="0"/>
        <v>270.12</v>
      </c>
      <c r="N20" s="63">
        <f>IFERROR(M20/G20, "")</f>
        <v>-0.75752986707050318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358.61312000000021</v>
      </c>
      <c r="H23" s="86"/>
      <c r="I23" s="102"/>
      <c r="J23" s="104"/>
      <c r="K23" s="103">
        <f>SUM(K18:K22)</f>
        <v>665.42312000000015</v>
      </c>
      <c r="L23" s="88"/>
      <c r="M23" s="105">
        <f t="shared" si="0"/>
        <v>306.80999999999995</v>
      </c>
      <c r="N23" s="106">
        <f t="shared" si="1"/>
        <v>0.85554594321590849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v>2.3730000000000002</v>
      </c>
      <c r="J24" s="177">
        <f>F24</f>
        <v>106.02000000000001</v>
      </c>
      <c r="K24" s="58">
        <f>I24*J24</f>
        <v>251.58546000000004</v>
      </c>
      <c r="L24" s="96"/>
      <c r="M24" s="62">
        <f t="shared" si="0"/>
        <v>-79.33476600000003</v>
      </c>
      <c r="N24" s="63">
        <f t="shared" si="1"/>
        <v>-0.23973985198474998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v>1.4703999999999999</v>
      </c>
      <c r="J25" s="177">
        <f>F25</f>
        <v>106.02000000000001</v>
      </c>
      <c r="K25" s="58">
        <f>I25*J25</f>
        <v>155.891808</v>
      </c>
      <c r="L25" s="96"/>
      <c r="M25" s="62">
        <f t="shared" si="0"/>
        <v>7.0185239999999851</v>
      </c>
      <c r="N25" s="63">
        <f t="shared" si="1"/>
        <v>4.7144281441390011E-2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838.40663000000029</v>
      </c>
      <c r="H26" s="114"/>
      <c r="I26" s="115"/>
      <c r="J26" s="116"/>
      <c r="K26" s="103">
        <f>SUM(K23:K25)</f>
        <v>1072.9003880000002</v>
      </c>
      <c r="L26" s="117"/>
      <c r="M26" s="105">
        <f t="shared" si="0"/>
        <v>234.49375799999996</v>
      </c>
      <c r="N26" s="106">
        <f t="shared" si="1"/>
        <v>0.27968977058304023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42408</v>
      </c>
      <c r="G27" s="120">
        <f t="shared" ref="G27:G33" si="2">E27*F27</f>
        <v>186.59520000000001</v>
      </c>
      <c r="H27" s="96"/>
      <c r="I27" s="119">
        <v>4.4000000000000003E-3</v>
      </c>
      <c r="J27" s="177">
        <f>E5*E3</f>
        <v>42408</v>
      </c>
      <c r="K27" s="120">
        <f t="shared" ref="K27:K32" si="3">I27*J27</f>
        <v>186.59520000000001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f>$E$5*0.64</f>
        <v>25600</v>
      </c>
      <c r="G31" s="120">
        <f t="shared" si="2"/>
        <v>2048</v>
      </c>
      <c r="H31" s="96"/>
      <c r="I31" s="119">
        <v>0.08</v>
      </c>
      <c r="J31" s="176">
        <f>F31</f>
        <v>25600</v>
      </c>
      <c r="K31" s="120">
        <f t="shared" si="3"/>
        <v>2048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f>$E$5*0.18</f>
        <v>7200</v>
      </c>
      <c r="G32" s="120">
        <f t="shared" si="2"/>
        <v>878.4</v>
      </c>
      <c r="H32" s="96"/>
      <c r="I32" s="119">
        <v>0.122</v>
      </c>
      <c r="J32" s="176">
        <f>F32</f>
        <v>7200</v>
      </c>
      <c r="K32" s="120">
        <f t="shared" si="3"/>
        <v>878.4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f>$E$5*0.18</f>
        <v>7200</v>
      </c>
      <c r="G33" s="120">
        <f t="shared" si="2"/>
        <v>1159.2</v>
      </c>
      <c r="H33" s="96"/>
      <c r="I33" s="119">
        <v>0.161</v>
      </c>
      <c r="J33" s="176">
        <f>F33</f>
        <v>7200</v>
      </c>
      <c r="K33" s="120">
        <f>I33*J33</f>
        <v>1159.2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5445.9822299999996</v>
      </c>
      <c r="H35" s="138"/>
      <c r="I35" s="139"/>
      <c r="J35" s="139"/>
      <c r="K35" s="140">
        <f>SUM(K26:K34)</f>
        <v>5680.4759880000001</v>
      </c>
      <c r="L35" s="141"/>
      <c r="M35" s="142">
        <f>K35-G35</f>
        <v>234.49375800000053</v>
      </c>
      <c r="N35" s="143">
        <f>M35/G35</f>
        <v>4.3058120297979847E-2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707.97768989999997</v>
      </c>
      <c r="H36" s="147"/>
      <c r="I36" s="135">
        <v>0.13</v>
      </c>
      <c r="J36" s="147"/>
      <c r="K36" s="148">
        <f>K35*I36</f>
        <v>738.46187844000008</v>
      </c>
      <c r="L36" s="149"/>
      <c r="M36" s="150">
        <f>K36-G36</f>
        <v>30.484188540000105</v>
      </c>
      <c r="N36" s="151">
        <f>M36/G36</f>
        <v>4.3058120297979896E-2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6153.9599198999995</v>
      </c>
      <c r="H37" s="147"/>
      <c r="I37" s="147"/>
      <c r="J37" s="147"/>
      <c r="K37" s="148">
        <f>SUM(K35:K36)</f>
        <v>6418.9378664400001</v>
      </c>
      <c r="L37" s="149"/>
      <c r="M37" s="150">
        <f>K37-G37</f>
        <v>264.97794654000063</v>
      </c>
      <c r="N37" s="151">
        <f>M37/G37</f>
        <v>4.3058120297979854E-2</v>
      </c>
    </row>
    <row r="38" spans="1:14" ht="14.25" customHeight="1" x14ac:dyDescent="0.2">
      <c r="A38" s="243" t="s">
        <v>51</v>
      </c>
      <c r="B38" s="243"/>
      <c r="C38" s="243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6153.9599198999995</v>
      </c>
      <c r="H39" s="161"/>
      <c r="I39" s="161"/>
      <c r="J39" s="161"/>
      <c r="K39" s="162">
        <f>SUM(K37:K38)</f>
        <v>6418.9378664400001</v>
      </c>
      <c r="L39" s="163"/>
      <c r="M39" s="89">
        <f>K39-G39</f>
        <v>264.97794654000063</v>
      </c>
      <c r="N39" s="90">
        <f>M39/G39</f>
        <v>4.3058120297979854E-2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9" orientation="portrait" r:id="rId1"/>
  <headerFooter alignWithMargins="0"/>
  <ignoredErrors>
    <ignoredError sqref="E15:H15 F17:H17 E16:M16 H19 F33:H33 H27:N30 H26:J26 L24:N26 H22:M22 H21:N21 H20 J20:M20 E14:H14 J14:N14 J15:N15 H24 J24 H25 J25 F31:H31 J31:N31 F32:H32 J32:N32 J33:N33 J17:N17 J19:N19" unlockedFormula="1"/>
    <ignoredError sqref="N16 E18:G18 E23:G23 K18 E26:E30 K23 H38:J38 N22 L38:N38 N20" formula="1"/>
    <ignoredError sqref="E19:G19 F24:G30 K24:K26 E21:G22 F20:G20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workbookViewId="0">
      <selection activeCell="P22" sqref="P22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5" t="s">
        <v>83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3" si="0">K15-G15</f>
        <v>64.903999999999996</v>
      </c>
      <c r="N15" s="63">
        <f t="shared" ref="N15:N33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>-M17/G17</f>
        <v>#DIV/0!</v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77204.332800000033</v>
      </c>
      <c r="G19" s="58">
        <f>E19*F19</f>
        <v>7885.6505521920044</v>
      </c>
      <c r="H19" s="86"/>
      <c r="I19" s="64">
        <f>I31*0.64+I32*0.18+I33*0.18</f>
        <v>0.10214000000000001</v>
      </c>
      <c r="J19" s="175">
        <f>F19</f>
        <v>77204.332800000033</v>
      </c>
      <c r="K19" s="58">
        <f>I19*J19</f>
        <v>7885.6505521920044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13692.790552192004</v>
      </c>
      <c r="H23" s="86"/>
      <c r="I23" s="102"/>
      <c r="J23" s="104"/>
      <c r="K23" s="103">
        <f>SUM(K18:K22)</f>
        <v>13786.434552192004</v>
      </c>
      <c r="L23" s="88"/>
      <c r="M23" s="105">
        <f t="shared" si="0"/>
        <v>93.644000000000233</v>
      </c>
      <c r="N23" s="106">
        <f t="shared" si="1"/>
        <v>6.838927364225934E-3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4.75" customHeight="1" x14ac:dyDescent="0.2">
      <c r="A25" s="244" t="s">
        <v>39</v>
      </c>
      <c r="B25" s="244"/>
      <c r="C25" s="244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13692.790552192004</v>
      </c>
      <c r="H26" s="114"/>
      <c r="I26" s="115"/>
      <c r="J26" s="116"/>
      <c r="K26" s="103">
        <f>SUM(K23:K25)</f>
        <v>13786.434552192004</v>
      </c>
      <c r="L26" s="117"/>
      <c r="M26" s="105">
        <f t="shared" si="0"/>
        <v>93.644000000000233</v>
      </c>
      <c r="N26" s="106">
        <f t="shared" si="1"/>
        <v>6.838927364225934E-3</v>
      </c>
    </row>
    <row r="27" spans="1:14" ht="25.5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1359668.3328</v>
      </c>
      <c r="G27" s="120">
        <f t="shared" ref="G27:G33" si="2">E27*F27</f>
        <v>5982.5406643200004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870187.73299199995</v>
      </c>
      <c r="G31" s="120">
        <f t="shared" si="2"/>
        <v>69615.018639360002</v>
      </c>
      <c r="H31" s="96"/>
      <c r="I31" s="119">
        <v>0.08</v>
      </c>
      <c r="J31" s="176">
        <f>F31</f>
        <v>870187.73299199995</v>
      </c>
      <c r="K31" s="120">
        <f t="shared" si="3"/>
        <v>69615.018639360002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244740.29990399998</v>
      </c>
      <c r="G32" s="120">
        <f t="shared" si="2"/>
        <v>29858.316588287998</v>
      </c>
      <c r="H32" s="96"/>
      <c r="I32" s="119">
        <v>0.122</v>
      </c>
      <c r="J32" s="176">
        <f>F32</f>
        <v>244740.29990399998</v>
      </c>
      <c r="K32" s="120">
        <f t="shared" si="3"/>
        <v>29858.316588287998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244740.29990399998</v>
      </c>
      <c r="G33" s="120">
        <f t="shared" si="2"/>
        <v>39403.188284543998</v>
      </c>
      <c r="H33" s="96"/>
      <c r="I33" s="119">
        <v>0.161</v>
      </c>
      <c r="J33" s="176">
        <f>F33</f>
        <v>244740.29990399998</v>
      </c>
      <c r="K33" s="120">
        <f>I33*J33</f>
        <v>39403.188284543998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169296.921561344</v>
      </c>
      <c r="H35" s="138"/>
      <c r="I35" s="139"/>
      <c r="J35" s="139"/>
      <c r="K35" s="140">
        <f>SUM(K26:K34)</f>
        <v>169390.565561344</v>
      </c>
      <c r="L35" s="141"/>
      <c r="M35" s="142">
        <f>K35-G35</f>
        <v>93.644000000000233</v>
      </c>
      <c r="N35" s="143">
        <f>M35/G35</f>
        <v>5.531346886663189E-4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22008.599802974721</v>
      </c>
      <c r="H36" s="147"/>
      <c r="I36" s="135">
        <v>0.13</v>
      </c>
      <c r="J36" s="147"/>
      <c r="K36" s="148">
        <f>K35*I36</f>
        <v>22020.77352297472</v>
      </c>
      <c r="L36" s="149"/>
      <c r="M36" s="150">
        <f>K36-G36</f>
        <v>12.173719999998866</v>
      </c>
      <c r="N36" s="151">
        <f>M36/G36</f>
        <v>5.5313468866626599E-4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191305.52136431873</v>
      </c>
      <c r="H37" s="147"/>
      <c r="I37" s="147"/>
      <c r="J37" s="147"/>
      <c r="K37" s="148">
        <f>SUM(K35:K36)</f>
        <v>191411.33908431872</v>
      </c>
      <c r="L37" s="149"/>
      <c r="M37" s="150">
        <f>K37-G37</f>
        <v>105.81771999999182</v>
      </c>
      <c r="N37" s="151">
        <f>M37/G37</f>
        <v>5.5313468866627477E-4</v>
      </c>
    </row>
    <row r="38" spans="1:14" ht="28.5" customHeight="1" x14ac:dyDescent="0.2">
      <c r="A38" s="243" t="s">
        <v>51</v>
      </c>
      <c r="B38" s="243"/>
      <c r="C38" s="243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191305.52136431873</v>
      </c>
      <c r="H39" s="161"/>
      <c r="I39" s="161"/>
      <c r="J39" s="161"/>
      <c r="K39" s="162">
        <f>SUM(K37:K38)</f>
        <v>191411.33908431872</v>
      </c>
      <c r="L39" s="163"/>
      <c r="M39" s="89">
        <f>K39-G39</f>
        <v>105.81771999999182</v>
      </c>
      <c r="N39" s="90">
        <f>M39/G39</f>
        <v>5.5313468866627477E-4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disablePrompts="1"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6" orientation="portrait" r:id="rId1"/>
  <headerFooter alignWithMargins="0"/>
  <ignoredErrors>
    <ignoredError sqref="J14:N15 J17:M17 J16:M16 J19:J22 E29:G30 E23:F23 J29:M37 J39:M39 L38:M38 E19:F19 E26:F26 F24 F25 F32:G32 F31:G31 E28 E27" unlockedFormula="1"/>
    <ignoredError sqref="N16 G23:G28 I23:K23 J24:M27 J38 I19 K28:M28" formula="1" unlockedFormula="1"/>
    <ignoredError sqref="L19:N19 L18:N18 L22:M22 L21:M21 L20:M20" evalError="1"/>
    <ignoredError sqref="N21" evalError="1" formula="1"/>
    <ignoredError sqref="N20 N22 G18:I18 G20:I21 G19:H19 K18:K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0"/>
  <sheetViews>
    <sheetView topLeftCell="A7" workbookViewId="0">
      <selection activeCell="I20" sqref="I20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5" t="s">
        <v>84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3" si="0">K15-G15</f>
        <v>1.1999999999999957</v>
      </c>
      <c r="N15" s="63">
        <f t="shared" ref="N15:N33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0.39999999999999997</v>
      </c>
      <c r="N17" s="79">
        <f t="shared" si="1"/>
        <v>-0.66666666666666663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67.569999999999993</v>
      </c>
      <c r="L18" s="88"/>
      <c r="M18" s="89">
        <f t="shared" si="0"/>
        <v>1.7799999999999869</v>
      </c>
      <c r="N18" s="90">
        <f t="shared" si="1"/>
        <v>2.705578355373137E-2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120.40000000000006</v>
      </c>
      <c r="G19" s="58">
        <f>E19*F19</f>
        <v>12.297656000000007</v>
      </c>
      <c r="H19" s="86"/>
      <c r="I19" s="64">
        <f>I31*0.64+I32*0.18+I33*0.18</f>
        <v>0.10214000000000001</v>
      </c>
      <c r="J19" s="175">
        <f>F19</f>
        <v>120.40000000000006</v>
      </c>
      <c r="K19" s="58">
        <f>I19*J19</f>
        <v>12.297656000000007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-8.8999999999999999E-3</v>
      </c>
      <c r="F20" s="175">
        <v>2000</v>
      </c>
      <c r="G20" s="58">
        <f>E20*F20</f>
        <v>-17.8</v>
      </c>
      <c r="H20" s="86"/>
      <c r="I20" s="64">
        <v>-2.3E-3</v>
      </c>
      <c r="J20" s="175">
        <f>F20</f>
        <v>2000</v>
      </c>
      <c r="K20" s="58">
        <f>I20*J20</f>
        <v>-4.5999999999999996</v>
      </c>
      <c r="L20" s="96"/>
      <c r="M20" s="62">
        <f t="shared" si="0"/>
        <v>13.200000000000001</v>
      </c>
      <c r="N20" s="63">
        <f>IFERROR(M20/G20, "")</f>
        <v>-0.7415730337078652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62.287656000000013</v>
      </c>
      <c r="H23" s="86"/>
      <c r="I23" s="102"/>
      <c r="J23" s="104"/>
      <c r="K23" s="103">
        <f>SUM(K18:K22)</f>
        <v>77.267656000000002</v>
      </c>
      <c r="L23" s="88"/>
      <c r="M23" s="105">
        <f t="shared" si="0"/>
        <v>14.97999999999999</v>
      </c>
      <c r="N23" s="106">
        <f t="shared" si="1"/>
        <v>0.24049708982466744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4.7000000000000002E-3</v>
      </c>
      <c r="J24" s="177">
        <f>F24</f>
        <v>2120.4</v>
      </c>
      <c r="K24" s="58">
        <f>I24*J24</f>
        <v>9.9658800000000003</v>
      </c>
      <c r="L24" s="96"/>
      <c r="M24" s="62">
        <f t="shared" si="0"/>
        <v>-3.1806000000000001</v>
      </c>
      <c r="N24" s="63">
        <f t="shared" si="1"/>
        <v>-0.24193548387096775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3.3999999999999998E-3</v>
      </c>
      <c r="J25" s="177">
        <f>F25</f>
        <v>2120.4</v>
      </c>
      <c r="K25" s="58">
        <f>I25*J25</f>
        <v>7.2093600000000002</v>
      </c>
      <c r="L25" s="96"/>
      <c r="M25" s="62">
        <f t="shared" si="0"/>
        <v>0.42408000000000001</v>
      </c>
      <c r="N25" s="63">
        <f t="shared" si="1"/>
        <v>6.25E-2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82.21941600000001</v>
      </c>
      <c r="H26" s="114"/>
      <c r="I26" s="115"/>
      <c r="J26" s="116"/>
      <c r="K26" s="103">
        <f>SUM(K23:K25)</f>
        <v>94.442896000000005</v>
      </c>
      <c r="L26" s="117"/>
      <c r="M26" s="105">
        <f t="shared" si="0"/>
        <v>12.223479999999995</v>
      </c>
      <c r="N26" s="106">
        <f t="shared" si="1"/>
        <v>0.14866901997941695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1280</v>
      </c>
      <c r="G31" s="120">
        <f t="shared" si="2"/>
        <v>102.4</v>
      </c>
      <c r="H31" s="96"/>
      <c r="I31" s="119">
        <v>0.08</v>
      </c>
      <c r="J31" s="176">
        <f>F31</f>
        <v>1280</v>
      </c>
      <c r="K31" s="120">
        <f t="shared" si="3"/>
        <v>102.4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360</v>
      </c>
      <c r="G32" s="120">
        <f t="shared" si="2"/>
        <v>43.92</v>
      </c>
      <c r="H32" s="96"/>
      <c r="I32" s="119">
        <v>0.122</v>
      </c>
      <c r="J32" s="176">
        <f>F32</f>
        <v>360</v>
      </c>
      <c r="K32" s="120">
        <f t="shared" si="3"/>
        <v>43.92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360</v>
      </c>
      <c r="G33" s="120">
        <f t="shared" si="2"/>
        <v>57.96</v>
      </c>
      <c r="H33" s="96"/>
      <c r="I33" s="119">
        <v>0.161</v>
      </c>
      <c r="J33" s="176">
        <f>F33</f>
        <v>360</v>
      </c>
      <c r="K33" s="120">
        <f>I33*J33</f>
        <v>57.96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312.83569599999998</v>
      </c>
      <c r="H35" s="138"/>
      <c r="I35" s="139"/>
      <c r="J35" s="139"/>
      <c r="K35" s="140">
        <f>SUM(K26:K34)</f>
        <v>325.05917599999998</v>
      </c>
      <c r="L35" s="141"/>
      <c r="M35" s="142">
        <f>K35-G35</f>
        <v>12.223479999999995</v>
      </c>
      <c r="N35" s="143">
        <f>M35/G35</f>
        <v>3.907316254600305E-2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40.668640480000001</v>
      </c>
      <c r="H36" s="147"/>
      <c r="I36" s="135">
        <v>0.13</v>
      </c>
      <c r="J36" s="147"/>
      <c r="K36" s="148">
        <f>K35*I36</f>
        <v>42.25769288</v>
      </c>
      <c r="L36" s="149"/>
      <c r="M36" s="150">
        <f>K36-G36</f>
        <v>1.5890523999999999</v>
      </c>
      <c r="N36" s="151">
        <f>M36/G36</f>
        <v>3.9073162546003057E-2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353.50433648000001</v>
      </c>
      <c r="H37" s="147"/>
      <c r="I37" s="147"/>
      <c r="J37" s="147"/>
      <c r="K37" s="148">
        <f>SUM(K35:K36)</f>
        <v>367.31686887999996</v>
      </c>
      <c r="L37" s="149"/>
      <c r="M37" s="150">
        <f>K37-G37</f>
        <v>13.812532399999952</v>
      </c>
      <c r="N37" s="151">
        <f>M37/G37</f>
        <v>3.9073162546002925E-2</v>
      </c>
    </row>
    <row r="38" spans="1:14" ht="14.25" customHeight="1" x14ac:dyDescent="0.2">
      <c r="A38" s="243" t="s">
        <v>51</v>
      </c>
      <c r="B38" s="243"/>
      <c r="C38" s="243"/>
      <c r="D38" s="134"/>
      <c r="E38" s="147"/>
      <c r="F38" s="145"/>
      <c r="G38" s="153">
        <f>-G37*0.1</f>
        <v>-35.350433647999999</v>
      </c>
      <c r="H38" s="147"/>
      <c r="I38" s="147"/>
      <c r="J38" s="147"/>
      <c r="K38" s="154">
        <v>0</v>
      </c>
      <c r="L38" s="149"/>
      <c r="M38" s="155">
        <f>K38-G38</f>
        <v>35.350433647999999</v>
      </c>
      <c r="N38" s="156">
        <f>IFERROR(M38/G38, "")</f>
        <v>-1</v>
      </c>
    </row>
    <row r="39" spans="1:14" ht="15.75" customHeight="1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318.15390283200003</v>
      </c>
      <c r="H39" s="161"/>
      <c r="I39" s="161"/>
      <c r="J39" s="161"/>
      <c r="K39" s="162">
        <f>SUM(K37:K38)</f>
        <v>367.31686887999996</v>
      </c>
      <c r="L39" s="163"/>
      <c r="M39" s="89">
        <f>K39-G39</f>
        <v>49.16296604799993</v>
      </c>
      <c r="N39" s="90">
        <f>M39/G39</f>
        <v>0.1545257361622254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7" orientation="portrait" r:id="rId1"/>
  <headerFooter alignWithMargins="0"/>
  <ignoredErrors>
    <ignoredError sqref="J15:N15 M28:N34 J28:L34 E35:L36 E28:I30 E34:I34 F31:H31 F32:H32 F33:H33" unlockedFormula="1"/>
    <ignoredError sqref="J17:N17 M27:N27 J27:L27 E27:I27 E19:F19 J16:M16 E21:F23 F20 E26:F26 F24 F25" evalError="1" unlockedFormula="1"/>
    <ignoredError sqref="E16:I16 E18:F18 E17:H17" evalError="1"/>
    <ignoredError sqref="G19:I19 J19:L26 M19:N19 J18:N18 M23:N26 M22 M21:N21 M20 G21:I23 G20:H20 G26:I26 G24:H24 G25:H25" evalError="1" formula="1" unlockedFormula="1"/>
    <ignoredError sqref="G18:I18" evalError="1" formula="1"/>
    <ignoredError sqref="N16 N22 H38:J38 N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1"/>
  <sheetViews>
    <sheetView topLeftCell="A22" workbookViewId="0">
      <selection activeCell="T25" sqref="T25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5" t="s">
        <v>85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3" si="0">K15-G15</f>
        <v>1.8409999999999926E-2</v>
      </c>
      <c r="N15" s="63">
        <f t="shared" ref="N15:N33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-3.2300000000000002E-2</v>
      </c>
      <c r="J17" s="77">
        <f>F17</f>
        <v>0.1</v>
      </c>
      <c r="K17" s="75">
        <f>I17*J17</f>
        <v>-3.2300000000000002E-3</v>
      </c>
      <c r="L17" s="76"/>
      <c r="M17" s="78">
        <f t="shared" si="0"/>
        <v>7.2599999999999991E-3</v>
      </c>
      <c r="N17" s="79">
        <f t="shared" si="1"/>
        <v>-0.69208770257387986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4.3091499999999998</v>
      </c>
      <c r="L18" s="88"/>
      <c r="M18" s="89">
        <f t="shared" si="0"/>
        <v>8.5669999999999469E-2</v>
      </c>
      <c r="N18" s="90">
        <f t="shared" si="1"/>
        <v>2.0284220595338315E-2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I31*0.64+I32*0.18+I33*0.18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-2.6591-0.8109</f>
        <v>-3.4699999999999998</v>
      </c>
      <c r="F20" s="175">
        <v>0.1</v>
      </c>
      <c r="G20" s="58">
        <f>E20*F20</f>
        <v>-0.34699999999999998</v>
      </c>
      <c r="H20" s="86"/>
      <c r="I20" s="64">
        <v>-0.81089999999999995</v>
      </c>
      <c r="J20" s="175">
        <f>F20</f>
        <v>0.1</v>
      </c>
      <c r="K20" s="58">
        <f>I20*J20</f>
        <v>-8.1089999999999995E-2</v>
      </c>
      <c r="L20" s="96"/>
      <c r="M20" s="62">
        <f t="shared" si="0"/>
        <v>0.26590999999999998</v>
      </c>
      <c r="N20" s="63">
        <f>IFERROR(M20/G20, "")</f>
        <v>-0.76631123919308353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4.125997808000001</v>
      </c>
      <c r="H23" s="86"/>
      <c r="I23" s="102"/>
      <c r="J23" s="104"/>
      <c r="K23" s="103">
        <f>SUM(K18:K22)</f>
        <v>4.4775778080000004</v>
      </c>
      <c r="L23" s="88"/>
      <c r="M23" s="105">
        <f t="shared" si="0"/>
        <v>0.35157999999999934</v>
      </c>
      <c r="N23" s="106">
        <f t="shared" si="1"/>
        <v>8.5210903243407451E-2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1.4830000000000001</v>
      </c>
      <c r="J24" s="177">
        <f>F24</f>
        <v>0.10602</v>
      </c>
      <c r="K24" s="58">
        <f>I24*J24</f>
        <v>0.15722766000000002</v>
      </c>
      <c r="L24" s="96"/>
      <c r="M24" s="62">
        <f t="shared" si="0"/>
        <v>-4.9585554000000004E-2</v>
      </c>
      <c r="N24" s="63">
        <f t="shared" si="1"/>
        <v>-0.23976008612293023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1.0108999999999999</v>
      </c>
      <c r="J25" s="177">
        <f>F25</f>
        <v>0.10602</v>
      </c>
      <c r="K25" s="58">
        <f>I25*J25</f>
        <v>0.107175618</v>
      </c>
      <c r="L25" s="96"/>
      <c r="M25" s="62">
        <f t="shared" si="0"/>
        <v>4.8239099999999868E-3</v>
      </c>
      <c r="N25" s="63">
        <f t="shared" si="1"/>
        <v>4.7130723016366137E-2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4.4351627300000009</v>
      </c>
      <c r="H26" s="114"/>
      <c r="I26" s="115"/>
      <c r="J26" s="116"/>
      <c r="K26" s="103">
        <f>SUM(K23:K25)</f>
        <v>4.7419810860000009</v>
      </c>
      <c r="L26" s="117"/>
      <c r="M26" s="105">
        <f t="shared" si="0"/>
        <v>0.30681835599999996</v>
      </c>
      <c r="N26" s="106">
        <f t="shared" si="1"/>
        <v>6.9178601706007731E-2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24.419544192</v>
      </c>
      <c r="G31" s="120">
        <f t="shared" si="2"/>
        <v>1.95356353536</v>
      </c>
      <c r="H31" s="96"/>
      <c r="I31" s="119">
        <v>0.08</v>
      </c>
      <c r="J31" s="176">
        <f>F31</f>
        <v>24.419544192</v>
      </c>
      <c r="K31" s="120">
        <f t="shared" si="3"/>
        <v>1.95356353536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6.8679968039999988</v>
      </c>
      <c r="G32" s="120">
        <f t="shared" si="2"/>
        <v>0.83789561008799984</v>
      </c>
      <c r="H32" s="96"/>
      <c r="I32" s="119">
        <v>0.122</v>
      </c>
      <c r="J32" s="176">
        <f>F32</f>
        <v>6.8679968039999988</v>
      </c>
      <c r="K32" s="120">
        <f t="shared" si="3"/>
        <v>0.83789561008799984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6.8679968039999988</v>
      </c>
      <c r="G33" s="120">
        <f t="shared" si="2"/>
        <v>1.1057474854439999</v>
      </c>
      <c r="H33" s="96"/>
      <c r="I33" s="119">
        <v>0.161</v>
      </c>
      <c r="J33" s="176">
        <f>F33</f>
        <v>6.8679968039999988</v>
      </c>
      <c r="K33" s="120">
        <f>I33*J33</f>
        <v>1.1057474854439999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9.0519224008920016</v>
      </c>
      <c r="H35" s="138"/>
      <c r="I35" s="139"/>
      <c r="J35" s="139"/>
      <c r="K35" s="140">
        <f>SUM(K26:K34)</f>
        <v>9.3587407568920007</v>
      </c>
      <c r="L35" s="141"/>
      <c r="M35" s="142">
        <f>K35-G35</f>
        <v>0.30681835599999907</v>
      </c>
      <c r="N35" s="143">
        <f>M35/G35</f>
        <v>3.3895380717113122E-2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1.1767499121159604</v>
      </c>
      <c r="H36" s="147"/>
      <c r="I36" s="135">
        <v>0.13</v>
      </c>
      <c r="J36" s="147"/>
      <c r="K36" s="148">
        <f>K35*I36</f>
        <v>1.2166362983959602</v>
      </c>
      <c r="L36" s="149"/>
      <c r="M36" s="150">
        <f>K36-G36</f>
        <v>3.9886386279999853E-2</v>
      </c>
      <c r="N36" s="151">
        <f>M36/G36</f>
        <v>3.3895380717113094E-2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10.228672313007962</v>
      </c>
      <c r="H37" s="147"/>
      <c r="I37" s="147"/>
      <c r="J37" s="147"/>
      <c r="K37" s="148">
        <f>SUM(K35:K36)</f>
        <v>10.57537705528796</v>
      </c>
      <c r="L37" s="149"/>
      <c r="M37" s="150">
        <f>K37-G37</f>
        <v>0.34670474227999826</v>
      </c>
      <c r="N37" s="151">
        <f>M37/G37</f>
        <v>3.3895380717113052E-2</v>
      </c>
    </row>
    <row r="38" spans="1:14" ht="14.25" x14ac:dyDescent="0.2">
      <c r="A38" s="243" t="s">
        <v>51</v>
      </c>
      <c r="B38" s="243"/>
      <c r="C38" s="243"/>
      <c r="D38" s="134"/>
      <c r="E38" s="147"/>
      <c r="F38" s="145"/>
      <c r="G38" s="153">
        <f>-G37*0.1</f>
        <v>-1.0228672313007963</v>
      </c>
      <c r="H38" s="147"/>
      <c r="I38" s="147"/>
      <c r="J38" s="147"/>
      <c r="K38" s="154">
        <v>0</v>
      </c>
      <c r="L38" s="149"/>
      <c r="M38" s="155">
        <f>K38-G38</f>
        <v>1.0228672313007963</v>
      </c>
      <c r="N38" s="156">
        <f>IFERROR(M38/G38, "")</f>
        <v>-1</v>
      </c>
    </row>
    <row r="39" spans="1:14" ht="15.75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9.2058050817071653</v>
      </c>
      <c r="H39" s="161"/>
      <c r="I39" s="161"/>
      <c r="J39" s="161"/>
      <c r="K39" s="162">
        <f>SUM(K37:K38)</f>
        <v>10.57537705528796</v>
      </c>
      <c r="L39" s="163"/>
      <c r="M39" s="89">
        <f>K39-G39</f>
        <v>1.3695719735807952</v>
      </c>
      <c r="N39" s="90">
        <f>M39/G39</f>
        <v>0.14877264524123682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70" orientation="portrait" r:id="rId1"/>
  <headerFooter alignWithMargins="0"/>
  <ignoredErrors>
    <ignoredError sqref="E15:H15 F33:H33 E14:H14 J14 J15 F32:H32 J32 J33" unlockedFormula="1"/>
    <ignoredError sqref="E16:J16 E27:J30 E18:F19 E21:F23 F20 E26:F26 F24 F25 F31:H31 J31 E17:H17 J17" evalError="1" unlockedFormula="1"/>
    <ignoredError sqref="K17:N17 K27:N31 K16:M16" evalError="1"/>
    <ignoredError sqref="G18:J19 G21:J23 G20:H20 J20 G26:J26 G24:H24 J24 G25:H25 J25" evalError="1" formula="1" unlockedFormula="1"/>
    <ignoredError sqref="K18:N19 K23:N26 K22:M22 K21:N21 K20:M20" evalError="1" formula="1"/>
    <ignoredError sqref="N16 N22 H38:J38 N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0"/>
  <sheetViews>
    <sheetView topLeftCell="A16" workbookViewId="0">
      <selection activeCell="T25" sqref="T2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11.140625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54</v>
      </c>
      <c r="B1" s="25"/>
      <c r="C1" s="245" t="s">
        <v>86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3" si="0">K15-G15</f>
        <v>1.6809999999999881E-2</v>
      </c>
      <c r="N15" s="63">
        <f t="shared" ref="N15:N33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I31*0.64+I32*0.18+I33*0.18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-2.1102-0.7462</f>
        <v>-2.8563999999999998</v>
      </c>
      <c r="F20" s="175">
        <v>0.1</v>
      </c>
      <c r="G20" s="58">
        <f>E20*F20</f>
        <v>-0.28564000000000001</v>
      </c>
      <c r="H20" s="86"/>
      <c r="I20" s="64">
        <v>-0.74619999999999997</v>
      </c>
      <c r="J20" s="175">
        <f>F20</f>
        <v>0.1</v>
      </c>
      <c r="K20" s="58">
        <f>I20*J20</f>
        <v>-7.4620000000000006E-2</v>
      </c>
      <c r="L20" s="96"/>
      <c r="M20" s="62">
        <f t="shared" si="0"/>
        <v>0.21101999999999999</v>
      </c>
      <c r="N20" s="63">
        <f>IFERROR(M20/G20, "")</f>
        <v>-0.73876207814031647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4.0000778080000012</v>
      </c>
      <c r="H23" s="86"/>
      <c r="I23" s="102"/>
      <c r="J23" s="104"/>
      <c r="K23" s="103">
        <f>SUM(K18:K22)</f>
        <v>4.2933978080000008</v>
      </c>
      <c r="L23" s="88"/>
      <c r="M23" s="105">
        <f t="shared" si="0"/>
        <v>0.29331999999999958</v>
      </c>
      <c r="N23" s="106">
        <f t="shared" si="1"/>
        <v>7.3328573612585962E-2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1.4623999999999999</v>
      </c>
      <c r="J24" s="177">
        <f>F24</f>
        <v>0.10602</v>
      </c>
      <c r="K24" s="58">
        <f>I24*J24</f>
        <v>0.15504364800000001</v>
      </c>
      <c r="L24" s="96"/>
      <c r="M24" s="62">
        <f t="shared" si="0"/>
        <v>-4.8885821999999995E-2</v>
      </c>
      <c r="N24" s="63">
        <f t="shared" si="1"/>
        <v>-0.23971926176241223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1.0044</v>
      </c>
      <c r="J25" s="177">
        <f>F25</f>
        <v>0.10602</v>
      </c>
      <c r="K25" s="58">
        <f>I25*J25</f>
        <v>0.106486488</v>
      </c>
      <c r="L25" s="96"/>
      <c r="M25" s="62">
        <f t="shared" si="0"/>
        <v>4.7921039999999915E-3</v>
      </c>
      <c r="N25" s="63">
        <f t="shared" si="1"/>
        <v>4.7122602168473637E-2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4.3057016620000015</v>
      </c>
      <c r="H26" s="114"/>
      <c r="I26" s="115"/>
      <c r="J26" s="116"/>
      <c r="K26" s="103">
        <f>SUM(K23:K25)</f>
        <v>4.554927944000001</v>
      </c>
      <c r="L26" s="117"/>
      <c r="M26" s="105">
        <f t="shared" si="0"/>
        <v>0.24922628199999952</v>
      </c>
      <c r="N26" s="106">
        <f t="shared" si="1"/>
        <v>5.7882849664097194E-2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24.419544192</v>
      </c>
      <c r="G31" s="120">
        <f t="shared" si="2"/>
        <v>1.95356353536</v>
      </c>
      <c r="H31" s="96"/>
      <c r="I31" s="119">
        <v>0.08</v>
      </c>
      <c r="J31" s="176">
        <f>F31</f>
        <v>24.419544192</v>
      </c>
      <c r="K31" s="120">
        <f t="shared" si="3"/>
        <v>1.95356353536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6.8679968039999988</v>
      </c>
      <c r="G32" s="120">
        <f t="shared" si="2"/>
        <v>0.83789561008799984</v>
      </c>
      <c r="H32" s="96"/>
      <c r="I32" s="119">
        <v>0.122</v>
      </c>
      <c r="J32" s="176">
        <f>F32</f>
        <v>6.8679968039999988</v>
      </c>
      <c r="K32" s="120">
        <f t="shared" si="3"/>
        <v>0.83789561008799984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6.8679968039999988</v>
      </c>
      <c r="G33" s="120">
        <f t="shared" si="2"/>
        <v>1.1057474854439999</v>
      </c>
      <c r="H33" s="96"/>
      <c r="I33" s="119">
        <v>0.161</v>
      </c>
      <c r="J33" s="176">
        <f>F33</f>
        <v>6.8679968039999988</v>
      </c>
      <c r="K33" s="120">
        <f>I33*J33</f>
        <v>1.1057474854439999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8.9224613328920022</v>
      </c>
      <c r="H35" s="138"/>
      <c r="I35" s="139"/>
      <c r="J35" s="139"/>
      <c r="K35" s="140">
        <f>SUM(K26:K34)</f>
        <v>9.1716876148920008</v>
      </c>
      <c r="L35" s="141"/>
      <c r="M35" s="142">
        <f>K35-G35</f>
        <v>0.24922628199999863</v>
      </c>
      <c r="N35" s="143">
        <f>M35/G35</f>
        <v>2.7932458623411923E-2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1.1599199732759604</v>
      </c>
      <c r="H36" s="147"/>
      <c r="I36" s="135">
        <v>0.13</v>
      </c>
      <c r="J36" s="147"/>
      <c r="K36" s="148">
        <f>K35*I36</f>
        <v>1.1923193899359601</v>
      </c>
      <c r="L36" s="149"/>
      <c r="M36" s="150">
        <f>K36-G36</f>
        <v>3.239941665999968E-2</v>
      </c>
      <c r="N36" s="151">
        <f>M36/G36</f>
        <v>2.7932458623411795E-2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10.082381306167962</v>
      </c>
      <c r="H37" s="147"/>
      <c r="I37" s="147"/>
      <c r="J37" s="147"/>
      <c r="K37" s="148">
        <f>SUM(K35:K36)</f>
        <v>10.364007004827961</v>
      </c>
      <c r="L37" s="149"/>
      <c r="M37" s="150">
        <f>K37-G37</f>
        <v>0.2816256986599992</v>
      </c>
      <c r="N37" s="151">
        <f>M37/G37</f>
        <v>2.7932458623411996E-2</v>
      </c>
    </row>
    <row r="38" spans="1:14" ht="14.25" x14ac:dyDescent="0.2">
      <c r="A38" s="243" t="s">
        <v>51</v>
      </c>
      <c r="B38" s="243"/>
      <c r="C38" s="243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10.082381306167962</v>
      </c>
      <c r="H39" s="161"/>
      <c r="I39" s="161"/>
      <c r="J39" s="161"/>
      <c r="K39" s="162">
        <f>SUM(K37:K38)</f>
        <v>10.364007004827961</v>
      </c>
      <c r="L39" s="163"/>
      <c r="M39" s="89">
        <f>K39-G39</f>
        <v>0.2816256986599992</v>
      </c>
      <c r="N39" s="90">
        <f>M39/G39</f>
        <v>2.7932458623411996E-2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4" orientation="portrait" r:id="rId1"/>
  <headerFooter alignWithMargins="0"/>
  <ignoredErrors>
    <ignoredError sqref="J15:N15 J17:M17 J16:M16 E27:N30 E19:F19 E39:N39 E37:F38 E21:F23 F20 E26:F26 F24 F25 E34:N36 F31:H31 F32:H32 F33:H33 J31:N31 J32:N32 J33:N33" unlockedFormula="1"/>
    <ignoredError sqref="N16 G19:N19 G37:N37 G23:N23 G22:M22 H38:J38 L38:M38 G21:N21 G20:H20 J20:M20 G26:N26 G24:H24 J24:N24 G25:H25 J25:N25" formula="1" unlockedFormula="1"/>
    <ignoredError sqref="G18:N18 N22 N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5"/>
  <sheetViews>
    <sheetView topLeftCell="A7" workbookViewId="0">
      <selection activeCell="I22" sqref="I22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3" max="13" width="9.85546875" bestFit="1" customWidth="1"/>
    <col min="14" max="14" width="12.5703125" bestFit="1" customWidth="1"/>
  </cols>
  <sheetData>
    <row r="1" spans="1:14" ht="15.75" x14ac:dyDescent="0.2">
      <c r="A1" s="24"/>
      <c r="B1" s="25"/>
      <c r="C1" s="245" t="s">
        <v>60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ResidentialRPP!F15</f>
        <v>800</v>
      </c>
      <c r="G15" s="58">
        <f>E15*F15</f>
        <v>12.16</v>
      </c>
      <c r="H15" s="59"/>
      <c r="I15" s="64">
        <f>ResidentialRPP!I15</f>
        <v>1.1599999999999999E-2</v>
      </c>
      <c r="J15" s="66">
        <v>800</v>
      </c>
      <c r="K15" s="58">
        <f t="shared" si="0"/>
        <v>9.2799999999999994</v>
      </c>
      <c r="L15" s="59"/>
      <c r="M15" s="62">
        <f t="shared" ref="M15:M35" si="1">K15-G15</f>
        <v>-2.8800000000000008</v>
      </c>
      <c r="N15" s="63">
        <f t="shared" ref="N15:N34" si="2">M15/G15</f>
        <v>-0.23684210526315796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57">
        <f>ResidentialRPP!F19</f>
        <v>800</v>
      </c>
      <c r="G16" s="58">
        <f>E16*F16</f>
        <v>0</v>
      </c>
      <c r="H16" s="59"/>
      <c r="I16" s="68">
        <f>ResidentialRPP!I16</f>
        <v>-7.0000000000000007E-2</v>
      </c>
      <c r="J16" s="60">
        <v>1</v>
      </c>
      <c r="K16" s="61">
        <f t="shared" si="0"/>
        <v>-7.0000000000000007E-2</v>
      </c>
      <c r="L16" s="59"/>
      <c r="M16" s="62">
        <f t="shared" si="1"/>
        <v>-7.0000000000000007E-2</v>
      </c>
      <c r="N16" s="63" t="e">
        <f t="shared" si="2"/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v>800</v>
      </c>
      <c r="G19" s="75">
        <f>E19*F19</f>
        <v>-0.16</v>
      </c>
      <c r="H19" s="76"/>
      <c r="I19" s="73">
        <v>2.9999999999999997E-4</v>
      </c>
      <c r="J19" s="77">
        <v>800</v>
      </c>
      <c r="K19" s="75">
        <f t="shared" si="0"/>
        <v>0.24</v>
      </c>
      <c r="L19" s="76"/>
      <c r="M19" s="78">
        <f t="shared" si="1"/>
        <v>0.4</v>
      </c>
      <c r="N19" s="79">
        <f>-M19/G19</f>
        <v>2.5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26.029999999999998</v>
      </c>
      <c r="L20" s="88"/>
      <c r="M20" s="89">
        <f t="shared" si="1"/>
        <v>-4.0000000000006253E-2</v>
      </c>
      <c r="N20" s="90">
        <f t="shared" si="2"/>
        <v>-1.5343306482549384E-3</v>
      </c>
    </row>
    <row r="21" spans="1:14" ht="14.25" x14ac:dyDescent="0.2">
      <c r="A21" s="91" t="s">
        <v>33</v>
      </c>
      <c r="B21" s="92"/>
      <c r="C21" s="93"/>
      <c r="D21" s="94"/>
      <c r="E21" s="64">
        <v>8.3900000000000002E-2</v>
      </c>
      <c r="F21" s="95">
        <v>48</v>
      </c>
      <c r="G21" s="58">
        <f>E21*F21</f>
        <v>4.0272000000000006</v>
      </c>
      <c r="H21" s="86"/>
      <c r="I21" s="64">
        <v>8.3900000000000002E-2</v>
      </c>
      <c r="J21" s="95">
        <v>48</v>
      </c>
      <c r="K21" s="58">
        <f t="shared" ref="K21:K24" si="3">I21*J21</f>
        <v>4.0272000000000006</v>
      </c>
      <c r="L21" s="96"/>
      <c r="M21" s="62">
        <f t="shared" si="1"/>
        <v>0</v>
      </c>
      <c r="N21" s="63">
        <f t="shared" si="2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-7.6E-3</v>
      </c>
      <c r="F22" s="95">
        <v>800</v>
      </c>
      <c r="G22" s="58">
        <f>E22*F22</f>
        <v>-6.08</v>
      </c>
      <c r="H22" s="86"/>
      <c r="I22" s="97">
        <f>-0.0023+0.0066</f>
        <v>4.3E-3</v>
      </c>
      <c r="J22" s="95">
        <v>800</v>
      </c>
      <c r="K22" s="58">
        <f t="shared" si="3"/>
        <v>3.44</v>
      </c>
      <c r="L22" s="96"/>
      <c r="M22" s="62">
        <f>K22-G22</f>
        <v>9.52</v>
      </c>
      <c r="N22" s="63">
        <f>IFERROR(-M22/G22, "")</f>
        <v>1.5657894736842104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3"/>
        <v>0.8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25.607200000000002</v>
      </c>
      <c r="H25" s="86"/>
      <c r="I25" s="102"/>
      <c r="J25" s="104"/>
      <c r="K25" s="103">
        <f>SUM(K20:K24)</f>
        <v>35.087199999999996</v>
      </c>
      <c r="L25" s="88"/>
      <c r="M25" s="105">
        <f t="shared" si="1"/>
        <v>9.4799999999999933</v>
      </c>
      <c r="N25" s="106">
        <f t="shared" si="2"/>
        <v>0.37020837889343594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</v>
      </c>
      <c r="G26" s="58">
        <f>E26*F26</f>
        <v>6.0208000000000004</v>
      </c>
      <c r="H26" s="86"/>
      <c r="I26" s="64">
        <v>5.4000000000000003E-3</v>
      </c>
      <c r="J26" s="111">
        <f>E5*E3</f>
        <v>848.16000000000008</v>
      </c>
      <c r="K26" s="58">
        <f>I26*J26</f>
        <v>4.580064000000001</v>
      </c>
      <c r="L26" s="96"/>
      <c r="M26" s="62">
        <f t="shared" si="1"/>
        <v>-1.4407359999999994</v>
      </c>
      <c r="N26" s="63">
        <f t="shared" si="2"/>
        <v>-0.23929311719372828</v>
      </c>
    </row>
    <row r="27" spans="1:14" ht="29.25" customHeight="1" x14ac:dyDescent="0.2">
      <c r="A27" s="244" t="s">
        <v>39</v>
      </c>
      <c r="B27" s="244"/>
      <c r="C27" s="244"/>
      <c r="D27" s="109"/>
      <c r="E27" s="64">
        <v>3.3999999999999998E-3</v>
      </c>
      <c r="F27" s="110">
        <f>ResidentialRPP!F26</f>
        <v>848.16000000000008</v>
      </c>
      <c r="G27" s="58">
        <f>E27*F27</f>
        <v>2.8837440000000001</v>
      </c>
      <c r="H27" s="86"/>
      <c r="I27" s="64">
        <v>3.5999999999999999E-3</v>
      </c>
      <c r="J27" s="111">
        <f>ResidentialRPP!J26</f>
        <v>848.16000000000008</v>
      </c>
      <c r="K27" s="58">
        <f>I27*J27</f>
        <v>3.0533760000000001</v>
      </c>
      <c r="L27" s="96"/>
      <c r="M27" s="62">
        <f t="shared" si="1"/>
        <v>0.16963200000000001</v>
      </c>
      <c r="N27" s="63">
        <f t="shared" si="2"/>
        <v>5.8823529411764705E-2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34.511744000000007</v>
      </c>
      <c r="H28" s="114"/>
      <c r="I28" s="115"/>
      <c r="J28" s="116"/>
      <c r="K28" s="103">
        <f>SUM(K25:K27)</f>
        <v>42.720639999999996</v>
      </c>
      <c r="L28" s="117"/>
      <c r="M28" s="105">
        <f t="shared" si="1"/>
        <v>8.2088959999999886</v>
      </c>
      <c r="N28" s="106">
        <f t="shared" si="2"/>
        <v>0.23785804623492765</v>
      </c>
    </row>
    <row r="29" spans="1:14" ht="25.5" x14ac:dyDescent="0.2">
      <c r="A29" s="118" t="s">
        <v>41</v>
      </c>
      <c r="B29" s="92"/>
      <c r="C29" s="93"/>
      <c r="D29" s="94"/>
      <c r="E29" s="119">
        <f>+ResidentialRPP!E29</f>
        <v>4.4000000000000003E-3</v>
      </c>
      <c r="F29" s="110">
        <v>848</v>
      </c>
      <c r="G29" s="120">
        <f t="shared" ref="G29:G35" si="4">E29*F29</f>
        <v>3.7312000000000003</v>
      </c>
      <c r="H29" s="96"/>
      <c r="I29" s="119">
        <f>+E29</f>
        <v>4.4000000000000003E-3</v>
      </c>
      <c r="J29" s="111">
        <v>848</v>
      </c>
      <c r="K29" s="120">
        <f t="shared" ref="K29:K34" si="5">I29*J29</f>
        <v>3.7312000000000003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118" t="s">
        <v>42</v>
      </c>
      <c r="B30" s="92"/>
      <c r="C30" s="93"/>
      <c r="D30" s="94"/>
      <c r="E30" s="119">
        <f>+ResidentialRPP!E30</f>
        <v>1.2999999999999999E-3</v>
      </c>
      <c r="F30" s="110">
        <f>ResidentialRPP!F29</f>
        <v>848.16000000000008</v>
      </c>
      <c r="G30" s="120">
        <f t="shared" si="4"/>
        <v>1.102608</v>
      </c>
      <c r="H30" s="96"/>
      <c r="I30" s="119">
        <f>+E30</f>
        <v>1.2999999999999999E-3</v>
      </c>
      <c r="J30" s="111">
        <f>ResidentialRPP!J29</f>
        <v>848.16000000000008</v>
      </c>
      <c r="K30" s="120">
        <f t="shared" si="5"/>
        <v>1.102608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v>800</v>
      </c>
      <c r="G32" s="120">
        <f t="shared" si="4"/>
        <v>5.6000000000000005</v>
      </c>
      <c r="H32" s="96"/>
      <c r="I32" s="119">
        <v>0</v>
      </c>
      <c r="J32" s="111">
        <v>800</v>
      </c>
      <c r="K32" s="120">
        <f t="shared" si="5"/>
        <v>0</v>
      </c>
      <c r="L32" s="96"/>
      <c r="M32" s="62">
        <f t="shared" si="1"/>
        <v>-5.6000000000000005</v>
      </c>
      <c r="N32" s="121">
        <f t="shared" si="2"/>
        <v>-1</v>
      </c>
    </row>
    <row r="33" spans="1:14" ht="14.25" x14ac:dyDescent="0.2">
      <c r="A33" s="205" t="s">
        <v>66</v>
      </c>
      <c r="B33" s="92"/>
      <c r="C33" s="93"/>
      <c r="D33" s="94"/>
      <c r="E33" s="122">
        <v>9.5399999999999999E-2</v>
      </c>
      <c r="F33" s="110">
        <v>800</v>
      </c>
      <c r="G33" s="120">
        <f t="shared" si="4"/>
        <v>76.319999999999993</v>
      </c>
      <c r="H33" s="96"/>
      <c r="I33" s="119">
        <f>E33</f>
        <v>9.5399999999999999E-2</v>
      </c>
      <c r="J33" s="110">
        <f>F33</f>
        <v>800</v>
      </c>
      <c r="K33" s="120">
        <f>I33*J33</f>
        <v>76.319999999999993</v>
      </c>
      <c r="L33" s="96"/>
      <c r="M33" s="62">
        <f t="shared" si="1"/>
        <v>0</v>
      </c>
      <c r="N33" s="121">
        <f t="shared" si="2"/>
        <v>0</v>
      </c>
    </row>
    <row r="34" spans="1:14" ht="14.25" x14ac:dyDescent="0.2">
      <c r="A34" s="98" t="s">
        <v>57</v>
      </c>
      <c r="B34" s="92"/>
      <c r="C34" s="93"/>
      <c r="D34" s="94"/>
      <c r="E34" s="122">
        <v>5.6370000000000003E-2</v>
      </c>
      <c r="F34" s="110">
        <v>800</v>
      </c>
      <c r="G34" s="120">
        <f t="shared" si="4"/>
        <v>45.096000000000004</v>
      </c>
      <c r="H34" s="96"/>
      <c r="I34" s="119">
        <f>E34</f>
        <v>5.6370000000000003E-2</v>
      </c>
      <c r="J34" s="110">
        <f>F34</f>
        <v>800</v>
      </c>
      <c r="K34" s="120">
        <f t="shared" si="5"/>
        <v>45.096000000000004</v>
      </c>
      <c r="L34" s="96"/>
      <c r="M34" s="62">
        <f t="shared" si="1"/>
        <v>0</v>
      </c>
      <c r="N34" s="121">
        <f t="shared" si="2"/>
        <v>0</v>
      </c>
    </row>
    <row r="35" spans="1:14" ht="15" thickBot="1" x14ac:dyDescent="0.25">
      <c r="A35" s="45"/>
      <c r="B35" s="92"/>
      <c r="C35" s="93"/>
      <c r="D35" s="94"/>
      <c r="E35" s="122"/>
      <c r="F35" s="110"/>
      <c r="G35" s="120">
        <f t="shared" si="4"/>
        <v>0</v>
      </c>
      <c r="H35" s="96"/>
      <c r="I35" s="119"/>
      <c r="J35" s="110"/>
      <c r="K35" s="120">
        <f>I35*J35</f>
        <v>0</v>
      </c>
      <c r="L35" s="96"/>
      <c r="M35" s="62">
        <f t="shared" si="1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166.61155200000002</v>
      </c>
      <c r="H37" s="138"/>
      <c r="I37" s="139"/>
      <c r="J37" s="139"/>
      <c r="K37" s="140">
        <f>SUM(K28:K36)</f>
        <v>169.22044799999998</v>
      </c>
      <c r="L37" s="141"/>
      <c r="M37" s="142">
        <f>K37-G37</f>
        <v>2.6088959999999588</v>
      </c>
      <c r="N37" s="143">
        <f>M37/G37</f>
        <v>1.5658554095936628E-2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21.659501760000001</v>
      </c>
      <c r="H38" s="147"/>
      <c r="I38" s="135">
        <v>0.13</v>
      </c>
      <c r="J38" s="147"/>
      <c r="K38" s="148">
        <f>K37*I38</f>
        <v>21.998658239999997</v>
      </c>
      <c r="L38" s="149"/>
      <c r="M38" s="150">
        <f>K38-G38</f>
        <v>0.33915647999999621</v>
      </c>
      <c r="N38" s="151">
        <f>M38/G38</f>
        <v>1.5658554095936701E-2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188.27105376000003</v>
      </c>
      <c r="H39" s="147"/>
      <c r="I39" s="147"/>
      <c r="J39" s="147"/>
      <c r="K39" s="148">
        <f>SUM(K37:K38)</f>
        <v>191.21910623999997</v>
      </c>
      <c r="L39" s="149"/>
      <c r="M39" s="150">
        <f>K39-G39</f>
        <v>2.9480524799999444</v>
      </c>
      <c r="N39" s="151">
        <f>M39/G39</f>
        <v>1.565855409593658E-2</v>
      </c>
    </row>
    <row r="40" spans="1:14" ht="14.25" customHeight="1" x14ac:dyDescent="0.2">
      <c r="A40" s="243" t="s">
        <v>51</v>
      </c>
      <c r="B40" s="243"/>
      <c r="C40" s="243"/>
      <c r="D40" s="134"/>
      <c r="E40" s="147"/>
      <c r="F40" s="145"/>
      <c r="G40" s="153">
        <f>G39*-0.1</f>
        <v>-18.827105376000002</v>
      </c>
      <c r="H40" s="147"/>
      <c r="I40" s="147"/>
      <c r="J40" s="147"/>
      <c r="K40" s="154"/>
      <c r="L40" s="149"/>
      <c r="M40" s="155">
        <f>K40-G40</f>
        <v>18.827105376000002</v>
      </c>
      <c r="N40" s="156">
        <f>M40/G40</f>
        <v>-1</v>
      </c>
    </row>
    <row r="41" spans="1:14" ht="15.75" customHeight="1" thickBot="1" x14ac:dyDescent="0.25">
      <c r="A41" s="248" t="s">
        <v>52</v>
      </c>
      <c r="B41" s="248"/>
      <c r="C41" s="248"/>
      <c r="D41" s="157"/>
      <c r="E41" s="158"/>
      <c r="F41" s="159"/>
      <c r="G41" s="160">
        <f>SUM(G39:G40)</f>
        <v>169.44394838400004</v>
      </c>
      <c r="H41" s="161"/>
      <c r="I41" s="161"/>
      <c r="J41" s="161"/>
      <c r="K41" s="162">
        <f>SUM(K39:K40)</f>
        <v>191.21910623999997</v>
      </c>
      <c r="L41" s="163"/>
      <c r="M41" s="89">
        <f>K41-G41</f>
        <v>21.775157855999936</v>
      </c>
      <c r="N41" s="90">
        <f>M41/G41</f>
        <v>0.12850950455104057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11">
    <mergeCell ref="C1:K1"/>
    <mergeCell ref="E9:J9"/>
    <mergeCell ref="E11:G11"/>
    <mergeCell ref="I11:K11"/>
    <mergeCell ref="A41:C41"/>
    <mergeCell ref="M11:N11"/>
    <mergeCell ref="C12:C13"/>
    <mergeCell ref="M12:M13"/>
    <mergeCell ref="N12:N13"/>
    <mergeCell ref="A40:C40"/>
    <mergeCell ref="A27:C27"/>
  </mergeCells>
  <phoneticPr fontId="0" type="noConversion"/>
  <dataValidations disablePrompts="1" count="3">
    <dataValidation type="list" allowBlank="1" showInputMessage="1" showErrorMessage="1" sqref="D26:D27 D42 D29:D36 D14:D19 D22:D24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6 C29:C35 C14:C19 C22:C24"/>
  </dataValidations>
  <pageMargins left="0.75" right="0.75" top="1" bottom="1" header="0.5" footer="0.5"/>
  <pageSetup scale="65" orientation="portrait" r:id="rId1"/>
  <headerFooter alignWithMargins="0"/>
  <ignoredErrors>
    <ignoredError sqref="E14:N14 F19:H19 H18 E36:N38 E20:F21 E34:M35 K19:M19 E15:I15 K15:N15 E16:H16 K16:M16 E41:N41 E40:F40 M40:N40 E39:F39 M39:N39 E23:F25 F22 J17:M18 H17 E28:F28 F26 F27 E32:F32 F30 F33" unlockedFormula="1"/>
    <ignoredError sqref="N34" evalError="1" unlockedFormula="1"/>
    <ignoredError sqref="G20:N21 G33:M33 G23:N25 G22:H22 L40 H40:J40 G39:L39 J22:M22 G28:N28 G26:H26 J26:N26 G27:H27 J27:N27 G29:H29 K29:M29 G30:H30 J30:M30 G31:H31 K31:M31 G32:H32 J32:M32" formula="1" unlockedFormula="1"/>
    <ignoredError sqref="N30:N33" evalError="1" formula="1" unlockedFormula="1"/>
    <ignoredError sqref="N29 G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workbookViewId="0">
      <selection activeCell="I22" sqref="I22"/>
    </sheetView>
  </sheetViews>
  <sheetFormatPr defaultRowHeight="12.75" x14ac:dyDescent="0.2"/>
  <cols>
    <col min="1" max="1" width="23" customWidth="1"/>
    <col min="5" max="5" width="14.140625" customWidth="1"/>
    <col min="7" max="7" width="9.85546875" bestFit="1" customWidth="1"/>
    <col min="9" max="9" width="14.140625" customWidth="1"/>
    <col min="11" max="11" width="9.85546875" bestFit="1" customWidth="1"/>
    <col min="14" max="14" width="10" bestFit="1" customWidth="1"/>
  </cols>
  <sheetData>
    <row r="1" spans="1:14" ht="38.25" customHeight="1" x14ac:dyDescent="0.2">
      <c r="A1" s="24"/>
      <c r="B1" s="25"/>
      <c r="C1" s="203" t="s">
        <v>69</v>
      </c>
      <c r="D1" s="203"/>
      <c r="E1" s="203"/>
      <c r="F1" s="203"/>
      <c r="G1" s="203"/>
      <c r="H1" s="203"/>
      <c r="I1" s="203"/>
      <c r="J1" s="203"/>
      <c r="K1" s="203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ht="17.25" customHeight="1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7.25" customHeight="1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+E5</f>
        <v>364</v>
      </c>
      <c r="G15" s="58">
        <f>E15*F15</f>
        <v>5.5327999999999999</v>
      </c>
      <c r="H15" s="59"/>
      <c r="I15" s="64">
        <f>ResidentialRPP!I15</f>
        <v>1.1599999999999999E-2</v>
      </c>
      <c r="J15" s="66">
        <f>+F15</f>
        <v>364</v>
      </c>
      <c r="K15" s="58">
        <f t="shared" si="0"/>
        <v>4.2223999999999995</v>
      </c>
      <c r="L15" s="59"/>
      <c r="M15" s="62">
        <f t="shared" ref="M15:M35" si="1">K15-G15</f>
        <v>-1.3104000000000005</v>
      </c>
      <c r="N15" s="63">
        <f t="shared" ref="N15:N34" si="2">M15/G15</f>
        <v>-0.23684210526315799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65"/>
      <c r="G16" s="58">
        <f>E16*F16</f>
        <v>0</v>
      </c>
      <c r="H16" s="59"/>
      <c r="I16" s="68">
        <f>ResidentialRPP!I16</f>
        <v>-7.0000000000000007E-2</v>
      </c>
      <c r="J16" s="60">
        <v>1</v>
      </c>
      <c r="K16" s="61">
        <f t="shared" si="0"/>
        <v>-7.0000000000000007E-2</v>
      </c>
      <c r="L16" s="59"/>
      <c r="M16" s="62">
        <f t="shared" si="1"/>
        <v>-7.0000000000000007E-2</v>
      </c>
      <c r="N16" s="63" t="e">
        <f t="shared" si="2"/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f>+F15</f>
        <v>364</v>
      </c>
      <c r="G19" s="75">
        <f>E19*F19</f>
        <v>-7.2800000000000004E-2</v>
      </c>
      <c r="H19" s="76"/>
      <c r="I19" s="73">
        <v>2.9999999999999997E-4</v>
      </c>
      <c r="J19" s="77">
        <f>+F19</f>
        <v>364</v>
      </c>
      <c r="K19" s="75">
        <f t="shared" si="0"/>
        <v>0.10919999999999999</v>
      </c>
      <c r="L19" s="76"/>
      <c r="M19" s="78">
        <f t="shared" si="1"/>
        <v>0.182</v>
      </c>
      <c r="N19" s="79">
        <f>-M19/G19</f>
        <v>2.5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20.8416</v>
      </c>
      <c r="L20" s="88"/>
      <c r="M20" s="89">
        <f t="shared" si="1"/>
        <v>1.3115999999999985</v>
      </c>
      <c r="N20" s="90">
        <f t="shared" si="2"/>
        <v>6.7158218125959984E-2</v>
      </c>
    </row>
    <row r="21" spans="1:14" ht="14.25" x14ac:dyDescent="0.2">
      <c r="A21" s="208" t="s">
        <v>33</v>
      </c>
      <c r="B21" s="92"/>
      <c r="C21" s="93"/>
      <c r="D21" s="94"/>
      <c r="E21" s="64">
        <v>8.3900000000000002E-2</v>
      </c>
      <c r="F21" s="95">
        <f>+E5*0.0602</f>
        <v>21.912799999999997</v>
      </c>
      <c r="G21" s="58">
        <f>E21*F21</f>
        <v>1.8384839199999998</v>
      </c>
      <c r="H21" s="86"/>
      <c r="I21" s="64">
        <v>8.3900000000000002E-2</v>
      </c>
      <c r="J21" s="77">
        <f>+F21</f>
        <v>21.912799999999997</v>
      </c>
      <c r="K21" s="58">
        <f t="shared" ref="K21:K24" si="3">I21*J21</f>
        <v>1.8384839199999998</v>
      </c>
      <c r="L21" s="96"/>
      <c r="M21" s="62">
        <f t="shared" si="1"/>
        <v>0</v>
      </c>
      <c r="N21" s="63">
        <f t="shared" si="2"/>
        <v>0</v>
      </c>
    </row>
    <row r="22" spans="1:14" ht="14.25" x14ac:dyDescent="0.2">
      <c r="A22" s="208" t="s">
        <v>34</v>
      </c>
      <c r="B22" s="92"/>
      <c r="C22" s="93"/>
      <c r="D22" s="94"/>
      <c r="E22" s="97">
        <v>-7.6E-3</v>
      </c>
      <c r="F22" s="95">
        <f>+F19</f>
        <v>364</v>
      </c>
      <c r="G22" s="58">
        <f>E22*F22</f>
        <v>-2.7664</v>
      </c>
      <c r="H22" s="86"/>
      <c r="I22" s="97">
        <f>-0.0023+0.0066</f>
        <v>4.3E-3</v>
      </c>
      <c r="J22" s="77">
        <f>+F22</f>
        <v>364</v>
      </c>
      <c r="K22" s="58">
        <f t="shared" si="3"/>
        <v>1.5651999999999999</v>
      </c>
      <c r="L22" s="96"/>
      <c r="M22" s="62">
        <f>K22-G22</f>
        <v>4.3315999999999999</v>
      </c>
      <c r="N22" s="63">
        <f>IFERROR(-M22/G22, "")</f>
        <v>1.5657894736842104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f>+F22</f>
        <v>364</v>
      </c>
      <c r="G23" s="58">
        <f>E23*F23</f>
        <v>0.36399999999999999</v>
      </c>
      <c r="H23" s="86"/>
      <c r="I23" s="64">
        <v>1E-3</v>
      </c>
      <c r="J23" s="77">
        <f>+F23</f>
        <v>364</v>
      </c>
      <c r="K23" s="58">
        <f t="shared" si="3"/>
        <v>0.36399999999999999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19.756083920000002</v>
      </c>
      <c r="H25" s="86"/>
      <c r="I25" s="102"/>
      <c r="J25" s="104"/>
      <c r="K25" s="103">
        <f>SUM(K20:K24)</f>
        <v>25.399283920000002</v>
      </c>
      <c r="L25" s="88"/>
      <c r="M25" s="105">
        <f t="shared" si="1"/>
        <v>5.6432000000000002</v>
      </c>
      <c r="N25" s="106">
        <f t="shared" si="2"/>
        <v>0.28564365401825037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+F23+F21</f>
        <v>385.9128</v>
      </c>
      <c r="G26" s="58">
        <f>E26*F26</f>
        <v>2.7399808800000001</v>
      </c>
      <c r="H26" s="86"/>
      <c r="I26" s="64">
        <v>5.4000000000000003E-3</v>
      </c>
      <c r="J26" s="77">
        <f>+F26</f>
        <v>385.9128</v>
      </c>
      <c r="K26" s="58">
        <f>I26*J26</f>
        <v>2.0839291200000001</v>
      </c>
      <c r="L26" s="96"/>
      <c r="M26" s="62">
        <f t="shared" si="1"/>
        <v>-0.65605175999999998</v>
      </c>
      <c r="N26" s="63">
        <f t="shared" si="2"/>
        <v>-0.23943661971830985</v>
      </c>
    </row>
    <row r="27" spans="1:14" ht="33.75" customHeight="1" x14ac:dyDescent="0.2">
      <c r="A27" s="244" t="s">
        <v>39</v>
      </c>
      <c r="B27" s="244"/>
      <c r="C27" s="244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v>3.5999999999999999E-3</v>
      </c>
      <c r="J27" s="77">
        <f>+F27</f>
        <v>385.9128</v>
      </c>
      <c r="K27" s="58">
        <f>I27*J27</f>
        <v>1.38928608</v>
      </c>
      <c r="L27" s="96"/>
      <c r="M27" s="62">
        <f t="shared" si="1"/>
        <v>7.7182560000000011E-2</v>
      </c>
      <c r="N27" s="63">
        <f t="shared" si="2"/>
        <v>5.8823529411764719E-2</v>
      </c>
    </row>
    <row r="28" spans="1:14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23.808168320000004</v>
      </c>
      <c r="H28" s="114"/>
      <c r="I28" s="115"/>
      <c r="J28" s="116"/>
      <c r="K28" s="103">
        <f>SUM(K25:K27)</f>
        <v>28.872499120000004</v>
      </c>
      <c r="L28" s="117"/>
      <c r="M28" s="105">
        <f t="shared" si="1"/>
        <v>5.0643308000000005</v>
      </c>
      <c r="N28" s="106">
        <f t="shared" si="2"/>
        <v>0.21271400352734063</v>
      </c>
    </row>
    <row r="29" spans="1:14" ht="14.25" x14ac:dyDescent="0.2">
      <c r="A29" s="92" t="s">
        <v>41</v>
      </c>
      <c r="B29" s="92"/>
      <c r="C29" s="93"/>
      <c r="D29" s="94"/>
      <c r="E29" s="119">
        <f>+ResidentialRPP!E29</f>
        <v>4.4000000000000003E-3</v>
      </c>
      <c r="F29" s="110">
        <f>+F27</f>
        <v>385.9128</v>
      </c>
      <c r="G29" s="120">
        <f t="shared" ref="G29:G35" si="4">E29*F29</f>
        <v>1.69801632</v>
      </c>
      <c r="H29" s="96"/>
      <c r="I29" s="119">
        <f>+E29</f>
        <v>4.4000000000000003E-3</v>
      </c>
      <c r="J29" s="77">
        <f>+F29</f>
        <v>385.9128</v>
      </c>
      <c r="K29" s="120">
        <f t="shared" ref="K29:K34" si="5">I29*J29</f>
        <v>1.69801632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92" t="s">
        <v>42</v>
      </c>
      <c r="B30" s="92"/>
      <c r="C30" s="93"/>
      <c r="D30" s="94"/>
      <c r="E30" s="119">
        <f>+ResidentialRPP!E30</f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f>+E30</f>
        <v>1.2999999999999999E-3</v>
      </c>
      <c r="J30" s="77">
        <f>+F30</f>
        <v>385.9128</v>
      </c>
      <c r="K30" s="120">
        <f t="shared" si="5"/>
        <v>0.50168663999999996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f>+E5</f>
        <v>364</v>
      </c>
      <c r="G32" s="120">
        <f t="shared" si="4"/>
        <v>2.548</v>
      </c>
      <c r="H32" s="96"/>
      <c r="I32" s="119">
        <v>0</v>
      </c>
      <c r="J32" s="77">
        <f>+F32</f>
        <v>364</v>
      </c>
      <c r="K32" s="120">
        <f t="shared" si="5"/>
        <v>0</v>
      </c>
      <c r="L32" s="96"/>
      <c r="M32" s="62">
        <f t="shared" si="1"/>
        <v>-2.548</v>
      </c>
      <c r="N32" s="121">
        <f t="shared" si="2"/>
        <v>-1</v>
      </c>
    </row>
    <row r="33" spans="1:14" ht="14.25" x14ac:dyDescent="0.2">
      <c r="A33" s="205" t="s">
        <v>66</v>
      </c>
      <c r="B33" s="92"/>
      <c r="C33" s="93"/>
      <c r="D33" s="94"/>
      <c r="E33" s="122">
        <v>9.5399999999999999E-2</v>
      </c>
      <c r="F33" s="110">
        <f>+F32</f>
        <v>364</v>
      </c>
      <c r="G33" s="120">
        <f t="shared" si="4"/>
        <v>34.7256</v>
      </c>
      <c r="H33" s="96"/>
      <c r="I33" s="119">
        <f>E33</f>
        <v>9.5399999999999999E-2</v>
      </c>
      <c r="J33" s="110">
        <f>F33</f>
        <v>364</v>
      </c>
      <c r="K33" s="120">
        <f>I33*J33</f>
        <v>34.7256</v>
      </c>
      <c r="L33" s="96"/>
      <c r="M33" s="62">
        <f t="shared" si="1"/>
        <v>0</v>
      </c>
      <c r="N33" s="121">
        <f t="shared" si="2"/>
        <v>0</v>
      </c>
    </row>
    <row r="34" spans="1:14" ht="14.25" x14ac:dyDescent="0.2">
      <c r="A34" s="98" t="s">
        <v>57</v>
      </c>
      <c r="B34" s="92"/>
      <c r="C34" s="93"/>
      <c r="D34" s="94"/>
      <c r="E34" s="122">
        <v>5.6370000000000003E-2</v>
      </c>
      <c r="F34" s="110">
        <f>+F33</f>
        <v>364</v>
      </c>
      <c r="G34" s="120">
        <f t="shared" si="4"/>
        <v>20.51868</v>
      </c>
      <c r="H34" s="96"/>
      <c r="I34" s="119">
        <f>E34</f>
        <v>5.6370000000000003E-2</v>
      </c>
      <c r="J34" s="110">
        <f>F34</f>
        <v>364</v>
      </c>
      <c r="K34" s="120">
        <f t="shared" si="5"/>
        <v>20.51868</v>
      </c>
      <c r="L34" s="96"/>
      <c r="M34" s="62">
        <f t="shared" si="1"/>
        <v>0</v>
      </c>
      <c r="N34" s="121">
        <f t="shared" si="2"/>
        <v>0</v>
      </c>
    </row>
    <row r="35" spans="1:14" ht="15" thickBot="1" x14ac:dyDescent="0.25">
      <c r="A35" s="45"/>
      <c r="B35" s="92"/>
      <c r="C35" s="93"/>
      <c r="D35" s="94"/>
      <c r="E35" s="122"/>
      <c r="F35" s="110"/>
      <c r="G35" s="120">
        <f t="shared" si="4"/>
        <v>0</v>
      </c>
      <c r="H35" s="96"/>
      <c r="I35" s="119"/>
      <c r="J35" s="110"/>
      <c r="K35" s="120">
        <f>I35*J35</f>
        <v>0</v>
      </c>
      <c r="L35" s="96"/>
      <c r="M35" s="62">
        <f t="shared" si="1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84.050151280000009</v>
      </c>
      <c r="H37" s="138"/>
      <c r="I37" s="139"/>
      <c r="J37" s="139"/>
      <c r="K37" s="140">
        <f>SUM(K28:K36)</f>
        <v>86.56648208</v>
      </c>
      <c r="L37" s="141"/>
      <c r="M37" s="142">
        <f>K37-G37</f>
        <v>2.5163307999999915</v>
      </c>
      <c r="N37" s="143">
        <f>M37/G37</f>
        <v>2.9938444627151554E-2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10.926519666400001</v>
      </c>
      <c r="H38" s="147"/>
      <c r="I38" s="135">
        <v>0.13</v>
      </c>
      <c r="J38" s="147"/>
      <c r="K38" s="148">
        <f>K37*I38</f>
        <v>11.2536426704</v>
      </c>
      <c r="L38" s="149"/>
      <c r="M38" s="150">
        <f>K38-G38</f>
        <v>0.32712300399999883</v>
      </c>
      <c r="N38" s="151">
        <f>M38/G38</f>
        <v>2.9938444627151548E-2</v>
      </c>
    </row>
    <row r="39" spans="1:14" ht="14.25" x14ac:dyDescent="0.2">
      <c r="A39" s="207" t="s">
        <v>50</v>
      </c>
      <c r="B39" s="92"/>
      <c r="C39" s="92"/>
      <c r="D39" s="134"/>
      <c r="E39" s="147"/>
      <c r="F39" s="145"/>
      <c r="G39" s="146">
        <f>SUM(G37:G38)</f>
        <v>94.976670946400006</v>
      </c>
      <c r="H39" s="147"/>
      <c r="I39" s="147"/>
      <c r="J39" s="147"/>
      <c r="K39" s="148">
        <f>SUM(K37:K38)</f>
        <v>97.820124750399998</v>
      </c>
      <c r="L39" s="149"/>
      <c r="M39" s="150">
        <f>K39-G39</f>
        <v>2.8434538039999921</v>
      </c>
      <c r="N39" s="151">
        <f>M39/G39</f>
        <v>2.9938444627151572E-2</v>
      </c>
    </row>
    <row r="40" spans="1:14" ht="14.25" customHeight="1" x14ac:dyDescent="0.2">
      <c r="A40" s="243" t="s">
        <v>51</v>
      </c>
      <c r="B40" s="243"/>
      <c r="C40" s="243"/>
      <c r="D40" s="134"/>
      <c r="E40" s="147"/>
      <c r="F40" s="145"/>
      <c r="G40" s="153">
        <f>G39*-0.1</f>
        <v>-9.4976670946400006</v>
      </c>
      <c r="H40" s="147"/>
      <c r="I40" s="147"/>
      <c r="J40" s="147"/>
      <c r="K40" s="154"/>
      <c r="L40" s="149"/>
      <c r="M40" s="155">
        <f>K40-G40</f>
        <v>9.4976670946400006</v>
      </c>
      <c r="N40" s="156">
        <f>M40/G40</f>
        <v>-1</v>
      </c>
    </row>
    <row r="41" spans="1:14" ht="15.75" customHeight="1" thickBot="1" x14ac:dyDescent="0.25">
      <c r="A41" s="248" t="s">
        <v>52</v>
      </c>
      <c r="B41" s="248"/>
      <c r="C41" s="248"/>
      <c r="D41" s="157"/>
      <c r="E41" s="158"/>
      <c r="F41" s="159"/>
      <c r="G41" s="160">
        <f>SUM(G39:G40)</f>
        <v>85.479003851760012</v>
      </c>
      <c r="H41" s="161"/>
      <c r="I41" s="161"/>
      <c r="J41" s="161"/>
      <c r="K41" s="162">
        <f>SUM(K39:K40)</f>
        <v>97.820124750399998</v>
      </c>
      <c r="L41" s="163"/>
      <c r="M41" s="89">
        <f>K41-G41</f>
        <v>12.341120898639986</v>
      </c>
      <c r="N41" s="90">
        <f>M41/G41</f>
        <v>0.14437604958572386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</sheetData>
  <mergeCells count="10">
    <mergeCell ref="M11:N11"/>
    <mergeCell ref="C12:C13"/>
    <mergeCell ref="M12:M13"/>
    <mergeCell ref="N12:N13"/>
    <mergeCell ref="A27:C27"/>
    <mergeCell ref="A40:C40"/>
    <mergeCell ref="A41:C41"/>
    <mergeCell ref="E9:J9"/>
    <mergeCell ref="E11:G11"/>
    <mergeCell ref="I11:K11"/>
  </mergeCells>
  <dataValidations count="3">
    <dataValidation showDropDown="1" showInputMessage="1" showErrorMessage="1" prompt="Select Charge Unit - monthly, per kWh, per kW" sqref="C26 C29:C35 C14:C19 C22:C24"/>
    <dataValidation type="list" allowBlank="1" showInputMessage="1" showErrorMessage="1" prompt="Select Charge Unit - monthly, per kWh, per kW" sqref="C36 C42">
      <formula1>"Monthly, per kWh, per kW"</formula1>
    </dataValidation>
    <dataValidation type="list" allowBlank="1" showInputMessage="1" showErrorMessage="1" sqref="D26:D27 D42 D29:D36 D14:D19 D22:D2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5"/>
  <sheetViews>
    <sheetView topLeftCell="A4" workbookViewId="0">
      <selection activeCell="I21" sqref="I21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11" bestFit="1" customWidth="1"/>
    <col min="6" max="6" width="8" bestFit="1" customWidth="1"/>
    <col min="7" max="7" width="9.85546875" bestFit="1" customWidth="1"/>
    <col min="8" max="8" width="4.7109375" customWidth="1"/>
    <col min="9" max="9" width="11" bestFit="1" customWidth="1"/>
    <col min="10" max="10" width="8" bestFit="1" customWidth="1"/>
    <col min="11" max="11" width="11.570312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4"/>
      <c r="B1" s="25"/>
      <c r="C1" s="245" t="s">
        <v>61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f>+'GS &lt;50RPP'!I14</f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f>+'GS &lt;50RPP'!I15</f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4" si="0">K15-G15</f>
        <v>0.39999999999999858</v>
      </c>
      <c r="N15" s="63">
        <f t="shared" ref="N15:N33" si="1">M15/G15</f>
        <v>1.7241379310344768E-2</v>
      </c>
    </row>
    <row r="16" spans="1:14" ht="14.25" x14ac:dyDescent="0.2">
      <c r="A16" s="53" t="s">
        <v>58</v>
      </c>
      <c r="B16" s="53"/>
      <c r="C16" s="54"/>
      <c r="D16" s="55"/>
      <c r="E16" s="68">
        <v>14.91</v>
      </c>
      <c r="F16" s="65">
        <v>1</v>
      </c>
      <c r="G16" s="58">
        <f>+F16*E16</f>
        <v>14.91</v>
      </c>
      <c r="H16" s="59"/>
      <c r="I16" s="68">
        <v>0</v>
      </c>
      <c r="J16" s="66">
        <v>1</v>
      </c>
      <c r="K16" s="58">
        <f>I16*J16</f>
        <v>0</v>
      </c>
      <c r="L16" s="59"/>
      <c r="M16" s="62">
        <f t="shared" ref="M16:M17" si="2">K16-G16</f>
        <v>-14.91</v>
      </c>
      <c r="N16" s="63">
        <f>IFERROR(M16/G16, "")</f>
        <v>-1</v>
      </c>
    </row>
    <row r="17" spans="1:14" ht="14.25" x14ac:dyDescent="0.2">
      <c r="A17" s="67" t="s">
        <v>59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si="2"/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v>1.5E-3</v>
      </c>
      <c r="J18" s="77">
        <f>F18</f>
        <v>2000</v>
      </c>
      <c r="K18" s="75">
        <f>I18*J18</f>
        <v>3</v>
      </c>
      <c r="L18" s="76"/>
      <c r="M18" s="78">
        <f t="shared" si="0"/>
        <v>3.2</v>
      </c>
      <c r="N18" s="79">
        <f t="shared" si="1"/>
        <v>-16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61.129999999999995</v>
      </c>
      <c r="L19" s="88"/>
      <c r="M19" s="89">
        <f t="shared" si="0"/>
        <v>-14.429999999999993</v>
      </c>
      <c r="N19" s="90">
        <f t="shared" si="1"/>
        <v>-0.19097406034939116</v>
      </c>
    </row>
    <row r="20" spans="1:14" ht="14.25" x14ac:dyDescent="0.2">
      <c r="A20" s="91" t="s">
        <v>33</v>
      </c>
      <c r="B20" s="92"/>
      <c r="C20" s="93"/>
      <c r="D20" s="94"/>
      <c r="E20" s="64">
        <f>E32*0.64+E33*0.18+E34*0.18</f>
        <v>7.1202600000000005E-2</v>
      </c>
      <c r="F20" s="175">
        <f>E5*(E3-1)</f>
        <v>120.40000000000006</v>
      </c>
      <c r="G20" s="58">
        <f>E20*F20</f>
        <v>8.5727930400000059</v>
      </c>
      <c r="H20" s="86"/>
      <c r="I20" s="64">
        <f>I32*0.64+I33*0.18+I34*0.18</f>
        <v>7.1202600000000005E-2</v>
      </c>
      <c r="J20" s="175">
        <f>F20</f>
        <v>120.40000000000006</v>
      </c>
      <c r="K20" s="58">
        <f t="shared" ref="K20:K23" si="3">I20*J20</f>
        <v>8.5727930400000059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-7.7999999999999996E-3</v>
      </c>
      <c r="F21" s="175">
        <v>2000</v>
      </c>
      <c r="G21" s="58">
        <f>E21*F21</f>
        <v>-15.6</v>
      </c>
      <c r="H21" s="86"/>
      <c r="I21" s="64">
        <f>-0.0023+0.0066+0</f>
        <v>4.3E-3</v>
      </c>
      <c r="J21" s="175">
        <f>F21</f>
        <v>2000</v>
      </c>
      <c r="K21" s="58">
        <f t="shared" si="3"/>
        <v>8.6</v>
      </c>
      <c r="L21" s="96"/>
      <c r="M21" s="62">
        <f t="shared" si="0"/>
        <v>24.2</v>
      </c>
      <c r="N21" s="63">
        <f>IFERROR(-M21/G21, "")</f>
        <v>1.5512820512820513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71.322793040000008</v>
      </c>
      <c r="H24" s="86"/>
      <c r="I24" s="102"/>
      <c r="J24" s="104"/>
      <c r="K24" s="103">
        <f>SUM(K19:K23)</f>
        <v>81.092793040000004</v>
      </c>
      <c r="L24" s="88"/>
      <c r="M24" s="105">
        <f t="shared" si="0"/>
        <v>9.769999999999996</v>
      </c>
      <c r="N24" s="106">
        <f t="shared" si="1"/>
        <v>0.13698285756308901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4.7000000000000002E-3</v>
      </c>
      <c r="J25" s="177">
        <f>F25</f>
        <v>2120.4</v>
      </c>
      <c r="K25" s="58">
        <f>I25*J25</f>
        <v>9.9658800000000003</v>
      </c>
      <c r="L25" s="96"/>
      <c r="M25" s="62">
        <f t="shared" si="0"/>
        <v>-3.1806000000000001</v>
      </c>
      <c r="N25" s="63">
        <f t="shared" si="1"/>
        <v>-0.24193548387096775</v>
      </c>
    </row>
    <row r="26" spans="1:14" ht="25.5" customHeight="1" x14ac:dyDescent="0.2">
      <c r="A26" s="244" t="s">
        <v>39</v>
      </c>
      <c r="B26" s="244"/>
      <c r="C26" s="244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3.3999999999999998E-3</v>
      </c>
      <c r="J26" s="177">
        <f>F26</f>
        <v>2120.4</v>
      </c>
      <c r="K26" s="58">
        <f>I26*J26</f>
        <v>7.2093600000000002</v>
      </c>
      <c r="L26" s="96"/>
      <c r="M26" s="62">
        <f t="shared" si="0"/>
        <v>0.42408000000000001</v>
      </c>
      <c r="N26" s="63">
        <f t="shared" si="1"/>
        <v>6.25E-2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91.254553040000005</v>
      </c>
      <c r="H27" s="114"/>
      <c r="I27" s="115"/>
      <c r="J27" s="116"/>
      <c r="K27" s="103">
        <f>SUM(K24:K26)</f>
        <v>98.268033040000006</v>
      </c>
      <c r="L27" s="117"/>
      <c r="M27" s="105">
        <f t="shared" si="0"/>
        <v>7.0134800000000013</v>
      </c>
      <c r="N27" s="106">
        <f t="shared" si="1"/>
        <v>7.6856219951302068E-2</v>
      </c>
    </row>
    <row r="28" spans="1:14" ht="25.5" x14ac:dyDescent="0.2">
      <c r="A28" s="118" t="s">
        <v>41</v>
      </c>
      <c r="B28" s="92"/>
      <c r="C28" s="93"/>
      <c r="D28" s="94"/>
      <c r="E28" s="119">
        <v>4.4000000000000003E-3</v>
      </c>
      <c r="F28" s="176">
        <f>E5*E3</f>
        <v>2120.4</v>
      </c>
      <c r="G28" s="120">
        <f t="shared" ref="G28:G34" si="4">E28*F28</f>
        <v>9.3297600000000003</v>
      </c>
      <c r="H28" s="96"/>
      <c r="I28" s="119">
        <v>4.4000000000000003E-3</v>
      </c>
      <c r="J28" s="177">
        <f>E5*E3</f>
        <v>2120.4</v>
      </c>
      <c r="K28" s="120">
        <f t="shared" ref="K28:K33" si="5">I28*J28</f>
        <v>9.3297600000000003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205" t="s">
        <v>67</v>
      </c>
      <c r="B32" s="92"/>
      <c r="C32" s="93"/>
      <c r="D32" s="94"/>
      <c r="E32" s="122">
        <v>9.5399999999999999E-2</v>
      </c>
      <c r="F32" s="176">
        <v>2000</v>
      </c>
      <c r="G32" s="120">
        <f t="shared" si="4"/>
        <v>190.8</v>
      </c>
      <c r="H32" s="96"/>
      <c r="I32" s="119">
        <f>E32</f>
        <v>9.5399999999999999E-2</v>
      </c>
      <c r="J32" s="176">
        <f>F32</f>
        <v>2000</v>
      </c>
      <c r="K32" s="120">
        <f t="shared" si="5"/>
        <v>190.8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57</v>
      </c>
      <c r="B33" s="92"/>
      <c r="C33" s="93"/>
      <c r="D33" s="94"/>
      <c r="E33" s="122">
        <v>5.6370000000000003E-2</v>
      </c>
      <c r="F33" s="176">
        <v>2000</v>
      </c>
      <c r="G33" s="120">
        <f t="shared" si="4"/>
        <v>112.74000000000001</v>
      </c>
      <c r="H33" s="96"/>
      <c r="I33" s="119">
        <f>E33</f>
        <v>5.6370000000000003E-2</v>
      </c>
      <c r="J33" s="176">
        <f>F33</f>
        <v>2000</v>
      </c>
      <c r="K33" s="120">
        <f t="shared" si="5"/>
        <v>112.74000000000001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4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SUM(G27:G35)</f>
        <v>421.13083304000003</v>
      </c>
      <c r="H36" s="138"/>
      <c r="I36" s="139"/>
      <c r="J36" s="139"/>
      <c r="K36" s="140">
        <f>SUM(K27:K35)</f>
        <v>428.14431304000004</v>
      </c>
      <c r="L36" s="141"/>
      <c r="M36" s="142">
        <f>K36-G36</f>
        <v>7.0134800000000155</v>
      </c>
      <c r="N36" s="143">
        <f>M36/G36</f>
        <v>1.6653921892567428E-2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54.747008295200004</v>
      </c>
      <c r="H37" s="147"/>
      <c r="I37" s="135">
        <v>0.13</v>
      </c>
      <c r="J37" s="147"/>
      <c r="K37" s="148">
        <f>K36*I37</f>
        <v>55.658760695200009</v>
      </c>
      <c r="L37" s="149"/>
      <c r="M37" s="150">
        <f>K37-G37</f>
        <v>0.91175240000000457</v>
      </c>
      <c r="N37" s="151">
        <f>M37/G37</f>
        <v>1.6653921892567477E-2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475.87784133520006</v>
      </c>
      <c r="H38" s="147"/>
      <c r="I38" s="147"/>
      <c r="J38" s="147"/>
      <c r="K38" s="148">
        <f>SUM(K36:K37)</f>
        <v>483.80307373520003</v>
      </c>
      <c r="L38" s="149"/>
      <c r="M38" s="150">
        <f>K38-G38</f>
        <v>7.9252323999999703</v>
      </c>
      <c r="N38" s="151">
        <f>M38/G38</f>
        <v>1.6653921892567331E-2</v>
      </c>
    </row>
    <row r="39" spans="1:14" ht="14.25" customHeight="1" x14ac:dyDescent="0.2">
      <c r="A39" s="243" t="s">
        <v>51</v>
      </c>
      <c r="B39" s="243"/>
      <c r="C39" s="243"/>
      <c r="D39" s="134"/>
      <c r="E39" s="147"/>
      <c r="F39" s="145"/>
      <c r="G39" s="153">
        <f>G38*-0.1</f>
        <v>-47.58778413352001</v>
      </c>
      <c r="H39" s="147"/>
      <c r="I39" s="147"/>
      <c r="J39" s="147"/>
      <c r="K39" s="154"/>
      <c r="L39" s="149"/>
      <c r="M39" s="155">
        <f>K39-G39</f>
        <v>47.58778413352001</v>
      </c>
      <c r="N39" s="156">
        <f>M39/G39</f>
        <v>-1</v>
      </c>
    </row>
    <row r="40" spans="1:14" ht="15.75" customHeight="1" thickBot="1" x14ac:dyDescent="0.25">
      <c r="A40" s="248" t="s">
        <v>52</v>
      </c>
      <c r="B40" s="248"/>
      <c r="C40" s="248"/>
      <c r="D40" s="157"/>
      <c r="E40" s="158"/>
      <c r="F40" s="159"/>
      <c r="G40" s="160">
        <f>SUM(G38:G39)</f>
        <v>428.29005720168004</v>
      </c>
      <c r="H40" s="161"/>
      <c r="I40" s="161"/>
      <c r="J40" s="161"/>
      <c r="K40" s="162">
        <f>SUM(K38:K39)</f>
        <v>483.80307373520003</v>
      </c>
      <c r="L40" s="163"/>
      <c r="M40" s="89">
        <f>K40-G40</f>
        <v>55.513016533519988</v>
      </c>
      <c r="N40" s="90">
        <f>M40/G40</f>
        <v>0.12961546876951929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171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</row>
  </sheetData>
  <mergeCells count="11">
    <mergeCell ref="C1:K1"/>
    <mergeCell ref="E9:J9"/>
    <mergeCell ref="E11:G11"/>
    <mergeCell ref="I11:K11"/>
    <mergeCell ref="A40:C40"/>
    <mergeCell ref="M11:N11"/>
    <mergeCell ref="C12:C13"/>
    <mergeCell ref="M12:M13"/>
    <mergeCell ref="N12:N13"/>
    <mergeCell ref="A39:C39"/>
    <mergeCell ref="A26:C26"/>
  </mergeCells>
  <phoneticPr fontId="0" type="noConversion"/>
  <dataValidations disablePrompts="1" count="3">
    <dataValidation type="list" allowBlank="1" showInputMessage="1" showErrorMessage="1" sqref="D25:D26 D41 D28:D35 D14:D18 D21:D23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25 C28:C34 C14:C18 C21:C23"/>
  </dataValidations>
  <pageMargins left="0.75" right="0.75" top="1" bottom="1" header="0.5" footer="0.5"/>
  <pageSetup scale="64" orientation="portrait" r:id="rId1"/>
  <headerFooter alignWithMargins="0"/>
  <ignoredErrors>
    <ignoredError sqref="J15:K18 E20:O20 E22:O23 F21:H21 O21 J25:K26 L28:N28 L29:N33 L34:M34 J21:M21" unlockedFormula="1"/>
    <ignoredError sqref="G19:N19 G24:K24 E29:E31 E27:I27 E28 G40:K40 E33:E34 G39:J39" formula="1"/>
    <ignoredError sqref="J27:K27 F28:I28 F29:K30 J28:K28 F32:K34 F31:H31 J31:K31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0"/>
  <sheetViews>
    <sheetView topLeftCell="A10" workbookViewId="0">
      <selection activeCell="R39" sqref="R39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5" t="s">
        <v>68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3" si="0">K15-G15</f>
        <v>4.1500000000000057</v>
      </c>
      <c r="N15" s="63">
        <f t="shared" ref="N15:N32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-0.0483+0.298</f>
        <v>0.24969999999999998</v>
      </c>
      <c r="J17" s="77">
        <f>F17</f>
        <v>100</v>
      </c>
      <c r="K17" s="75">
        <f>I17*J17</f>
        <v>24.97</v>
      </c>
      <c r="L17" s="76"/>
      <c r="M17" s="78">
        <f t="shared" si="0"/>
        <v>28.169999999999998</v>
      </c>
      <c r="N17" s="79">
        <f>-M17/G17</f>
        <v>8.8031249999999996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470.87</v>
      </c>
      <c r="L18" s="88"/>
      <c r="M18" s="89">
        <f t="shared" si="0"/>
        <v>36.69</v>
      </c>
      <c r="N18" s="90">
        <f t="shared" si="1"/>
        <v>8.4504122714081711E-2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2.93466E-2</v>
      </c>
      <c r="F19" s="175">
        <f>E5*(E3-1)</f>
        <v>2408.0000000000014</v>
      </c>
      <c r="G19" s="58">
        <f>E19*F19</f>
        <v>70.666612800000038</v>
      </c>
      <c r="H19" s="86"/>
      <c r="I19" s="64">
        <f>I31*0.64+I32*0.18+I33*0.18</f>
        <v>2.93466E-2</v>
      </c>
      <c r="J19" s="175">
        <f>F19</f>
        <v>2408.0000000000014</v>
      </c>
      <c r="K19" s="58">
        <f>I19*J19</f>
        <v>70.666612800000038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-3.0356999999999998</v>
      </c>
      <c r="F20" s="175">
        <f>E8</f>
        <v>100</v>
      </c>
      <c r="G20" s="58">
        <f>E20*F20</f>
        <v>-303.57</v>
      </c>
      <c r="H20" s="86"/>
      <c r="I20" s="64">
        <f>-0.8646+2.5358</f>
        <v>1.6712</v>
      </c>
      <c r="J20" s="175">
        <f>F20</f>
        <v>100</v>
      </c>
      <c r="K20" s="58">
        <f>I20*J20</f>
        <v>167.12</v>
      </c>
      <c r="L20" s="96"/>
      <c r="M20" s="62">
        <f t="shared" si="0"/>
        <v>470.69</v>
      </c>
      <c r="N20" s="63">
        <f>IFERROR(-M20/G20, "")</f>
        <v>1.550515531837797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>
        <v>0</v>
      </c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236.33661280000007</v>
      </c>
      <c r="H23" s="86"/>
      <c r="I23" s="102"/>
      <c r="J23" s="104"/>
      <c r="K23" s="103">
        <f>SUM(K18:K22)</f>
        <v>743.71661280000012</v>
      </c>
      <c r="L23" s="88"/>
      <c r="M23" s="105">
        <f t="shared" si="0"/>
        <v>507.38000000000005</v>
      </c>
      <c r="N23" s="106">
        <f t="shared" si="1"/>
        <v>2.1468531430183884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f>+'GS 50-2999RPP'!I24</f>
        <v>2.3730000000000002</v>
      </c>
      <c r="J24" s="177">
        <f>F24</f>
        <v>106.02000000000001</v>
      </c>
      <c r="K24" s="58">
        <f>I24*J24</f>
        <v>251.58546000000004</v>
      </c>
      <c r="L24" s="96"/>
      <c r="M24" s="62">
        <f t="shared" si="0"/>
        <v>-79.33476600000003</v>
      </c>
      <c r="N24" s="63">
        <f t="shared" si="1"/>
        <v>-0.23973985198474998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f>+'GS 50-2999RPP'!I25</f>
        <v>1.4703999999999999</v>
      </c>
      <c r="J25" s="177">
        <f>F25</f>
        <v>106.02000000000001</v>
      </c>
      <c r="K25" s="58">
        <f>I25*J25</f>
        <v>155.891808</v>
      </c>
      <c r="L25" s="96"/>
      <c r="M25" s="62">
        <f t="shared" si="0"/>
        <v>7.0185239999999851</v>
      </c>
      <c r="N25" s="63">
        <f t="shared" si="1"/>
        <v>4.7144281441390011E-2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716.13012280000021</v>
      </c>
      <c r="H26" s="114"/>
      <c r="I26" s="115"/>
      <c r="J26" s="116"/>
      <c r="K26" s="103">
        <f>SUM(K23:K25)</f>
        <v>1151.1938808000002</v>
      </c>
      <c r="L26" s="117"/>
      <c r="M26" s="105">
        <f t="shared" si="0"/>
        <v>435.06375800000001</v>
      </c>
      <c r="N26" s="106">
        <f t="shared" si="1"/>
        <v>0.60752053872408318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42408</v>
      </c>
      <c r="G27" s="120">
        <f t="shared" ref="G27:G33" si="2">E27*F27</f>
        <v>186.59520000000001</v>
      </c>
      <c r="H27" s="96"/>
      <c r="I27" s="119">
        <v>4.4000000000000003E-3</v>
      </c>
      <c r="J27" s="177">
        <f>E5*E3</f>
        <v>42408</v>
      </c>
      <c r="K27" s="120">
        <f t="shared" ref="K27:K32" si="3">I27*J27</f>
        <v>186.59520000000001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56</v>
      </c>
      <c r="B31" s="92"/>
      <c r="C31" s="93"/>
      <c r="D31" s="94"/>
      <c r="E31" s="122">
        <v>0.03</v>
      </c>
      <c r="F31" s="176">
        <f>E5</f>
        <v>40000</v>
      </c>
      <c r="G31" s="120">
        <f t="shared" si="2"/>
        <v>1200</v>
      </c>
      <c r="H31" s="96"/>
      <c r="I31" s="119">
        <f>E31</f>
        <v>0.03</v>
      </c>
      <c r="J31" s="176">
        <f>F31</f>
        <v>40000</v>
      </c>
      <c r="K31" s="120">
        <f t="shared" si="3"/>
        <v>1200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40000</v>
      </c>
      <c r="G32" s="120">
        <f t="shared" si="2"/>
        <v>2254.8000000000002</v>
      </c>
      <c r="H32" s="96"/>
      <c r="I32" s="119">
        <f>E32</f>
        <v>5.6370000000000003E-2</v>
      </c>
      <c r="J32" s="176">
        <f>F32</f>
        <v>40000</v>
      </c>
      <c r="K32" s="120">
        <f t="shared" si="3"/>
        <v>2254.8000000000002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4692.9057228000001</v>
      </c>
      <c r="H35" s="138"/>
      <c r="I35" s="139"/>
      <c r="J35" s="139"/>
      <c r="K35" s="140">
        <f>SUM(K26:K34)</f>
        <v>5127.9694808000004</v>
      </c>
      <c r="L35" s="141"/>
      <c r="M35" s="142">
        <f>K35-G35</f>
        <v>435.06375800000023</v>
      </c>
      <c r="N35" s="143">
        <f>M35/G35</f>
        <v>9.2706690417045393E-2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610.07774396400009</v>
      </c>
      <c r="H36" s="147"/>
      <c r="I36" s="135">
        <v>0.13</v>
      </c>
      <c r="J36" s="147"/>
      <c r="K36" s="148">
        <f>K35*I36</f>
        <v>666.63603250400013</v>
      </c>
      <c r="L36" s="149"/>
      <c r="M36" s="150">
        <f>K36-G36</f>
        <v>56.558288540000035</v>
      </c>
      <c r="N36" s="151">
        <f>M36/G36</f>
        <v>9.2706690417045379E-2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5302.9834667640007</v>
      </c>
      <c r="H37" s="147"/>
      <c r="I37" s="147"/>
      <c r="J37" s="147"/>
      <c r="K37" s="148">
        <f>SUM(K35:K36)</f>
        <v>5794.6055133040009</v>
      </c>
      <c r="L37" s="149"/>
      <c r="M37" s="150">
        <f>K37-G37</f>
        <v>491.62204654000016</v>
      </c>
      <c r="N37" s="151">
        <f>M37/G37</f>
        <v>9.2706690417045365E-2</v>
      </c>
    </row>
    <row r="38" spans="1:14" ht="14.25" customHeight="1" x14ac:dyDescent="0.2">
      <c r="A38" s="243" t="s">
        <v>51</v>
      </c>
      <c r="B38" s="243"/>
      <c r="C38" s="243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5302.9834667640007</v>
      </c>
      <c r="H39" s="161"/>
      <c r="I39" s="161"/>
      <c r="J39" s="161"/>
      <c r="K39" s="162">
        <f>SUM(K37:K38)</f>
        <v>5794.6055133040009</v>
      </c>
      <c r="L39" s="163"/>
      <c r="M39" s="89">
        <f>K39-G39</f>
        <v>491.62204654000016</v>
      </c>
      <c r="N39" s="90">
        <f>M39/G39</f>
        <v>9.2706690417045365E-2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9" orientation="portrait" r:id="rId1"/>
  <headerFooter alignWithMargins="0"/>
  <ignoredErrors>
    <ignoredError sqref="F15:H15 F17:H17 F16:M16 O16 O17 E19:N19 E22:H22 F34:F38 E21:H21 I22:M22 I21:N21 I23:J23 F20:H20 J20:M20 J15:O15 I26:J32 J24 J25 J17:M17" unlockedFormula="1"/>
    <ignoredError sqref="N16 G18 F23:G23 G24:G33 K33:M33 O23:O32 O33 H38:J38 L38:N38" formula="1"/>
    <ignoredError sqref="F24:F33 N22 K23:N32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0"/>
  <sheetViews>
    <sheetView workbookViewId="0">
      <selection activeCell="P33" sqref="P33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5" t="s">
        <v>53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3" si="0">K15-G15</f>
        <v>64.903999999999996</v>
      </c>
      <c r="N15" s="63">
        <f t="shared" ref="N15:N32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str">
        <f>IFERROR(M17/G17, "")</f>
        <v/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77204.332800000033</v>
      </c>
      <c r="G19" s="58">
        <f>E19*F19</f>
        <v>5497.1492266252826</v>
      </c>
      <c r="H19" s="86"/>
      <c r="I19" s="64">
        <f>I31*0.64+I32*0.18+I33*0.18</f>
        <v>7.1202600000000005E-2</v>
      </c>
      <c r="J19" s="175">
        <f>F19</f>
        <v>77204.332800000033</v>
      </c>
      <c r="K19" s="58">
        <f>I19*J19</f>
        <v>5497.1492266252826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11304.289226625282</v>
      </c>
      <c r="H23" s="86"/>
      <c r="I23" s="102"/>
      <c r="J23" s="104"/>
      <c r="K23" s="103">
        <f>SUM(K18:K22)</f>
        <v>11397.933226625282</v>
      </c>
      <c r="L23" s="88"/>
      <c r="M23" s="105">
        <f t="shared" si="0"/>
        <v>93.644000000000233</v>
      </c>
      <c r="N23" s="106">
        <f t="shared" si="1"/>
        <v>8.2839352499437229E-3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8.5" customHeight="1" x14ac:dyDescent="0.2">
      <c r="A25" s="244" t="s">
        <v>39</v>
      </c>
      <c r="B25" s="244"/>
      <c r="C25" s="244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11304.289226625282</v>
      </c>
      <c r="H26" s="114"/>
      <c r="I26" s="115"/>
      <c r="J26" s="116"/>
      <c r="K26" s="103">
        <f>SUM(K23:K25)</f>
        <v>11397.933226625282</v>
      </c>
      <c r="L26" s="117"/>
      <c r="M26" s="105">
        <f t="shared" si="0"/>
        <v>93.644000000000233</v>
      </c>
      <c r="N26" s="106">
        <f t="shared" si="1"/>
        <v>8.2839352499437229E-3</v>
      </c>
    </row>
    <row r="27" spans="1:14" ht="25.5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1359668.3328</v>
      </c>
      <c r="G27" s="120">
        <f t="shared" ref="G27:G33" si="2">E27*F27</f>
        <v>5982.5406643200004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1282464</v>
      </c>
      <c r="G31" s="120">
        <f t="shared" si="2"/>
        <v>122347.0656</v>
      </c>
      <c r="H31" s="96"/>
      <c r="I31" s="119">
        <f>E31</f>
        <v>9.5399999999999999E-2</v>
      </c>
      <c r="J31" s="176">
        <f>F31</f>
        <v>1282464</v>
      </c>
      <c r="K31" s="120">
        <f t="shared" si="3"/>
        <v>122347.0656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1282464</v>
      </c>
      <c r="G32" s="120">
        <f t="shared" si="2"/>
        <v>72292.495680000007</v>
      </c>
      <c r="H32" s="96"/>
      <c r="I32" s="119">
        <f>E32</f>
        <v>5.6370000000000003E-2</v>
      </c>
      <c r="J32" s="176">
        <f>F32</f>
        <v>1282464</v>
      </c>
      <c r="K32" s="120">
        <f t="shared" si="3"/>
        <v>72292.495680000007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222671.45800358529</v>
      </c>
      <c r="H35" s="138"/>
      <c r="I35" s="139"/>
      <c r="J35" s="139"/>
      <c r="K35" s="140">
        <f>SUM(K26:K34)</f>
        <v>222765.10200358531</v>
      </c>
      <c r="L35" s="141"/>
      <c r="M35" s="142">
        <f>K35-G35</f>
        <v>93.644000000029337</v>
      </c>
      <c r="N35" s="143">
        <f>M35/G35</f>
        <v>4.2054783688766053E-4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28947.289540466089</v>
      </c>
      <c r="H36" s="147"/>
      <c r="I36" s="135">
        <v>0.13</v>
      </c>
      <c r="J36" s="147"/>
      <c r="K36" s="148">
        <f>K35*I36</f>
        <v>28959.463260466091</v>
      </c>
      <c r="L36" s="149"/>
      <c r="M36" s="150">
        <f>K36-G36</f>
        <v>12.173720000002504</v>
      </c>
      <c r="N36" s="151">
        <f>M36/G36</f>
        <v>4.2054783688761526E-4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251618.74754405138</v>
      </c>
      <c r="H37" s="147"/>
      <c r="I37" s="147"/>
      <c r="J37" s="147"/>
      <c r="K37" s="148">
        <f>SUM(K35:K36)</f>
        <v>251724.5652640514</v>
      </c>
      <c r="L37" s="149"/>
      <c r="M37" s="150">
        <f>K37-G37</f>
        <v>105.81772000002093</v>
      </c>
      <c r="N37" s="151">
        <f>M37/G37</f>
        <v>4.2054783688761196E-4</v>
      </c>
    </row>
    <row r="38" spans="1:14" ht="28.5" customHeight="1" x14ac:dyDescent="0.2">
      <c r="A38" s="243" t="s">
        <v>51</v>
      </c>
      <c r="B38" s="243"/>
      <c r="C38" s="243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251618.74754405138</v>
      </c>
      <c r="H39" s="161"/>
      <c r="I39" s="161"/>
      <c r="J39" s="161"/>
      <c r="K39" s="162">
        <f>SUM(K37:K38)</f>
        <v>251724.5652640514</v>
      </c>
      <c r="L39" s="163"/>
      <c r="M39" s="89">
        <f>K39-G39</f>
        <v>105.81772000002093</v>
      </c>
      <c r="N39" s="90">
        <f>M39/G39</f>
        <v>4.2054783688761196E-4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6" orientation="portrait" r:id="rId1"/>
  <headerFooter alignWithMargins="0"/>
  <ignoredErrors>
    <ignoredError sqref="E27:N27 E19:F23 J15:J17 E34:N36 E33:M33 E29:N30 E28:H28 J28:N28 E26:F26 F24 F25 E32:N32 F31:N31" unlockedFormula="1"/>
    <ignoredError sqref="G19:N19 G21:N21 G20:M20 G23:N23 G22:M22 G26:N26 G24:H24 J24:N24 G25:H25 J25:N25" formula="1" unlockedFormula="1"/>
    <ignoredError sqref="G18:N18 N20 N22 N3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0"/>
  <sheetViews>
    <sheetView topLeftCell="A10" workbookViewId="0">
      <selection activeCell="R38" sqref="R38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5" t="s">
        <v>62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ht="12.75" customHeight="1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3" si="0">K15-G15</f>
        <v>1.1999999999999957</v>
      </c>
      <c r="N15" s="63">
        <f t="shared" ref="N15:N32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0.39999999999999997</v>
      </c>
      <c r="N17" s="79">
        <f t="shared" si="1"/>
        <v>-0.66666666666666663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67.569999999999993</v>
      </c>
      <c r="L18" s="88"/>
      <c r="M18" s="89">
        <f t="shared" si="0"/>
        <v>1.7799999999999869</v>
      </c>
      <c r="N18" s="90">
        <f t="shared" si="1"/>
        <v>2.705578355373137E-2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120.40000000000006</v>
      </c>
      <c r="G19" s="58">
        <f>E19*F19</f>
        <v>8.5727930400000059</v>
      </c>
      <c r="H19" s="86"/>
      <c r="I19" s="64">
        <f>I31*0.64+I32*0.18+I33*0.18</f>
        <v>7.1202600000000005E-2</v>
      </c>
      <c r="J19" s="175">
        <f>F19</f>
        <v>120.40000000000006</v>
      </c>
      <c r="K19" s="58">
        <f>I19*J19</f>
        <v>8.5727930400000059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-7.6E-3</v>
      </c>
      <c r="F20" s="175">
        <v>2000</v>
      </c>
      <c r="G20" s="58">
        <f>E20*F20</f>
        <v>-15.2</v>
      </c>
      <c r="H20" s="86"/>
      <c r="I20" s="64">
        <f>-0.0023+0.0066</f>
        <v>4.3E-3</v>
      </c>
      <c r="J20" s="175">
        <f>F20</f>
        <v>2000</v>
      </c>
      <c r="K20" s="58">
        <f>I20*J20</f>
        <v>8.6</v>
      </c>
      <c r="L20" s="96"/>
      <c r="M20" s="62">
        <f t="shared" si="0"/>
        <v>23.799999999999997</v>
      </c>
      <c r="N20" s="63">
        <f>IFERROR(-M20/G20, "")</f>
        <v>1.5657894736842104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61.162793040000011</v>
      </c>
      <c r="H23" s="86"/>
      <c r="I23" s="102"/>
      <c r="J23" s="104"/>
      <c r="K23" s="103">
        <f>SUM(K18:K22)</f>
        <v>86.742793039999995</v>
      </c>
      <c r="L23" s="88"/>
      <c r="M23" s="105">
        <f t="shared" si="0"/>
        <v>25.579999999999984</v>
      </c>
      <c r="N23" s="106">
        <f t="shared" si="1"/>
        <v>0.4182281208654231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4.7000000000000002E-3</v>
      </c>
      <c r="J24" s="177">
        <f>F24</f>
        <v>2120.4</v>
      </c>
      <c r="K24" s="58">
        <f>I24*J24</f>
        <v>9.9658800000000003</v>
      </c>
      <c r="L24" s="96"/>
      <c r="M24" s="62">
        <f t="shared" si="0"/>
        <v>-3.1806000000000001</v>
      </c>
      <c r="N24" s="63">
        <f t="shared" si="1"/>
        <v>-0.24193548387096775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3.3999999999999998E-3</v>
      </c>
      <c r="J25" s="177">
        <f>F25</f>
        <v>2120.4</v>
      </c>
      <c r="K25" s="58">
        <f>I25*J25</f>
        <v>7.2093600000000002</v>
      </c>
      <c r="L25" s="96"/>
      <c r="M25" s="62">
        <f t="shared" si="0"/>
        <v>0.42408000000000001</v>
      </c>
      <c r="N25" s="63">
        <f t="shared" si="1"/>
        <v>6.25E-2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81.094553040000008</v>
      </c>
      <c r="H26" s="114"/>
      <c r="I26" s="115"/>
      <c r="J26" s="116"/>
      <c r="K26" s="103">
        <f>SUM(K23:K25)</f>
        <v>103.91803304</v>
      </c>
      <c r="L26" s="117"/>
      <c r="M26" s="105">
        <f t="shared" si="0"/>
        <v>22.823479999999989</v>
      </c>
      <c r="N26" s="106">
        <f t="shared" si="1"/>
        <v>0.28144282377069485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2000</v>
      </c>
      <c r="G31" s="120">
        <f t="shared" si="2"/>
        <v>190.8</v>
      </c>
      <c r="H31" s="96"/>
      <c r="I31" s="119">
        <f>E31</f>
        <v>9.5399999999999999E-2</v>
      </c>
      <c r="J31" s="176">
        <f>F31</f>
        <v>2000</v>
      </c>
      <c r="K31" s="120">
        <f t="shared" si="3"/>
        <v>190.8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2000</v>
      </c>
      <c r="G32" s="120">
        <f t="shared" si="2"/>
        <v>112.74000000000001</v>
      </c>
      <c r="H32" s="96"/>
      <c r="I32" s="119">
        <f>E32</f>
        <v>5.6370000000000003E-2</v>
      </c>
      <c r="J32" s="176">
        <f>F32</f>
        <v>2000</v>
      </c>
      <c r="K32" s="120">
        <f t="shared" si="3"/>
        <v>112.74000000000001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410.97083304</v>
      </c>
      <c r="H35" s="138"/>
      <c r="I35" s="139"/>
      <c r="J35" s="139"/>
      <c r="K35" s="140">
        <f>SUM(K26:K34)</f>
        <v>433.79431304000002</v>
      </c>
      <c r="L35" s="141"/>
      <c r="M35" s="142">
        <f>K35-G35</f>
        <v>22.823480000000018</v>
      </c>
      <c r="N35" s="143">
        <f>M35/G35</f>
        <v>5.5535522633496953E-2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53.426208295199999</v>
      </c>
      <c r="H36" s="147"/>
      <c r="I36" s="135">
        <v>0.13</v>
      </c>
      <c r="J36" s="147"/>
      <c r="K36" s="148">
        <f>K35*I36</f>
        <v>56.393260695200006</v>
      </c>
      <c r="L36" s="149"/>
      <c r="M36" s="150">
        <f>K36-G36</f>
        <v>2.9670524000000071</v>
      </c>
      <c r="N36" s="151">
        <f>M36/G36</f>
        <v>5.5535522633497043E-2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464.39704133520002</v>
      </c>
      <c r="H37" s="147"/>
      <c r="I37" s="147"/>
      <c r="J37" s="147"/>
      <c r="K37" s="148">
        <f>SUM(K35:K36)</f>
        <v>490.18757373520003</v>
      </c>
      <c r="L37" s="149"/>
      <c r="M37" s="150">
        <f>K37-G37</f>
        <v>25.790532400000018</v>
      </c>
      <c r="N37" s="151">
        <f>M37/G37</f>
        <v>5.5535522633496946E-2</v>
      </c>
    </row>
    <row r="38" spans="1:14" ht="14.25" customHeight="1" x14ac:dyDescent="0.2">
      <c r="A38" s="243" t="s">
        <v>51</v>
      </c>
      <c r="B38" s="243"/>
      <c r="C38" s="243"/>
      <c r="D38" s="134"/>
      <c r="E38" s="147"/>
      <c r="F38" s="145"/>
      <c r="G38" s="153">
        <f>-G37*0.1</f>
        <v>-46.439704133520003</v>
      </c>
      <c r="H38" s="147"/>
      <c r="I38" s="147"/>
      <c r="J38" s="147"/>
      <c r="K38" s="154"/>
      <c r="L38" s="149"/>
      <c r="M38" s="155">
        <f>K38-G38</f>
        <v>46.439704133520003</v>
      </c>
      <c r="N38" s="156">
        <f>IFERROR(M38/G38, "")</f>
        <v>-1</v>
      </c>
    </row>
    <row r="39" spans="1:14" ht="15.75" customHeight="1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417.95733720167999</v>
      </c>
      <c r="H39" s="161"/>
      <c r="I39" s="161"/>
      <c r="J39" s="161"/>
      <c r="K39" s="162">
        <f>SUM(K37:K38)</f>
        <v>490.18757373520003</v>
      </c>
      <c r="L39" s="163"/>
      <c r="M39" s="89">
        <f>K39-G39</f>
        <v>72.230236533520042</v>
      </c>
      <c r="N39" s="90">
        <f>M39/G39</f>
        <v>0.17281724737055223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7" orientation="portrait" r:id="rId1"/>
  <headerFooter alignWithMargins="0"/>
  <ignoredErrors>
    <ignoredError sqref="G18:N18 N16 N22:N23 G26:N26 G23:M23 G25:H25 K24:N25 N38 N20 G24:H24" formula="1"/>
    <ignoredError sqref="E19:O19 E21:M22 O20:O22 J15:J17 F33:M33 F27:F32 F20:H20 J20:M20" unlockedFormula="1"/>
    <ignoredError sqref="N21 G27:N32 J24:J25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1"/>
  <sheetViews>
    <sheetView topLeftCell="A13" workbookViewId="0">
      <selection activeCell="T25" sqref="T25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10.28515625" customWidth="1"/>
    <col min="8" max="8" width="4.7109375" customWidth="1"/>
    <col min="9" max="9" width="16.28515625" bestFit="1" customWidth="1"/>
    <col min="10" max="10" width="8" bestFit="1" customWidth="1"/>
    <col min="11" max="11" width="10.7109375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5" t="s">
        <v>63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3" si="0">K15-G15</f>
        <v>1.8409999999999926E-2</v>
      </c>
      <c r="N15" s="63">
        <f t="shared" ref="N15:N32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-6.8199999999999997E-2</v>
      </c>
      <c r="F17" s="74">
        <v>0.1</v>
      </c>
      <c r="G17" s="75">
        <f>E17*F17</f>
        <v>-6.8199999999999997E-3</v>
      </c>
      <c r="H17" s="76"/>
      <c r="I17" s="173">
        <v>-3.2300000000000002E-2</v>
      </c>
      <c r="J17" s="77">
        <f>F17</f>
        <v>0.1</v>
      </c>
      <c r="K17" s="75">
        <f>I17*J17</f>
        <v>-3.2300000000000002E-3</v>
      </c>
      <c r="L17" s="76"/>
      <c r="M17" s="78">
        <f t="shared" si="0"/>
        <v>3.5899999999999994E-3</v>
      </c>
      <c r="N17" s="79">
        <f>-M17/G17</f>
        <v>0.52639296187683282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4.22715</v>
      </c>
      <c r="H18" s="86"/>
      <c r="I18" s="83"/>
      <c r="J18" s="87"/>
      <c r="K18" s="174">
        <f>SUM(K14:K17)</f>
        <v>4.3091499999999998</v>
      </c>
      <c r="L18" s="88"/>
      <c r="M18" s="89">
        <f t="shared" si="0"/>
        <v>8.1999999999999851E-2</v>
      </c>
      <c r="N18" s="90">
        <f t="shared" si="1"/>
        <v>1.9398412642087422E-2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I31*0.64+I32*0.18+I33*0.18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-2.6126999999999998</v>
      </c>
      <c r="F20" s="175">
        <v>0.1</v>
      </c>
      <c r="G20" s="58">
        <f>E20*F20</f>
        <v>-0.26127</v>
      </c>
      <c r="H20" s="86"/>
      <c r="I20" s="64">
        <f>-0.8109+2.3785</f>
        <v>1.5675999999999999</v>
      </c>
      <c r="J20" s="175">
        <f>F20</f>
        <v>0.1</v>
      </c>
      <c r="K20" s="58">
        <f>I20*J20</f>
        <v>0.15676000000000001</v>
      </c>
      <c r="L20" s="96"/>
      <c r="M20" s="62">
        <f t="shared" si="0"/>
        <v>0.41803000000000001</v>
      </c>
      <c r="N20" s="63">
        <f>IFERROR(-M20/G20, "")</f>
        <v>1.59999234508363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4.1483502747200003</v>
      </c>
      <c r="H23" s="86"/>
      <c r="I23" s="102"/>
      <c r="J23" s="104"/>
      <c r="K23" s="103">
        <f>SUM(K18:K22)</f>
        <v>4.64838027472</v>
      </c>
      <c r="L23" s="88"/>
      <c r="M23" s="105">
        <f t="shared" si="0"/>
        <v>0.50002999999999975</v>
      </c>
      <c r="N23" s="106">
        <f t="shared" si="1"/>
        <v>0.12053707302567407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1.4830000000000001</v>
      </c>
      <c r="J24" s="177">
        <f>F24</f>
        <v>0.10602</v>
      </c>
      <c r="K24" s="58">
        <f>I24*J24</f>
        <v>0.15722766000000002</v>
      </c>
      <c r="L24" s="96"/>
      <c r="M24" s="62">
        <f t="shared" si="0"/>
        <v>-4.9585554000000004E-2</v>
      </c>
      <c r="N24" s="63">
        <f t="shared" si="1"/>
        <v>-0.23976008612293023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1.0108999999999999</v>
      </c>
      <c r="J25" s="177">
        <f>F25</f>
        <v>0.10602</v>
      </c>
      <c r="K25" s="58">
        <f>I25*J25</f>
        <v>0.107175618</v>
      </c>
      <c r="L25" s="96"/>
      <c r="M25" s="62">
        <f t="shared" si="0"/>
        <v>4.8239099999999868E-3</v>
      </c>
      <c r="N25" s="63">
        <f t="shared" si="1"/>
        <v>4.7130723016366137E-2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4.4575151967200002</v>
      </c>
      <c r="H26" s="114"/>
      <c r="I26" s="115"/>
      <c r="J26" s="116"/>
      <c r="K26" s="103">
        <f>SUM(K23:K25)</f>
        <v>4.9127835527200006</v>
      </c>
      <c r="L26" s="117"/>
      <c r="M26" s="105">
        <f t="shared" si="0"/>
        <v>0.45526835600000037</v>
      </c>
      <c r="N26" s="106">
        <f t="shared" si="1"/>
        <v>0.10213500928387259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36</v>
      </c>
      <c r="G31" s="120">
        <f t="shared" si="2"/>
        <v>3.4344000000000001</v>
      </c>
      <c r="H31" s="96"/>
      <c r="I31" s="119">
        <f>E31</f>
        <v>9.5399999999999999E-2</v>
      </c>
      <c r="J31" s="176">
        <f>F31</f>
        <v>36</v>
      </c>
      <c r="K31" s="120">
        <f t="shared" si="3"/>
        <v>3.4344000000000001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10.640788236720001</v>
      </c>
      <c r="H35" s="138"/>
      <c r="I35" s="139"/>
      <c r="J35" s="139"/>
      <c r="K35" s="140">
        <f>SUM(K26:K34)</f>
        <v>11.096056592720002</v>
      </c>
      <c r="L35" s="141"/>
      <c r="M35" s="142">
        <f>K35-G35</f>
        <v>0.45526835600000126</v>
      </c>
      <c r="N35" s="143">
        <f>M35/G35</f>
        <v>4.2785209692354213E-2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1.3833024707736001</v>
      </c>
      <c r="H36" s="147"/>
      <c r="I36" s="135">
        <v>0.13</v>
      </c>
      <c r="J36" s="147"/>
      <c r="K36" s="148">
        <f>K35*I36</f>
        <v>1.4424873570536003</v>
      </c>
      <c r="L36" s="149"/>
      <c r="M36" s="150">
        <f>K36-G36</f>
        <v>5.9184886280000182E-2</v>
      </c>
      <c r="N36" s="151">
        <f>M36/G36</f>
        <v>4.2785209692354227E-2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12.024090707493601</v>
      </c>
      <c r="H37" s="147"/>
      <c r="I37" s="147"/>
      <c r="J37" s="147"/>
      <c r="K37" s="148">
        <f>SUM(K35:K36)</f>
        <v>12.538543949773603</v>
      </c>
      <c r="L37" s="149"/>
      <c r="M37" s="150">
        <f>K37-G37</f>
        <v>0.51445324228000189</v>
      </c>
      <c r="N37" s="151">
        <f>M37/G37</f>
        <v>4.2785209692354248E-2</v>
      </c>
    </row>
    <row r="38" spans="1:14" ht="14.25" x14ac:dyDescent="0.2">
      <c r="A38" s="243" t="s">
        <v>51</v>
      </c>
      <c r="B38" s="243"/>
      <c r="C38" s="243"/>
      <c r="D38" s="134"/>
      <c r="E38" s="147"/>
      <c r="F38" s="145"/>
      <c r="G38" s="153">
        <f>-G37*0.1</f>
        <v>-1.2024090707493602</v>
      </c>
      <c r="H38" s="147"/>
      <c r="I38" s="147"/>
      <c r="J38" s="147"/>
      <c r="K38" s="154"/>
      <c r="L38" s="149"/>
      <c r="M38" s="155">
        <f>K38-G38</f>
        <v>1.2024090707493602</v>
      </c>
      <c r="N38" s="156">
        <f>IFERROR(M38/G38, "")</f>
        <v>-1</v>
      </c>
    </row>
    <row r="39" spans="1:14" ht="15.75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10.821681636744241</v>
      </c>
      <c r="H39" s="161"/>
      <c r="I39" s="161"/>
      <c r="J39" s="161"/>
      <c r="K39" s="162">
        <f>SUM(K37:K38)</f>
        <v>12.538543949773603</v>
      </c>
      <c r="L39" s="163"/>
      <c r="M39" s="89">
        <f>K39-G39</f>
        <v>1.7168623130293614</v>
      </c>
      <c r="N39" s="90">
        <f>M39/G39</f>
        <v>0.15865023299150466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5" orientation="portrait" r:id="rId1"/>
  <headerFooter alignWithMargins="0"/>
  <ignoredErrors>
    <ignoredError sqref="G18:O18 O19:O32 N38" formula="1"/>
    <ignoredError sqref="G19:N19 N16 G21:N23 G20:H20 J20:M20 G26:N32 G24:H24 J24:N24 G25:H25 J25:N25" formula="1" unlockedFormula="1"/>
    <ignoredError sqref="E19:F19 J15:N15 J17:M17 J16:M16 E21:F23 F20 E26:F30 F24 F25 E32:F32 F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0"/>
  <sheetViews>
    <sheetView workbookViewId="0">
      <selection activeCell="L46" sqref="L4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9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54</v>
      </c>
      <c r="B1" s="25"/>
      <c r="C1" s="245" t="s">
        <v>64</v>
      </c>
      <c r="D1" s="245"/>
      <c r="E1" s="245"/>
      <c r="F1" s="245"/>
      <c r="G1" s="245"/>
      <c r="H1" s="245"/>
      <c r="I1" s="245"/>
      <c r="J1" s="245"/>
      <c r="K1" s="24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6" t="str">
        <f>IF(AND(ISNUMBER(E8), ISBLANK(#REF!)), "Please enter a load factor", "")</f>
        <v/>
      </c>
      <c r="F9" s="246"/>
      <c r="G9" s="246"/>
      <c r="H9" s="246"/>
      <c r="I9" s="246"/>
      <c r="J9" s="24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5" t="s">
        <v>19</v>
      </c>
      <c r="F11" s="247"/>
      <c r="G11" s="236"/>
      <c r="H11" s="28"/>
      <c r="I11" s="235" t="s">
        <v>20</v>
      </c>
      <c r="J11" s="247"/>
      <c r="K11" s="236"/>
      <c r="L11" s="28"/>
      <c r="M11" s="235" t="s">
        <v>21</v>
      </c>
      <c r="N11" s="236"/>
    </row>
    <row r="12" spans="1:14" x14ac:dyDescent="0.2">
      <c r="A12" s="45"/>
      <c r="B12" s="28"/>
      <c r="C12" s="237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39" t="s">
        <v>25</v>
      </c>
      <c r="N12" s="241" t="s">
        <v>26</v>
      </c>
    </row>
    <row r="13" spans="1:14" x14ac:dyDescent="0.2">
      <c r="A13" s="45"/>
      <c r="B13" s="28"/>
      <c r="C13" s="238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0"/>
      <c r="N13" s="242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3" si="0">K15-G15</f>
        <v>1.6809999999999881E-2</v>
      </c>
      <c r="N15" s="63">
        <f t="shared" ref="N15:N32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/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I31*0.64+I32*0.18+I33*0.18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-2.3988</v>
      </c>
      <c r="F20" s="175">
        <v>0.1</v>
      </c>
      <c r="G20" s="58">
        <f>E20*F20</f>
        <v>-0.23988000000000001</v>
      </c>
      <c r="H20" s="86"/>
      <c r="I20" s="64">
        <f>-0.7462+2.1886</f>
        <v>1.4424000000000001</v>
      </c>
      <c r="J20" s="175">
        <f>F20</f>
        <v>0.1</v>
      </c>
      <c r="K20" s="58">
        <f>I20*J20</f>
        <v>0.14424000000000001</v>
      </c>
      <c r="L20" s="96"/>
      <c r="M20" s="62">
        <f t="shared" si="0"/>
        <v>0.38412000000000002</v>
      </c>
      <c r="N20" s="63">
        <f>IFERROR(-M20/G20, "")</f>
        <v>1.6013006503251626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3.9787902747200006</v>
      </c>
      <c r="H23" s="86"/>
      <c r="I23" s="102"/>
      <c r="J23" s="104"/>
      <c r="K23" s="103">
        <f>SUM(K18:K22)</f>
        <v>4.4452102747200009</v>
      </c>
      <c r="L23" s="88"/>
      <c r="M23" s="105">
        <f t="shared" si="0"/>
        <v>0.46642000000000028</v>
      </c>
      <c r="N23" s="106">
        <f t="shared" si="1"/>
        <v>0.11722658592072277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1.4623999999999999</v>
      </c>
      <c r="J24" s="177">
        <f>F24</f>
        <v>0.10602</v>
      </c>
      <c r="K24" s="58">
        <f>I24*J24</f>
        <v>0.15504364800000001</v>
      </c>
      <c r="L24" s="96"/>
      <c r="M24" s="62">
        <f t="shared" si="0"/>
        <v>-4.8885821999999995E-2</v>
      </c>
      <c r="N24" s="63">
        <f t="shared" si="1"/>
        <v>-0.23971926176241223</v>
      </c>
    </row>
    <row r="25" spans="1:14" ht="33.75" customHeight="1" x14ac:dyDescent="0.2">
      <c r="A25" s="244" t="s">
        <v>39</v>
      </c>
      <c r="B25" s="244"/>
      <c r="C25" s="244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1.0044</v>
      </c>
      <c r="J25" s="177">
        <f>F25</f>
        <v>0.10602</v>
      </c>
      <c r="K25" s="58">
        <f>I25*J25</f>
        <v>0.106486488</v>
      </c>
      <c r="L25" s="96"/>
      <c r="M25" s="62">
        <f t="shared" si="0"/>
        <v>4.7921039999999915E-3</v>
      </c>
      <c r="N25" s="63">
        <f t="shared" si="1"/>
        <v>4.7122602168473637E-2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4.2844141287200008</v>
      </c>
      <c r="H26" s="114"/>
      <c r="I26" s="115"/>
      <c r="J26" s="116"/>
      <c r="K26" s="103">
        <f>SUM(K23:K25)</f>
        <v>4.706740410720001</v>
      </c>
      <c r="L26" s="117"/>
      <c r="M26" s="105">
        <f t="shared" si="0"/>
        <v>0.42232628200000022</v>
      </c>
      <c r="N26" s="106">
        <f t="shared" si="1"/>
        <v>9.8572703130864983E-2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36</v>
      </c>
      <c r="G31" s="120">
        <f t="shared" si="2"/>
        <v>3.4344000000000001</v>
      </c>
      <c r="H31" s="96"/>
      <c r="I31" s="119">
        <f>E31</f>
        <v>9.5399999999999999E-2</v>
      </c>
      <c r="J31" s="176">
        <f>F31</f>
        <v>36</v>
      </c>
      <c r="K31" s="120">
        <f t="shared" si="3"/>
        <v>3.4344000000000001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10.467687168720001</v>
      </c>
      <c r="H35" s="138"/>
      <c r="I35" s="139"/>
      <c r="J35" s="139"/>
      <c r="K35" s="140">
        <f>SUM(K26:K34)</f>
        <v>10.890013450720001</v>
      </c>
      <c r="L35" s="141"/>
      <c r="M35" s="142">
        <f>K35-G35</f>
        <v>0.42232628200000022</v>
      </c>
      <c r="N35" s="143">
        <f>M35/G35</f>
        <v>4.0345711062326546E-2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1.3607993319336003</v>
      </c>
      <c r="H36" s="147"/>
      <c r="I36" s="135">
        <v>0.13</v>
      </c>
      <c r="J36" s="147"/>
      <c r="K36" s="148">
        <f>K35*I36</f>
        <v>1.4157017485936003</v>
      </c>
      <c r="L36" s="149"/>
      <c r="M36" s="150">
        <f>K36-G36</f>
        <v>5.4902416660000064E-2</v>
      </c>
      <c r="N36" s="151">
        <f>M36/G36</f>
        <v>4.0345711062326574E-2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11.828486500653602</v>
      </c>
      <c r="H37" s="147"/>
      <c r="I37" s="147"/>
      <c r="J37" s="147"/>
      <c r="K37" s="148">
        <f>SUM(K35:K36)</f>
        <v>12.305715199313601</v>
      </c>
      <c r="L37" s="149"/>
      <c r="M37" s="150">
        <f>K37-G37</f>
        <v>0.4772286986599994</v>
      </c>
      <c r="N37" s="151">
        <f>M37/G37</f>
        <v>4.0345711062326477E-2</v>
      </c>
    </row>
    <row r="38" spans="1:14" ht="14.25" x14ac:dyDescent="0.2">
      <c r="A38" s="243" t="s">
        <v>51</v>
      </c>
      <c r="B38" s="243"/>
      <c r="C38" s="243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str">
        <f>IFERROR(M38/G38, "")</f>
        <v/>
      </c>
    </row>
    <row r="39" spans="1:14" ht="15.75" thickBot="1" x14ac:dyDescent="0.25">
      <c r="A39" s="248" t="s">
        <v>52</v>
      </c>
      <c r="B39" s="248"/>
      <c r="C39" s="248"/>
      <c r="D39" s="157"/>
      <c r="E39" s="158"/>
      <c r="F39" s="159"/>
      <c r="G39" s="160">
        <f>SUM(G37:G38)</f>
        <v>11.828486500653602</v>
      </c>
      <c r="H39" s="161"/>
      <c r="I39" s="161"/>
      <c r="J39" s="161"/>
      <c r="K39" s="162">
        <f>SUM(K37:K38)</f>
        <v>12.305715199313601</v>
      </c>
      <c r="L39" s="163"/>
      <c r="M39" s="89">
        <f>K39-G39</f>
        <v>0.4772286986599994</v>
      </c>
      <c r="N39" s="90">
        <f>M39/G39</f>
        <v>4.0345711062326477E-2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C1:K1"/>
    <mergeCell ref="E9:J9"/>
    <mergeCell ref="E11:G11"/>
    <mergeCell ref="I11:K11"/>
    <mergeCell ref="A39:C39"/>
    <mergeCell ref="M11:N11"/>
    <mergeCell ref="C12:C13"/>
    <mergeCell ref="M12:M13"/>
    <mergeCell ref="N12:N13"/>
    <mergeCell ref="A38:C38"/>
    <mergeCell ref="A25:C25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6" orientation="portrait" r:id="rId1"/>
  <headerFooter alignWithMargins="0"/>
  <ignoredErrors>
    <ignoredError sqref="J15:N16 E19:F19 E22:F22 E21:F21 F20 F27:K32 F24:F26" unlockedFormula="1"/>
    <ignoredError sqref="G18:N18 G17:H17 G23:N23 N22 L24:N26 N38 N20" formula="1"/>
    <ignoredError sqref="G26:K26 G20:H20 G21:N21 G22:M22 G19:N19 J17:N17 J20:M20 G24:H24 J24:K24 G25:H25 J25:K2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</vt:lpstr>
      <vt:lpstr>ResidentialRPP</vt:lpstr>
      <vt:lpstr>Residential 10th 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ResidentialNonRPP 10th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  <vt:lpstr>'Residential 10th '!Print_Area</vt:lpstr>
      <vt:lpstr>'ResidentialNonRPP 10th'!Print_Area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Richard Dimmel</cp:lastModifiedBy>
  <cp:lastPrinted>2015-11-02T17:11:27Z</cp:lastPrinted>
  <dcterms:created xsi:type="dcterms:W3CDTF">2015-02-10T13:22:59Z</dcterms:created>
  <dcterms:modified xsi:type="dcterms:W3CDTF">2015-11-12T14:56:03Z</dcterms:modified>
</cp:coreProperties>
</file>