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VECC Submission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2" i="1"/>
  <c r="H32"/>
  <c r="I32"/>
  <c r="J32"/>
  <c r="K32"/>
  <c r="E32"/>
  <c r="G29"/>
  <c r="H29"/>
  <c r="I29"/>
  <c r="J29"/>
  <c r="K29"/>
  <c r="E29"/>
  <c r="G23"/>
  <c r="H23"/>
  <c r="I23"/>
  <c r="J23"/>
  <c r="K23"/>
  <c r="E23"/>
  <c r="G19"/>
  <c r="H19"/>
  <c r="I19"/>
  <c r="J19"/>
  <c r="K19"/>
  <c r="E19"/>
  <c r="E18"/>
  <c r="E16"/>
  <c r="G16"/>
  <c r="K16"/>
  <c r="J16"/>
  <c r="I16"/>
  <c r="H16"/>
  <c r="G9"/>
  <c r="H9" s="1"/>
  <c r="I9" s="1"/>
  <c r="J9" s="1"/>
  <c r="K9" s="1"/>
  <c r="E13"/>
  <c r="G13" s="1"/>
  <c r="H13" s="1"/>
  <c r="I13" s="1"/>
  <c r="J13" s="1"/>
  <c r="K13" s="1"/>
  <c r="E12"/>
  <c r="G12" s="1"/>
  <c r="H12" s="1"/>
  <c r="I12" s="1"/>
  <c r="J12" s="1"/>
  <c r="K12" s="1"/>
  <c r="E11"/>
  <c r="G11" s="1"/>
  <c r="H11" s="1"/>
  <c r="I11" s="1"/>
  <c r="J11" s="1"/>
  <c r="K11" s="1"/>
  <c r="E10"/>
  <c r="G10" s="1"/>
  <c r="H10" s="1"/>
  <c r="I10" s="1"/>
  <c r="J10" s="1"/>
  <c r="K10" s="1"/>
  <c r="E14" l="1"/>
  <c r="K17"/>
  <c r="K18" s="1"/>
  <c r="J17" l="1"/>
  <c r="J18" s="1"/>
  <c r="I17"/>
  <c r="I18" s="1"/>
  <c r="H17"/>
  <c r="H18" s="1"/>
  <c r="G17"/>
  <c r="G18" s="1"/>
  <c r="G14"/>
  <c r="H14" s="1"/>
  <c r="I14" s="1"/>
  <c r="J14" s="1"/>
  <c r="K14" s="1"/>
  <c r="E26"/>
  <c r="E34" l="1"/>
  <c r="E36" s="1"/>
  <c r="E38" s="1"/>
  <c r="G26"/>
  <c r="G34" l="1"/>
  <c r="G36" s="1"/>
  <c r="G38" s="1"/>
  <c r="H26"/>
  <c r="H34" l="1"/>
  <c r="H36" s="1"/>
  <c r="H38" s="1"/>
  <c r="I26"/>
  <c r="I34" l="1"/>
  <c r="I36" s="1"/>
  <c r="I38" s="1"/>
  <c r="J26"/>
  <c r="J34" l="1"/>
  <c r="J36" s="1"/>
  <c r="J38" s="1"/>
  <c r="K26"/>
  <c r="K34" l="1"/>
  <c r="K36" s="1"/>
  <c r="K38" s="1"/>
</calcChain>
</file>

<file path=xl/sharedStrings.xml><?xml version="1.0" encoding="utf-8"?>
<sst xmlns="http://schemas.openxmlformats.org/spreadsheetml/2006/main" count="76" uniqueCount="76">
  <si>
    <t>Line #</t>
  </si>
  <si>
    <t>Item</t>
  </si>
  <si>
    <t>NBV-Year End (M)</t>
  </si>
  <si>
    <t xml:space="preserve">C </t>
  </si>
  <si>
    <t>In-Service Poles</t>
  </si>
  <si>
    <t>D</t>
  </si>
  <si>
    <t>Carrying Cost (%)</t>
  </si>
  <si>
    <t>Depreciation (M$)</t>
  </si>
  <si>
    <t>G</t>
  </si>
  <si>
    <t>Maintenance/Pole</t>
  </si>
  <si>
    <t>Depreciation/Pole</t>
  </si>
  <si>
    <t>Total Indirect Cost/Pole</t>
  </si>
  <si>
    <t>H</t>
  </si>
  <si>
    <t>I</t>
  </si>
  <si>
    <t>Total Cost per Attacher</t>
  </si>
  <si>
    <t>E1</t>
  </si>
  <si>
    <t>E2</t>
  </si>
  <si>
    <t>F1</t>
  </si>
  <si>
    <t>F2</t>
  </si>
  <si>
    <t>G1</t>
  </si>
  <si>
    <t>G2</t>
  </si>
  <si>
    <t>Carrying Cost/Pole</t>
  </si>
  <si>
    <t>E2+F2+G2</t>
  </si>
  <si>
    <t>Maintenance (K$)</t>
  </si>
  <si>
    <t xml:space="preserve">Indirect Cost Allocation per Attacher </t>
  </si>
  <si>
    <t>SPECIFIC CHARGE FOR POLE ACCESS</t>
  </si>
  <si>
    <t>Settlement Proposal - Appendix 2-AB</t>
  </si>
  <si>
    <t xml:space="preserve">Settlement Proposal - Cost Allocation Models, Tab I3, Account #5120 </t>
  </si>
  <si>
    <t xml:space="preserve">A1 </t>
  </si>
  <si>
    <t>A2</t>
  </si>
  <si>
    <t>A3</t>
  </si>
  <si>
    <t>Administration</t>
  </si>
  <si>
    <t>LIP - Pole Repl. Field Verif.</t>
  </si>
  <si>
    <t>LIP - Pole Repl. Return Crew</t>
  </si>
  <si>
    <t>A4</t>
  </si>
  <si>
    <t>LIP - Wires Down</t>
  </si>
  <si>
    <t>LIP - Trees on Wires</t>
  </si>
  <si>
    <t>Basis for 2016-2020 Forecast</t>
  </si>
  <si>
    <t>A5</t>
  </si>
  <si>
    <t>B1</t>
  </si>
  <si>
    <t>B2</t>
  </si>
  <si>
    <t>B3</t>
  </si>
  <si>
    <t>Average NBV (M)</t>
  </si>
  <si>
    <t>NBV - Start of Year (M)</t>
  </si>
  <si>
    <t>Total Direct Cost</t>
  </si>
  <si>
    <t>B1 &amp; B2 - June 29, 2015 Update, Exhibit B, Schedule 1, page 2</t>
  </si>
  <si>
    <t xml:space="preserve">Settlement Proposal - Appendix 2-BA </t>
  </si>
  <si>
    <t>B4</t>
  </si>
  <si>
    <t>Adjusted Average NBV (M)</t>
  </si>
  <si>
    <t>B4/C</t>
  </si>
  <si>
    <t>Adj. Avg. NBV / Pole</t>
  </si>
  <si>
    <t>D * E1</t>
  </si>
  <si>
    <t>F1/C * 0.85</t>
  </si>
  <si>
    <t>G1/C * 0.85</t>
  </si>
  <si>
    <t>B4 - Average NBV adjusted by 85%</t>
  </si>
  <si>
    <t>C - J2.1</t>
  </si>
  <si>
    <t>B3 * 85% (VECC Argument, Section 4.2.2  )</t>
  </si>
  <si>
    <t xml:space="preserve"> VECC Argument, Section 4.4.1</t>
  </si>
  <si>
    <t>VECC Argument, Section 4.2.4 and Undertaking J2.4</t>
  </si>
  <si>
    <t>G * 25.9% (@ 2 attachers/pole per VECC Argument, Section 4.4.2 )</t>
  </si>
  <si>
    <t>A1 - Administration Cost per Pole per Carriers #12 h).  No adjustment for number of attachers per VECC Argument - Section 4.1.1</t>
  </si>
  <si>
    <t xml:space="preserve">            per pole per VECC Argument, Section 4.1.1 </t>
  </si>
  <si>
    <t xml:space="preserve">             further adjusted by 1-((2 * 0.259)) to account for returning crew costs allocated as part of indirect costs (per VECC Argument Section 4.1.2 )</t>
  </si>
  <si>
    <t xml:space="preserve">A3 - $188,988 (per Carriers 13 c)) divided by 35,663, adjusted for 2.0 3rd party attachers/pole (per VECC Argument Section 4.1.1) and </t>
  </si>
  <si>
    <t>A4 - $14,720 (per Carriers 13 c)) divided by 35,663 and adjusted for 2.0 3rd party attachers (per VECC Argument, Section 4.1.1 )</t>
  </si>
  <si>
    <t>A5 - $25,301 (per Carriers 13 c)) divided by 35,663 and adjusted for 2.0 3rd party attachers (per VECC Argument, Section 4.1.1 )</t>
  </si>
  <si>
    <t>A6</t>
  </si>
  <si>
    <t>A6+H</t>
  </si>
  <si>
    <t xml:space="preserve">CONSISTENT WITH VECC'S SUBMISSIONS </t>
  </si>
  <si>
    <t>ATTACHMENT A</t>
  </si>
  <si>
    <t xml:space="preserve">  - For 2016 the values are calculated by escalating the 2013 value at 2.1%/annum per Carriers #7 b)                                              -  For 2017-2020 the values are calculated by escalating 2016 at 1.91%/annum per Oct 16th Transcript, page 83                                   - A6=Sum A1 to A5            </t>
  </si>
  <si>
    <t>E1 - Technical Conference, August 13, 2015 - page 111</t>
  </si>
  <si>
    <t xml:space="preserve">A2 - $81,410 (per Carriers 13 c)) divided by 35,663 poles with attachments (corrected per October 16th transcript, page 52) and adjusted for 2.0 3rd party attachers </t>
  </si>
  <si>
    <t>F1 - Carriers 11 b)</t>
  </si>
  <si>
    <t>G1 - Carriers 7 c)</t>
  </si>
  <si>
    <t>Explanation for 2013 Values</t>
  </si>
</sst>
</file>

<file path=xl/styles.xml><?xml version="1.0" encoding="utf-8"?>
<styleSheet xmlns="http://schemas.openxmlformats.org/spreadsheetml/2006/main">
  <numFmts count="4">
    <numFmt numFmtId="164" formatCode="&quot;$&quot;#,##0.00;[Red]\-&quot;$&quot;#,##0.00"/>
    <numFmt numFmtId="165" formatCode="_-* #,##0.00_-;\-* #,##0.00_-;_-* &quot;-&quot;??_-;_-@_-"/>
    <numFmt numFmtId="166" formatCode="&quot;$&quot;#,##0.00"/>
    <numFmt numFmtId="167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 val="double"/>
      <sz val="11"/>
      <color theme="1"/>
      <name val="Calibri"/>
      <family val="2"/>
      <scheme val="minor"/>
    </font>
    <font>
      <b/>
      <u val="double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167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4"/>
  <sheetViews>
    <sheetView tabSelected="1" workbookViewId="0">
      <selection activeCell="V51" sqref="V51"/>
    </sheetView>
  </sheetViews>
  <sheetFormatPr defaultRowHeight="15"/>
  <cols>
    <col min="3" max="3" width="11.28515625" customWidth="1"/>
    <col min="4" max="4" width="17.7109375" customWidth="1"/>
    <col min="5" max="5" width="13.5703125" bestFit="1" customWidth="1"/>
    <col min="7" max="7" width="16.140625" bestFit="1" customWidth="1"/>
    <col min="8" max="11" width="15.5703125" bestFit="1" customWidth="1"/>
    <col min="13" max="13" width="14.7109375" customWidth="1"/>
    <col min="16" max="16" width="10.7109375" customWidth="1"/>
  </cols>
  <sheetData>
    <row r="1" spans="2:16" s="27" customFormat="1" ht="15.75"/>
    <row r="2" spans="2:16" ht="15.75">
      <c r="C2" s="27" t="s">
        <v>69</v>
      </c>
    </row>
    <row r="3" spans="2:16" s="19" customFormat="1" ht="15.75">
      <c r="H3" s="20" t="s">
        <v>25</v>
      </c>
    </row>
    <row r="4" spans="2:16" s="21" customFormat="1" ht="15.75">
      <c r="H4" s="22" t="s">
        <v>68</v>
      </c>
    </row>
    <row r="7" spans="2:16" s="6" customFormat="1" ht="15.75">
      <c r="B7" s="5" t="s">
        <v>0</v>
      </c>
      <c r="C7" s="5" t="s">
        <v>1</v>
      </c>
      <c r="D7" s="5"/>
      <c r="E7" s="5">
        <v>2013</v>
      </c>
      <c r="F7" s="5"/>
      <c r="G7" s="5">
        <v>2016</v>
      </c>
      <c r="H7" s="5">
        <v>2017</v>
      </c>
      <c r="I7" s="5">
        <v>2018</v>
      </c>
      <c r="J7" s="5">
        <v>2019</v>
      </c>
      <c r="K7" s="5">
        <v>2020</v>
      </c>
      <c r="L7" s="7"/>
      <c r="M7" s="42" t="s">
        <v>37</v>
      </c>
      <c r="N7" s="42"/>
      <c r="O7" s="42"/>
      <c r="P7" s="42"/>
    </row>
    <row r="8" spans="2:16" s="6" customFormat="1" ht="15.75">
      <c r="B8" s="5"/>
      <c r="C8" s="5"/>
      <c r="D8" s="5"/>
      <c r="E8" s="5"/>
      <c r="F8" s="5"/>
      <c r="G8" s="5"/>
      <c r="H8" s="5"/>
      <c r="I8" s="5"/>
      <c r="J8" s="5"/>
      <c r="K8" s="5"/>
      <c r="L8" s="7"/>
      <c r="M8" s="32"/>
      <c r="N8" s="32"/>
      <c r="O8" s="32"/>
      <c r="P8" s="32"/>
    </row>
    <row r="9" spans="2:16" s="6" customFormat="1" ht="15.75">
      <c r="B9" s="34" t="s">
        <v>28</v>
      </c>
      <c r="C9" s="34" t="s">
        <v>31</v>
      </c>
      <c r="D9" s="5"/>
      <c r="E9" s="3">
        <v>3.97</v>
      </c>
      <c r="F9" s="5"/>
      <c r="G9" s="16">
        <f t="shared" ref="G9:G13" si="0">E9*1.021^3</f>
        <v>4.2253990761699987</v>
      </c>
      <c r="H9" s="3">
        <f>G9*1.0191</f>
        <v>4.3061041985248449</v>
      </c>
      <c r="I9" s="3">
        <f t="shared" ref="I9:K9" si="1">H9*1.0191</f>
        <v>4.3883507887166688</v>
      </c>
      <c r="J9" s="3">
        <f t="shared" si="1"/>
        <v>4.4721682887811571</v>
      </c>
      <c r="K9" s="3">
        <f t="shared" si="1"/>
        <v>4.5575867030968764</v>
      </c>
      <c r="L9" s="7"/>
      <c r="M9" s="44" t="s">
        <v>70</v>
      </c>
      <c r="N9" s="44"/>
      <c r="O9" s="44"/>
      <c r="P9" s="44"/>
    </row>
    <row r="10" spans="2:16" s="6" customFormat="1" ht="15.75">
      <c r="B10" s="34" t="s">
        <v>29</v>
      </c>
      <c r="C10" s="34" t="s">
        <v>32</v>
      </c>
      <c r="D10" s="5"/>
      <c r="E10" s="28">
        <f>81410/35663/2</f>
        <v>1.1413790202731122</v>
      </c>
      <c r="F10" s="5"/>
      <c r="G10" s="16">
        <f t="shared" si="0"/>
        <v>1.2148065133052459</v>
      </c>
      <c r="H10" s="3">
        <f t="shared" ref="H10:K13" si="2">G10*1.0191</f>
        <v>1.2380093177093761</v>
      </c>
      <c r="I10" s="3">
        <f t="shared" si="2"/>
        <v>1.261655295677625</v>
      </c>
      <c r="J10" s="3">
        <f t="shared" si="2"/>
        <v>1.2857529118250675</v>
      </c>
      <c r="K10" s="3">
        <f t="shared" si="2"/>
        <v>1.3103107924409261</v>
      </c>
      <c r="L10" s="7"/>
      <c r="M10" s="44"/>
      <c r="N10" s="44"/>
      <c r="O10" s="44"/>
      <c r="P10" s="44"/>
    </row>
    <row r="11" spans="2:16" ht="15.75">
      <c r="B11" s="1" t="s">
        <v>30</v>
      </c>
      <c r="C11" s="1" t="s">
        <v>33</v>
      </c>
      <c r="D11" s="1"/>
      <c r="E11" s="28">
        <f>188988/35663/2*(1-(2*0.259))</f>
        <v>1.2771249754647673</v>
      </c>
      <c r="F11" s="2"/>
      <c r="G11" s="16">
        <f t="shared" si="0"/>
        <v>1.359285312715985</v>
      </c>
      <c r="H11" s="3">
        <f t="shared" si="2"/>
        <v>1.3852476621888601</v>
      </c>
      <c r="I11" s="3">
        <f t="shared" si="2"/>
        <v>1.4117058925366672</v>
      </c>
      <c r="J11" s="3">
        <f t="shared" si="2"/>
        <v>1.4386694750841174</v>
      </c>
      <c r="K11" s="3">
        <f t="shared" si="2"/>
        <v>1.4661480620582239</v>
      </c>
      <c r="L11" s="1"/>
      <c r="M11" s="44"/>
      <c r="N11" s="44"/>
      <c r="O11" s="44"/>
      <c r="P11" s="44"/>
    </row>
    <row r="12" spans="2:16" s="6" customFormat="1" ht="15.75">
      <c r="B12" s="34" t="s">
        <v>34</v>
      </c>
      <c r="C12" s="34" t="s">
        <v>35</v>
      </c>
      <c r="D12" s="5"/>
      <c r="E12" s="28">
        <f>14720/35663/2</f>
        <v>0.20637635644785912</v>
      </c>
      <c r="F12" s="5"/>
      <c r="G12" s="16">
        <f t="shared" si="0"/>
        <v>0.21965301407509175</v>
      </c>
      <c r="H12" s="3">
        <f t="shared" si="2"/>
        <v>0.22384838664392598</v>
      </c>
      <c r="I12" s="3">
        <f t="shared" si="2"/>
        <v>0.22812389082882495</v>
      </c>
      <c r="J12" s="3">
        <f t="shared" si="2"/>
        <v>0.2324810571436555</v>
      </c>
      <c r="K12" s="3">
        <f t="shared" si="2"/>
        <v>0.23692144533509929</v>
      </c>
      <c r="L12" s="7"/>
      <c r="M12" s="44"/>
      <c r="N12" s="44"/>
      <c r="O12" s="44"/>
      <c r="P12" s="44"/>
    </row>
    <row r="13" spans="2:16" ht="15.75">
      <c r="B13" s="34" t="s">
        <v>38</v>
      </c>
      <c r="C13" s="34" t="s">
        <v>36</v>
      </c>
      <c r="E13" s="28">
        <f>25301/35663/2</f>
        <v>0.35472338277766874</v>
      </c>
      <c r="G13" s="16">
        <f t="shared" si="0"/>
        <v>0.37754354002132451</v>
      </c>
      <c r="H13" s="3">
        <f t="shared" si="2"/>
        <v>0.38475462163573176</v>
      </c>
      <c r="I13" s="3">
        <f t="shared" si="2"/>
        <v>0.3921034349089742</v>
      </c>
      <c r="J13" s="3">
        <f t="shared" si="2"/>
        <v>0.39959261051573558</v>
      </c>
      <c r="K13" s="3">
        <f t="shared" si="2"/>
        <v>0.40722482937658611</v>
      </c>
      <c r="M13" s="44"/>
      <c r="N13" s="44"/>
      <c r="O13" s="44"/>
      <c r="P13" s="44"/>
    </row>
    <row r="14" spans="2:16" s="18" customFormat="1" ht="30" customHeight="1">
      <c r="B14" s="17" t="s">
        <v>66</v>
      </c>
      <c r="C14" s="40" t="s">
        <v>44</v>
      </c>
      <c r="D14" s="40"/>
      <c r="E14" s="16">
        <f>SUM(E9:E13)</f>
        <v>6.9496037349634081</v>
      </c>
      <c r="F14" s="26"/>
      <c r="G14" s="16">
        <f>E14*1.021^3</f>
        <v>7.3966874562876468</v>
      </c>
      <c r="H14" s="16">
        <f>G14*1.021</f>
        <v>7.5520178928696868</v>
      </c>
      <c r="I14" s="16">
        <f t="shared" ref="I14:K14" si="3">H14*1.021</f>
        <v>7.7106102686199494</v>
      </c>
      <c r="J14" s="16">
        <f t="shared" si="3"/>
        <v>7.8725330842609678</v>
      </c>
      <c r="K14" s="16">
        <f t="shared" si="3"/>
        <v>8.0378562790304482</v>
      </c>
      <c r="L14" s="17"/>
      <c r="M14" s="44"/>
      <c r="N14" s="44"/>
      <c r="O14" s="44"/>
      <c r="P14" s="44"/>
    </row>
    <row r="15" spans="2:16" ht="15.75">
      <c r="B15" s="1"/>
      <c r="C15" s="36"/>
      <c r="D15" s="36"/>
      <c r="E15" s="2"/>
      <c r="F15" s="2"/>
      <c r="G15" s="2"/>
      <c r="H15" s="2"/>
      <c r="I15" s="2"/>
      <c r="J15" s="2"/>
      <c r="K15" s="2"/>
      <c r="L15" s="1"/>
      <c r="M15" s="36"/>
      <c r="N15" s="36"/>
      <c r="O15" s="36"/>
      <c r="P15" s="36"/>
    </row>
    <row r="16" spans="2:16" ht="15.75">
      <c r="B16" s="31" t="s">
        <v>39</v>
      </c>
      <c r="C16" s="31" t="s">
        <v>43</v>
      </c>
      <c r="D16" s="31"/>
      <c r="E16" s="4">
        <f>71.187843-3.352403</f>
        <v>67.835440000000006</v>
      </c>
      <c r="F16" s="2"/>
      <c r="G16" s="4">
        <f>92.942041-4.249406</f>
        <v>88.69263500000001</v>
      </c>
      <c r="H16" s="4">
        <f>103.677487-6.716198</f>
        <v>96.961288999999994</v>
      </c>
      <c r="I16" s="4">
        <f>113.141865-9.404767</f>
        <v>103.737098</v>
      </c>
      <c r="J16" s="4">
        <f>123.630652-12.319528</f>
        <v>111.31112399999999</v>
      </c>
      <c r="K16" s="4">
        <f>133.453003-15.463587</f>
        <v>117.98941599999999</v>
      </c>
      <c r="L16" s="31"/>
      <c r="M16" s="45" t="s">
        <v>46</v>
      </c>
      <c r="N16" s="45"/>
      <c r="O16" s="45"/>
      <c r="P16" s="45"/>
    </row>
    <row r="17" spans="2:16" ht="15.75">
      <c r="B17" s="1" t="s">
        <v>40</v>
      </c>
      <c r="C17" s="36" t="s">
        <v>2</v>
      </c>
      <c r="D17" s="36"/>
      <c r="E17" s="3">
        <v>75.268281999999999</v>
      </c>
      <c r="F17" s="2"/>
      <c r="G17" s="4">
        <f>103.677487-6.716198</f>
        <v>96.961288999999994</v>
      </c>
      <c r="H17" s="4">
        <f>113.141865-9.404767</f>
        <v>103.737098</v>
      </c>
      <c r="I17" s="4">
        <f>123.630652-12.319528</f>
        <v>111.31112399999999</v>
      </c>
      <c r="J17" s="4">
        <f>133.453003-15.463587</f>
        <v>117.98941599999999</v>
      </c>
      <c r="K17" s="4">
        <f>143.745654-18.840841</f>
        <v>124.904813</v>
      </c>
      <c r="L17" s="1"/>
      <c r="M17" s="45"/>
      <c r="N17" s="45"/>
      <c r="O17" s="45"/>
      <c r="P17" s="45"/>
    </row>
    <row r="18" spans="2:16" ht="15.75">
      <c r="B18" s="31" t="s">
        <v>41</v>
      </c>
      <c r="C18" s="31" t="s">
        <v>42</v>
      </c>
      <c r="D18" s="31"/>
      <c r="E18" s="4">
        <f t="shared" ref="E18" si="4">SUM(E16:E17)/2</f>
        <v>71.551861000000002</v>
      </c>
      <c r="F18" s="4"/>
      <c r="G18" s="4">
        <f>SUM(G16:G17)/2</f>
        <v>92.826962000000009</v>
      </c>
      <c r="H18" s="4">
        <f t="shared" ref="H18:K18" si="5">SUM(H16:H17)/2</f>
        <v>100.3491935</v>
      </c>
      <c r="I18" s="4">
        <f t="shared" si="5"/>
        <v>107.524111</v>
      </c>
      <c r="J18" s="4">
        <f t="shared" si="5"/>
        <v>114.65026999999999</v>
      </c>
      <c r="K18" s="4">
        <f t="shared" si="5"/>
        <v>121.4471145</v>
      </c>
      <c r="L18" s="31"/>
      <c r="M18" s="45"/>
      <c r="N18" s="45"/>
      <c r="O18" s="45"/>
      <c r="P18" s="45"/>
    </row>
    <row r="19" spans="2:16" ht="15.75">
      <c r="B19" s="1" t="s">
        <v>47</v>
      </c>
      <c r="C19" s="36" t="s">
        <v>48</v>
      </c>
      <c r="D19" s="36"/>
      <c r="E19" s="4">
        <f>E18*0.85</f>
        <v>60.819081850000003</v>
      </c>
      <c r="F19" s="4"/>
      <c r="G19" s="4">
        <f t="shared" ref="G19:K19" si="6">G18*0.85</f>
        <v>78.902917700000003</v>
      </c>
      <c r="H19" s="4">
        <f t="shared" si="6"/>
        <v>85.296814474999991</v>
      </c>
      <c r="I19" s="4">
        <f t="shared" si="6"/>
        <v>91.395494350000007</v>
      </c>
      <c r="J19" s="4">
        <f t="shared" si="6"/>
        <v>97.45272949999999</v>
      </c>
      <c r="K19" s="4">
        <f t="shared" si="6"/>
        <v>103.230047325</v>
      </c>
      <c r="L19" s="1"/>
      <c r="M19" s="36" t="s">
        <v>56</v>
      </c>
      <c r="N19" s="36"/>
      <c r="O19" s="36"/>
      <c r="P19" s="36"/>
    </row>
    <row r="21" spans="2:16" s="10" customFormat="1" ht="45.75" customHeight="1">
      <c r="B21" s="11" t="s">
        <v>3</v>
      </c>
      <c r="C21" s="37" t="s">
        <v>4</v>
      </c>
      <c r="D21" s="37"/>
      <c r="E21" s="12">
        <v>48352</v>
      </c>
      <c r="F21" s="13"/>
      <c r="G21" s="9">
        <v>48449</v>
      </c>
      <c r="H21" s="9">
        <v>48449</v>
      </c>
      <c r="I21" s="9">
        <v>48449</v>
      </c>
      <c r="J21" s="9">
        <v>48449</v>
      </c>
      <c r="K21" s="9">
        <v>48449</v>
      </c>
      <c r="L21" s="8"/>
      <c r="M21" s="37" t="s">
        <v>57</v>
      </c>
      <c r="N21" s="37"/>
      <c r="O21" s="37"/>
      <c r="P21" s="37"/>
    </row>
    <row r="22" spans="2:16" ht="15.75">
      <c r="B22" s="1"/>
      <c r="C22" s="36"/>
      <c r="D22" s="36"/>
      <c r="E22" s="2"/>
      <c r="F22" s="2"/>
      <c r="G22" s="2"/>
      <c r="H22" s="2"/>
      <c r="I22" s="2"/>
      <c r="J22" s="2"/>
      <c r="K22" s="2"/>
      <c r="L22" s="1"/>
      <c r="M22" s="36"/>
      <c r="N22" s="36"/>
      <c r="O22" s="36"/>
      <c r="P22" s="36"/>
    </row>
    <row r="23" spans="2:16" ht="15.75">
      <c r="B23" s="1" t="s">
        <v>5</v>
      </c>
      <c r="C23" s="36" t="s">
        <v>50</v>
      </c>
      <c r="D23" s="36"/>
      <c r="E23" s="3">
        <f>E19/E21*1000000</f>
        <v>1257.840044879219</v>
      </c>
      <c r="F23" s="3"/>
      <c r="G23" s="3">
        <f t="shared" ref="G23:K23" si="7">G19/G21*1000000</f>
        <v>1628.5768065388347</v>
      </c>
      <c r="H23" s="3">
        <f t="shared" si="7"/>
        <v>1760.5485040970916</v>
      </c>
      <c r="I23" s="3">
        <f t="shared" si="7"/>
        <v>1886.4268478193567</v>
      </c>
      <c r="J23" s="3">
        <f t="shared" si="7"/>
        <v>2011.4497616049864</v>
      </c>
      <c r="K23" s="3">
        <f t="shared" si="7"/>
        <v>2130.6951087741745</v>
      </c>
      <c r="L23" s="1"/>
      <c r="M23" s="36" t="s">
        <v>49</v>
      </c>
      <c r="N23" s="36"/>
      <c r="O23" s="36"/>
      <c r="P23" s="36"/>
    </row>
    <row r="24" spans="2:16" ht="15.75">
      <c r="B24" s="1"/>
      <c r="C24" s="36"/>
      <c r="D24" s="36"/>
      <c r="E24" s="2"/>
      <c r="F24" s="2"/>
      <c r="G24" s="2"/>
      <c r="H24" s="2"/>
      <c r="I24" s="2"/>
      <c r="J24" s="2"/>
      <c r="K24" s="2"/>
      <c r="L24" s="1"/>
      <c r="M24" s="36"/>
      <c r="N24" s="36"/>
      <c r="O24" s="36"/>
      <c r="P24" s="36"/>
    </row>
    <row r="25" spans="2:16" ht="30" customHeight="1">
      <c r="B25" s="33" t="s">
        <v>15</v>
      </c>
      <c r="C25" s="40" t="s">
        <v>6</v>
      </c>
      <c r="D25" s="40"/>
      <c r="E25" s="35">
        <v>8.0399999999999999E-2</v>
      </c>
      <c r="F25" s="26"/>
      <c r="G25" s="35">
        <v>7.0400000000000004E-2</v>
      </c>
      <c r="H25" s="35">
        <v>7.0699999999999999E-2</v>
      </c>
      <c r="I25" s="35">
        <v>7.1099999999999997E-2</v>
      </c>
      <c r="J25" s="35">
        <v>7.1499999999999994E-2</v>
      </c>
      <c r="K25" s="35">
        <v>7.17E-2</v>
      </c>
      <c r="L25" s="1"/>
      <c r="M25" s="43" t="s">
        <v>58</v>
      </c>
      <c r="N25" s="43"/>
      <c r="O25" s="43"/>
      <c r="P25" s="43"/>
    </row>
    <row r="26" spans="2:16" ht="15.75">
      <c r="B26" s="1" t="s">
        <v>16</v>
      </c>
      <c r="C26" s="36" t="s">
        <v>21</v>
      </c>
      <c r="D26" s="36"/>
      <c r="E26" s="3">
        <f>E23*E25</f>
        <v>101.1303396082892</v>
      </c>
      <c r="F26" s="3"/>
      <c r="G26" s="3">
        <f t="shared" ref="G26:K26" si="8">G23*G25</f>
        <v>114.65180718033398</v>
      </c>
      <c r="H26" s="3">
        <f t="shared" si="8"/>
        <v>124.47077923966438</v>
      </c>
      <c r="I26" s="3">
        <f t="shared" si="8"/>
        <v>134.12494887995626</v>
      </c>
      <c r="J26" s="3">
        <f t="shared" si="8"/>
        <v>143.8186579547565</v>
      </c>
      <c r="K26" s="3">
        <f t="shared" si="8"/>
        <v>152.7708392991083</v>
      </c>
      <c r="L26" s="1"/>
      <c r="M26" s="36" t="s">
        <v>51</v>
      </c>
      <c r="N26" s="36"/>
      <c r="O26" s="36"/>
      <c r="P26" s="36"/>
    </row>
    <row r="27" spans="2:16" ht="15.75">
      <c r="B27" s="1"/>
      <c r="C27" s="36"/>
      <c r="D27" s="36"/>
      <c r="E27" s="2"/>
      <c r="F27" s="2"/>
      <c r="G27" s="2"/>
      <c r="H27" s="2"/>
      <c r="I27" s="2"/>
      <c r="J27" s="2"/>
      <c r="K27" s="2"/>
      <c r="L27" s="1"/>
      <c r="M27" s="36"/>
      <c r="N27" s="36"/>
      <c r="O27" s="36"/>
      <c r="P27" s="36"/>
    </row>
    <row r="28" spans="2:16" ht="15.75">
      <c r="B28" s="1" t="s">
        <v>17</v>
      </c>
      <c r="C28" s="36" t="s">
        <v>7</v>
      </c>
      <c r="D28" s="36"/>
      <c r="E28" s="4">
        <v>1.979636</v>
      </c>
      <c r="F28" s="2"/>
      <c r="G28" s="4">
        <v>2.5521769999999999</v>
      </c>
      <c r="H28" s="4">
        <v>2.7739539999999998</v>
      </c>
      <c r="I28" s="4">
        <v>3.000146</v>
      </c>
      <c r="J28" s="4">
        <v>3.229444</v>
      </c>
      <c r="K28" s="4">
        <v>3.4626399999999999</v>
      </c>
      <c r="L28" s="1"/>
      <c r="M28" s="36" t="s">
        <v>26</v>
      </c>
      <c r="N28" s="36"/>
      <c r="O28" s="36"/>
      <c r="P28" s="36"/>
    </row>
    <row r="29" spans="2:16" ht="15.75">
      <c r="B29" s="1" t="s">
        <v>18</v>
      </c>
      <c r="C29" s="36" t="s">
        <v>10</v>
      </c>
      <c r="D29" s="36"/>
      <c r="E29" s="4">
        <f>E28/E21*1000000*0.85</f>
        <v>34.800847948378561</v>
      </c>
      <c r="F29" s="4"/>
      <c r="G29" s="4">
        <f t="shared" ref="G29:K29" si="9">G28/G21*1000000*0.85</f>
        <v>44.775959256124999</v>
      </c>
      <c r="H29" s="4">
        <f t="shared" si="9"/>
        <v>48.66686412516254</v>
      </c>
      <c r="I29" s="4">
        <f t="shared" si="9"/>
        <v>52.63522673326591</v>
      </c>
      <c r="J29" s="4">
        <f t="shared" si="9"/>
        <v>56.658081694152614</v>
      </c>
      <c r="K29" s="4">
        <f t="shared" si="9"/>
        <v>60.74932403145575</v>
      </c>
      <c r="L29" s="1"/>
      <c r="M29" s="36" t="s">
        <v>52</v>
      </c>
      <c r="N29" s="36"/>
      <c r="O29" s="36"/>
      <c r="P29" s="36"/>
    </row>
    <row r="30" spans="2:16" ht="15.75">
      <c r="B30" s="1"/>
      <c r="C30" s="36"/>
      <c r="D30" s="36"/>
      <c r="E30" s="2"/>
      <c r="F30" s="2"/>
      <c r="G30" s="2"/>
      <c r="H30" s="2"/>
      <c r="I30" s="2"/>
      <c r="J30" s="2"/>
      <c r="K30" s="2"/>
      <c r="L30" s="1"/>
      <c r="M30" s="36"/>
      <c r="N30" s="36"/>
      <c r="O30" s="36"/>
      <c r="P30" s="36"/>
    </row>
    <row r="31" spans="2:16" s="30" customFormat="1" ht="30" customHeight="1">
      <c r="B31" s="29" t="s">
        <v>19</v>
      </c>
      <c r="C31" s="39" t="s">
        <v>23</v>
      </c>
      <c r="D31" s="39"/>
      <c r="E31" s="28">
        <v>605.08100000000002</v>
      </c>
      <c r="F31" s="26"/>
      <c r="G31" s="28">
        <v>552.59100000000001</v>
      </c>
      <c r="H31" s="28">
        <v>563.14499999999998</v>
      </c>
      <c r="I31" s="28">
        <v>573.90200000000004</v>
      </c>
      <c r="J31" s="28">
        <v>584.86300000000006</v>
      </c>
      <c r="K31" s="28">
        <v>596.03399999999999</v>
      </c>
      <c r="L31" s="29"/>
      <c r="M31" s="41" t="s">
        <v>27</v>
      </c>
      <c r="N31" s="41"/>
      <c r="O31" s="41"/>
      <c r="P31" s="41"/>
    </row>
    <row r="32" spans="2:16" ht="15.75">
      <c r="B32" s="1" t="s">
        <v>20</v>
      </c>
      <c r="C32" s="36" t="s">
        <v>9</v>
      </c>
      <c r="D32" s="36"/>
      <c r="E32" s="4">
        <f>E31/E21*1000*0.85</f>
        <v>10.636971583388483</v>
      </c>
      <c r="F32" s="4"/>
      <c r="G32" s="4">
        <f t="shared" ref="G32:K32" si="10">G31/G21*1000*0.85</f>
        <v>9.6947790460071417</v>
      </c>
      <c r="H32" s="4">
        <f t="shared" si="10"/>
        <v>9.8799407624512376</v>
      </c>
      <c r="I32" s="4">
        <f t="shared" si="10"/>
        <v>10.068663955912404</v>
      </c>
      <c r="J32" s="4">
        <f t="shared" si="10"/>
        <v>10.260966170612397</v>
      </c>
      <c r="K32" s="4">
        <f t="shared" si="10"/>
        <v>10.456952671881773</v>
      </c>
      <c r="L32" s="1"/>
      <c r="M32" s="36" t="s">
        <v>53</v>
      </c>
      <c r="N32" s="36"/>
      <c r="O32" s="36"/>
      <c r="P32" s="36"/>
    </row>
    <row r="33" spans="2:16" ht="15.75">
      <c r="B33" s="1"/>
      <c r="C33" s="36"/>
      <c r="D33" s="36"/>
      <c r="E33" s="2"/>
      <c r="F33" s="2"/>
      <c r="G33" s="2"/>
      <c r="H33" s="2"/>
      <c r="I33" s="2"/>
      <c r="J33" s="2"/>
      <c r="K33" s="2"/>
      <c r="L33" s="1"/>
      <c r="M33" s="36"/>
      <c r="N33" s="36"/>
      <c r="O33" s="36"/>
      <c r="P33" s="36"/>
    </row>
    <row r="34" spans="2:16" ht="15.75">
      <c r="B34" s="1" t="s">
        <v>8</v>
      </c>
      <c r="C34" s="36" t="s">
        <v>11</v>
      </c>
      <c r="D34" s="36"/>
      <c r="E34" s="3">
        <f>E26+E29+E32</f>
        <v>146.56815914005625</v>
      </c>
      <c r="F34" s="3"/>
      <c r="G34" s="3">
        <f t="shared" ref="G34:K34" si="11">G26+G29+G32</f>
        <v>169.12254548246611</v>
      </c>
      <c r="H34" s="3">
        <f t="shared" si="11"/>
        <v>183.01758412727816</v>
      </c>
      <c r="I34" s="3">
        <f t="shared" si="11"/>
        <v>196.82883956913457</v>
      </c>
      <c r="J34" s="3">
        <f t="shared" si="11"/>
        <v>210.73770581952152</v>
      </c>
      <c r="K34" s="3">
        <f t="shared" si="11"/>
        <v>223.97711600244583</v>
      </c>
      <c r="L34" s="1"/>
      <c r="M34" s="36" t="s">
        <v>22</v>
      </c>
      <c r="N34" s="36"/>
      <c r="O34" s="36"/>
      <c r="P34" s="36"/>
    </row>
    <row r="35" spans="2:16" ht="15.75">
      <c r="B35" s="1"/>
      <c r="C35" s="36"/>
      <c r="D35" s="36"/>
      <c r="E35" s="2"/>
      <c r="F35" s="2"/>
      <c r="G35" s="2"/>
      <c r="H35" s="2"/>
      <c r="I35" s="2"/>
      <c r="J35" s="2"/>
      <c r="K35" s="2"/>
      <c r="L35" s="1"/>
      <c r="M35" s="36"/>
      <c r="N35" s="36"/>
      <c r="O35" s="36"/>
      <c r="P35" s="36"/>
    </row>
    <row r="36" spans="2:16" s="18" customFormat="1" ht="30" customHeight="1">
      <c r="B36" s="15" t="s">
        <v>12</v>
      </c>
      <c r="C36" s="37" t="s">
        <v>24</v>
      </c>
      <c r="D36" s="37"/>
      <c r="E36" s="16">
        <f>E34*0.259</f>
        <v>37.961153217274571</v>
      </c>
      <c r="F36" s="16"/>
      <c r="G36" s="16">
        <f t="shared" ref="G36:K36" si="12">G34*0.259</f>
        <v>43.802739279958722</v>
      </c>
      <c r="H36" s="16">
        <f t="shared" si="12"/>
        <v>47.401554288965045</v>
      </c>
      <c r="I36" s="16">
        <f t="shared" si="12"/>
        <v>50.978669448405853</v>
      </c>
      <c r="J36" s="16">
        <f t="shared" si="12"/>
        <v>54.581065807256074</v>
      </c>
      <c r="K36" s="16">
        <f t="shared" si="12"/>
        <v>58.010073044633472</v>
      </c>
      <c r="L36" s="15"/>
      <c r="M36" s="37" t="s">
        <v>59</v>
      </c>
      <c r="N36" s="37"/>
      <c r="O36" s="37"/>
      <c r="P36" s="37"/>
    </row>
    <row r="37" spans="2:16" ht="15.75">
      <c r="B37" s="1"/>
      <c r="C37" s="36"/>
      <c r="D37" s="36"/>
      <c r="E37" s="2"/>
      <c r="F37" s="2"/>
      <c r="G37" s="2"/>
      <c r="H37" s="2"/>
      <c r="I37" s="2"/>
      <c r="J37" s="2"/>
      <c r="K37" s="2"/>
      <c r="L37" s="1"/>
      <c r="M37" s="36"/>
      <c r="N37" s="36"/>
      <c r="O37" s="36"/>
      <c r="P37" s="36"/>
    </row>
    <row r="38" spans="2:16" s="19" customFormat="1" ht="15.75">
      <c r="B38" s="14" t="s">
        <v>13</v>
      </c>
      <c r="C38" s="38" t="s">
        <v>14</v>
      </c>
      <c r="D38" s="38"/>
      <c r="E38" s="24">
        <f>E14+E36</f>
        <v>44.910756952237982</v>
      </c>
      <c r="F38" s="24"/>
      <c r="G38" s="24">
        <f>G14+G36</f>
        <v>51.199426736246366</v>
      </c>
      <c r="H38" s="24">
        <f>H14+H36</f>
        <v>54.95357218183473</v>
      </c>
      <c r="I38" s="24">
        <f>I14+I36</f>
        <v>58.689279717025805</v>
      </c>
      <c r="J38" s="24">
        <f>J14+J36</f>
        <v>62.453598891517039</v>
      </c>
      <c r="K38" s="24">
        <f>K14+K36</f>
        <v>66.047929323663922</v>
      </c>
      <c r="L38" s="23"/>
      <c r="M38" s="36" t="s">
        <v>67</v>
      </c>
      <c r="N38" s="36"/>
      <c r="O38" s="36"/>
      <c r="P38" s="36"/>
    </row>
    <row r="40" spans="2:16" s="23" customFormat="1" ht="15.75">
      <c r="I40" s="25"/>
    </row>
    <row r="42" spans="2:16">
      <c r="B42" t="s">
        <v>75</v>
      </c>
      <c r="E42" t="s">
        <v>60</v>
      </c>
    </row>
    <row r="43" spans="2:16">
      <c r="E43" t="s">
        <v>72</v>
      </c>
    </row>
    <row r="44" spans="2:16">
      <c r="E44" t="s">
        <v>61</v>
      </c>
    </row>
    <row r="45" spans="2:16">
      <c r="E45" t="s">
        <v>63</v>
      </c>
    </row>
    <row r="46" spans="2:16">
      <c r="E46" t="s">
        <v>62</v>
      </c>
    </row>
    <row r="47" spans="2:16">
      <c r="E47" t="s">
        <v>64</v>
      </c>
    </row>
    <row r="48" spans="2:16">
      <c r="E48" t="s">
        <v>65</v>
      </c>
    </row>
    <row r="49" spans="5:5">
      <c r="E49" t="s">
        <v>45</v>
      </c>
    </row>
    <row r="50" spans="5:5">
      <c r="E50" t="s">
        <v>54</v>
      </c>
    </row>
    <row r="51" spans="5:5">
      <c r="E51" t="s">
        <v>55</v>
      </c>
    </row>
    <row r="52" spans="5:5">
      <c r="E52" t="s">
        <v>71</v>
      </c>
    </row>
    <row r="53" spans="5:5">
      <c r="E53" t="s">
        <v>73</v>
      </c>
    </row>
    <row r="54" spans="5:5">
      <c r="E54" t="s">
        <v>74</v>
      </c>
    </row>
  </sheetData>
  <mergeCells count="45">
    <mergeCell ref="M26:P26"/>
    <mergeCell ref="M7:P7"/>
    <mergeCell ref="M15:P15"/>
    <mergeCell ref="M19:P19"/>
    <mergeCell ref="M21:P21"/>
    <mergeCell ref="M22:P22"/>
    <mergeCell ref="M23:P23"/>
    <mergeCell ref="M24:P24"/>
    <mergeCell ref="M25:P25"/>
    <mergeCell ref="M9:P14"/>
    <mergeCell ref="M16:P18"/>
    <mergeCell ref="M38:P38"/>
    <mergeCell ref="M27:P27"/>
    <mergeCell ref="M28:P28"/>
    <mergeCell ref="M29:P29"/>
    <mergeCell ref="M30:P30"/>
    <mergeCell ref="M31:P31"/>
    <mergeCell ref="M32:P32"/>
    <mergeCell ref="M33:P33"/>
    <mergeCell ref="M34:P34"/>
    <mergeCell ref="M35:P35"/>
    <mergeCell ref="M36:P36"/>
    <mergeCell ref="M37:P37"/>
    <mergeCell ref="C28:D28"/>
    <mergeCell ref="C14:D14"/>
    <mergeCell ref="C15:D15"/>
    <mergeCell ref="C17:D17"/>
    <mergeCell ref="C19:D19"/>
    <mergeCell ref="C21:D21"/>
    <mergeCell ref="C22:D22"/>
    <mergeCell ref="C23:D23"/>
    <mergeCell ref="C24:D24"/>
    <mergeCell ref="C25:D25"/>
    <mergeCell ref="C26:D26"/>
    <mergeCell ref="C27:D27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34:D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VECC Submissions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dbrady</cp:lastModifiedBy>
  <dcterms:created xsi:type="dcterms:W3CDTF">2015-09-19T03:18:54Z</dcterms:created>
  <dcterms:modified xsi:type="dcterms:W3CDTF">2015-11-12T15:49:49Z</dcterms:modified>
</cp:coreProperties>
</file>