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7655" windowHeight="490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J8" i="1" l="1"/>
  <c r="J7" i="1" s="1"/>
  <c r="I8" i="1"/>
  <c r="I7" i="1" s="1"/>
  <c r="H8" i="1"/>
  <c r="H7" i="1" s="1"/>
  <c r="G8" i="1"/>
  <c r="G7" i="1" s="1"/>
  <c r="F8" i="1"/>
  <c r="F7" i="1" s="1"/>
  <c r="F5" i="1"/>
  <c r="G5" i="1"/>
  <c r="H5" i="1"/>
  <c r="H11" i="1" s="1"/>
  <c r="I5" i="1"/>
  <c r="J5" i="1"/>
  <c r="G28" i="1"/>
  <c r="G26" i="1" s="1"/>
  <c r="H28" i="1"/>
  <c r="H26" i="1" s="1"/>
  <c r="I28" i="1"/>
  <c r="I26" i="1" s="1"/>
  <c r="J28" i="1"/>
  <c r="J26" i="1" s="1"/>
  <c r="F28" i="1"/>
  <c r="F26" i="1" s="1"/>
  <c r="G23" i="1"/>
  <c r="G21" i="1" s="1"/>
  <c r="H23" i="1"/>
  <c r="H21" i="1" s="1"/>
  <c r="I23" i="1"/>
  <c r="I21" i="1" s="1"/>
  <c r="J23" i="1"/>
  <c r="J21" i="1" s="1"/>
  <c r="F23" i="1"/>
  <c r="F21" i="1" s="1"/>
  <c r="I17" i="1"/>
  <c r="I18" i="1" s="1"/>
  <c r="I14" i="1" s="1"/>
  <c r="I31" i="1" s="1"/>
  <c r="G17" i="1"/>
  <c r="G18" i="1" s="1"/>
  <c r="G14" i="1" s="1"/>
  <c r="G31" i="1" s="1"/>
  <c r="H17" i="1"/>
  <c r="H18" i="1" s="1"/>
  <c r="H14" i="1" s="1"/>
  <c r="H31" i="1" s="1"/>
  <c r="J17" i="1"/>
  <c r="J18" i="1" s="1"/>
  <c r="J14" i="1" s="1"/>
  <c r="J31" i="1" s="1"/>
  <c r="F17" i="1"/>
  <c r="F18" i="1" s="1"/>
  <c r="F14" i="1" s="1"/>
  <c r="F31" i="1" s="1"/>
  <c r="J11" i="1" l="1"/>
  <c r="F11" i="1"/>
  <c r="I11" i="1"/>
  <c r="G11" i="1"/>
  <c r="I34" i="1"/>
  <c r="H34" i="1"/>
  <c r="H38" i="1" s="1"/>
  <c r="F34" i="1"/>
  <c r="F38" i="1" s="1"/>
  <c r="G34" i="1"/>
  <c r="G38" i="1" s="1"/>
  <c r="J34" i="1"/>
  <c r="J38" i="1" s="1"/>
  <c r="I38" i="1" l="1"/>
</calcChain>
</file>

<file path=xl/sharedStrings.xml><?xml version="1.0" encoding="utf-8"?>
<sst xmlns="http://schemas.openxmlformats.org/spreadsheetml/2006/main" count="66" uniqueCount="64">
  <si>
    <t>Total Direct Cost</t>
  </si>
  <si>
    <t>A</t>
  </si>
  <si>
    <t>B</t>
  </si>
  <si>
    <t>C</t>
  </si>
  <si>
    <t>Net Embedded Cost per pole</t>
  </si>
  <si>
    <t>D</t>
  </si>
  <si>
    <t>E</t>
  </si>
  <si>
    <t>F</t>
  </si>
  <si>
    <t>G</t>
  </si>
  <si>
    <t>Total Indirect Costs per pole</t>
  </si>
  <si>
    <t>H</t>
  </si>
  <si>
    <t>I</t>
  </si>
  <si>
    <t>J</t>
  </si>
  <si>
    <t>Direct Costs</t>
  </si>
  <si>
    <t>Indirect Costs</t>
  </si>
  <si>
    <t>Explanation</t>
  </si>
  <si>
    <t>Price Component</t>
  </si>
  <si>
    <t>Total Opening NBV</t>
  </si>
  <si>
    <t>Total Closing NBV</t>
  </si>
  <si>
    <t>Total Average NBV</t>
  </si>
  <si>
    <t>(Total Opening NBV + Total Closing NBV)/2</t>
  </si>
  <si>
    <t>Settlement Proposal - Appendix 2-BA (D25-I25)</t>
  </si>
  <si>
    <t>Settlement Proposal - Appendix 2-BA (G25-L25)</t>
  </si>
  <si>
    <t>Pre-Tax WACC</t>
  </si>
  <si>
    <t>Total Adjusted Average NBV</t>
  </si>
  <si>
    <t>Capital Carrying Cost per pole</t>
  </si>
  <si>
    <t>D * (Pre-Tax WACC)</t>
  </si>
  <si>
    <t>Settlement Proposal - Appendix 2-BA (J25)</t>
  </si>
  <si>
    <t>Depreciation Expense per pole</t>
  </si>
  <si>
    <t>Total Depreciation Expense</t>
  </si>
  <si>
    <t>Adjusted Depreciation Expense</t>
  </si>
  <si>
    <t>Pole Maintenance Expense per pole</t>
  </si>
  <si>
    <t xml:space="preserve">Total Maintenance Expense </t>
  </si>
  <si>
    <t>Settlement Proposal - Cost Allocation Models, Tab I3, D391</t>
  </si>
  <si>
    <t>Adjusted Maintenance Expense</t>
  </si>
  <si>
    <t>E+F+G</t>
  </si>
  <si>
    <t>Number of In-Service Poles</t>
  </si>
  <si>
    <t>(Total Adjusted Average NBV)/ (Number of In-Service Poles)</t>
  </si>
  <si>
    <t>(Total Maintenance Expense Depreciation Expense) / (Number of In-Service Poles)</t>
  </si>
  <si>
    <t>Total Indirect Cost Allocation per pole</t>
  </si>
  <si>
    <t>Total Cost Per Attacher</t>
  </si>
  <si>
    <t>Adminstration Cost per pole</t>
  </si>
  <si>
    <t>Loss in Productivity per pole per attachment</t>
  </si>
  <si>
    <t>Total Loss in Productivity per pole</t>
  </si>
  <si>
    <t>Number of Attachments per Pole</t>
  </si>
  <si>
    <t>A+B</t>
  </si>
  <si>
    <t>C+I</t>
  </si>
  <si>
    <t>$8.70 (2013 per HOL Argument in Chief, p.12) escalated by 1.9% per year</t>
  </si>
  <si>
    <t xml:space="preserve">Total Average NBV * 0.85 </t>
  </si>
  <si>
    <t>(Total Adjusted Depreciation Expense) / (Number of In-Service Poles)</t>
  </si>
  <si>
    <t xml:space="preserve">Total Depreciation Expense * 0.85 </t>
  </si>
  <si>
    <t xml:space="preserve">Total Maintenance Expense * 0.85 </t>
  </si>
  <si>
    <t xml:space="preserve">J2.4 </t>
  </si>
  <si>
    <t>$3.97 (2013) escalated by 1.9% per year</t>
  </si>
  <si>
    <t>(Total Loss in Prodctivity per pole/ Number of Attachers per pole [1.71])</t>
  </si>
  <si>
    <t>Argument Paragraph</t>
  </si>
  <si>
    <t>12, 14</t>
  </si>
  <si>
    <t>12, 15-18</t>
  </si>
  <si>
    <t>34-38</t>
  </si>
  <si>
    <t>21-22</t>
  </si>
  <si>
    <t>28-31</t>
  </si>
  <si>
    <t>SEC Pole Attachment Rate Derivation Table</t>
  </si>
  <si>
    <t xml:space="preserve">Total Indirect Cost per pole (G) * Allocation Factor of 29.1% (1.71 attachments per pole) </t>
  </si>
  <si>
    <t>38-39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</si>
</sst>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5" fontId="0" fillId="0" borderId="0" xfId="0" applyNumberFormat="1" applyAlignment="1"/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0" fillId="0" borderId="0" xfId="0" applyNumberFormat="1" applyFont="1" applyBorder="1" applyAlignment="1">
      <alignment vertical="top"/>
    </xf>
    <xf numFmtId="164" fontId="0" fillId="0" borderId="0" xfId="0" applyNumberFormat="1" applyBorder="1" applyAlignment="1">
      <alignment vertical="top"/>
    </xf>
    <xf numFmtId="37" fontId="0" fillId="0" borderId="0" xfId="0" applyNumberFormat="1" applyBorder="1" applyAlignment="1">
      <alignment vertical="top"/>
    </xf>
    <xf numFmtId="0" fontId="0" fillId="0" borderId="0" xfId="0" applyFont="1" applyBorder="1" applyAlignment="1">
      <alignment vertical="top"/>
    </xf>
    <xf numFmtId="164" fontId="4" fillId="0" borderId="0" xfId="2" applyNumberFormat="1" applyFont="1" applyBorder="1" applyAlignment="1">
      <alignment vertical="top"/>
    </xf>
    <xf numFmtId="10" fontId="0" fillId="0" borderId="0" xfId="0" applyNumberFormat="1" applyBorder="1" applyAlignment="1">
      <alignment vertical="top"/>
    </xf>
    <xf numFmtId="166" fontId="0" fillId="0" borderId="0" xfId="0" applyNumberFormat="1" applyBorder="1" applyAlignment="1">
      <alignment vertical="top"/>
    </xf>
    <xf numFmtId="0" fontId="0" fillId="0" borderId="0" xfId="0" applyBorder="1" applyAlignment="1">
      <alignment wrapText="1"/>
    </xf>
    <xf numFmtId="0" fontId="6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4" fontId="1" fillId="0" borderId="0" xfId="1" applyFont="1" applyFill="1" applyBorder="1" applyAlignment="1">
      <alignment vertical="top"/>
    </xf>
    <xf numFmtId="44" fontId="0" fillId="0" borderId="0" xfId="1" applyFont="1" applyFill="1" applyBorder="1" applyAlignment="1">
      <alignment vertical="top"/>
    </xf>
    <xf numFmtId="44" fontId="0" fillId="0" borderId="0" xfId="1" applyFont="1" applyFill="1" applyBorder="1" applyAlignment="1">
      <alignment wrapText="1"/>
    </xf>
    <xf numFmtId="44" fontId="0" fillId="0" borderId="0" xfId="1" applyFont="1" applyFill="1" applyBorder="1"/>
    <xf numFmtId="0" fontId="0" fillId="0" borderId="0" xfId="0" applyNumberFormat="1" applyBorder="1" applyAlignment="1">
      <alignment horizontal="center"/>
    </xf>
    <xf numFmtId="0" fontId="0" fillId="0" borderId="0" xfId="0" applyNumberFormat="1" applyBorder="1"/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Fill="1" applyBorder="1" applyAlignment="1">
      <alignment horizontal="center" vertical="top"/>
    </xf>
    <xf numFmtId="0" fontId="0" fillId="0" borderId="0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3">
    <cellStyle name="Currency 193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Normal="100" workbookViewId="0">
      <selection activeCell="L10" sqref="L10"/>
    </sheetView>
  </sheetViews>
  <sheetFormatPr defaultRowHeight="15" x14ac:dyDescent="0.25"/>
  <cols>
    <col min="1" max="1" width="2.28515625" customWidth="1"/>
    <col min="5" max="5" width="12.42578125" customWidth="1"/>
    <col min="6" max="6" width="13.42578125" customWidth="1"/>
    <col min="7" max="7" width="13.7109375" customWidth="1"/>
    <col min="8" max="8" width="13.7109375" bestFit="1" customWidth="1"/>
    <col min="9" max="9" width="15.7109375" customWidth="1"/>
    <col min="10" max="10" width="13.7109375" bestFit="1" customWidth="1"/>
    <col min="11" max="11" width="44.42578125" customWidth="1"/>
    <col min="12" max="12" width="21.140625" customWidth="1"/>
  </cols>
  <sheetData>
    <row r="1" spans="1:13" ht="17.25" x14ac:dyDescent="0.3">
      <c r="A1" s="35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3" x14ac:dyDescent="0.25">
      <c r="B2" s="5"/>
      <c r="C2" s="5"/>
      <c r="D2" s="5"/>
      <c r="E2" s="5"/>
      <c r="F2" s="5"/>
      <c r="G2" s="5"/>
      <c r="H2" s="5"/>
      <c r="I2" s="5"/>
      <c r="J2" s="5"/>
    </row>
    <row r="3" spans="1:13" x14ac:dyDescent="0.25">
      <c r="A3" s="17"/>
      <c r="B3" s="18" t="s">
        <v>16</v>
      </c>
      <c r="C3" s="18"/>
      <c r="D3" s="18"/>
      <c r="E3" s="18"/>
      <c r="F3" s="19">
        <v>2016</v>
      </c>
      <c r="G3" s="19">
        <v>2017</v>
      </c>
      <c r="H3" s="19">
        <v>2018</v>
      </c>
      <c r="I3" s="19">
        <v>2019</v>
      </c>
      <c r="J3" s="19">
        <v>2020</v>
      </c>
      <c r="K3" s="20" t="s">
        <v>15</v>
      </c>
      <c r="L3" s="20" t="s">
        <v>55</v>
      </c>
      <c r="M3" s="2"/>
    </row>
    <row r="4" spans="1:13" x14ac:dyDescent="0.25">
      <c r="A4" s="21"/>
      <c r="B4" s="22" t="s">
        <v>13</v>
      </c>
      <c r="C4" s="7"/>
      <c r="D4" s="7"/>
      <c r="E4" s="7"/>
      <c r="F4" s="7"/>
      <c r="G4" s="7"/>
      <c r="H4" s="7"/>
      <c r="I4" s="7"/>
      <c r="J4" s="7"/>
      <c r="K4" s="23"/>
      <c r="L4" s="23"/>
    </row>
    <row r="5" spans="1:13" x14ac:dyDescent="0.25">
      <c r="A5" s="6" t="s">
        <v>1</v>
      </c>
      <c r="B5" s="6" t="s">
        <v>41</v>
      </c>
      <c r="C5" s="7"/>
      <c r="D5" s="7"/>
      <c r="E5" s="7"/>
      <c r="F5" s="8">
        <f>3.97*1.019^3</f>
        <v>4.2006167402299992</v>
      </c>
      <c r="G5" s="8">
        <f>3.97*1.019^4</f>
        <v>4.2804284582943692</v>
      </c>
      <c r="H5" s="8">
        <f>3.97*1.019^5</f>
        <v>4.3617565990019616</v>
      </c>
      <c r="I5" s="8">
        <f>3.97*1.019^6</f>
        <v>4.444629974383</v>
      </c>
      <c r="J5" s="8">
        <f>3.97*1.019^7</f>
        <v>4.5290779438962767</v>
      </c>
      <c r="K5" s="24" t="s">
        <v>53</v>
      </c>
      <c r="L5" s="30" t="s">
        <v>57</v>
      </c>
    </row>
    <row r="6" spans="1:13" x14ac:dyDescent="0.25">
      <c r="A6" s="6"/>
      <c r="B6" s="6"/>
      <c r="C6" s="7"/>
      <c r="D6" s="7"/>
      <c r="E6" s="7"/>
      <c r="F6" s="8"/>
      <c r="G6" s="8"/>
      <c r="H6" s="8"/>
      <c r="I6" s="8"/>
      <c r="J6" s="8"/>
      <c r="K6" s="24"/>
      <c r="L6" s="30"/>
    </row>
    <row r="7" spans="1:13" ht="30" x14ac:dyDescent="0.25">
      <c r="A7" s="6" t="s">
        <v>2</v>
      </c>
      <c r="B7" s="6" t="s">
        <v>42</v>
      </c>
      <c r="C7" s="7"/>
      <c r="D7" s="7"/>
      <c r="E7" s="7"/>
      <c r="F7" s="8">
        <f>F8/F9</f>
        <v>5.3832641949122797</v>
      </c>
      <c r="G7" s="8">
        <f t="shared" ref="G7:J7" si="0">G8/G9</f>
        <v>5.4855462146156126</v>
      </c>
      <c r="H7" s="8">
        <f t="shared" si="0"/>
        <v>5.5897715926933085</v>
      </c>
      <c r="I7" s="8">
        <f t="shared" si="0"/>
        <v>5.6959772529544823</v>
      </c>
      <c r="J7" s="8">
        <f t="shared" si="0"/>
        <v>5.8042008207606175</v>
      </c>
      <c r="K7" s="24" t="s">
        <v>54</v>
      </c>
      <c r="L7" s="30"/>
    </row>
    <row r="8" spans="1:13" ht="30" x14ac:dyDescent="0.25">
      <c r="A8" s="6"/>
      <c r="B8" s="7"/>
      <c r="C8" s="7" t="s">
        <v>43</v>
      </c>
      <c r="D8" s="7"/>
      <c r="E8" s="7"/>
      <c r="F8" s="9">
        <f>8.7*1.019^3</f>
        <v>9.2053817732999974</v>
      </c>
      <c r="G8" s="9">
        <f>8.7*1.019^4</f>
        <v>9.3802840269926975</v>
      </c>
      <c r="H8" s="9">
        <f>8.7*1.019^5</f>
        <v>9.5585094235055568</v>
      </c>
      <c r="I8" s="9">
        <f>8.7*1.019^6</f>
        <v>9.7401211025521643</v>
      </c>
      <c r="J8" s="9">
        <f>8.7*1.019^7</f>
        <v>9.9251834035006556</v>
      </c>
      <c r="K8" s="24" t="s">
        <v>47</v>
      </c>
      <c r="L8" s="30" t="s">
        <v>56</v>
      </c>
    </row>
    <row r="9" spans="1:13" x14ac:dyDescent="0.25">
      <c r="A9" s="6"/>
      <c r="B9" s="7"/>
      <c r="C9" s="7" t="s">
        <v>44</v>
      </c>
      <c r="D9" s="7"/>
      <c r="E9" s="7"/>
      <c r="F9" s="7">
        <v>1.71</v>
      </c>
      <c r="G9" s="7">
        <v>1.71</v>
      </c>
      <c r="H9" s="7">
        <v>1.71</v>
      </c>
      <c r="I9" s="7">
        <v>1.71</v>
      </c>
      <c r="J9" s="7">
        <v>1.71</v>
      </c>
      <c r="K9" s="24"/>
      <c r="L9" s="30" t="s">
        <v>58</v>
      </c>
    </row>
    <row r="10" spans="1:13" x14ac:dyDescent="0.25">
      <c r="A10" s="6"/>
      <c r="B10" s="7"/>
      <c r="C10" s="7"/>
      <c r="D10" s="7"/>
      <c r="E10" s="7"/>
      <c r="F10" s="7"/>
      <c r="G10" s="7"/>
      <c r="H10" s="7"/>
      <c r="I10" s="7"/>
      <c r="J10" s="7"/>
      <c r="K10" s="24"/>
      <c r="L10" s="30"/>
    </row>
    <row r="11" spans="1:13" s="1" customFormat="1" x14ac:dyDescent="0.25">
      <c r="A11" s="6" t="s">
        <v>3</v>
      </c>
      <c r="B11" s="6" t="s">
        <v>0</v>
      </c>
      <c r="C11" s="6"/>
      <c r="D11" s="6"/>
      <c r="E11" s="6"/>
      <c r="F11" s="8">
        <f>F5+F7</f>
        <v>9.5838809351422789</v>
      </c>
      <c r="G11" s="8">
        <f t="shared" ref="G11:J11" si="1">G5+G7</f>
        <v>9.7659746729099819</v>
      </c>
      <c r="H11" s="8">
        <f t="shared" si="1"/>
        <v>9.9515281916952709</v>
      </c>
      <c r="I11" s="8">
        <f t="shared" si="1"/>
        <v>10.140607227337483</v>
      </c>
      <c r="J11" s="8">
        <f t="shared" si="1"/>
        <v>10.333278764656894</v>
      </c>
      <c r="K11" s="25" t="s">
        <v>45</v>
      </c>
      <c r="L11" s="32"/>
    </row>
    <row r="12" spans="1:13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24"/>
      <c r="L12" s="30"/>
    </row>
    <row r="13" spans="1:13" x14ac:dyDescent="0.25">
      <c r="A13" s="6"/>
      <c r="B13" s="22" t="s">
        <v>14</v>
      </c>
      <c r="C13" s="7"/>
      <c r="D13" s="7"/>
      <c r="E13" s="7"/>
      <c r="F13" s="7"/>
      <c r="G13" s="7"/>
      <c r="H13" s="7"/>
      <c r="I13" s="7"/>
      <c r="J13" s="7"/>
      <c r="K13" s="24"/>
      <c r="L13" s="30"/>
    </row>
    <row r="14" spans="1:13" ht="30" x14ac:dyDescent="0.25">
      <c r="A14" s="6" t="s">
        <v>5</v>
      </c>
      <c r="B14" s="6" t="s">
        <v>4</v>
      </c>
      <c r="C14" s="6"/>
      <c r="D14" s="6"/>
      <c r="E14" s="6"/>
      <c r="F14" s="8">
        <f>F18/F19</f>
        <v>1628.5768131809384</v>
      </c>
      <c r="G14" s="8">
        <f t="shared" ref="G14:J14" si="2">G18/G19</f>
        <v>1760.5485124936179</v>
      </c>
      <c r="H14" s="8">
        <f t="shared" si="2"/>
        <v>1886.4268579703046</v>
      </c>
      <c r="I14" s="8">
        <f t="shared" si="2"/>
        <v>2011.4497735103573</v>
      </c>
      <c r="J14" s="8">
        <f t="shared" si="2"/>
        <v>2130.6951136618568</v>
      </c>
      <c r="K14" s="24" t="s">
        <v>37</v>
      </c>
      <c r="L14" s="30"/>
    </row>
    <row r="15" spans="1:13" x14ac:dyDescent="0.25">
      <c r="A15" s="6"/>
      <c r="B15" s="7"/>
      <c r="C15" s="7" t="s">
        <v>17</v>
      </c>
      <c r="D15" s="7"/>
      <c r="E15" s="7"/>
      <c r="F15" s="10">
        <v>88692635.328592107</v>
      </c>
      <c r="G15" s="10">
        <v>96961289.428592116</v>
      </c>
      <c r="H15" s="10">
        <v>103737098.52859211</v>
      </c>
      <c r="I15" s="10">
        <v>111311124.6285921</v>
      </c>
      <c r="J15" s="10">
        <v>117989416.72859211</v>
      </c>
      <c r="K15" s="24" t="s">
        <v>21</v>
      </c>
      <c r="L15" s="33">
        <v>19</v>
      </c>
    </row>
    <row r="16" spans="1:13" x14ac:dyDescent="0.25">
      <c r="A16" s="6"/>
      <c r="B16" s="7"/>
      <c r="C16" s="7" t="s">
        <v>18</v>
      </c>
      <c r="D16" s="7"/>
      <c r="E16" s="7"/>
      <c r="F16" s="10">
        <v>96961289.428592116</v>
      </c>
      <c r="G16" s="10">
        <v>103737098.52859211</v>
      </c>
      <c r="H16" s="10">
        <v>111311124.6285921</v>
      </c>
      <c r="I16" s="10">
        <v>117989416.72859211</v>
      </c>
      <c r="J16" s="10">
        <v>124904812.82859211</v>
      </c>
      <c r="K16" s="24" t="s">
        <v>22</v>
      </c>
      <c r="L16" s="33">
        <v>19</v>
      </c>
    </row>
    <row r="17" spans="1:12" x14ac:dyDescent="0.25">
      <c r="A17" s="6"/>
      <c r="B17" s="7"/>
      <c r="C17" s="7" t="s">
        <v>19</v>
      </c>
      <c r="D17" s="7"/>
      <c r="E17" s="7"/>
      <c r="F17" s="10">
        <f>SUM(F15:F16)/2</f>
        <v>92826962.378592104</v>
      </c>
      <c r="G17" s="10">
        <f t="shared" ref="G17:J17" si="3">SUM(G15:G16)/2</f>
        <v>100349193.97859211</v>
      </c>
      <c r="H17" s="10">
        <f t="shared" si="3"/>
        <v>107524111.57859211</v>
      </c>
      <c r="I17" s="10">
        <f t="shared" si="3"/>
        <v>114650270.67859212</v>
      </c>
      <c r="J17" s="10">
        <f t="shared" si="3"/>
        <v>121447114.77859211</v>
      </c>
      <c r="K17" s="24" t="s">
        <v>20</v>
      </c>
      <c r="L17" s="30">
        <v>20</v>
      </c>
    </row>
    <row r="18" spans="1:12" x14ac:dyDescent="0.25">
      <c r="A18" s="6"/>
      <c r="B18" s="7"/>
      <c r="C18" s="7" t="s">
        <v>24</v>
      </c>
      <c r="D18" s="7"/>
      <c r="E18" s="7"/>
      <c r="F18" s="10">
        <f>F17*0.85</f>
        <v>78902918.02180329</v>
      </c>
      <c r="G18" s="10">
        <f t="shared" ref="G18:J18" si="4">G17*0.85</f>
        <v>85296814.881803289</v>
      </c>
      <c r="H18" s="10">
        <f t="shared" si="4"/>
        <v>91395494.841803282</v>
      </c>
      <c r="I18" s="10">
        <f t="shared" si="4"/>
        <v>97452730.076803297</v>
      </c>
      <c r="J18" s="10">
        <f t="shared" si="4"/>
        <v>103230047.5618033</v>
      </c>
      <c r="K18" s="24" t="s">
        <v>48</v>
      </c>
      <c r="L18" s="30" t="s">
        <v>59</v>
      </c>
    </row>
    <row r="19" spans="1:12" x14ac:dyDescent="0.25">
      <c r="A19" s="6"/>
      <c r="B19" s="7"/>
      <c r="C19" s="7" t="s">
        <v>36</v>
      </c>
      <c r="D19" s="7"/>
      <c r="E19" s="7"/>
      <c r="F19" s="11">
        <v>48449</v>
      </c>
      <c r="G19" s="11">
        <v>48449</v>
      </c>
      <c r="H19" s="11">
        <v>48449</v>
      </c>
      <c r="I19" s="11">
        <v>48449</v>
      </c>
      <c r="J19" s="11">
        <v>48449</v>
      </c>
      <c r="K19" s="24"/>
      <c r="L19" s="34">
        <v>32</v>
      </c>
    </row>
    <row r="20" spans="1:12" x14ac:dyDescent="0.25">
      <c r="A20" s="6"/>
      <c r="B20" s="7"/>
      <c r="C20" s="7"/>
      <c r="D20" s="7"/>
      <c r="E20" s="7"/>
      <c r="F20" s="11"/>
      <c r="G20" s="11"/>
      <c r="H20" s="11"/>
      <c r="I20" s="11"/>
      <c r="J20" s="11"/>
      <c r="K20" s="24"/>
      <c r="L20" s="30"/>
    </row>
    <row r="21" spans="1:12" ht="30" x14ac:dyDescent="0.25">
      <c r="A21" s="6" t="s">
        <v>6</v>
      </c>
      <c r="B21" s="6" t="s">
        <v>28</v>
      </c>
      <c r="C21" s="6"/>
      <c r="D21" s="7"/>
      <c r="E21" s="7"/>
      <c r="F21" s="8">
        <f>F23/F24</f>
        <v>44.77595750170282</v>
      </c>
      <c r="G21" s="8">
        <f t="shared" ref="G21:J21" si="5">G23/G24</f>
        <v>48.666862370740368</v>
      </c>
      <c r="H21" s="8">
        <f t="shared" si="5"/>
        <v>52.635224978843723</v>
      </c>
      <c r="I21" s="8">
        <f t="shared" si="5"/>
        <v>56.658079939730435</v>
      </c>
      <c r="J21" s="8">
        <f t="shared" si="5"/>
        <v>60.749322277033585</v>
      </c>
      <c r="K21" s="24" t="s">
        <v>49</v>
      </c>
      <c r="L21" s="30"/>
    </row>
    <row r="22" spans="1:12" x14ac:dyDescent="0.25">
      <c r="A22" s="6"/>
      <c r="B22" s="6"/>
      <c r="C22" s="12" t="s">
        <v>29</v>
      </c>
      <c r="D22" s="7"/>
      <c r="E22" s="7"/>
      <c r="F22" s="10">
        <v>2552176.9</v>
      </c>
      <c r="G22" s="10">
        <v>2773953.9</v>
      </c>
      <c r="H22" s="10">
        <v>3000145.9</v>
      </c>
      <c r="I22" s="10">
        <v>3229443.9</v>
      </c>
      <c r="J22" s="10">
        <v>3462639.9</v>
      </c>
      <c r="K22" s="24" t="s">
        <v>27</v>
      </c>
      <c r="L22" s="33">
        <v>25</v>
      </c>
    </row>
    <row r="23" spans="1:12" x14ac:dyDescent="0.25">
      <c r="A23" s="6"/>
      <c r="B23" s="6"/>
      <c r="C23" s="12" t="s">
        <v>30</v>
      </c>
      <c r="D23" s="7"/>
      <c r="E23" s="7"/>
      <c r="F23" s="10">
        <f>F22*0.85</f>
        <v>2169350.3649999998</v>
      </c>
      <c r="G23" s="10">
        <f t="shared" ref="G23:J23" si="6">G22*0.85</f>
        <v>2357860.8149999999</v>
      </c>
      <c r="H23" s="10">
        <f t="shared" si="6"/>
        <v>2550124.0149999997</v>
      </c>
      <c r="I23" s="10">
        <f t="shared" si="6"/>
        <v>2745027.3149999999</v>
      </c>
      <c r="J23" s="10">
        <f t="shared" si="6"/>
        <v>2943243.915</v>
      </c>
      <c r="K23" s="24" t="s">
        <v>50</v>
      </c>
      <c r="L23" s="30">
        <v>25</v>
      </c>
    </row>
    <row r="24" spans="1:12" x14ac:dyDescent="0.25">
      <c r="A24" s="6"/>
      <c r="B24" s="7"/>
      <c r="C24" s="7" t="s">
        <v>36</v>
      </c>
      <c r="D24" s="7"/>
      <c r="E24" s="7"/>
      <c r="F24" s="11">
        <v>48449</v>
      </c>
      <c r="G24" s="11">
        <v>48449</v>
      </c>
      <c r="H24" s="11">
        <v>48449</v>
      </c>
      <c r="I24" s="11">
        <v>48449</v>
      </c>
      <c r="J24" s="11">
        <v>48449</v>
      </c>
      <c r="K24" s="24"/>
      <c r="L24" s="33">
        <v>32</v>
      </c>
    </row>
    <row r="25" spans="1:12" x14ac:dyDescent="0.25">
      <c r="A25" s="6"/>
      <c r="B25" s="7"/>
      <c r="C25" s="7"/>
      <c r="D25" s="7"/>
      <c r="E25" s="7"/>
      <c r="F25" s="11"/>
      <c r="G25" s="11"/>
      <c r="H25" s="11"/>
      <c r="I25" s="11"/>
      <c r="J25" s="11"/>
      <c r="K25" s="24"/>
      <c r="L25" s="30"/>
    </row>
    <row r="26" spans="1:12" ht="30" x14ac:dyDescent="0.25">
      <c r="A26" s="6" t="s">
        <v>7</v>
      </c>
      <c r="B26" s="6" t="s">
        <v>31</v>
      </c>
      <c r="C26" s="7"/>
      <c r="D26" s="7"/>
      <c r="E26" s="7"/>
      <c r="F26" s="8">
        <f>F28/F29</f>
        <v>9.6947790460071417</v>
      </c>
      <c r="G26" s="8">
        <f t="shared" ref="G26:J26" si="7">G28/G29</f>
        <v>9.8799407624512376</v>
      </c>
      <c r="H26" s="8">
        <f t="shared" si="7"/>
        <v>10.068663955912402</v>
      </c>
      <c r="I26" s="8">
        <f t="shared" si="7"/>
        <v>10.260966170612397</v>
      </c>
      <c r="J26" s="8">
        <f t="shared" si="7"/>
        <v>10.456952671881773</v>
      </c>
      <c r="K26" s="24" t="s">
        <v>38</v>
      </c>
      <c r="L26" s="30"/>
    </row>
    <row r="27" spans="1:12" ht="30" x14ac:dyDescent="0.25">
      <c r="A27" s="6"/>
      <c r="B27" s="6"/>
      <c r="C27" s="7" t="s">
        <v>32</v>
      </c>
      <c r="D27" s="7"/>
      <c r="E27" s="7"/>
      <c r="F27" s="13">
        <v>552591</v>
      </c>
      <c r="G27" s="13">
        <v>563145</v>
      </c>
      <c r="H27" s="13">
        <v>573902</v>
      </c>
      <c r="I27" s="10">
        <v>584863</v>
      </c>
      <c r="J27" s="10">
        <v>596034</v>
      </c>
      <c r="K27" s="24" t="s">
        <v>33</v>
      </c>
      <c r="L27" s="34">
        <v>26</v>
      </c>
    </row>
    <row r="28" spans="1:12" x14ac:dyDescent="0.25">
      <c r="A28" s="6"/>
      <c r="B28" s="6"/>
      <c r="C28" s="7" t="s">
        <v>34</v>
      </c>
      <c r="D28" s="7"/>
      <c r="E28" s="7"/>
      <c r="F28" s="13">
        <f>F27*0.85</f>
        <v>469702.35</v>
      </c>
      <c r="G28" s="13">
        <f t="shared" ref="G28:J28" si="8">G27*0.85</f>
        <v>478673.25</v>
      </c>
      <c r="H28" s="13">
        <f t="shared" si="8"/>
        <v>487816.7</v>
      </c>
      <c r="I28" s="13">
        <f t="shared" si="8"/>
        <v>497133.55</v>
      </c>
      <c r="J28" s="13">
        <f t="shared" si="8"/>
        <v>506628.89999999997</v>
      </c>
      <c r="K28" s="24" t="s">
        <v>51</v>
      </c>
      <c r="L28" s="34">
        <v>26</v>
      </c>
    </row>
    <row r="29" spans="1:12" x14ac:dyDescent="0.25">
      <c r="A29" s="6"/>
      <c r="B29" s="6"/>
      <c r="C29" s="7" t="s">
        <v>36</v>
      </c>
      <c r="D29" s="7"/>
      <c r="E29" s="7"/>
      <c r="F29" s="11">
        <v>48449</v>
      </c>
      <c r="G29" s="11">
        <v>48449</v>
      </c>
      <c r="H29" s="11">
        <v>48449</v>
      </c>
      <c r="I29" s="11">
        <v>48449</v>
      </c>
      <c r="J29" s="11">
        <v>48449</v>
      </c>
      <c r="K29" s="24"/>
      <c r="L29" s="33">
        <v>32</v>
      </c>
    </row>
    <row r="30" spans="1:12" x14ac:dyDescent="0.25">
      <c r="A30" s="6"/>
      <c r="B30" s="6"/>
      <c r="C30" s="7"/>
      <c r="D30" s="7"/>
      <c r="E30" s="7"/>
      <c r="F30" s="11"/>
      <c r="G30" s="11"/>
      <c r="H30" s="11"/>
      <c r="I30" s="11"/>
      <c r="J30" s="11"/>
      <c r="K30" s="24"/>
      <c r="L30" s="30"/>
    </row>
    <row r="31" spans="1:12" x14ac:dyDescent="0.25">
      <c r="A31" s="6" t="s">
        <v>8</v>
      </c>
      <c r="B31" s="6" t="s">
        <v>25</v>
      </c>
      <c r="C31" s="6"/>
      <c r="D31" s="6"/>
      <c r="E31" s="6"/>
      <c r="F31" s="8">
        <f>F14*F32</f>
        <v>114.65180764793807</v>
      </c>
      <c r="G31" s="8">
        <f>G14*G32</f>
        <v>124.47077983329878</v>
      </c>
      <c r="H31" s="8">
        <f>H14*H32</f>
        <v>134.12494960168866</v>
      </c>
      <c r="I31" s="8">
        <f>I14*I32</f>
        <v>143.81865880599054</v>
      </c>
      <c r="J31" s="8">
        <f>J14*J32</f>
        <v>152.77083964955514</v>
      </c>
      <c r="K31" s="24" t="s">
        <v>26</v>
      </c>
      <c r="L31" s="30"/>
    </row>
    <row r="32" spans="1:12" x14ac:dyDescent="0.25">
      <c r="A32" s="6"/>
      <c r="B32" s="7"/>
      <c r="C32" s="7" t="s">
        <v>23</v>
      </c>
      <c r="D32" s="7"/>
      <c r="E32" s="7"/>
      <c r="F32" s="14">
        <v>7.0400000000000004E-2</v>
      </c>
      <c r="G32" s="14">
        <v>7.0699999999999999E-2</v>
      </c>
      <c r="H32" s="14">
        <v>7.1099999999999997E-2</v>
      </c>
      <c r="I32" s="14">
        <v>7.1499999999999994E-2</v>
      </c>
      <c r="J32" s="14">
        <v>7.17E-2</v>
      </c>
      <c r="K32" s="24" t="s">
        <v>52</v>
      </c>
      <c r="L32" s="30" t="s">
        <v>60</v>
      </c>
    </row>
    <row r="33" spans="1:12" x14ac:dyDescent="0.25">
      <c r="A33" s="6"/>
      <c r="B33" s="7"/>
      <c r="C33" s="6"/>
      <c r="D33" s="7"/>
      <c r="E33" s="7"/>
      <c r="F33" s="15"/>
      <c r="G33" s="15"/>
      <c r="H33" s="15"/>
      <c r="I33" s="15"/>
      <c r="J33" s="15"/>
      <c r="K33" s="24"/>
      <c r="L33" s="30"/>
    </row>
    <row r="34" spans="1:12" x14ac:dyDescent="0.25">
      <c r="A34" s="6" t="s">
        <v>10</v>
      </c>
      <c r="B34" s="6" t="s">
        <v>9</v>
      </c>
      <c r="C34" s="7"/>
      <c r="D34" s="7"/>
      <c r="E34" s="7"/>
      <c r="F34" s="8">
        <f>F31+F26+F21</f>
        <v>169.12254419564803</v>
      </c>
      <c r="G34" s="8">
        <f t="shared" ref="G34:J34" si="9">G31+G26+G21</f>
        <v>183.01758296649038</v>
      </c>
      <c r="H34" s="8">
        <f t="shared" si="9"/>
        <v>196.82883853644478</v>
      </c>
      <c r="I34" s="8">
        <f t="shared" si="9"/>
        <v>210.73770491633337</v>
      </c>
      <c r="J34" s="8">
        <f t="shared" si="9"/>
        <v>223.97711459847051</v>
      </c>
      <c r="K34" s="24" t="s">
        <v>35</v>
      </c>
      <c r="L34" s="30"/>
    </row>
    <row r="35" spans="1:12" x14ac:dyDescent="0.25">
      <c r="A35" s="6"/>
      <c r="B35" s="7"/>
      <c r="C35" s="7"/>
      <c r="D35" s="7"/>
      <c r="E35" s="7"/>
      <c r="F35" s="7"/>
      <c r="G35" s="7"/>
      <c r="H35" s="7"/>
      <c r="I35" s="7"/>
      <c r="J35" s="7"/>
      <c r="K35" s="24"/>
      <c r="L35" s="30"/>
    </row>
    <row r="36" spans="1:12" ht="30" x14ac:dyDescent="0.25">
      <c r="A36" s="6" t="s">
        <v>11</v>
      </c>
      <c r="B36" s="6" t="s">
        <v>39</v>
      </c>
      <c r="C36" s="7"/>
      <c r="D36" s="7"/>
      <c r="E36" s="7"/>
      <c r="F36" s="8">
        <f>F34*0.291</f>
        <v>49.214660360933571</v>
      </c>
      <c r="G36" s="8">
        <f>G34*0.291</f>
        <v>53.258116643248698</v>
      </c>
      <c r="H36" s="8">
        <f>H34*0.291</f>
        <v>57.277192014105424</v>
      </c>
      <c r="I36" s="8">
        <f>I34*0.291</f>
        <v>61.324672130653006</v>
      </c>
      <c r="J36" s="8">
        <f>J34*0.291</f>
        <v>65.177340348154914</v>
      </c>
      <c r="K36" s="24" t="s">
        <v>62</v>
      </c>
      <c r="L36" s="30" t="s">
        <v>63</v>
      </c>
    </row>
    <row r="37" spans="1:12" x14ac:dyDescent="0.25">
      <c r="A37" s="6"/>
      <c r="B37" s="7"/>
      <c r="C37" s="7"/>
      <c r="D37" s="7"/>
      <c r="E37" s="7"/>
      <c r="F37" s="7"/>
      <c r="G37" s="7"/>
      <c r="H37" s="7"/>
      <c r="I37" s="7"/>
      <c r="J37" s="7"/>
      <c r="K37" s="16"/>
      <c r="L37" s="31"/>
    </row>
    <row r="38" spans="1:12" x14ac:dyDescent="0.25">
      <c r="A38" s="26" t="s">
        <v>12</v>
      </c>
      <c r="B38" s="26" t="s">
        <v>40</v>
      </c>
      <c r="C38" s="27"/>
      <c r="D38" s="27"/>
      <c r="E38" s="27"/>
      <c r="F38" s="26">
        <f>F36+F11</f>
        <v>58.798541296075854</v>
      </c>
      <c r="G38" s="26">
        <f t="shared" ref="G38:J38" si="10">G36+G11</f>
        <v>63.024091316158682</v>
      </c>
      <c r="H38" s="26">
        <f t="shared" si="10"/>
        <v>67.228720205800698</v>
      </c>
      <c r="I38" s="26">
        <f t="shared" si="10"/>
        <v>71.465279357990482</v>
      </c>
      <c r="J38" s="26">
        <f t="shared" si="10"/>
        <v>75.51061911281181</v>
      </c>
      <c r="K38" s="28" t="s">
        <v>46</v>
      </c>
      <c r="L38" s="29"/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3" spans="1:12" x14ac:dyDescent="0.25">
      <c r="B43" s="1"/>
      <c r="F43" s="4"/>
      <c r="G43" s="4"/>
      <c r="H43" s="4"/>
      <c r="I43" s="4"/>
      <c r="J43" s="4"/>
    </row>
    <row r="44" spans="1:12" x14ac:dyDescent="0.25">
      <c r="F44" s="3"/>
      <c r="G44" s="3"/>
      <c r="H44" s="3"/>
    </row>
  </sheetData>
  <mergeCells count="1">
    <mergeCell ref="A1:L1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2015-11-11T22:12:20Z</dcterms:created>
  <dcterms:modified xsi:type="dcterms:W3CDTF">2015-11-12T20:18:49Z</dcterms:modified>
</cp:coreProperties>
</file>