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API 2016 IRM\API Reply Submission\Bill Impacts\"/>
    </mc:Choice>
  </mc:AlternateContent>
  <bookViews>
    <workbookView xWindow="480" yWindow="240" windowWidth="24240" windowHeight="12465"/>
  </bookViews>
  <sheets>
    <sheet name="Cover" sheetId="12" r:id="rId1"/>
    <sheet name="Rates" sheetId="3" r:id="rId2"/>
    <sheet name="Residential - R1 RPP" sheetId="2" r:id="rId3"/>
    <sheet name="Residential - R1 RPP (2)" sheetId="23" r:id="rId4"/>
    <sheet name="Residential - R1 GS RPP" sheetId="22" r:id="rId5"/>
    <sheet name="Residential - R1 Non-RPP" sheetId="17" r:id="rId6"/>
    <sheet name="Residential - R2" sheetId="14" r:id="rId7"/>
    <sheet name="Seasonal RPP" sheetId="4" r:id="rId8"/>
    <sheet name="Seasonal RPP (2)" sheetId="25" r:id="rId9"/>
    <sheet name="Seasonal RPP (3)" sheetId="26" r:id="rId10"/>
    <sheet name="Seasonal Non-RPP" sheetId="19" r:id="rId11"/>
    <sheet name="Street Lighting Non-RPP" sheetId="10" r:id="rId12"/>
    <sheet name="Street Lighting Non-RPP (2)" sheetId="20" r:id="rId13"/>
    <sheet name="Summary" sheetId="21" r:id="rId14"/>
  </sheets>
  <externalReferences>
    <externalReference r:id="rId15"/>
  </externalReferences>
  <definedNames>
    <definedName name="EBNUMBER">'[1]LDC Info'!$E$16</definedName>
    <definedName name="_xlnm.Print_Area" localSheetId="4">'Residential - R1 GS RPP'!$A$1:$O$57</definedName>
    <definedName name="_xlnm.Print_Area" localSheetId="5">'Residential - R1 Non-RPP'!$A$1:$O$57</definedName>
    <definedName name="_xlnm.Print_Area" localSheetId="2">'Residential - R1 RPP'!$A$1:$O$57</definedName>
    <definedName name="_xlnm.Print_Area" localSheetId="3">'Residential - R1 RPP (2)'!$A$1:$O$57</definedName>
    <definedName name="_xlnm.Print_Area" localSheetId="6">'Residential - R2'!$A$1:$O$56</definedName>
    <definedName name="_xlnm.Print_Area" localSheetId="10">'Seasonal Non-RPP'!$A$1:$O$60</definedName>
    <definedName name="_xlnm.Print_Area" localSheetId="7">'Seasonal RPP'!$A$1:$O$60</definedName>
    <definedName name="_xlnm.Print_Area" localSheetId="8">'Seasonal RPP (2)'!$A$1:$O$60</definedName>
    <definedName name="_xlnm.Print_Area" localSheetId="9">'Seasonal RPP (3)'!$A$1:$O$60</definedName>
    <definedName name="_xlnm.Print_Area" localSheetId="11">'Street Lighting Non-RPP'!$A$1:$O$56</definedName>
    <definedName name="_xlnm.Print_Area" localSheetId="12">'Street Lighting Non-RPP (2)'!$A$1:$O$56</definedName>
  </definedNames>
  <calcPr calcId="152511"/>
</workbook>
</file>

<file path=xl/calcChain.xml><?xml version="1.0" encoding="utf-8"?>
<calcChain xmlns="http://schemas.openxmlformats.org/spreadsheetml/2006/main">
  <c r="G27" i="21" l="1"/>
  <c r="F27" i="21"/>
  <c r="G15" i="21"/>
  <c r="F15" i="21"/>
  <c r="C27" i="21"/>
  <c r="C15" i="21"/>
  <c r="H26" i="21"/>
  <c r="I26" i="21" s="1"/>
  <c r="H27" i="21"/>
  <c r="I27" i="21" s="1"/>
  <c r="G26" i="21"/>
  <c r="F26" i="21"/>
  <c r="C26" i="21"/>
  <c r="H14" i="21"/>
  <c r="I14" i="21" s="1"/>
  <c r="G14" i="21"/>
  <c r="F14" i="21"/>
  <c r="C14" i="21"/>
  <c r="G13" i="21"/>
  <c r="G22" i="21"/>
  <c r="H22" i="21" s="1"/>
  <c r="F22" i="21"/>
  <c r="C22" i="21"/>
  <c r="C10" i="21"/>
  <c r="G10" i="21"/>
  <c r="F10" i="21"/>
  <c r="J60" i="26"/>
  <c r="F60" i="26"/>
  <c r="J52" i="26"/>
  <c r="G52" i="26"/>
  <c r="F52" i="26"/>
  <c r="J51" i="26"/>
  <c r="G51" i="26"/>
  <c r="K51" i="26" s="1"/>
  <c r="L51" i="26" s="1"/>
  <c r="F51" i="26"/>
  <c r="L50" i="26"/>
  <c r="J50" i="26"/>
  <c r="H50" i="26"/>
  <c r="G50" i="26"/>
  <c r="K50" i="26" s="1"/>
  <c r="F50" i="26"/>
  <c r="O49" i="26"/>
  <c r="K49" i="26"/>
  <c r="L49" i="26" s="1"/>
  <c r="N49" i="26" s="1"/>
  <c r="J49" i="26"/>
  <c r="K48" i="26"/>
  <c r="J48" i="26"/>
  <c r="G48" i="26"/>
  <c r="H48" i="26" s="1"/>
  <c r="F48" i="26"/>
  <c r="J47" i="26"/>
  <c r="L47" i="26" s="1"/>
  <c r="F47" i="26"/>
  <c r="H47" i="26" s="1"/>
  <c r="J46" i="26"/>
  <c r="F46" i="26"/>
  <c r="J45" i="26"/>
  <c r="F45" i="26"/>
  <c r="J43" i="26"/>
  <c r="F43" i="26"/>
  <c r="K42" i="26"/>
  <c r="K43" i="26" s="1"/>
  <c r="J42" i="26"/>
  <c r="G42" i="26"/>
  <c r="H42" i="26" s="1"/>
  <c r="F42" i="26"/>
  <c r="J40" i="26"/>
  <c r="L40" i="26" s="1"/>
  <c r="N40" i="26" s="1"/>
  <c r="H40" i="26"/>
  <c r="F40" i="26"/>
  <c r="L39" i="26"/>
  <c r="N39" i="26" s="1"/>
  <c r="K39" i="26"/>
  <c r="J39" i="26"/>
  <c r="G39" i="26"/>
  <c r="H39" i="26" s="1"/>
  <c r="F39" i="26"/>
  <c r="K38" i="26"/>
  <c r="L38" i="26" s="1"/>
  <c r="N38" i="26" s="1"/>
  <c r="G38" i="26"/>
  <c r="H38" i="26" s="1"/>
  <c r="O38" i="26" s="1"/>
  <c r="K37" i="26"/>
  <c r="J37" i="26"/>
  <c r="G37" i="26"/>
  <c r="F37" i="26"/>
  <c r="B37" i="26"/>
  <c r="K36" i="26"/>
  <c r="L36" i="26" s="1"/>
  <c r="J36" i="26"/>
  <c r="G36" i="26"/>
  <c r="F36" i="26"/>
  <c r="B36" i="26"/>
  <c r="K35" i="26"/>
  <c r="L35" i="26" s="1"/>
  <c r="G35" i="26"/>
  <c r="F35" i="26"/>
  <c r="B35" i="26"/>
  <c r="L34" i="26"/>
  <c r="K34" i="26"/>
  <c r="J34" i="26"/>
  <c r="G34" i="26"/>
  <c r="H34" i="26" s="1"/>
  <c r="F34" i="26"/>
  <c r="B34" i="26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J29" i="26"/>
  <c r="G29" i="26"/>
  <c r="F29" i="26"/>
  <c r="B29" i="26"/>
  <c r="K28" i="26"/>
  <c r="L28" i="26" s="1"/>
  <c r="N28" i="26" s="1"/>
  <c r="J28" i="26"/>
  <c r="G28" i="26"/>
  <c r="H28" i="26" s="1"/>
  <c r="F28" i="26"/>
  <c r="B28" i="26"/>
  <c r="K27" i="26"/>
  <c r="J27" i="26"/>
  <c r="G27" i="26"/>
  <c r="H27" i="26" s="1"/>
  <c r="O27" i="26" s="1"/>
  <c r="F27" i="26"/>
  <c r="O26" i="26"/>
  <c r="K26" i="26"/>
  <c r="J26" i="26"/>
  <c r="F26" i="26"/>
  <c r="B26" i="26"/>
  <c r="K25" i="26"/>
  <c r="L25" i="26" s="1"/>
  <c r="N25" i="26" s="1"/>
  <c r="J25" i="26"/>
  <c r="G25" i="26"/>
  <c r="H25" i="26" s="1"/>
  <c r="O25" i="26" s="1"/>
  <c r="F25" i="26"/>
  <c r="K24" i="26"/>
  <c r="L24" i="26" s="1"/>
  <c r="N24" i="26" s="1"/>
  <c r="J24" i="26"/>
  <c r="G24" i="26"/>
  <c r="H24" i="26" s="1"/>
  <c r="O24" i="26" s="1"/>
  <c r="F24" i="26"/>
  <c r="K23" i="26"/>
  <c r="L23" i="26" s="1"/>
  <c r="N23" i="26" s="1"/>
  <c r="G23" i="26"/>
  <c r="H23" i="26" s="1"/>
  <c r="O23" i="26" s="1"/>
  <c r="K22" i="26"/>
  <c r="L22" i="26" s="1"/>
  <c r="G22" i="26"/>
  <c r="H22" i="26" s="1"/>
  <c r="O22" i="26" s="1"/>
  <c r="L21" i="26"/>
  <c r="K21" i="26"/>
  <c r="J21" i="26"/>
  <c r="G21" i="26"/>
  <c r="H21" i="26" s="1"/>
  <c r="F21" i="26"/>
  <c r="O20" i="26"/>
  <c r="N20" i="26"/>
  <c r="L20" i="26"/>
  <c r="H20" i="26"/>
  <c r="L19" i="26"/>
  <c r="N19" i="26" s="1"/>
  <c r="J19" i="26"/>
  <c r="F19" i="26"/>
  <c r="H19" i="26" s="1"/>
  <c r="B19" i="26"/>
  <c r="L18" i="26"/>
  <c r="N18" i="26" s="1"/>
  <c r="H18" i="26"/>
  <c r="O18" i="26" s="1"/>
  <c r="J17" i="26"/>
  <c r="L17" i="26" s="1"/>
  <c r="N17" i="26" s="1"/>
  <c r="F17" i="26"/>
  <c r="H17" i="26" s="1"/>
  <c r="B17" i="26"/>
  <c r="L16" i="26"/>
  <c r="H16" i="26"/>
  <c r="O16" i="26" s="1"/>
  <c r="J15" i="26"/>
  <c r="L15" i="26" s="1"/>
  <c r="H15" i="26"/>
  <c r="F15" i="26"/>
  <c r="J60" i="25"/>
  <c r="K42" i="25" s="1"/>
  <c r="K43" i="25" s="1"/>
  <c r="F60" i="25"/>
  <c r="G39" i="25" s="1"/>
  <c r="H39" i="25" s="1"/>
  <c r="K52" i="25"/>
  <c r="L52" i="25" s="1"/>
  <c r="J52" i="25"/>
  <c r="G52" i="25"/>
  <c r="H52" i="25" s="1"/>
  <c r="F52" i="25"/>
  <c r="K51" i="25"/>
  <c r="L51" i="25" s="1"/>
  <c r="J51" i="25"/>
  <c r="G51" i="25"/>
  <c r="H51" i="25" s="1"/>
  <c r="F51" i="25"/>
  <c r="J50" i="25"/>
  <c r="G50" i="25"/>
  <c r="K50" i="25" s="1"/>
  <c r="L50" i="25" s="1"/>
  <c r="F50" i="25"/>
  <c r="O49" i="25"/>
  <c r="K49" i="25"/>
  <c r="L49" i="25" s="1"/>
  <c r="N49" i="25" s="1"/>
  <c r="J49" i="25"/>
  <c r="K48" i="25"/>
  <c r="L48" i="25" s="1"/>
  <c r="J48" i="25"/>
  <c r="G48" i="25"/>
  <c r="H48" i="25" s="1"/>
  <c r="F48" i="25"/>
  <c r="J47" i="25"/>
  <c r="L47" i="25" s="1"/>
  <c r="H47" i="25"/>
  <c r="F47" i="25"/>
  <c r="J46" i="25"/>
  <c r="F46" i="25"/>
  <c r="J45" i="25"/>
  <c r="F45" i="25"/>
  <c r="J43" i="25"/>
  <c r="F43" i="25"/>
  <c r="L42" i="25"/>
  <c r="J42" i="25"/>
  <c r="G42" i="25"/>
  <c r="H42" i="25" s="1"/>
  <c r="F42" i="25"/>
  <c r="J40" i="25"/>
  <c r="L40" i="25" s="1"/>
  <c r="N40" i="25" s="1"/>
  <c r="F40" i="25"/>
  <c r="H40" i="25" s="1"/>
  <c r="K39" i="25"/>
  <c r="J39" i="25"/>
  <c r="F39" i="25"/>
  <c r="K38" i="25"/>
  <c r="L38" i="25" s="1"/>
  <c r="G38" i="25"/>
  <c r="H38" i="25" s="1"/>
  <c r="K37" i="25"/>
  <c r="L37" i="25" s="1"/>
  <c r="J37" i="25"/>
  <c r="G37" i="25"/>
  <c r="F37" i="25"/>
  <c r="B37" i="25"/>
  <c r="K36" i="25"/>
  <c r="L36" i="25" s="1"/>
  <c r="N36" i="25" s="1"/>
  <c r="J36" i="25"/>
  <c r="G36" i="25"/>
  <c r="H36" i="25" s="1"/>
  <c r="O36" i="25" s="1"/>
  <c r="F36" i="25"/>
  <c r="B36" i="25"/>
  <c r="K35" i="25"/>
  <c r="L35" i="25" s="1"/>
  <c r="G35" i="25"/>
  <c r="H35" i="25" s="1"/>
  <c r="F35" i="25"/>
  <c r="B35" i="25"/>
  <c r="K34" i="25"/>
  <c r="J34" i="25"/>
  <c r="G34" i="25"/>
  <c r="H34" i="25" s="1"/>
  <c r="F34" i="25"/>
  <c r="B34" i="25"/>
  <c r="K32" i="25"/>
  <c r="L32" i="25" s="1"/>
  <c r="G32" i="25"/>
  <c r="H32" i="25" s="1"/>
  <c r="O32" i="25" s="1"/>
  <c r="K31" i="25"/>
  <c r="L31" i="25" s="1"/>
  <c r="N31" i="25" s="1"/>
  <c r="G31" i="25"/>
  <c r="H31" i="25" s="1"/>
  <c r="O31" i="25" s="1"/>
  <c r="K30" i="25"/>
  <c r="L30" i="25" s="1"/>
  <c r="G30" i="25"/>
  <c r="H30" i="25" s="1"/>
  <c r="O30" i="25" s="1"/>
  <c r="L29" i="25"/>
  <c r="K29" i="25"/>
  <c r="J29" i="25"/>
  <c r="G29" i="25"/>
  <c r="H29" i="25" s="1"/>
  <c r="F29" i="25"/>
  <c r="B29" i="25"/>
  <c r="K28" i="25"/>
  <c r="J28" i="25"/>
  <c r="H28" i="25"/>
  <c r="G28" i="25"/>
  <c r="F28" i="25"/>
  <c r="B28" i="25"/>
  <c r="K27" i="25"/>
  <c r="L27" i="25" s="1"/>
  <c r="J27" i="25"/>
  <c r="G27" i="25"/>
  <c r="F27" i="25"/>
  <c r="O26" i="25"/>
  <c r="K26" i="25"/>
  <c r="J26" i="25"/>
  <c r="F26" i="25"/>
  <c r="B26" i="25"/>
  <c r="K25" i="25"/>
  <c r="J25" i="25"/>
  <c r="G25" i="25"/>
  <c r="H25" i="25" s="1"/>
  <c r="O25" i="25" s="1"/>
  <c r="F25" i="25"/>
  <c r="K24" i="25"/>
  <c r="J24" i="25"/>
  <c r="H24" i="25"/>
  <c r="O24" i="25" s="1"/>
  <c r="G24" i="25"/>
  <c r="F24" i="25"/>
  <c r="K23" i="25"/>
  <c r="L23" i="25" s="1"/>
  <c r="G23" i="25"/>
  <c r="H23" i="25" s="1"/>
  <c r="K22" i="25"/>
  <c r="L22" i="25" s="1"/>
  <c r="N22" i="25" s="1"/>
  <c r="G22" i="25"/>
  <c r="H22" i="25" s="1"/>
  <c r="O22" i="25" s="1"/>
  <c r="K21" i="25"/>
  <c r="J21" i="25"/>
  <c r="G21" i="25"/>
  <c r="H21" i="25" s="1"/>
  <c r="F21" i="25"/>
  <c r="O20" i="25"/>
  <c r="N20" i="25"/>
  <c r="L20" i="25"/>
  <c r="H20" i="25"/>
  <c r="J19" i="25"/>
  <c r="L19" i="25" s="1"/>
  <c r="F19" i="25"/>
  <c r="H19" i="25" s="1"/>
  <c r="B19" i="25"/>
  <c r="O18" i="25"/>
  <c r="L18" i="25"/>
  <c r="N18" i="25" s="1"/>
  <c r="H18" i="25"/>
  <c r="N17" i="25"/>
  <c r="L17" i="25"/>
  <c r="J17" i="25"/>
  <c r="F17" i="25"/>
  <c r="H17" i="25" s="1"/>
  <c r="B17" i="25"/>
  <c r="L16" i="25"/>
  <c r="H16" i="25"/>
  <c r="O16" i="25" s="1"/>
  <c r="J15" i="25"/>
  <c r="L15" i="25" s="1"/>
  <c r="F15" i="25"/>
  <c r="H15" i="25" s="1"/>
  <c r="J57" i="23"/>
  <c r="K39" i="23" s="1"/>
  <c r="F57" i="23"/>
  <c r="J49" i="23"/>
  <c r="G49" i="23"/>
  <c r="K49" i="23" s="1"/>
  <c r="L49" i="23" s="1"/>
  <c r="F49" i="23"/>
  <c r="J48" i="23"/>
  <c r="G48" i="23"/>
  <c r="K48" i="23" s="1"/>
  <c r="F48" i="23"/>
  <c r="J36" i="23" s="1"/>
  <c r="J47" i="23"/>
  <c r="G47" i="23"/>
  <c r="H47" i="23" s="1"/>
  <c r="F47" i="23"/>
  <c r="O46" i="23"/>
  <c r="K46" i="23"/>
  <c r="J46" i="23"/>
  <c r="K45" i="23"/>
  <c r="L45" i="23" s="1"/>
  <c r="J45" i="23"/>
  <c r="G45" i="23"/>
  <c r="H45" i="23" s="1"/>
  <c r="F45" i="23"/>
  <c r="J44" i="23"/>
  <c r="L44" i="23" s="1"/>
  <c r="N44" i="23" s="1"/>
  <c r="F44" i="23"/>
  <c r="H44" i="23" s="1"/>
  <c r="J43" i="23"/>
  <c r="F43" i="23"/>
  <c r="J42" i="23"/>
  <c r="F42" i="23"/>
  <c r="J40" i="23"/>
  <c r="F40" i="23"/>
  <c r="J39" i="23"/>
  <c r="F39" i="23"/>
  <c r="L37" i="23"/>
  <c r="N37" i="23" s="1"/>
  <c r="J37" i="23"/>
  <c r="F37" i="23"/>
  <c r="H37" i="23" s="1"/>
  <c r="F36" i="23"/>
  <c r="K35" i="23"/>
  <c r="L35" i="23" s="1"/>
  <c r="H35" i="23"/>
  <c r="O35" i="23" s="1"/>
  <c r="G35" i="23"/>
  <c r="L34" i="23"/>
  <c r="N34" i="23" s="1"/>
  <c r="J34" i="23"/>
  <c r="H34" i="23"/>
  <c r="O34" i="23" s="1"/>
  <c r="B34" i="23"/>
  <c r="O33" i="23"/>
  <c r="K33" i="23"/>
  <c r="J33" i="23"/>
  <c r="G33" i="23"/>
  <c r="H33" i="23" s="1"/>
  <c r="B33" i="23"/>
  <c r="L32" i="23"/>
  <c r="F32" i="23"/>
  <c r="H32" i="23" s="1"/>
  <c r="O32" i="23" s="1"/>
  <c r="B32" i="23"/>
  <c r="K31" i="23"/>
  <c r="L31" i="23" s="1"/>
  <c r="J31" i="23"/>
  <c r="G31" i="23"/>
  <c r="H31" i="23" s="1"/>
  <c r="F31" i="23"/>
  <c r="B31" i="23"/>
  <c r="K29" i="23"/>
  <c r="L29" i="23" s="1"/>
  <c r="G29" i="23"/>
  <c r="H29" i="23" s="1"/>
  <c r="O29" i="23" s="1"/>
  <c r="K28" i="23"/>
  <c r="L28" i="23" s="1"/>
  <c r="G28" i="23"/>
  <c r="H28" i="23" s="1"/>
  <c r="O28" i="23" s="1"/>
  <c r="K27" i="23"/>
  <c r="L27" i="23" s="1"/>
  <c r="G27" i="23"/>
  <c r="H27" i="23" s="1"/>
  <c r="O27" i="23" s="1"/>
  <c r="K26" i="23"/>
  <c r="L26" i="23" s="1"/>
  <c r="G26" i="23"/>
  <c r="H26" i="23" s="1"/>
  <c r="O26" i="23" s="1"/>
  <c r="K25" i="23"/>
  <c r="L25" i="23" s="1"/>
  <c r="J25" i="23"/>
  <c r="G25" i="23"/>
  <c r="H25" i="23" s="1"/>
  <c r="F25" i="23"/>
  <c r="B25" i="23"/>
  <c r="K24" i="23"/>
  <c r="L24" i="23" s="1"/>
  <c r="H24" i="23"/>
  <c r="O24" i="23" s="1"/>
  <c r="G24" i="23"/>
  <c r="K23" i="23"/>
  <c r="L23" i="23" s="1"/>
  <c r="N23" i="23" s="1"/>
  <c r="G23" i="23"/>
  <c r="H23" i="23" s="1"/>
  <c r="O23" i="23" s="1"/>
  <c r="K22" i="23"/>
  <c r="L22" i="23" s="1"/>
  <c r="G22" i="23"/>
  <c r="H22" i="23" s="1"/>
  <c r="O22" i="23" s="1"/>
  <c r="L21" i="23"/>
  <c r="N21" i="23" s="1"/>
  <c r="K21" i="23"/>
  <c r="J21" i="23"/>
  <c r="G21" i="23"/>
  <c r="H21" i="23" s="1"/>
  <c r="F21" i="23"/>
  <c r="B21" i="23"/>
  <c r="K20" i="23"/>
  <c r="L20" i="23" s="1"/>
  <c r="F20" i="23"/>
  <c r="H20" i="23" s="1"/>
  <c r="K19" i="23"/>
  <c r="L19" i="23" s="1"/>
  <c r="J19" i="23"/>
  <c r="G19" i="23"/>
  <c r="F19" i="23"/>
  <c r="L18" i="23"/>
  <c r="N18" i="23" s="1"/>
  <c r="H18" i="23"/>
  <c r="O18" i="23" s="1"/>
  <c r="L17" i="23"/>
  <c r="H17" i="23"/>
  <c r="O17" i="23" s="1"/>
  <c r="N16" i="23"/>
  <c r="L16" i="23"/>
  <c r="H16" i="23"/>
  <c r="O16" i="23" s="1"/>
  <c r="L15" i="23"/>
  <c r="J15" i="23"/>
  <c r="F15" i="23"/>
  <c r="H15" i="23" s="1"/>
  <c r="H15" i="21" l="1"/>
  <c r="I15" i="21"/>
  <c r="I22" i="21"/>
  <c r="H10" i="21"/>
  <c r="I10" i="21" s="1"/>
  <c r="N50" i="26"/>
  <c r="N31" i="26"/>
  <c r="N30" i="26"/>
  <c r="N32" i="26"/>
  <c r="O39" i="26"/>
  <c r="O47" i="26"/>
  <c r="N47" i="26"/>
  <c r="O48" i="26"/>
  <c r="O28" i="26"/>
  <c r="K46" i="26"/>
  <c r="L46" i="26" s="1"/>
  <c r="L43" i="26"/>
  <c r="K45" i="26"/>
  <c r="L45" i="26" s="1"/>
  <c r="H36" i="26"/>
  <c r="O36" i="26" s="1"/>
  <c r="L33" i="26"/>
  <c r="N15" i="26"/>
  <c r="O19" i="26"/>
  <c r="L26" i="26"/>
  <c r="N26" i="26" s="1"/>
  <c r="H29" i="26"/>
  <c r="L48" i="26"/>
  <c r="N48" i="26" s="1"/>
  <c r="H51" i="26"/>
  <c r="K52" i="26"/>
  <c r="L52" i="26" s="1"/>
  <c r="H52" i="26"/>
  <c r="O17" i="26"/>
  <c r="N21" i="26"/>
  <c r="O21" i="26" s="1"/>
  <c r="N34" i="26"/>
  <c r="O34" i="26" s="1"/>
  <c r="O50" i="26"/>
  <c r="H33" i="26"/>
  <c r="N16" i="26"/>
  <c r="L27" i="26"/>
  <c r="N27" i="26" s="1"/>
  <c r="L37" i="26"/>
  <c r="G43" i="26"/>
  <c r="O15" i="26"/>
  <c r="N22" i="26"/>
  <c r="H35" i="26"/>
  <c r="H37" i="26"/>
  <c r="O37" i="26" s="1"/>
  <c r="L42" i="26"/>
  <c r="N42" i="26" s="1"/>
  <c r="O42" i="26" s="1"/>
  <c r="N50" i="25"/>
  <c r="N51" i="25"/>
  <c r="N35" i="25"/>
  <c r="H50" i="25"/>
  <c r="N52" i="25"/>
  <c r="O52" i="25" s="1"/>
  <c r="N32" i="25"/>
  <c r="G43" i="25"/>
  <c r="G46" i="25" s="1"/>
  <c r="H46" i="25" s="1"/>
  <c r="N48" i="25"/>
  <c r="O48" i="25" s="1"/>
  <c r="N30" i="25"/>
  <c r="N15" i="25"/>
  <c r="O15" i="25" s="1"/>
  <c r="O38" i="25"/>
  <c r="N38" i="25"/>
  <c r="N19" i="25"/>
  <c r="O19" i="25" s="1"/>
  <c r="O23" i="25"/>
  <c r="N23" i="25"/>
  <c r="O28" i="25"/>
  <c r="N29" i="25"/>
  <c r="O29" i="25" s="1"/>
  <c r="O35" i="25"/>
  <c r="N42" i="25"/>
  <c r="O42" i="25" s="1"/>
  <c r="N27" i="25"/>
  <c r="O50" i="25"/>
  <c r="O17" i="25"/>
  <c r="L25" i="25"/>
  <c r="N25" i="25" s="1"/>
  <c r="L34" i="25"/>
  <c r="N34" i="25" s="1"/>
  <c r="O34" i="25" s="1"/>
  <c r="H37" i="25"/>
  <c r="O37" i="25" s="1"/>
  <c r="L39" i="25"/>
  <c r="N39" i="25" s="1"/>
  <c r="O39" i="25" s="1"/>
  <c r="H43" i="25"/>
  <c r="L24" i="25"/>
  <c r="N24" i="25" s="1"/>
  <c r="H27" i="25"/>
  <c r="O27" i="25" s="1"/>
  <c r="H33" i="25"/>
  <c r="G45" i="25"/>
  <c r="H45" i="25" s="1"/>
  <c r="O51" i="25"/>
  <c r="K46" i="25"/>
  <c r="L46" i="25" s="1"/>
  <c r="N46" i="25" s="1"/>
  <c r="O46" i="25" s="1"/>
  <c r="K45" i="25"/>
  <c r="L45" i="25" s="1"/>
  <c r="N16" i="25"/>
  <c r="L21" i="25"/>
  <c r="N21" i="25" s="1"/>
  <c r="O21" i="25" s="1"/>
  <c r="L26" i="25"/>
  <c r="N26" i="25" s="1"/>
  <c r="L28" i="25"/>
  <c r="N28" i="25" s="1"/>
  <c r="L43" i="25"/>
  <c r="N43" i="25" s="1"/>
  <c r="N47" i="25"/>
  <c r="O47" i="25" s="1"/>
  <c r="N26" i="23"/>
  <c r="N28" i="23"/>
  <c r="K47" i="23"/>
  <c r="L47" i="23" s="1"/>
  <c r="N47" i="23" s="1"/>
  <c r="O47" i="23" s="1"/>
  <c r="N25" i="23"/>
  <c r="O25" i="23" s="1"/>
  <c r="N45" i="23"/>
  <c r="O21" i="23"/>
  <c r="N20" i="23"/>
  <c r="O20" i="23" s="1"/>
  <c r="N27" i="23"/>
  <c r="N29" i="23"/>
  <c r="L30" i="23"/>
  <c r="O31" i="23"/>
  <c r="N31" i="23"/>
  <c r="N32" i="23"/>
  <c r="O44" i="23"/>
  <c r="O45" i="23"/>
  <c r="L39" i="23"/>
  <c r="K40" i="23"/>
  <c r="N15" i="23"/>
  <c r="O15" i="23" s="1"/>
  <c r="N22" i="23"/>
  <c r="N24" i="23"/>
  <c r="L33" i="23"/>
  <c r="N33" i="23" s="1"/>
  <c r="L46" i="23"/>
  <c r="N46" i="23" s="1"/>
  <c r="H48" i="23"/>
  <c r="N17" i="23"/>
  <c r="H19" i="23"/>
  <c r="N19" i="23" s="1"/>
  <c r="N35" i="23"/>
  <c r="K36" i="23"/>
  <c r="L36" i="23" s="1"/>
  <c r="H49" i="23"/>
  <c r="L48" i="23"/>
  <c r="N48" i="23" s="1"/>
  <c r="G39" i="23"/>
  <c r="G36" i="23"/>
  <c r="H36" i="23" s="1"/>
  <c r="L48" i="20"/>
  <c r="N48" i="20" s="1"/>
  <c r="O48" i="20"/>
  <c r="K48" i="20"/>
  <c r="J48" i="20"/>
  <c r="L48" i="10"/>
  <c r="N48" i="10" s="1"/>
  <c r="O48" i="10"/>
  <c r="K48" i="10"/>
  <c r="J48" i="10"/>
  <c r="L49" i="19"/>
  <c r="N49" i="19" s="1"/>
  <c r="O49" i="19"/>
  <c r="K49" i="19"/>
  <c r="J49" i="19"/>
  <c r="L49" i="4"/>
  <c r="N49" i="4" s="1"/>
  <c r="O49" i="4"/>
  <c r="K49" i="4"/>
  <c r="J49" i="4"/>
  <c r="L48" i="14"/>
  <c r="N48" i="14" s="1"/>
  <c r="O48" i="14"/>
  <c r="K48" i="14"/>
  <c r="J48" i="14"/>
  <c r="L48" i="17"/>
  <c r="N48" i="17" s="1"/>
  <c r="O48" i="17"/>
  <c r="K48" i="17"/>
  <c r="J48" i="17"/>
  <c r="N46" i="22"/>
  <c r="O46" i="22"/>
  <c r="L46" i="22"/>
  <c r="K46" i="22"/>
  <c r="J46" i="22"/>
  <c r="O46" i="2"/>
  <c r="N46" i="2"/>
  <c r="L46" i="2"/>
  <c r="K46" i="2"/>
  <c r="J46" i="2"/>
  <c r="H43" i="26" l="1"/>
  <c r="G46" i="26"/>
  <c r="H46" i="26" s="1"/>
  <c r="N46" i="26" s="1"/>
  <c r="G45" i="26"/>
  <c r="H45" i="26" s="1"/>
  <c r="N45" i="26" s="1"/>
  <c r="O52" i="26"/>
  <c r="N33" i="26"/>
  <c r="L41" i="26"/>
  <c r="N35" i="26"/>
  <c r="O35" i="26" s="1"/>
  <c r="N51" i="26"/>
  <c r="O51" i="26" s="1"/>
  <c r="H41" i="26"/>
  <c r="O33" i="26"/>
  <c r="O29" i="26"/>
  <c r="N37" i="26"/>
  <c r="N52" i="26"/>
  <c r="N43" i="26"/>
  <c r="N36" i="26"/>
  <c r="N29" i="26"/>
  <c r="N45" i="25"/>
  <c r="O45" i="25" s="1"/>
  <c r="H41" i="25"/>
  <c r="L33" i="25"/>
  <c r="O43" i="25"/>
  <c r="N37" i="25"/>
  <c r="H30" i="23"/>
  <c r="O36" i="23"/>
  <c r="G40" i="23"/>
  <c r="H39" i="23"/>
  <c r="N36" i="23"/>
  <c r="H38" i="23"/>
  <c r="L40" i="23"/>
  <c r="K43" i="23"/>
  <c r="L43" i="23" s="1"/>
  <c r="K42" i="23"/>
  <c r="L42" i="23" s="1"/>
  <c r="L38" i="23"/>
  <c r="N30" i="23"/>
  <c r="O30" i="23" s="1"/>
  <c r="N39" i="23"/>
  <c r="O19" i="23"/>
  <c r="O48" i="23"/>
  <c r="N49" i="23"/>
  <c r="O49" i="23" s="1"/>
  <c r="C23" i="21"/>
  <c r="C11" i="21"/>
  <c r="J19" i="22"/>
  <c r="F19" i="22"/>
  <c r="F15" i="22"/>
  <c r="H15" i="22" s="1"/>
  <c r="J15" i="22"/>
  <c r="L15" i="22" s="1"/>
  <c r="J57" i="22"/>
  <c r="K39" i="22" s="1"/>
  <c r="F57" i="22"/>
  <c r="G39" i="22" s="1"/>
  <c r="G40" i="22" s="1"/>
  <c r="J49" i="22"/>
  <c r="G49" i="22"/>
  <c r="F49" i="22"/>
  <c r="J36" i="22" s="1"/>
  <c r="J48" i="22"/>
  <c r="G48" i="22"/>
  <c r="K48" i="22" s="1"/>
  <c r="F48" i="22"/>
  <c r="J47" i="22"/>
  <c r="G47" i="22"/>
  <c r="K47" i="22" s="1"/>
  <c r="F47" i="22"/>
  <c r="K45" i="22"/>
  <c r="J45" i="22"/>
  <c r="L45" i="22" s="1"/>
  <c r="G45" i="22"/>
  <c r="F45" i="22"/>
  <c r="J44" i="22"/>
  <c r="L44" i="22" s="1"/>
  <c r="F44" i="22"/>
  <c r="H44" i="22" s="1"/>
  <c r="J43" i="22"/>
  <c r="F43" i="22"/>
  <c r="J42" i="22"/>
  <c r="F42" i="22"/>
  <c r="J40" i="22"/>
  <c r="F40" i="22"/>
  <c r="J39" i="22"/>
  <c r="F39" i="22"/>
  <c r="J37" i="22"/>
  <c r="L37" i="22" s="1"/>
  <c r="F37" i="22"/>
  <c r="H37" i="22" s="1"/>
  <c r="K35" i="22"/>
  <c r="L35" i="22" s="1"/>
  <c r="G35" i="22"/>
  <c r="H35" i="22" s="1"/>
  <c r="O35" i="22" s="1"/>
  <c r="J34" i="22"/>
  <c r="L34" i="22" s="1"/>
  <c r="H34" i="22"/>
  <c r="O34" i="22" s="1"/>
  <c r="B34" i="22"/>
  <c r="O33" i="22"/>
  <c r="K33" i="22"/>
  <c r="J33" i="22"/>
  <c r="G33" i="22"/>
  <c r="H33" i="22" s="1"/>
  <c r="B33" i="22"/>
  <c r="L32" i="22"/>
  <c r="F32" i="22"/>
  <c r="H32" i="22" s="1"/>
  <c r="O32" i="22" s="1"/>
  <c r="B32" i="22"/>
  <c r="K31" i="22"/>
  <c r="J31" i="22"/>
  <c r="L31" i="22" s="1"/>
  <c r="G31" i="22"/>
  <c r="F31" i="22"/>
  <c r="B31" i="22"/>
  <c r="K29" i="22"/>
  <c r="L29" i="22" s="1"/>
  <c r="G29" i="22"/>
  <c r="H29" i="22" s="1"/>
  <c r="K28" i="22"/>
  <c r="L28" i="22" s="1"/>
  <c r="N28" i="22" s="1"/>
  <c r="G28" i="22"/>
  <c r="H28" i="22" s="1"/>
  <c r="O28" i="22" s="1"/>
  <c r="K27" i="22"/>
  <c r="L27" i="22" s="1"/>
  <c r="G27" i="22"/>
  <c r="H27" i="22" s="1"/>
  <c r="K26" i="22"/>
  <c r="L26" i="22" s="1"/>
  <c r="G26" i="22"/>
  <c r="H26" i="22" s="1"/>
  <c r="O26" i="22" s="1"/>
  <c r="K25" i="22"/>
  <c r="J25" i="22"/>
  <c r="G25" i="22"/>
  <c r="F25" i="22"/>
  <c r="B25" i="22"/>
  <c r="K24" i="22"/>
  <c r="L24" i="22" s="1"/>
  <c r="G24" i="22"/>
  <c r="H24" i="22" s="1"/>
  <c r="O24" i="22" s="1"/>
  <c r="K23" i="22"/>
  <c r="L23" i="22" s="1"/>
  <c r="G23" i="22"/>
  <c r="H23" i="22" s="1"/>
  <c r="O23" i="22" s="1"/>
  <c r="K22" i="22"/>
  <c r="L22" i="22" s="1"/>
  <c r="G22" i="22"/>
  <c r="H22" i="22" s="1"/>
  <c r="O22" i="22" s="1"/>
  <c r="K21" i="22"/>
  <c r="J21" i="22"/>
  <c r="G21" i="22"/>
  <c r="F21" i="22"/>
  <c r="B21" i="22"/>
  <c r="K20" i="22"/>
  <c r="L20" i="22" s="1"/>
  <c r="F20" i="22"/>
  <c r="H20" i="22" s="1"/>
  <c r="K19" i="22"/>
  <c r="G19" i="22"/>
  <c r="L18" i="22"/>
  <c r="H18" i="22"/>
  <c r="O18" i="22" s="1"/>
  <c r="L17" i="22"/>
  <c r="H17" i="22"/>
  <c r="O17" i="22" s="1"/>
  <c r="L16" i="22"/>
  <c r="H16" i="22"/>
  <c r="O16" i="22" s="1"/>
  <c r="H44" i="26" l="1"/>
  <c r="H54" i="26"/>
  <c r="O45" i="26"/>
  <c r="N41" i="26"/>
  <c r="O41" i="26" s="1"/>
  <c r="L44" i="26"/>
  <c r="O46" i="26"/>
  <c r="O43" i="26"/>
  <c r="H44" i="25"/>
  <c r="N33" i="25"/>
  <c r="O33" i="25" s="1"/>
  <c r="L41" i="25"/>
  <c r="O39" i="23"/>
  <c r="L41" i="23"/>
  <c r="L51" i="23" s="1"/>
  <c r="N38" i="23"/>
  <c r="O38" i="23" s="1"/>
  <c r="G43" i="23"/>
  <c r="H43" i="23" s="1"/>
  <c r="N43" i="23" s="1"/>
  <c r="G42" i="23"/>
  <c r="H42" i="23" s="1"/>
  <c r="H40" i="23"/>
  <c r="H25" i="22"/>
  <c r="N34" i="22"/>
  <c r="N26" i="22"/>
  <c r="L21" i="22"/>
  <c r="F36" i="22"/>
  <c r="G36" i="22"/>
  <c r="H36" i="22" s="1"/>
  <c r="L47" i="22"/>
  <c r="L19" i="22"/>
  <c r="K36" i="22"/>
  <c r="L36" i="22" s="1"/>
  <c r="L33" i="22"/>
  <c r="N33" i="22" s="1"/>
  <c r="H49" i="22"/>
  <c r="L48" i="22"/>
  <c r="N44" i="22"/>
  <c r="O44" i="22" s="1"/>
  <c r="H21" i="22"/>
  <c r="H31" i="22"/>
  <c r="N31" i="22" s="1"/>
  <c r="O31" i="22" s="1"/>
  <c r="N37" i="22"/>
  <c r="H40" i="22"/>
  <c r="N22" i="22"/>
  <c r="N23" i="22"/>
  <c r="N24" i="22"/>
  <c r="N15" i="22"/>
  <c r="O15" i="22" s="1"/>
  <c r="N20" i="22"/>
  <c r="O20" i="22" s="1"/>
  <c r="O27" i="22"/>
  <c r="N27" i="22"/>
  <c r="O29" i="22"/>
  <c r="N29" i="22"/>
  <c r="N17" i="22"/>
  <c r="H19" i="22"/>
  <c r="N35" i="22"/>
  <c r="L39" i="22"/>
  <c r="H45" i="22"/>
  <c r="H47" i="22"/>
  <c r="K49" i="22"/>
  <c r="L49" i="22" s="1"/>
  <c r="G43" i="22"/>
  <c r="H43" i="22" s="1"/>
  <c r="G42" i="22"/>
  <c r="H42" i="22" s="1"/>
  <c r="N16" i="22"/>
  <c r="N18" i="22"/>
  <c r="L25" i="22"/>
  <c r="N25" i="22" s="1"/>
  <c r="O25" i="22" s="1"/>
  <c r="N32" i="22"/>
  <c r="H39" i="22"/>
  <c r="H48" i="22"/>
  <c r="K40" i="22"/>
  <c r="D28" i="21"/>
  <c r="C28" i="21"/>
  <c r="D16" i="21"/>
  <c r="C16" i="21"/>
  <c r="C25" i="21"/>
  <c r="C13" i="21"/>
  <c r="D24" i="21"/>
  <c r="C24" i="21"/>
  <c r="D12" i="21"/>
  <c r="C12" i="21"/>
  <c r="C21" i="21"/>
  <c r="C9" i="21"/>
  <c r="N44" i="26" l="1"/>
  <c r="L54" i="26"/>
  <c r="O44" i="26"/>
  <c r="H56" i="26"/>
  <c r="H55" i="26"/>
  <c r="H54" i="25"/>
  <c r="L44" i="25"/>
  <c r="N41" i="25"/>
  <c r="O41" i="25" s="1"/>
  <c r="L52" i="23"/>
  <c r="H41" i="23"/>
  <c r="N41" i="23" s="1"/>
  <c r="O43" i="23"/>
  <c r="N40" i="23"/>
  <c r="O40" i="23" s="1"/>
  <c r="N42" i="23"/>
  <c r="O42" i="23" s="1"/>
  <c r="N21" i="22"/>
  <c r="O21" i="22" s="1"/>
  <c r="N47" i="22"/>
  <c r="O47" i="22" s="1"/>
  <c r="N49" i="22"/>
  <c r="O49" i="22" s="1"/>
  <c r="N36" i="22"/>
  <c r="O36" i="22" s="1"/>
  <c r="N45" i="22"/>
  <c r="O45" i="22" s="1"/>
  <c r="L30" i="22"/>
  <c r="L38" i="22" s="1"/>
  <c r="N48" i="22"/>
  <c r="O48" i="22" s="1"/>
  <c r="H30" i="22"/>
  <c r="N19" i="22"/>
  <c r="O19" i="22" s="1"/>
  <c r="L40" i="22"/>
  <c r="N40" i="22" s="1"/>
  <c r="O40" i="22" s="1"/>
  <c r="K43" i="22"/>
  <c r="L43" i="22" s="1"/>
  <c r="N43" i="22" s="1"/>
  <c r="O43" i="22" s="1"/>
  <c r="K42" i="22"/>
  <c r="L42" i="22" s="1"/>
  <c r="N39" i="22"/>
  <c r="O39" i="22" s="1"/>
  <c r="N54" i="26" l="1"/>
  <c r="O54" i="26" s="1"/>
  <c r="L55" i="26"/>
  <c r="N55" i="26" s="1"/>
  <c r="O55" i="26" s="1"/>
  <c r="H57" i="26"/>
  <c r="N44" i="25"/>
  <c r="O44" i="25" s="1"/>
  <c r="L54" i="25"/>
  <c r="H56" i="25"/>
  <c r="H55" i="25"/>
  <c r="O41" i="23"/>
  <c r="H51" i="23"/>
  <c r="L53" i="23"/>
  <c r="L41" i="22"/>
  <c r="G11" i="21" s="1"/>
  <c r="N42" i="22"/>
  <c r="O42" i="22" s="1"/>
  <c r="H38" i="22"/>
  <c r="N38" i="22" s="1"/>
  <c r="N30" i="22"/>
  <c r="O30" i="22" s="1"/>
  <c r="G25" i="14"/>
  <c r="F25" i="14"/>
  <c r="H25" i="14" s="1"/>
  <c r="N57" i="26" l="1"/>
  <c r="O57" i="26" s="1"/>
  <c r="L56" i="26"/>
  <c r="H58" i="26"/>
  <c r="H57" i="25"/>
  <c r="H58" i="25"/>
  <c r="L55" i="25"/>
  <c r="N55" i="25" s="1"/>
  <c r="O55" i="25" s="1"/>
  <c r="N54" i="25"/>
  <c r="O54" i="25" s="1"/>
  <c r="L55" i="23"/>
  <c r="O51" i="23"/>
  <c r="H52" i="23"/>
  <c r="H53" i="23" s="1"/>
  <c r="N51" i="23"/>
  <c r="L51" i="22"/>
  <c r="L52" i="22" s="1"/>
  <c r="H41" i="22"/>
  <c r="F11" i="21" s="1"/>
  <c r="H11" i="21" s="1"/>
  <c r="I11" i="21" s="1"/>
  <c r="O38" i="22"/>
  <c r="J56" i="20"/>
  <c r="K44" i="20" s="1"/>
  <c r="F56" i="20"/>
  <c r="G44" i="20" s="1"/>
  <c r="K49" i="20"/>
  <c r="J49" i="20"/>
  <c r="G49" i="20"/>
  <c r="K47" i="20"/>
  <c r="J47" i="20"/>
  <c r="G47" i="20"/>
  <c r="F47" i="20"/>
  <c r="J46" i="20"/>
  <c r="L46" i="20" s="1"/>
  <c r="F46" i="20"/>
  <c r="H46" i="20" s="1"/>
  <c r="J45" i="20"/>
  <c r="F45" i="20"/>
  <c r="J44" i="20"/>
  <c r="F44" i="20"/>
  <c r="J42" i="20"/>
  <c r="F42" i="20"/>
  <c r="J41" i="20"/>
  <c r="F41" i="20"/>
  <c r="L39" i="20"/>
  <c r="H39" i="20"/>
  <c r="J38" i="20"/>
  <c r="F38" i="20"/>
  <c r="K37" i="20"/>
  <c r="L37" i="20" s="1"/>
  <c r="G37" i="20"/>
  <c r="H37" i="20" s="1"/>
  <c r="O37" i="20" s="1"/>
  <c r="K36" i="20"/>
  <c r="J36" i="20"/>
  <c r="G36" i="20"/>
  <c r="F36" i="20"/>
  <c r="B36" i="20"/>
  <c r="K35" i="20"/>
  <c r="J35" i="20"/>
  <c r="G35" i="20"/>
  <c r="F35" i="20"/>
  <c r="B35" i="20"/>
  <c r="K34" i="20"/>
  <c r="J34" i="20"/>
  <c r="G34" i="20"/>
  <c r="F34" i="20"/>
  <c r="B34" i="20"/>
  <c r="K33" i="20"/>
  <c r="J33" i="20"/>
  <c r="G33" i="20"/>
  <c r="F33" i="20"/>
  <c r="B33" i="20"/>
  <c r="K31" i="20"/>
  <c r="L31" i="20" s="1"/>
  <c r="N31" i="20" s="1"/>
  <c r="G31" i="20"/>
  <c r="H31" i="20" s="1"/>
  <c r="O31" i="20" s="1"/>
  <c r="K30" i="20"/>
  <c r="L30" i="20" s="1"/>
  <c r="G30" i="20"/>
  <c r="H30" i="20" s="1"/>
  <c r="O30" i="20" s="1"/>
  <c r="K29" i="20"/>
  <c r="L29" i="20" s="1"/>
  <c r="N29" i="20" s="1"/>
  <c r="G29" i="20"/>
  <c r="H29" i="20" s="1"/>
  <c r="O29" i="20" s="1"/>
  <c r="K28" i="20"/>
  <c r="L28" i="20" s="1"/>
  <c r="G28" i="20"/>
  <c r="H28" i="20" s="1"/>
  <c r="O28" i="20" s="1"/>
  <c r="K27" i="20"/>
  <c r="J27" i="20"/>
  <c r="G27" i="20"/>
  <c r="F27" i="20"/>
  <c r="B27" i="20"/>
  <c r="K26" i="20"/>
  <c r="L26" i="20" s="1"/>
  <c r="G26" i="20"/>
  <c r="H26" i="20" s="1"/>
  <c r="O26" i="20" s="1"/>
  <c r="K25" i="20"/>
  <c r="J25" i="20"/>
  <c r="G25" i="20"/>
  <c r="F25" i="20"/>
  <c r="B25" i="20"/>
  <c r="K24" i="20"/>
  <c r="L24" i="20" s="1"/>
  <c r="N24" i="20" s="1"/>
  <c r="G24" i="20"/>
  <c r="H24" i="20" s="1"/>
  <c r="O24" i="20" s="1"/>
  <c r="K23" i="20"/>
  <c r="L23" i="20" s="1"/>
  <c r="G23" i="20"/>
  <c r="H23" i="20" s="1"/>
  <c r="O23" i="20" s="1"/>
  <c r="K22" i="20"/>
  <c r="L22" i="20" s="1"/>
  <c r="N22" i="20" s="1"/>
  <c r="G22" i="20"/>
  <c r="H22" i="20" s="1"/>
  <c r="O22" i="20" s="1"/>
  <c r="K21" i="20"/>
  <c r="L21" i="20" s="1"/>
  <c r="G21" i="20"/>
  <c r="H21" i="20" s="1"/>
  <c r="O21" i="20" s="1"/>
  <c r="K20" i="20"/>
  <c r="J20" i="20"/>
  <c r="G20" i="20"/>
  <c r="F20" i="20"/>
  <c r="O19" i="20"/>
  <c r="L19" i="20"/>
  <c r="N19" i="20" s="1"/>
  <c r="H19" i="20"/>
  <c r="O18" i="20"/>
  <c r="L18" i="20"/>
  <c r="N18" i="20" s="1"/>
  <c r="H18" i="20"/>
  <c r="O17" i="20"/>
  <c r="L17" i="20"/>
  <c r="N17" i="20" s="1"/>
  <c r="H17" i="20"/>
  <c r="O16" i="20"/>
  <c r="L16" i="20"/>
  <c r="N16" i="20" s="1"/>
  <c r="H16" i="20"/>
  <c r="O15" i="20"/>
  <c r="L15" i="20"/>
  <c r="N15" i="20" s="1"/>
  <c r="H15" i="20"/>
  <c r="J14" i="20"/>
  <c r="L14" i="20" s="1"/>
  <c r="F14" i="20"/>
  <c r="H14" i="20" s="1"/>
  <c r="J36" i="10"/>
  <c r="J35" i="10"/>
  <c r="F36" i="10"/>
  <c r="F35" i="10"/>
  <c r="G25" i="10"/>
  <c r="F25" i="10"/>
  <c r="H25" i="10" s="1"/>
  <c r="B36" i="10"/>
  <c r="B35" i="10"/>
  <c r="J60" i="19"/>
  <c r="K42" i="19" s="1"/>
  <c r="K43" i="19" s="1"/>
  <c r="F60" i="19"/>
  <c r="G39" i="19" s="1"/>
  <c r="J52" i="19"/>
  <c r="G52" i="19"/>
  <c r="K52" i="19" s="1"/>
  <c r="F52" i="19"/>
  <c r="J51" i="19"/>
  <c r="G51" i="19"/>
  <c r="K51" i="19" s="1"/>
  <c r="F51" i="19"/>
  <c r="J50" i="19"/>
  <c r="G50" i="19"/>
  <c r="K50" i="19" s="1"/>
  <c r="F50" i="19"/>
  <c r="K48" i="19"/>
  <c r="J48" i="19"/>
  <c r="G48" i="19"/>
  <c r="F48" i="19"/>
  <c r="J47" i="19"/>
  <c r="L47" i="19" s="1"/>
  <c r="F47" i="19"/>
  <c r="H47" i="19" s="1"/>
  <c r="J46" i="19"/>
  <c r="F46" i="19"/>
  <c r="J45" i="19"/>
  <c r="F45" i="19"/>
  <c r="J43" i="19"/>
  <c r="F43" i="19"/>
  <c r="J42" i="19"/>
  <c r="F42" i="19"/>
  <c r="J40" i="19"/>
  <c r="L40" i="19" s="1"/>
  <c r="F40" i="19"/>
  <c r="H40" i="19" s="1"/>
  <c r="K38" i="19"/>
  <c r="L38" i="19" s="1"/>
  <c r="G38" i="19"/>
  <c r="H38" i="19" s="1"/>
  <c r="K37" i="19"/>
  <c r="J37" i="19"/>
  <c r="G37" i="19"/>
  <c r="F37" i="19"/>
  <c r="B37" i="19"/>
  <c r="K36" i="19"/>
  <c r="J36" i="19"/>
  <c r="G36" i="19"/>
  <c r="F36" i="19"/>
  <c r="H36" i="19" s="1"/>
  <c r="O36" i="19" s="1"/>
  <c r="B36" i="19"/>
  <c r="K35" i="19"/>
  <c r="L35" i="19" s="1"/>
  <c r="G35" i="19"/>
  <c r="F35" i="19"/>
  <c r="B35" i="19"/>
  <c r="K34" i="19"/>
  <c r="J34" i="19"/>
  <c r="G34" i="19"/>
  <c r="F34" i="19"/>
  <c r="B34" i="19"/>
  <c r="K32" i="19"/>
  <c r="L32" i="19" s="1"/>
  <c r="G32" i="19"/>
  <c r="H32" i="19" s="1"/>
  <c r="O32" i="19" s="1"/>
  <c r="K31" i="19"/>
  <c r="L31" i="19" s="1"/>
  <c r="G31" i="19"/>
  <c r="H31" i="19" s="1"/>
  <c r="O31" i="19" s="1"/>
  <c r="K30" i="19"/>
  <c r="L30" i="19" s="1"/>
  <c r="G30" i="19"/>
  <c r="H30" i="19" s="1"/>
  <c r="O30" i="19" s="1"/>
  <c r="K29" i="19"/>
  <c r="J29" i="19"/>
  <c r="G29" i="19"/>
  <c r="F29" i="19"/>
  <c r="B29" i="19"/>
  <c r="K28" i="19"/>
  <c r="J28" i="19"/>
  <c r="G28" i="19"/>
  <c r="F28" i="19"/>
  <c r="B28" i="19"/>
  <c r="K27" i="19"/>
  <c r="J27" i="19"/>
  <c r="G27" i="19"/>
  <c r="F27" i="19"/>
  <c r="O26" i="19"/>
  <c r="K26" i="19"/>
  <c r="J26" i="19"/>
  <c r="F26" i="19"/>
  <c r="B26" i="19"/>
  <c r="K25" i="19"/>
  <c r="J25" i="19"/>
  <c r="G25" i="19"/>
  <c r="F25" i="19"/>
  <c r="K24" i="19"/>
  <c r="J24" i="19"/>
  <c r="G24" i="19"/>
  <c r="F24" i="19"/>
  <c r="K23" i="19"/>
  <c r="L23" i="19" s="1"/>
  <c r="G23" i="19"/>
  <c r="H23" i="19" s="1"/>
  <c r="O23" i="19" s="1"/>
  <c r="K22" i="19"/>
  <c r="L22" i="19" s="1"/>
  <c r="G22" i="19"/>
  <c r="H22" i="19" s="1"/>
  <c r="O22" i="19" s="1"/>
  <c r="K21" i="19"/>
  <c r="J21" i="19"/>
  <c r="G21" i="19"/>
  <c r="F21" i="19"/>
  <c r="L20" i="19"/>
  <c r="H20" i="19"/>
  <c r="O20" i="19" s="1"/>
  <c r="J19" i="19"/>
  <c r="L19" i="19" s="1"/>
  <c r="F19" i="19"/>
  <c r="H19" i="19" s="1"/>
  <c r="B19" i="19"/>
  <c r="L18" i="19"/>
  <c r="H18" i="19"/>
  <c r="O18" i="19" s="1"/>
  <c r="J17" i="19"/>
  <c r="L17" i="19" s="1"/>
  <c r="F17" i="19"/>
  <c r="H17" i="19" s="1"/>
  <c r="B17" i="19"/>
  <c r="L16" i="19"/>
  <c r="H16" i="19"/>
  <c r="O16" i="19" s="1"/>
  <c r="J15" i="19"/>
  <c r="L15" i="19" s="1"/>
  <c r="F15" i="19"/>
  <c r="H15" i="19" s="1"/>
  <c r="F26" i="4"/>
  <c r="J37" i="4"/>
  <c r="J36" i="4"/>
  <c r="F37" i="4"/>
  <c r="F36" i="4"/>
  <c r="B37" i="4"/>
  <c r="B36" i="4"/>
  <c r="J36" i="14"/>
  <c r="J35" i="14"/>
  <c r="F36" i="14"/>
  <c r="F35" i="14"/>
  <c r="B36" i="14"/>
  <c r="B35" i="14"/>
  <c r="J36" i="17"/>
  <c r="J35" i="17"/>
  <c r="J34" i="2"/>
  <c r="J33" i="2"/>
  <c r="B36" i="17"/>
  <c r="B35" i="17"/>
  <c r="F22" i="17"/>
  <c r="F21" i="2"/>
  <c r="F20" i="2"/>
  <c r="B34" i="2"/>
  <c r="B33" i="2"/>
  <c r="F92" i="3"/>
  <c r="D92" i="3"/>
  <c r="L58" i="26" l="1"/>
  <c r="N58" i="26" s="1"/>
  <c r="N56" i="26"/>
  <c r="O56" i="26" s="1"/>
  <c r="O58" i="26"/>
  <c r="N57" i="25"/>
  <c r="O57" i="25"/>
  <c r="L56" i="25"/>
  <c r="H24" i="19"/>
  <c r="O24" i="19" s="1"/>
  <c r="H54" i="23"/>
  <c r="N52" i="23"/>
  <c r="O52" i="23" s="1"/>
  <c r="N53" i="23"/>
  <c r="O53" i="23" s="1"/>
  <c r="L29" i="19"/>
  <c r="F39" i="19"/>
  <c r="H39" i="19" s="1"/>
  <c r="N39" i="20"/>
  <c r="L27" i="20"/>
  <c r="N27" i="20" s="1"/>
  <c r="N20" i="19"/>
  <c r="H28" i="19"/>
  <c r="N31" i="19"/>
  <c r="D93" i="3"/>
  <c r="F93" i="3"/>
  <c r="F49" i="20"/>
  <c r="N40" i="19"/>
  <c r="K41" i="20"/>
  <c r="K42" i="20" s="1"/>
  <c r="L42" i="20" s="1"/>
  <c r="N14" i="20"/>
  <c r="O14" i="20" s="1"/>
  <c r="H21" i="19"/>
  <c r="H25" i="19"/>
  <c r="O25" i="19" s="1"/>
  <c r="G42" i="19"/>
  <c r="G43" i="19" s="1"/>
  <c r="H43" i="19" s="1"/>
  <c r="H20" i="20"/>
  <c r="L35" i="20"/>
  <c r="H51" i="22"/>
  <c r="N41" i="22"/>
  <c r="O41" i="22" s="1"/>
  <c r="L53" i="22"/>
  <c r="K39" i="19"/>
  <c r="L33" i="20"/>
  <c r="L37" i="19"/>
  <c r="L20" i="20"/>
  <c r="N20" i="20" s="1"/>
  <c r="O20" i="20" s="1"/>
  <c r="H27" i="20"/>
  <c r="H35" i="20"/>
  <c r="O35" i="20" s="1"/>
  <c r="L44" i="20"/>
  <c r="L27" i="19"/>
  <c r="H50" i="19"/>
  <c r="H51" i="19"/>
  <c r="H52" i="19"/>
  <c r="H36" i="20"/>
  <c r="O36" i="20" s="1"/>
  <c r="K38" i="20"/>
  <c r="L38" i="20" s="1"/>
  <c r="G41" i="20"/>
  <c r="G42" i="20" s="1"/>
  <c r="H42" i="20" s="1"/>
  <c r="N46" i="20"/>
  <c r="O46" i="20" s="1"/>
  <c r="L47" i="20"/>
  <c r="L49" i="20"/>
  <c r="L36" i="19"/>
  <c r="N36" i="19" s="1"/>
  <c r="J39" i="19"/>
  <c r="L25" i="20"/>
  <c r="H34" i="20"/>
  <c r="L36" i="20"/>
  <c r="G38" i="20"/>
  <c r="H38" i="20" s="1"/>
  <c r="H47" i="20"/>
  <c r="H49" i="20"/>
  <c r="L43" i="19"/>
  <c r="H34" i="19"/>
  <c r="N47" i="19"/>
  <c r="O47" i="19" s="1"/>
  <c r="N17" i="19"/>
  <c r="O17" i="19" s="1"/>
  <c r="N22" i="19"/>
  <c r="N23" i="19"/>
  <c r="O38" i="19"/>
  <c r="N38" i="19"/>
  <c r="N16" i="19"/>
  <c r="N32" i="19"/>
  <c r="L50" i="19"/>
  <c r="L52" i="19"/>
  <c r="L24" i="19"/>
  <c r="H27" i="19"/>
  <c r="O27" i="19" s="1"/>
  <c r="H35" i="19"/>
  <c r="N35" i="19" s="1"/>
  <c r="O35" i="19" s="1"/>
  <c r="H48" i="19"/>
  <c r="H29" i="19"/>
  <c r="L42" i="19"/>
  <c r="N30" i="19"/>
  <c r="N18" i="19"/>
  <c r="N26" i="20"/>
  <c r="N28" i="20"/>
  <c r="N30" i="20"/>
  <c r="L34" i="20"/>
  <c r="H44" i="20"/>
  <c r="N21" i="20"/>
  <c r="N23" i="20"/>
  <c r="H25" i="20"/>
  <c r="H32" i="20" s="1"/>
  <c r="H33" i="20"/>
  <c r="N37" i="20"/>
  <c r="K45" i="20"/>
  <c r="L45" i="20" s="1"/>
  <c r="G45" i="20"/>
  <c r="H45" i="20" s="1"/>
  <c r="N19" i="19"/>
  <c r="O19" i="19" s="1"/>
  <c r="L25" i="19"/>
  <c r="L34" i="19"/>
  <c r="H37" i="19"/>
  <c r="O37" i="19" s="1"/>
  <c r="L48" i="19"/>
  <c r="N15" i="19"/>
  <c r="O15" i="19" s="1"/>
  <c r="L21" i="19"/>
  <c r="L26" i="19"/>
  <c r="N26" i="19" s="1"/>
  <c r="L28" i="19"/>
  <c r="K46" i="19"/>
  <c r="L46" i="19" s="1"/>
  <c r="K45" i="19"/>
  <c r="L45" i="19" s="1"/>
  <c r="L51" i="19"/>
  <c r="K25" i="10"/>
  <c r="J25" i="10"/>
  <c r="B25" i="10"/>
  <c r="O26" i="4"/>
  <c r="K26" i="4"/>
  <c r="J26" i="4"/>
  <c r="B26" i="4"/>
  <c r="K25" i="14"/>
  <c r="J25" i="14"/>
  <c r="B25" i="14"/>
  <c r="L58" i="25" l="1"/>
  <c r="N58" i="25" s="1"/>
  <c r="O58" i="25" s="1"/>
  <c r="N56" i="25"/>
  <c r="O56" i="25" s="1"/>
  <c r="N24" i="19"/>
  <c r="N54" i="23"/>
  <c r="O54" i="23" s="1"/>
  <c r="H55" i="23"/>
  <c r="N28" i="19"/>
  <c r="O28" i="19" s="1"/>
  <c r="N52" i="19"/>
  <c r="O52" i="19" s="1"/>
  <c r="N48" i="19"/>
  <c r="O48" i="19" s="1"/>
  <c r="H33" i="19"/>
  <c r="H41" i="19" s="1"/>
  <c r="L41" i="20"/>
  <c r="O27" i="20"/>
  <c r="L39" i="19"/>
  <c r="N39" i="19" s="1"/>
  <c r="O39" i="19" s="1"/>
  <c r="N25" i="19"/>
  <c r="H41" i="20"/>
  <c r="N41" i="20" s="1"/>
  <c r="N34" i="20"/>
  <c r="O34" i="20" s="1"/>
  <c r="N21" i="19"/>
  <c r="O21" i="19" s="1"/>
  <c r="N51" i="19"/>
  <c r="O51" i="19" s="1"/>
  <c r="N33" i="20"/>
  <c r="O33" i="20" s="1"/>
  <c r="N35" i="20"/>
  <c r="H42" i="19"/>
  <c r="N42" i="19" s="1"/>
  <c r="O42" i="19" s="1"/>
  <c r="N27" i="19"/>
  <c r="N34" i="19"/>
  <c r="O34" i="19" s="1"/>
  <c r="N47" i="20"/>
  <c r="O47" i="20" s="1"/>
  <c r="H52" i="22"/>
  <c r="N51" i="22"/>
  <c r="O51" i="22" s="1"/>
  <c r="L55" i="22"/>
  <c r="G23" i="21" s="1"/>
  <c r="L32" i="20"/>
  <c r="L40" i="20" s="1"/>
  <c r="N36" i="20"/>
  <c r="N49" i="20"/>
  <c r="O49" i="20" s="1"/>
  <c r="N38" i="20"/>
  <c r="O38" i="20" s="1"/>
  <c r="N50" i="19"/>
  <c r="O50" i="19" s="1"/>
  <c r="N42" i="20"/>
  <c r="O42" i="20" s="1"/>
  <c r="N43" i="19"/>
  <c r="O43" i="19" s="1"/>
  <c r="N29" i="19"/>
  <c r="O29" i="19" s="1"/>
  <c r="G46" i="19"/>
  <c r="H46" i="19" s="1"/>
  <c r="N46" i="19" s="1"/>
  <c r="G45" i="19"/>
  <c r="H45" i="19" s="1"/>
  <c r="N45" i="19" s="1"/>
  <c r="N25" i="20"/>
  <c r="O25" i="20" s="1"/>
  <c r="H40" i="20"/>
  <c r="N45" i="20"/>
  <c r="O45" i="20" s="1"/>
  <c r="O41" i="20"/>
  <c r="N44" i="20"/>
  <c r="O44" i="20" s="1"/>
  <c r="L33" i="19"/>
  <c r="N37" i="19"/>
  <c r="L25" i="10"/>
  <c r="N25" i="10" s="1"/>
  <c r="O25" i="10" s="1"/>
  <c r="L25" i="14"/>
  <c r="N25" i="14" s="1"/>
  <c r="O25" i="14" s="1"/>
  <c r="L26" i="4"/>
  <c r="N26" i="4" s="1"/>
  <c r="N55" i="23" l="1"/>
  <c r="O55" i="23" s="1"/>
  <c r="N52" i="22"/>
  <c r="O52" i="22" s="1"/>
  <c r="H53" i="22"/>
  <c r="H54" i="22" s="1"/>
  <c r="N54" i="22" s="1"/>
  <c r="O54" i="22" s="1"/>
  <c r="N32" i="20"/>
  <c r="O32" i="20" s="1"/>
  <c r="O45" i="19"/>
  <c r="O46" i="19"/>
  <c r="N40" i="20"/>
  <c r="O40" i="20" s="1"/>
  <c r="L43" i="20"/>
  <c r="H43" i="20"/>
  <c r="H44" i="19"/>
  <c r="N33" i="19"/>
  <c r="O33" i="19" s="1"/>
  <c r="L41" i="19"/>
  <c r="J17" i="17"/>
  <c r="H55" i="22" l="1"/>
  <c r="F23" i="21" s="1"/>
  <c r="H23" i="21" s="1"/>
  <c r="I23" i="21" s="1"/>
  <c r="N53" i="22"/>
  <c r="O53" i="22" s="1"/>
  <c r="H51" i="20"/>
  <c r="N43" i="20"/>
  <c r="O43" i="20" s="1"/>
  <c r="L51" i="20"/>
  <c r="N41" i="19"/>
  <c r="O41" i="19" s="1"/>
  <c r="L44" i="19"/>
  <c r="H54" i="19"/>
  <c r="K24" i="10"/>
  <c r="G24" i="10"/>
  <c r="J25" i="4"/>
  <c r="K25" i="4"/>
  <c r="J24" i="4"/>
  <c r="G25" i="4"/>
  <c r="F25" i="4"/>
  <c r="F24" i="4"/>
  <c r="N55" i="22" l="1"/>
  <c r="O55" i="22" s="1"/>
  <c r="L52" i="20"/>
  <c r="N51" i="20"/>
  <c r="O51" i="20" s="1"/>
  <c r="H52" i="20"/>
  <c r="H53" i="20" s="1"/>
  <c r="N44" i="19"/>
  <c r="O44" i="19" s="1"/>
  <c r="L54" i="19"/>
  <c r="H55" i="19"/>
  <c r="H24" i="10"/>
  <c r="L24" i="10"/>
  <c r="L25" i="4"/>
  <c r="H25" i="4"/>
  <c r="K25" i="17"/>
  <c r="G25" i="17"/>
  <c r="N52" i="20" l="1"/>
  <c r="O52" i="20" s="1"/>
  <c r="L53" i="20"/>
  <c r="N53" i="20" s="1"/>
  <c r="O53" i="20" s="1"/>
  <c r="H56" i="19"/>
  <c r="H57" i="19" s="1"/>
  <c r="L55" i="19"/>
  <c r="N55" i="19" s="1"/>
  <c r="O55" i="19" s="1"/>
  <c r="N54" i="19"/>
  <c r="O54" i="19" s="1"/>
  <c r="L25" i="17"/>
  <c r="L24" i="14"/>
  <c r="N24" i="10"/>
  <c r="O24" i="10" s="1"/>
  <c r="N25" i="4"/>
  <c r="O25" i="4" s="1"/>
  <c r="H25" i="17"/>
  <c r="H24" i="14"/>
  <c r="K23" i="2"/>
  <c r="G23" i="2"/>
  <c r="L56" i="19" l="1"/>
  <c r="H58" i="19"/>
  <c r="N24" i="14"/>
  <c r="O24" i="14" s="1"/>
  <c r="N25" i="17"/>
  <c r="O25" i="17" s="1"/>
  <c r="H23" i="2"/>
  <c r="L23" i="2"/>
  <c r="G49" i="17"/>
  <c r="K49" i="17" s="1"/>
  <c r="J38" i="17"/>
  <c r="F38" i="17"/>
  <c r="J49" i="17"/>
  <c r="F49" i="17"/>
  <c r="J57" i="17"/>
  <c r="K38" i="17" s="1"/>
  <c r="F57" i="17"/>
  <c r="G38" i="17" s="1"/>
  <c r="K47" i="17"/>
  <c r="J47" i="17"/>
  <c r="G47" i="17"/>
  <c r="F47" i="17"/>
  <c r="J46" i="17"/>
  <c r="L46" i="17" s="1"/>
  <c r="F46" i="17"/>
  <c r="H46" i="17" s="1"/>
  <c r="J45" i="17"/>
  <c r="F45" i="17"/>
  <c r="J44" i="17"/>
  <c r="F44" i="17"/>
  <c r="J42" i="17"/>
  <c r="F42" i="17"/>
  <c r="J41" i="17"/>
  <c r="F41" i="17"/>
  <c r="J39" i="17"/>
  <c r="L39" i="17" s="1"/>
  <c r="F39" i="17"/>
  <c r="H39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L35" i="17" s="1"/>
  <c r="G35" i="17"/>
  <c r="H35" i="17" s="1"/>
  <c r="O35" i="17" s="1"/>
  <c r="K34" i="17"/>
  <c r="J34" i="17"/>
  <c r="G34" i="17"/>
  <c r="F34" i="17"/>
  <c r="B34" i="17"/>
  <c r="K33" i="17"/>
  <c r="J33" i="17"/>
  <c r="G33" i="17"/>
  <c r="F33" i="17"/>
  <c r="B33" i="17"/>
  <c r="K31" i="17"/>
  <c r="L31" i="17" s="1"/>
  <c r="G31" i="17"/>
  <c r="H31" i="17" s="1"/>
  <c r="O31" i="17" s="1"/>
  <c r="K30" i="17"/>
  <c r="L30" i="17" s="1"/>
  <c r="G30" i="17"/>
  <c r="H30" i="17" s="1"/>
  <c r="O30" i="17" s="1"/>
  <c r="K29" i="17"/>
  <c r="L29" i="17" s="1"/>
  <c r="G29" i="17"/>
  <c r="H29" i="17" s="1"/>
  <c r="O29" i="17" s="1"/>
  <c r="K28" i="17"/>
  <c r="L28" i="17" s="1"/>
  <c r="G28" i="17"/>
  <c r="H28" i="17" s="1"/>
  <c r="O28" i="17" s="1"/>
  <c r="K27" i="17"/>
  <c r="J27" i="17"/>
  <c r="G27" i="17"/>
  <c r="F27" i="17"/>
  <c r="B27" i="17"/>
  <c r="K26" i="17"/>
  <c r="G26" i="17"/>
  <c r="K24" i="17"/>
  <c r="G24" i="17"/>
  <c r="K23" i="17"/>
  <c r="J23" i="17"/>
  <c r="G23" i="17"/>
  <c r="F23" i="17"/>
  <c r="B23" i="17"/>
  <c r="K22" i="17"/>
  <c r="L22" i="17" s="1"/>
  <c r="H22" i="17"/>
  <c r="K21" i="17"/>
  <c r="J21" i="17"/>
  <c r="G21" i="17"/>
  <c r="F21" i="17"/>
  <c r="L20" i="17"/>
  <c r="H20" i="17"/>
  <c r="O20" i="17" s="1"/>
  <c r="L19" i="17"/>
  <c r="H19" i="17"/>
  <c r="O19" i="17" s="1"/>
  <c r="L18" i="17"/>
  <c r="H18" i="17"/>
  <c r="O18" i="17" s="1"/>
  <c r="L17" i="17"/>
  <c r="H17" i="17"/>
  <c r="O17" i="17" s="1"/>
  <c r="L16" i="17"/>
  <c r="H16" i="17"/>
  <c r="O16" i="17" s="1"/>
  <c r="J15" i="17"/>
  <c r="L15" i="17" s="1"/>
  <c r="F15" i="17"/>
  <c r="H15" i="17" s="1"/>
  <c r="N57" i="19" l="1"/>
  <c r="O57" i="19" s="1"/>
  <c r="N56" i="19"/>
  <c r="O56" i="19" s="1"/>
  <c r="N23" i="2"/>
  <c r="O23" i="2" s="1"/>
  <c r="H49" i="17"/>
  <c r="N37" i="17"/>
  <c r="G41" i="17"/>
  <c r="H41" i="17" s="1"/>
  <c r="L49" i="17"/>
  <c r="L23" i="17"/>
  <c r="L33" i="17"/>
  <c r="L38" i="17"/>
  <c r="H38" i="17"/>
  <c r="N31" i="17"/>
  <c r="H27" i="17"/>
  <c r="L21" i="17"/>
  <c r="H26" i="17"/>
  <c r="L27" i="17"/>
  <c r="N29" i="17"/>
  <c r="H33" i="17"/>
  <c r="L34" i="17"/>
  <c r="N46" i="17"/>
  <c r="O46" i="17" s="1"/>
  <c r="L47" i="17"/>
  <c r="H23" i="17"/>
  <c r="L24" i="17"/>
  <c r="K41" i="17"/>
  <c r="N22" i="17"/>
  <c r="O22" i="17" s="1"/>
  <c r="N28" i="17"/>
  <c r="N35" i="17"/>
  <c r="H47" i="17"/>
  <c r="N15" i="17"/>
  <c r="O15" i="17" s="1"/>
  <c r="N19" i="17"/>
  <c r="H21" i="17"/>
  <c r="N30" i="17"/>
  <c r="N36" i="17"/>
  <c r="L26" i="17"/>
  <c r="H34" i="17"/>
  <c r="N39" i="17"/>
  <c r="N16" i="17"/>
  <c r="N18" i="17"/>
  <c r="N20" i="17"/>
  <c r="H24" i="17"/>
  <c r="N17" i="17"/>
  <c r="K34" i="10"/>
  <c r="K33" i="10"/>
  <c r="G34" i="10"/>
  <c r="G33" i="10"/>
  <c r="K27" i="10"/>
  <c r="G27" i="10"/>
  <c r="J27" i="10"/>
  <c r="F27" i="10"/>
  <c r="B27" i="10"/>
  <c r="J34" i="10"/>
  <c r="F34" i="10"/>
  <c r="B34" i="10"/>
  <c r="J33" i="10"/>
  <c r="F33" i="10"/>
  <c r="B33" i="10"/>
  <c r="J29" i="4"/>
  <c r="F29" i="4"/>
  <c r="B29" i="4"/>
  <c r="F35" i="4"/>
  <c r="B35" i="4"/>
  <c r="J34" i="4"/>
  <c r="F34" i="4"/>
  <c r="B34" i="4"/>
  <c r="J19" i="4"/>
  <c r="F19" i="4"/>
  <c r="B19" i="4"/>
  <c r="J38" i="14"/>
  <c r="F38" i="14"/>
  <c r="J56" i="14"/>
  <c r="K38" i="14" s="1"/>
  <c r="F56" i="14"/>
  <c r="K49" i="14"/>
  <c r="J49" i="14"/>
  <c r="G49" i="14"/>
  <c r="F49" i="14"/>
  <c r="K47" i="14"/>
  <c r="J47" i="14"/>
  <c r="G47" i="14"/>
  <c r="F47" i="14"/>
  <c r="J46" i="14"/>
  <c r="L46" i="14" s="1"/>
  <c r="F46" i="14"/>
  <c r="H46" i="14" s="1"/>
  <c r="J45" i="14"/>
  <c r="F45" i="14"/>
  <c r="J44" i="14"/>
  <c r="F44" i="14"/>
  <c r="J42" i="14"/>
  <c r="F42" i="14"/>
  <c r="J41" i="14"/>
  <c r="F41" i="14"/>
  <c r="L39" i="14"/>
  <c r="H39" i="14"/>
  <c r="L37" i="14"/>
  <c r="K37" i="14"/>
  <c r="G37" i="14"/>
  <c r="H37" i="14" s="1"/>
  <c r="O37" i="14" s="1"/>
  <c r="K36" i="14"/>
  <c r="L36" i="14" s="1"/>
  <c r="G36" i="14"/>
  <c r="H36" i="14" s="1"/>
  <c r="O36" i="14" s="1"/>
  <c r="K35" i="14"/>
  <c r="L35" i="14" s="1"/>
  <c r="G35" i="14"/>
  <c r="H35" i="14" s="1"/>
  <c r="O35" i="14" s="1"/>
  <c r="K34" i="14"/>
  <c r="L34" i="14" s="1"/>
  <c r="G34" i="14"/>
  <c r="F34" i="14"/>
  <c r="B34" i="14"/>
  <c r="K33" i="14"/>
  <c r="J33" i="14"/>
  <c r="G33" i="14"/>
  <c r="F33" i="14"/>
  <c r="B33" i="14"/>
  <c r="K31" i="14"/>
  <c r="L31" i="14" s="1"/>
  <c r="N31" i="14" s="1"/>
  <c r="G31" i="14"/>
  <c r="H31" i="14" s="1"/>
  <c r="O31" i="14" s="1"/>
  <c r="K30" i="14"/>
  <c r="L30" i="14" s="1"/>
  <c r="G30" i="14"/>
  <c r="H30" i="14" s="1"/>
  <c r="O30" i="14" s="1"/>
  <c r="K29" i="14"/>
  <c r="L29" i="14" s="1"/>
  <c r="N29" i="14" s="1"/>
  <c r="G29" i="14"/>
  <c r="H29" i="14" s="1"/>
  <c r="O29" i="14" s="1"/>
  <c r="K28" i="14"/>
  <c r="L28" i="14" s="1"/>
  <c r="G28" i="14"/>
  <c r="H28" i="14" s="1"/>
  <c r="O28" i="14" s="1"/>
  <c r="K27" i="14"/>
  <c r="J27" i="14"/>
  <c r="G27" i="14"/>
  <c r="F27" i="14"/>
  <c r="B27" i="14"/>
  <c r="J26" i="14"/>
  <c r="F26" i="14"/>
  <c r="K22" i="14"/>
  <c r="J22" i="14"/>
  <c r="G22" i="14"/>
  <c r="F22" i="14"/>
  <c r="B22" i="14"/>
  <c r="L21" i="14"/>
  <c r="H21" i="14"/>
  <c r="O21" i="14" s="1"/>
  <c r="K20" i="14"/>
  <c r="J20" i="14"/>
  <c r="G20" i="14"/>
  <c r="F20" i="14"/>
  <c r="L19" i="14"/>
  <c r="H19" i="14"/>
  <c r="O19" i="14" s="1"/>
  <c r="L18" i="14"/>
  <c r="H18" i="14"/>
  <c r="O18" i="14" s="1"/>
  <c r="L17" i="14"/>
  <c r="H17" i="14"/>
  <c r="O17" i="14" s="1"/>
  <c r="L16" i="14"/>
  <c r="H16" i="14"/>
  <c r="O16" i="14" s="1"/>
  <c r="L15" i="14"/>
  <c r="H15" i="14"/>
  <c r="O15" i="14" s="1"/>
  <c r="J14" i="14"/>
  <c r="L14" i="14" s="1"/>
  <c r="F14" i="14"/>
  <c r="H14" i="14" s="1"/>
  <c r="J25" i="2"/>
  <c r="F25" i="2"/>
  <c r="B25" i="2"/>
  <c r="J21" i="2"/>
  <c r="B21" i="2"/>
  <c r="F32" i="2"/>
  <c r="B32" i="2"/>
  <c r="J31" i="2"/>
  <c r="F31" i="2"/>
  <c r="B31" i="2"/>
  <c r="L58" i="19" l="1"/>
  <c r="N58" i="19" s="1"/>
  <c r="O58" i="19" s="1"/>
  <c r="N39" i="14"/>
  <c r="L27" i="14"/>
  <c r="N35" i="14"/>
  <c r="N21" i="14"/>
  <c r="N36" i="14"/>
  <c r="N37" i="14"/>
  <c r="N16" i="14"/>
  <c r="H26" i="14"/>
  <c r="H27" i="14"/>
  <c r="H20" i="14"/>
  <c r="H33" i="14"/>
  <c r="N46" i="14"/>
  <c r="O46" i="14" s="1"/>
  <c r="L47" i="14"/>
  <c r="L49" i="14"/>
  <c r="L22" i="14"/>
  <c r="L33" i="14"/>
  <c r="H23" i="14"/>
  <c r="G42" i="17"/>
  <c r="H42" i="17" s="1"/>
  <c r="N21" i="17"/>
  <c r="O21" i="17" s="1"/>
  <c r="N49" i="17"/>
  <c r="O49" i="17" s="1"/>
  <c r="N27" i="17"/>
  <c r="O27" i="17" s="1"/>
  <c r="N38" i="17"/>
  <c r="O38" i="17" s="1"/>
  <c r="N33" i="17"/>
  <c r="O33" i="17" s="1"/>
  <c r="N47" i="17"/>
  <c r="O47" i="17" s="1"/>
  <c r="N23" i="17"/>
  <c r="O23" i="17" s="1"/>
  <c r="L32" i="17"/>
  <c r="L40" i="17" s="1"/>
  <c r="K42" i="17"/>
  <c r="L41" i="17"/>
  <c r="N41" i="17" s="1"/>
  <c r="O41" i="17" s="1"/>
  <c r="N26" i="17"/>
  <c r="O26" i="17" s="1"/>
  <c r="N24" i="17"/>
  <c r="O24" i="17" s="1"/>
  <c r="N34" i="17"/>
  <c r="O34" i="17" s="1"/>
  <c r="H32" i="17"/>
  <c r="L38" i="14"/>
  <c r="G44" i="14"/>
  <c r="G41" i="14"/>
  <c r="N15" i="14"/>
  <c r="N19" i="14"/>
  <c r="L26" i="14"/>
  <c r="N14" i="14"/>
  <c r="O14" i="14" s="1"/>
  <c r="N18" i="14"/>
  <c r="L20" i="14"/>
  <c r="H22" i="14"/>
  <c r="L23" i="14"/>
  <c r="N28" i="14"/>
  <c r="N30" i="14"/>
  <c r="H34" i="14"/>
  <c r="H47" i="14"/>
  <c r="H49" i="14"/>
  <c r="N17" i="14"/>
  <c r="G38" i="14"/>
  <c r="H38" i="14" s="1"/>
  <c r="K41" i="14"/>
  <c r="K44" i="14"/>
  <c r="N26" i="14" l="1"/>
  <c r="O26" i="14" s="1"/>
  <c r="N23" i="14"/>
  <c r="O23" i="14" s="1"/>
  <c r="N27" i="14"/>
  <c r="O27" i="14" s="1"/>
  <c r="N33" i="14"/>
  <c r="O33" i="14" s="1"/>
  <c r="G44" i="17"/>
  <c r="H44" i="17" s="1"/>
  <c r="G45" i="17"/>
  <c r="H45" i="17" s="1"/>
  <c r="L42" i="17"/>
  <c r="N42" i="17" s="1"/>
  <c r="O42" i="17" s="1"/>
  <c r="K44" i="17"/>
  <c r="L44" i="17" s="1"/>
  <c r="K45" i="17"/>
  <c r="L45" i="17" s="1"/>
  <c r="H40" i="17"/>
  <c r="N32" i="17"/>
  <c r="O32" i="17" s="1"/>
  <c r="L44" i="14"/>
  <c r="K45" i="14"/>
  <c r="L45" i="14" s="1"/>
  <c r="G42" i="14"/>
  <c r="H42" i="14" s="1"/>
  <c r="H41" i="14"/>
  <c r="N34" i="14"/>
  <c r="O34" i="14" s="1"/>
  <c r="L41" i="14"/>
  <c r="K42" i="14"/>
  <c r="L42" i="14" s="1"/>
  <c r="N20" i="14"/>
  <c r="O20" i="14" s="1"/>
  <c r="L32" i="14"/>
  <c r="G45" i="14"/>
  <c r="H45" i="14" s="1"/>
  <c r="H44" i="14"/>
  <c r="N22" i="14"/>
  <c r="O22" i="14" s="1"/>
  <c r="N49" i="14"/>
  <c r="O49" i="14" s="1"/>
  <c r="H32" i="14"/>
  <c r="N47" i="14"/>
  <c r="O47" i="14" s="1"/>
  <c r="N38" i="14"/>
  <c r="O38" i="14" s="1"/>
  <c r="N42" i="14" l="1"/>
  <c r="O42" i="14" s="1"/>
  <c r="N41" i="14"/>
  <c r="O41" i="14" s="1"/>
  <c r="N44" i="17"/>
  <c r="O44" i="17" s="1"/>
  <c r="N45" i="17"/>
  <c r="O45" i="17" s="1"/>
  <c r="L43" i="17"/>
  <c r="H43" i="17"/>
  <c r="N40" i="17"/>
  <c r="O40" i="17" s="1"/>
  <c r="N45" i="14"/>
  <c r="O45" i="14" s="1"/>
  <c r="H40" i="14"/>
  <c r="L40" i="14"/>
  <c r="N32" i="14"/>
  <c r="O32" i="14" s="1"/>
  <c r="N44" i="14"/>
  <c r="O44" i="14" s="1"/>
  <c r="J46" i="10"/>
  <c r="L46" i="10" s="1"/>
  <c r="F46" i="10"/>
  <c r="H46" i="10" s="1"/>
  <c r="J45" i="10"/>
  <c r="F45" i="10"/>
  <c r="J44" i="10"/>
  <c r="F44" i="10"/>
  <c r="J42" i="10"/>
  <c r="J41" i="10"/>
  <c r="F42" i="10"/>
  <c r="F41" i="10"/>
  <c r="K23" i="10"/>
  <c r="G23" i="10"/>
  <c r="K26" i="10"/>
  <c r="G26" i="10"/>
  <c r="K20" i="10"/>
  <c r="G20" i="10"/>
  <c r="J20" i="10"/>
  <c r="F20" i="10"/>
  <c r="J14" i="10"/>
  <c r="L14" i="10" s="1"/>
  <c r="F14" i="10"/>
  <c r="H14" i="10" s="1"/>
  <c r="J56" i="10"/>
  <c r="K38" i="10" s="1"/>
  <c r="F56" i="10"/>
  <c r="G44" i="10" s="1"/>
  <c r="K49" i="10"/>
  <c r="J49" i="10"/>
  <c r="G49" i="10"/>
  <c r="F49" i="10"/>
  <c r="K47" i="10"/>
  <c r="J47" i="10"/>
  <c r="G47" i="10"/>
  <c r="F47" i="10"/>
  <c r="L39" i="10"/>
  <c r="H39" i="10"/>
  <c r="J38" i="10"/>
  <c r="F38" i="10"/>
  <c r="K37" i="10"/>
  <c r="L37" i="10" s="1"/>
  <c r="G37" i="10"/>
  <c r="H37" i="10" s="1"/>
  <c r="O37" i="10" s="1"/>
  <c r="K36" i="10"/>
  <c r="L36" i="10" s="1"/>
  <c r="G36" i="10"/>
  <c r="H36" i="10" s="1"/>
  <c r="O36" i="10" s="1"/>
  <c r="K35" i="10"/>
  <c r="L35" i="10" s="1"/>
  <c r="G35" i="10"/>
  <c r="H35" i="10" s="1"/>
  <c r="O35" i="10" s="1"/>
  <c r="L34" i="10"/>
  <c r="H34" i="10"/>
  <c r="L33" i="10"/>
  <c r="H33" i="10"/>
  <c r="K31" i="10"/>
  <c r="L31" i="10" s="1"/>
  <c r="G31" i="10"/>
  <c r="H31" i="10" s="1"/>
  <c r="O31" i="10" s="1"/>
  <c r="K30" i="10"/>
  <c r="L30" i="10" s="1"/>
  <c r="G30" i="10"/>
  <c r="H30" i="10" s="1"/>
  <c r="O30" i="10" s="1"/>
  <c r="K29" i="10"/>
  <c r="L29" i="10" s="1"/>
  <c r="G29" i="10"/>
  <c r="H29" i="10" s="1"/>
  <c r="O29" i="10" s="1"/>
  <c r="K28" i="10"/>
  <c r="L28" i="10" s="1"/>
  <c r="G28" i="10"/>
  <c r="H28" i="10" s="1"/>
  <c r="O28" i="10" s="1"/>
  <c r="L27" i="10"/>
  <c r="H27" i="10"/>
  <c r="K22" i="10"/>
  <c r="L22" i="10" s="1"/>
  <c r="G22" i="10"/>
  <c r="H22" i="10" s="1"/>
  <c r="O22" i="10" s="1"/>
  <c r="K21" i="10"/>
  <c r="L21" i="10" s="1"/>
  <c r="G21" i="10"/>
  <c r="H21" i="10" s="1"/>
  <c r="L19" i="10"/>
  <c r="H19" i="10"/>
  <c r="O19" i="10" s="1"/>
  <c r="L18" i="10"/>
  <c r="H18" i="10"/>
  <c r="O18" i="10" s="1"/>
  <c r="L17" i="10"/>
  <c r="H17" i="10"/>
  <c r="O17" i="10" s="1"/>
  <c r="L16" i="10"/>
  <c r="H16" i="10"/>
  <c r="O16" i="10" s="1"/>
  <c r="L15" i="10"/>
  <c r="H15" i="10"/>
  <c r="O15" i="10" s="1"/>
  <c r="N39" i="10" l="1"/>
  <c r="N29" i="10"/>
  <c r="N31" i="10"/>
  <c r="N36" i="10"/>
  <c r="N43" i="17"/>
  <c r="O43" i="17" s="1"/>
  <c r="L51" i="17"/>
  <c r="L52" i="17" s="1"/>
  <c r="L53" i="17" s="1"/>
  <c r="H51" i="17"/>
  <c r="N27" i="10"/>
  <c r="O27" i="10" s="1"/>
  <c r="N34" i="10"/>
  <c r="O34" i="10" s="1"/>
  <c r="L43" i="14"/>
  <c r="G12" i="21" s="1"/>
  <c r="N40" i="14"/>
  <c r="O40" i="14" s="1"/>
  <c r="H43" i="14"/>
  <c r="F12" i="21" s="1"/>
  <c r="G41" i="10"/>
  <c r="H41" i="10" s="1"/>
  <c r="G38" i="10"/>
  <c r="H38" i="10" s="1"/>
  <c r="H47" i="10"/>
  <c r="H49" i="10"/>
  <c r="L47" i="10"/>
  <c r="L49" i="10"/>
  <c r="N46" i="10"/>
  <c r="O46" i="10" s="1"/>
  <c r="H44" i="10"/>
  <c r="L26" i="10"/>
  <c r="H26" i="10"/>
  <c r="L20" i="10"/>
  <c r="N28" i="10"/>
  <c r="N30" i="10"/>
  <c r="N33" i="10"/>
  <c r="O33" i="10" s="1"/>
  <c r="N35" i="10"/>
  <c r="N37" i="10"/>
  <c r="N22" i="10"/>
  <c r="N14" i="10"/>
  <c r="O14" i="10" s="1"/>
  <c r="N21" i="10"/>
  <c r="O21" i="10"/>
  <c r="N16" i="10"/>
  <c r="N18" i="10"/>
  <c r="H20" i="10"/>
  <c r="L23" i="10"/>
  <c r="K44" i="10"/>
  <c r="N15" i="10"/>
  <c r="N17" i="10"/>
  <c r="N19" i="10"/>
  <c r="H23" i="10"/>
  <c r="K41" i="10"/>
  <c r="L38" i="10"/>
  <c r="G45" i="10"/>
  <c r="H45" i="10" s="1"/>
  <c r="H12" i="21" l="1"/>
  <c r="I12" i="21" s="1"/>
  <c r="H52" i="17"/>
  <c r="N52" i="17" s="1"/>
  <c r="N51" i="17"/>
  <c r="O51" i="17" s="1"/>
  <c r="N43" i="14"/>
  <c r="O43" i="14" s="1"/>
  <c r="L51" i="14"/>
  <c r="H51" i="14"/>
  <c r="G42" i="10"/>
  <c r="H42" i="10" s="1"/>
  <c r="N38" i="10"/>
  <c r="O38" i="10" s="1"/>
  <c r="N47" i="10"/>
  <c r="O47" i="10" s="1"/>
  <c r="N49" i="10"/>
  <c r="O49" i="10" s="1"/>
  <c r="N20" i="10"/>
  <c r="O20" i="10" s="1"/>
  <c r="N26" i="10"/>
  <c r="O26" i="10" s="1"/>
  <c r="L41" i="10"/>
  <c r="N41" i="10" s="1"/>
  <c r="O41" i="10" s="1"/>
  <c r="K42" i="10"/>
  <c r="L42" i="10" s="1"/>
  <c r="N23" i="10"/>
  <c r="O23" i="10" s="1"/>
  <c r="L44" i="10"/>
  <c r="K45" i="10"/>
  <c r="L45" i="10" s="1"/>
  <c r="N45" i="10" s="1"/>
  <c r="O45" i="10" s="1"/>
  <c r="L32" i="10"/>
  <c r="H32" i="10"/>
  <c r="O52" i="17" l="1"/>
  <c r="L55" i="17"/>
  <c r="H53" i="17"/>
  <c r="N51" i="14"/>
  <c r="O51" i="14" s="1"/>
  <c r="L52" i="14"/>
  <c r="L53" i="14" s="1"/>
  <c r="G24" i="21" s="1"/>
  <c r="H52" i="14"/>
  <c r="N42" i="10"/>
  <c r="O42" i="10" s="1"/>
  <c r="H40" i="10"/>
  <c r="N44" i="10"/>
  <c r="O44" i="10" s="1"/>
  <c r="L40" i="10"/>
  <c r="N32" i="10"/>
  <c r="O32" i="10" s="1"/>
  <c r="H54" i="17" l="1"/>
  <c r="N53" i="17"/>
  <c r="O53" i="17" s="1"/>
  <c r="H53" i="14"/>
  <c r="N52" i="14"/>
  <c r="O52" i="14" s="1"/>
  <c r="H43" i="10"/>
  <c r="F16" i="21" s="1"/>
  <c r="N40" i="10"/>
  <c r="O40" i="10" s="1"/>
  <c r="L43" i="10"/>
  <c r="G16" i="21" s="1"/>
  <c r="H16" i="21" l="1"/>
  <c r="I16" i="21" s="1"/>
  <c r="N53" i="14"/>
  <c r="F24" i="21"/>
  <c r="H24" i="21" s="1"/>
  <c r="I24" i="21" s="1"/>
  <c r="N54" i="17"/>
  <c r="O54" i="17" s="1"/>
  <c r="H55" i="17"/>
  <c r="O53" i="14"/>
  <c r="H51" i="10"/>
  <c r="N43" i="10"/>
  <c r="O43" i="10" s="1"/>
  <c r="L51" i="10"/>
  <c r="N55" i="17" l="1"/>
  <c r="O55" i="17" s="1"/>
  <c r="H52" i="10"/>
  <c r="N51" i="10"/>
  <c r="O51" i="10" s="1"/>
  <c r="L52" i="10"/>
  <c r="N52" i="10" l="1"/>
  <c r="O52" i="10" s="1"/>
  <c r="L53" i="10"/>
  <c r="G28" i="21" s="1"/>
  <c r="H53" i="10"/>
  <c r="F28" i="21" s="1"/>
  <c r="H28" i="21" l="1"/>
  <c r="I28" i="21" s="1"/>
  <c r="N53" i="10"/>
  <c r="O53" i="10" s="1"/>
  <c r="J47" i="4" l="1"/>
  <c r="L47" i="4" s="1"/>
  <c r="F47" i="4"/>
  <c r="H47" i="4" s="1"/>
  <c r="J46" i="4"/>
  <c r="J45" i="4"/>
  <c r="F46" i="4"/>
  <c r="F45" i="4"/>
  <c r="J43" i="4"/>
  <c r="J42" i="4"/>
  <c r="F42" i="4"/>
  <c r="F43" i="4"/>
  <c r="J40" i="4"/>
  <c r="L40" i="4" s="1"/>
  <c r="F40" i="4"/>
  <c r="H40" i="4" s="1"/>
  <c r="J28" i="4"/>
  <c r="F28" i="4"/>
  <c r="B28" i="4"/>
  <c r="J27" i="4"/>
  <c r="F27" i="4"/>
  <c r="J21" i="4"/>
  <c r="F21" i="4"/>
  <c r="L18" i="4"/>
  <c r="H18" i="4"/>
  <c r="J17" i="4"/>
  <c r="L17" i="4" s="1"/>
  <c r="F17" i="4"/>
  <c r="H17" i="4" s="1"/>
  <c r="B17" i="4"/>
  <c r="J15" i="4"/>
  <c r="L15" i="4" s="1"/>
  <c r="F15" i="4"/>
  <c r="H15" i="4" s="1"/>
  <c r="J60" i="4"/>
  <c r="K42" i="4" s="1"/>
  <c r="F60" i="4"/>
  <c r="G42" i="4" s="1"/>
  <c r="J52" i="4"/>
  <c r="G52" i="4"/>
  <c r="K52" i="4" s="1"/>
  <c r="F52" i="4"/>
  <c r="J51" i="4"/>
  <c r="G51" i="4"/>
  <c r="K51" i="4" s="1"/>
  <c r="F51" i="4"/>
  <c r="J50" i="4"/>
  <c r="G50" i="4"/>
  <c r="K50" i="4" s="1"/>
  <c r="F50" i="4"/>
  <c r="K48" i="4"/>
  <c r="J48" i="4"/>
  <c r="G48" i="4"/>
  <c r="F48" i="4"/>
  <c r="K38" i="4"/>
  <c r="L38" i="4" s="1"/>
  <c r="G38" i="4"/>
  <c r="H38" i="4" s="1"/>
  <c r="O38" i="4" s="1"/>
  <c r="K37" i="4"/>
  <c r="L37" i="4" s="1"/>
  <c r="G37" i="4"/>
  <c r="H37" i="4" s="1"/>
  <c r="O37" i="4" s="1"/>
  <c r="K36" i="4"/>
  <c r="L36" i="4" s="1"/>
  <c r="G36" i="4"/>
  <c r="H36" i="4" s="1"/>
  <c r="O36" i="4" s="1"/>
  <c r="K35" i="4"/>
  <c r="L35" i="4" s="1"/>
  <c r="G35" i="4"/>
  <c r="H35" i="4" s="1"/>
  <c r="K34" i="4"/>
  <c r="L34" i="4" s="1"/>
  <c r="G34" i="4"/>
  <c r="H34" i="4" s="1"/>
  <c r="K32" i="4"/>
  <c r="L32" i="4" s="1"/>
  <c r="G32" i="4"/>
  <c r="H32" i="4" s="1"/>
  <c r="O32" i="4" s="1"/>
  <c r="K31" i="4"/>
  <c r="L31" i="4" s="1"/>
  <c r="G31" i="4"/>
  <c r="H31" i="4" s="1"/>
  <c r="O31" i="4" s="1"/>
  <c r="K30" i="4"/>
  <c r="L30" i="4" s="1"/>
  <c r="G30" i="4"/>
  <c r="H30" i="4" s="1"/>
  <c r="O30" i="4" s="1"/>
  <c r="K29" i="4"/>
  <c r="L29" i="4" s="1"/>
  <c r="G29" i="4"/>
  <c r="H29" i="4" s="1"/>
  <c r="K28" i="4"/>
  <c r="G28" i="4"/>
  <c r="K27" i="4"/>
  <c r="G27" i="4"/>
  <c r="K24" i="4"/>
  <c r="G24" i="4"/>
  <c r="K23" i="4"/>
  <c r="L23" i="4" s="1"/>
  <c r="G23" i="4"/>
  <c r="H23" i="4" s="1"/>
  <c r="O23" i="4" s="1"/>
  <c r="K22" i="4"/>
  <c r="L22" i="4" s="1"/>
  <c r="G22" i="4"/>
  <c r="H22" i="4" s="1"/>
  <c r="O22" i="4" s="1"/>
  <c r="K21" i="4"/>
  <c r="G21" i="4"/>
  <c r="L20" i="4"/>
  <c r="H20" i="4"/>
  <c r="O20" i="4" s="1"/>
  <c r="L19" i="4"/>
  <c r="H19" i="4"/>
  <c r="L16" i="4"/>
  <c r="H16" i="4"/>
  <c r="O16" i="4" s="1"/>
  <c r="J49" i="2"/>
  <c r="F49" i="2"/>
  <c r="L48" i="4" l="1"/>
  <c r="N35" i="4"/>
  <c r="O35" i="4" s="1"/>
  <c r="L50" i="4"/>
  <c r="H21" i="4"/>
  <c r="H27" i="4"/>
  <c r="N37" i="4"/>
  <c r="L24" i="4"/>
  <c r="H28" i="4"/>
  <c r="K39" i="4"/>
  <c r="L52" i="4"/>
  <c r="F39" i="4"/>
  <c r="J39" i="4"/>
  <c r="L28" i="4"/>
  <c r="H42" i="4"/>
  <c r="N47" i="4"/>
  <c r="O47" i="4" s="1"/>
  <c r="N17" i="4"/>
  <c r="O17" i="4" s="1"/>
  <c r="N23" i="4"/>
  <c r="N30" i="4"/>
  <c r="N32" i="4"/>
  <c r="H48" i="4"/>
  <c r="L51" i="4"/>
  <c r="N20" i="4"/>
  <c r="G39" i="4"/>
  <c r="N16" i="4"/>
  <c r="N22" i="4"/>
  <c r="L27" i="4"/>
  <c r="H24" i="4"/>
  <c r="L21" i="4"/>
  <c r="N34" i="4"/>
  <c r="O34" i="4" s="1"/>
  <c r="N40" i="4"/>
  <c r="N15" i="4"/>
  <c r="O15" i="4" s="1"/>
  <c r="N19" i="4"/>
  <c r="O19" i="4" s="1"/>
  <c r="N29" i="4"/>
  <c r="O29" i="4" s="1"/>
  <c r="N36" i="4"/>
  <c r="N18" i="4"/>
  <c r="O18" i="4" s="1"/>
  <c r="N31" i="4"/>
  <c r="N38" i="4"/>
  <c r="L42" i="4"/>
  <c r="K43" i="4"/>
  <c r="H50" i="4"/>
  <c r="H51" i="4"/>
  <c r="H52" i="4"/>
  <c r="G43" i="4"/>
  <c r="F47" i="2"/>
  <c r="F48" i="2"/>
  <c r="J47" i="2"/>
  <c r="J48" i="2"/>
  <c r="J45" i="2"/>
  <c r="F45" i="2"/>
  <c r="J44" i="2"/>
  <c r="F44" i="2"/>
  <c r="J43" i="2"/>
  <c r="F43" i="2"/>
  <c r="J42" i="2"/>
  <c r="F42" i="2"/>
  <c r="J40" i="2"/>
  <c r="J39" i="2"/>
  <c r="F40" i="2"/>
  <c r="F39" i="2"/>
  <c r="J57" i="2"/>
  <c r="F57" i="2"/>
  <c r="J19" i="2"/>
  <c r="F19" i="2"/>
  <c r="J15" i="2"/>
  <c r="F15" i="2"/>
  <c r="J37" i="2"/>
  <c r="F37" i="2"/>
  <c r="N48" i="4" l="1"/>
  <c r="O48" i="4" s="1"/>
  <c r="N21" i="4"/>
  <c r="O21" i="4" s="1"/>
  <c r="N50" i="4"/>
  <c r="O50" i="4" s="1"/>
  <c r="N27" i="4"/>
  <c r="O27" i="4" s="1"/>
  <c r="N24" i="4"/>
  <c r="O24" i="4" s="1"/>
  <c r="N28" i="4"/>
  <c r="O28" i="4" s="1"/>
  <c r="H39" i="4"/>
  <c r="N42" i="4"/>
  <c r="O42" i="4" s="1"/>
  <c r="L39" i="4"/>
  <c r="H33" i="4"/>
  <c r="L33" i="4"/>
  <c r="L43" i="4"/>
  <c r="K46" i="4"/>
  <c r="L46" i="4" s="1"/>
  <c r="K45" i="4"/>
  <c r="L45" i="4" s="1"/>
  <c r="N52" i="4"/>
  <c r="O52" i="4" s="1"/>
  <c r="H43" i="4"/>
  <c r="G46" i="4"/>
  <c r="H46" i="4" s="1"/>
  <c r="G45" i="4"/>
  <c r="H45" i="4" s="1"/>
  <c r="N51" i="4"/>
  <c r="O51" i="4" s="1"/>
  <c r="G49" i="2"/>
  <c r="K49" i="2" s="1"/>
  <c r="L49" i="2" s="1"/>
  <c r="G48" i="2"/>
  <c r="K48" i="2" s="1"/>
  <c r="L48" i="2" s="1"/>
  <c r="G47" i="2"/>
  <c r="K47" i="2" s="1"/>
  <c r="L47" i="2" s="1"/>
  <c r="K45" i="2"/>
  <c r="L45" i="2" s="1"/>
  <c r="G45" i="2"/>
  <c r="H45" i="2" s="1"/>
  <c r="L44" i="2"/>
  <c r="H44" i="2"/>
  <c r="K39" i="2"/>
  <c r="K40" i="2" s="1"/>
  <c r="G39" i="2"/>
  <c r="G40" i="2" s="1"/>
  <c r="L37" i="2"/>
  <c r="H37" i="2"/>
  <c r="K36" i="2"/>
  <c r="J36" i="2"/>
  <c r="G36" i="2"/>
  <c r="F36" i="2"/>
  <c r="K35" i="2"/>
  <c r="L35" i="2" s="1"/>
  <c r="G35" i="2"/>
  <c r="H35" i="2" s="1"/>
  <c r="O35" i="2" s="1"/>
  <c r="L34" i="2"/>
  <c r="H34" i="2"/>
  <c r="O34" i="2" s="1"/>
  <c r="K33" i="2"/>
  <c r="L33" i="2" s="1"/>
  <c r="G33" i="2"/>
  <c r="H33" i="2" s="1"/>
  <c r="O33" i="2" s="1"/>
  <c r="L32" i="2"/>
  <c r="H32" i="2"/>
  <c r="K31" i="2"/>
  <c r="L31" i="2" s="1"/>
  <c r="G31" i="2"/>
  <c r="H31" i="2" s="1"/>
  <c r="K29" i="2"/>
  <c r="L29" i="2" s="1"/>
  <c r="G29" i="2"/>
  <c r="H29" i="2" s="1"/>
  <c r="O29" i="2" s="1"/>
  <c r="K28" i="2"/>
  <c r="L28" i="2" s="1"/>
  <c r="G28" i="2"/>
  <c r="H28" i="2" s="1"/>
  <c r="O28" i="2" s="1"/>
  <c r="K27" i="2"/>
  <c r="L27" i="2" s="1"/>
  <c r="G27" i="2"/>
  <c r="H27" i="2" s="1"/>
  <c r="O27" i="2" s="1"/>
  <c r="K26" i="2"/>
  <c r="L26" i="2" s="1"/>
  <c r="G26" i="2"/>
  <c r="H26" i="2" s="1"/>
  <c r="O26" i="2" s="1"/>
  <c r="K25" i="2"/>
  <c r="L25" i="2" s="1"/>
  <c r="G25" i="2"/>
  <c r="H25" i="2" s="1"/>
  <c r="K24" i="2"/>
  <c r="L24" i="2" s="1"/>
  <c r="G24" i="2"/>
  <c r="H24" i="2" s="1"/>
  <c r="K22" i="2"/>
  <c r="L22" i="2" s="1"/>
  <c r="G22" i="2"/>
  <c r="H22" i="2" s="1"/>
  <c r="K21" i="2"/>
  <c r="L21" i="2" s="1"/>
  <c r="G21" i="2"/>
  <c r="H21" i="2" s="1"/>
  <c r="K20" i="2"/>
  <c r="L20" i="2" s="1"/>
  <c r="H20" i="2"/>
  <c r="K19" i="2"/>
  <c r="L19" i="2" s="1"/>
  <c r="G19" i="2"/>
  <c r="H19" i="2" s="1"/>
  <c r="L18" i="2"/>
  <c r="H18" i="2"/>
  <c r="O18" i="2" s="1"/>
  <c r="L17" i="2"/>
  <c r="H17" i="2"/>
  <c r="O17" i="2" s="1"/>
  <c r="L16" i="2"/>
  <c r="H16" i="2"/>
  <c r="O16" i="2" s="1"/>
  <c r="L15" i="2"/>
  <c r="H15" i="2"/>
  <c r="N16" i="2" l="1"/>
  <c r="N18" i="2"/>
  <c r="N39" i="4"/>
  <c r="O39" i="4" s="1"/>
  <c r="N25" i="2"/>
  <c r="O25" i="2" s="1"/>
  <c r="N27" i="2"/>
  <c r="N29" i="2"/>
  <c r="N34" i="2"/>
  <c r="N17" i="2"/>
  <c r="H41" i="4"/>
  <c r="N15" i="2"/>
  <c r="O15" i="2" s="1"/>
  <c r="L41" i="4"/>
  <c r="N44" i="2"/>
  <c r="O44" i="2" s="1"/>
  <c r="N43" i="4"/>
  <c r="O43" i="4" s="1"/>
  <c r="N33" i="4"/>
  <c r="O33" i="4" s="1"/>
  <c r="N45" i="4"/>
  <c r="O45" i="4" s="1"/>
  <c r="N46" i="4"/>
  <c r="O46" i="4" s="1"/>
  <c r="H49" i="2"/>
  <c r="N49" i="2" s="1"/>
  <c r="O49" i="2" s="1"/>
  <c r="N22" i="2"/>
  <c r="O22" i="2" s="1"/>
  <c r="L39" i="2"/>
  <c r="N20" i="2"/>
  <c r="O20" i="2" s="1"/>
  <c r="N32" i="2"/>
  <c r="O32" i="2" s="1"/>
  <c r="N26" i="2"/>
  <c r="H47" i="2"/>
  <c r="N47" i="2" s="1"/>
  <c r="H48" i="2"/>
  <c r="N48" i="2" s="1"/>
  <c r="N33" i="2"/>
  <c r="H39" i="2"/>
  <c r="H36" i="2"/>
  <c r="N45" i="2"/>
  <c r="O45" i="2" s="1"/>
  <c r="N37" i="2"/>
  <c r="L36" i="2"/>
  <c r="G43" i="2"/>
  <c r="H43" i="2" s="1"/>
  <c r="G42" i="2"/>
  <c r="H42" i="2" s="1"/>
  <c r="H40" i="2"/>
  <c r="N19" i="2"/>
  <c r="O19" i="2" s="1"/>
  <c r="N28" i="2"/>
  <c r="N21" i="2"/>
  <c r="O21" i="2" s="1"/>
  <c r="K42" i="2"/>
  <c r="L42" i="2" s="1"/>
  <c r="L40" i="2"/>
  <c r="K43" i="2"/>
  <c r="L43" i="2" s="1"/>
  <c r="N43" i="2" s="1"/>
  <c r="L30" i="2"/>
  <c r="N24" i="2"/>
  <c r="O24" i="2" s="1"/>
  <c r="N31" i="2"/>
  <c r="O31" i="2" s="1"/>
  <c r="N35" i="2"/>
  <c r="H30" i="2"/>
  <c r="L44" i="4" l="1"/>
  <c r="L54" i="4" s="1"/>
  <c r="L55" i="4" s="1"/>
  <c r="N41" i="4"/>
  <c r="O41" i="4" s="1"/>
  <c r="H44" i="4"/>
  <c r="O43" i="2"/>
  <c r="N39" i="2"/>
  <c r="O39" i="2" s="1"/>
  <c r="N36" i="2"/>
  <c r="O36" i="2" s="1"/>
  <c r="O48" i="2"/>
  <c r="O47" i="2"/>
  <c r="N42" i="2"/>
  <c r="O42" i="2" s="1"/>
  <c r="L38" i="2"/>
  <c r="N30" i="2"/>
  <c r="O30" i="2" s="1"/>
  <c r="H38" i="2"/>
  <c r="N40" i="2"/>
  <c r="O40" i="2" s="1"/>
  <c r="H54" i="4" l="1"/>
  <c r="H55" i="4" s="1"/>
  <c r="N55" i="4" s="1"/>
  <c r="O55" i="4" s="1"/>
  <c r="F13" i="21"/>
  <c r="H13" i="21" s="1"/>
  <c r="I13" i="21" s="1"/>
  <c r="N44" i="4"/>
  <c r="O44" i="4" s="1"/>
  <c r="L56" i="4"/>
  <c r="H41" i="2"/>
  <c r="N38" i="2"/>
  <c r="O38" i="2" s="1"/>
  <c r="L41" i="2"/>
  <c r="G9" i="21" s="1"/>
  <c r="H51" i="2" l="1"/>
  <c r="F9" i="21"/>
  <c r="H9" i="21" s="1"/>
  <c r="I9" i="21" s="1"/>
  <c r="N54" i="4"/>
  <c r="O54" i="4" s="1"/>
  <c r="H56" i="4"/>
  <c r="N41" i="2"/>
  <c r="O41" i="2" s="1"/>
  <c r="L51" i="2"/>
  <c r="H57" i="4" l="1"/>
  <c r="N57" i="4" s="1"/>
  <c r="O57" i="4" s="1"/>
  <c r="N56" i="4"/>
  <c r="O56" i="4" s="1"/>
  <c r="L58" i="4"/>
  <c r="N51" i="2"/>
  <c r="O51" i="2" s="1"/>
  <c r="L52" i="2"/>
  <c r="H52" i="2"/>
  <c r="H58" i="4" l="1"/>
  <c r="F25" i="21" s="1"/>
  <c r="G25" i="21"/>
  <c r="N52" i="2"/>
  <c r="O52" i="2" s="1"/>
  <c r="L53" i="2"/>
  <c r="H53" i="2"/>
  <c r="H54" i="2" s="1"/>
  <c r="H25" i="21" l="1"/>
  <c r="I25" i="21" s="1"/>
  <c r="N58" i="4"/>
  <c r="O58" i="4" s="1"/>
  <c r="N53" i="2"/>
  <c r="O53" i="2" s="1"/>
  <c r="H55" i="2"/>
  <c r="F21" i="21" s="1"/>
  <c r="N54" i="2" l="1"/>
  <c r="O54" i="2" s="1"/>
  <c r="L55" i="2"/>
  <c r="N55" i="2" l="1"/>
  <c r="O55" i="2" s="1"/>
  <c r="G21" i="21"/>
  <c r="H21" i="21" s="1"/>
  <c r="I21" i="21" s="1"/>
</calcChain>
</file>

<file path=xl/comments1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7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7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7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9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7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<sst xmlns="http://schemas.openxmlformats.org/spreadsheetml/2006/main" count="997" uniqueCount="117">
  <si>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</si>
  <si>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</si>
  <si>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</si>
  <si>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</si>
  <si>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</si>
  <si>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</si>
  <si>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</si>
  <si>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</si>
  <si>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</si>
  <si>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</si>
  <si>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</si>
  <si>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</si>
  <si>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</si>
  <si>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</si>
  <si>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</si>
  <si>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</si>
  <si>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</si>
  <si>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</si>
  <si>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</si>
  <si>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</si>
  <si>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</si>
  <si>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</si>
  <si>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</si>
  <si>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</si>
  <si>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</si>
  <si>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</si>
  <si>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</si>
  <si>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</si>
  <si>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</si>
  <si>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</si>
  <si>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</si>
  <si>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</si>
  <si>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</si>
  <si>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</si>
  <si>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</si>
  <si>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</si>
  <si>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</si>
  <si>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</si>
  <si>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</si>
  <si>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t>Total Bill on TOU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</si>
  <si>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</si>
  <si>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</si>
  <si>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</si>
  <si>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</si>
  <si>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</si>
  <si>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</si>
  <si>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</si>
  <si>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</si>
  <si>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</si>
  <si>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</si>
  <si>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</si>
  <si>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</si>
  <si>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</si>
  <si>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</si>
  <si>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</si>
  <si>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</si>
  <si>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</si>
  <si>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</si>
  <si>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</si>
  <si>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</si>
  <si>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</si>
  <si>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</si>
  <si>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</si>
  <si>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</si>
  <si>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</si>
  <si>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</si>
  <si>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</si>
  <si>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</si>
  <si>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</si>
  <si>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</si>
  <si>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</si>
  <si>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</si>
  <si>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</si>
  <si>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</si>
  <si>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</si>
  <si>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</si>
  <si>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</si>
  <si>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Street Lighting (Non - RPP)</t>
  </si>
  <si>
    <t>Algoma Power Inc.</t>
  </si>
  <si>
    <t>Bill Impact Model</t>
  </si>
  <si>
    <t>Rate Rider for the Disposition of Deferral/Variance Accounts (2014)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</si>
  <si>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</si>
  <si>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</si>
  <si>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</si>
  <si>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</si>
  <si>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</si>
  <si>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</si>
  <si>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</si>
  <si>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</si>
  <si>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</si>
  <si>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Rate Rider for Recovery of Stranded Meter Assets (2014) - effective until December 31, 2015</t>
  </si>
  <si>
    <t>Foregone Revenue Recovery (2015) - effective until December 31, 2015 (2015)</t>
  </si>
  <si>
    <t>Rate Rider for the Disposition of Deferral/Variance Accounts (2016) - effective until December 31, 2016</t>
  </si>
  <si>
    <t>Rate Rider for the Disposition of Global Adjustment Sub-Account (2016) - effective until December 31, 2016</t>
  </si>
  <si>
    <t>2016 Electricity Distribution Rate Application</t>
  </si>
  <si>
    <t>IRM</t>
  </si>
  <si>
    <t>EB-2015-0051</t>
  </si>
  <si>
    <t>Customer Classification and Billing Type</t>
  </si>
  <si>
    <t>Energy</t>
  </si>
  <si>
    <t>Demand</t>
  </si>
  <si>
    <t>Monthly Delivery Charge</t>
  </si>
  <si>
    <t>kWh</t>
  </si>
  <si>
    <t>Current</t>
  </si>
  <si>
    <t>Per Application</t>
  </si>
  <si>
    <t>Change</t>
  </si>
  <si>
    <t>Total Bill</t>
  </si>
  <si>
    <t>Distribution Volumetric Rate - General Service</t>
  </si>
  <si>
    <t>Monthly Service Charge - General Service</t>
  </si>
  <si>
    <t>Residential - R1 GS</t>
  </si>
  <si>
    <t>November 26, 2015</t>
  </si>
  <si>
    <t>API's Reply Submission</t>
  </si>
  <si>
    <t>Ontario Electricity Support Program</t>
  </si>
  <si>
    <t>OCEB of 10% included in current bill calculation</t>
  </si>
  <si>
    <t>Debt Retirement Charge of $0.002/kwh included in current bill calculation</t>
  </si>
  <si>
    <t>OESP Charge of $0.0011/kWh included in proposed bill calculation</t>
  </si>
  <si>
    <t>OESP Charge</t>
  </si>
  <si>
    <t>Selected Delivery Charge and Bill Impacts Per Reply Submission                                                                                                                                        Algoma Power Inc.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</si>
</sst>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  <numFmt numFmtId="169" formatCode="0.0000"/>
    <numFmt numFmtId="170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4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2" borderId="8" xfId="2" applyNumberFormat="1" applyFont="1" applyFill="1" applyBorder="1" applyAlignment="1" applyProtection="1">
      <alignment vertical="top"/>
      <protection locked="0"/>
    </xf>
    <xf numFmtId="0" fontId="0" fillId="0" borderId="8" xfId="0" applyFill="1" applyBorder="1" applyAlignment="1" applyProtection="1">
      <alignment vertical="center"/>
    </xf>
    <xf numFmtId="4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2" borderId="8" xfId="2" applyNumberFormat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</xf>
    <xf numFmtId="4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vertical="top"/>
      <protection locked="0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5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4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5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5" fillId="2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5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5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2" borderId="8" xfId="2" applyNumberFormat="1" applyFill="1" applyBorder="1" applyAlignment="1" applyProtection="1">
      <alignment vertical="top"/>
      <protection locked="0"/>
    </xf>
    <xf numFmtId="44" fontId="1" fillId="0" borderId="6" xfId="2" applyBorder="1" applyAlignment="1" applyProtection="1">
      <alignment vertical="center"/>
    </xf>
    <xf numFmtId="165" fontId="1" fillId="2" borderId="8" xfId="2" applyNumberFormat="1" applyFill="1" applyBorder="1" applyAlignment="1" applyProtection="1">
      <alignment vertical="center"/>
      <protection locked="0"/>
    </xf>
    <xf numFmtId="10" fontId="1" fillId="0" borderId="6" xfId="3" applyNumberFormat="1" applyBorder="1" applyAlignment="1" applyProtection="1">
      <alignment vertical="center"/>
    </xf>
    <xf numFmtId="1" fontId="0" fillId="0" borderId="8" xfId="0" applyNumberFormat="1" applyFill="1" applyBorder="1" applyAlignment="1" applyProtection="1">
      <alignment vertical="center"/>
    </xf>
    <xf numFmtId="1" fontId="0" fillId="0" borderId="6" xfId="0" applyNumberFormat="1" applyFill="1" applyBorder="1" applyAlignment="1" applyProtection="1">
      <alignment vertical="center"/>
    </xf>
    <xf numFmtId="165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5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4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4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4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8" xfId="0" applyFill="1" applyBorder="1" applyAlignment="1" applyProtection="1">
      <alignment vertical="top"/>
    </xf>
    <xf numFmtId="44" fontId="8" fillId="0" borderId="11" xfId="0" applyNumberFormat="1" applyFont="1" applyFill="1" applyBorder="1" applyAlignment="1" applyProtection="1">
      <alignment vertical="center"/>
    </xf>
    <xf numFmtId="44" fontId="8" fillId="0" borderId="6" xfId="0" applyNumberFormat="1" applyFont="1" applyFill="1" applyBorder="1" applyAlignment="1" applyProtection="1">
      <alignment vertical="center"/>
    </xf>
    <xf numFmtId="44" fontId="8" fillId="0" borderId="8" xfId="0" applyNumberFormat="1" applyFont="1" applyFill="1" applyBorder="1" applyAlignment="1" applyProtection="1">
      <alignment vertical="center"/>
    </xf>
    <xf numFmtId="10" fontId="8" fillId="0" borderId="6" xfId="3" applyNumberFormat="1" applyFont="1" applyFill="1" applyBorder="1" applyAlignment="1" applyProtection="1">
      <alignment vertical="center"/>
    </xf>
    <xf numFmtId="0" fontId="0" fillId="8" borderId="0" xfId="0" applyFill="1" applyAlignment="1" applyProtection="1">
      <alignment vertical="top"/>
    </xf>
    <xf numFmtId="0" fontId="0" fillId="8" borderId="9" xfId="0" applyFill="1" applyBorder="1" applyAlignment="1" applyProtection="1">
      <alignment vertical="top"/>
    </xf>
    <xf numFmtId="0" fontId="0" fillId="8" borderId="17" xfId="0" applyFill="1" applyBorder="1" applyAlignment="1" applyProtection="1">
      <alignment vertical="center"/>
    </xf>
    <xf numFmtId="44" fontId="2" fillId="8" borderId="18" xfId="0" applyNumberFormat="1" applyFont="1" applyFill="1" applyBorder="1" applyAlignment="1" applyProtection="1">
      <alignment vertical="center"/>
    </xf>
    <xf numFmtId="0" fontId="2" fillId="8" borderId="9" xfId="0" applyFont="1" applyFill="1" applyBorder="1" applyAlignment="1" applyProtection="1">
      <alignment vertical="center"/>
    </xf>
    <xf numFmtId="44" fontId="2" fillId="8" borderId="10" xfId="0" applyNumberFormat="1" applyFont="1" applyFill="1" applyBorder="1" applyAlignment="1" applyProtection="1">
      <alignment vertical="center"/>
    </xf>
    <xf numFmtId="0" fontId="2" fillId="8" borderId="17" xfId="0" applyFont="1" applyFill="1" applyBorder="1" applyAlignment="1" applyProtection="1">
      <alignment vertical="center"/>
    </xf>
    <xf numFmtId="44" fontId="2" fillId="8" borderId="9" xfId="0" applyNumberFormat="1" applyFont="1" applyFill="1" applyBorder="1" applyAlignment="1" applyProtection="1">
      <alignment vertical="center"/>
    </xf>
    <xf numFmtId="10" fontId="2" fillId="8" borderId="10" xfId="3" applyNumberFormat="1" applyFont="1" applyFill="1" applyBorder="1" applyAlignment="1" applyProtection="1">
      <alignment vertical="center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4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44" fontId="2" fillId="0" borderId="19" xfId="0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12" fillId="0" borderId="0" xfId="0" applyFont="1" applyProtection="1"/>
    <xf numFmtId="164" fontId="0" fillId="0" borderId="8" xfId="0" applyNumberFormat="1" applyFill="1" applyBorder="1" applyAlignment="1" applyProtection="1">
      <alignment vertical="center"/>
    </xf>
    <xf numFmtId="168" fontId="0" fillId="5" borderId="8" xfId="2" applyNumberFormat="1" applyFont="1" applyFill="1" applyBorder="1" applyAlignment="1" applyProtection="1">
      <alignment vertical="top"/>
      <protection locked="0"/>
    </xf>
    <xf numFmtId="168" fontId="1" fillId="0" borderId="8" xfId="2" applyNumberFormat="1" applyFill="1" applyBorder="1" applyAlignment="1" applyProtection="1">
      <alignment vertical="top"/>
      <protection locked="0"/>
    </xf>
    <xf numFmtId="168" fontId="0" fillId="5" borderId="8" xfId="2" applyNumberFormat="1" applyFont="1" applyFill="1" applyBorder="1" applyAlignment="1" applyProtection="1">
      <alignment vertical="center"/>
      <protection locked="0"/>
    </xf>
    <xf numFmtId="168" fontId="1" fillId="2" borderId="8" xfId="2" applyNumberFormat="1" applyFill="1" applyBorder="1" applyAlignment="1" applyProtection="1">
      <alignment vertical="top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13" fillId="0" borderId="0" xfId="0" applyFont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43" fontId="15" fillId="0" borderId="0" xfId="1" applyFont="1" applyBorder="1"/>
    <xf numFmtId="10" fontId="15" fillId="0" borderId="0" xfId="3" applyNumberFormat="1" applyFont="1" applyBorder="1"/>
    <xf numFmtId="166" fontId="15" fillId="0" borderId="0" xfId="1" applyNumberFormat="1" applyFont="1" applyBorder="1"/>
    <xf numFmtId="166" fontId="15" fillId="0" borderId="0" xfId="1" applyNumberFormat="1" applyFont="1" applyFill="1" applyBorder="1"/>
    <xf numFmtId="167" fontId="15" fillId="0" borderId="0" xfId="3" applyNumberFormat="1" applyFont="1" applyBorder="1"/>
    <xf numFmtId="167" fontId="15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0" fillId="2" borderId="0" xfId="0" applyFill="1" applyAlignment="1" applyProtection="1">
      <alignment vertical="top" wrapText="1"/>
    </xf>
    <xf numFmtId="0" fontId="15" fillId="0" borderId="0" xfId="0" applyFont="1" applyBorder="1" applyAlignment="1">
      <alignment wrapText="1"/>
    </xf>
    <xf numFmtId="169" fontId="15" fillId="0" borderId="0" xfId="0" applyNumberFormat="1" applyFont="1" applyBorder="1"/>
    <xf numFmtId="0" fontId="17" fillId="0" borderId="19" xfId="4" applyFont="1" applyBorder="1" applyAlignment="1">
      <alignment horizontal="center"/>
    </xf>
    <xf numFmtId="0" fontId="17" fillId="4" borderId="22" xfId="4" applyFont="1" applyFill="1" applyBorder="1"/>
    <xf numFmtId="0" fontId="17" fillId="0" borderId="8" xfId="4" applyFont="1" applyBorder="1" applyAlignment="1">
      <alignment horizontal="center"/>
    </xf>
    <xf numFmtId="0" fontId="17" fillId="4" borderId="0" xfId="4" applyFont="1" applyFill="1" applyBorder="1"/>
    <xf numFmtId="0" fontId="17" fillId="0" borderId="27" xfId="4" applyFont="1" applyBorder="1"/>
    <xf numFmtId="0" fontId="17" fillId="0" borderId="9" xfId="4" applyFont="1" applyBorder="1"/>
    <xf numFmtId="0" fontId="17" fillId="4" borderId="17" xfId="4" applyFont="1" applyFill="1" applyBorder="1"/>
    <xf numFmtId="0" fontId="17" fillId="0" borderId="1" xfId="4" applyFont="1" applyBorder="1" applyAlignment="1">
      <alignment horizontal="center"/>
    </xf>
    <xf numFmtId="0" fontId="17" fillId="0" borderId="26" xfId="4" applyFont="1" applyBorder="1" applyAlignment="1">
      <alignment horizontal="center"/>
    </xf>
    <xf numFmtId="0" fontId="17" fillId="0" borderId="28" xfId="4" applyFont="1" applyBorder="1"/>
    <xf numFmtId="170" fontId="17" fillId="0" borderId="1" xfId="1" applyNumberFormat="1" applyFont="1" applyBorder="1"/>
    <xf numFmtId="44" fontId="17" fillId="0" borderId="1" xfId="4" applyNumberFormat="1" applyFont="1" applyBorder="1"/>
    <xf numFmtId="167" fontId="17" fillId="0" borderId="26" xfId="4" applyNumberFormat="1" applyFont="1" applyBorder="1" applyAlignment="1">
      <alignment horizontal="center"/>
    </xf>
    <xf numFmtId="0" fontId="17" fillId="4" borderId="29" xfId="4" applyFont="1" applyFill="1" applyBorder="1"/>
    <xf numFmtId="170" fontId="17" fillId="4" borderId="0" xfId="1" applyNumberFormat="1" applyFont="1" applyFill="1" applyBorder="1"/>
    <xf numFmtId="44" fontId="17" fillId="4" borderId="0" xfId="4" applyNumberFormat="1" applyFont="1" applyFill="1" applyBorder="1"/>
    <xf numFmtId="167" fontId="17" fillId="4" borderId="30" xfId="4" applyNumberFormat="1" applyFont="1" applyFill="1" applyBorder="1" applyAlignment="1">
      <alignment horizontal="center"/>
    </xf>
    <xf numFmtId="0" fontId="17" fillId="0" borderId="31" xfId="4" applyFont="1" applyBorder="1"/>
    <xf numFmtId="170" fontId="17" fillId="0" borderId="32" xfId="1" applyNumberFormat="1" applyFont="1" applyBorder="1"/>
    <xf numFmtId="0" fontId="17" fillId="4" borderId="20" xfId="4" applyFont="1" applyFill="1" applyBorder="1"/>
    <xf numFmtId="44" fontId="17" fillId="0" borderId="32" xfId="4" applyNumberFormat="1" applyFont="1" applyBorder="1"/>
    <xf numFmtId="167" fontId="17" fillId="0" borderId="33" xfId="4" applyNumberFormat="1" applyFont="1" applyBorder="1" applyAlignment="1">
      <alignment horizontal="center"/>
    </xf>
    <xf numFmtId="0" fontId="0" fillId="0" borderId="0" xfId="0" applyFill="1" applyBorder="1"/>
    <xf numFmtId="0" fontId="12" fillId="0" borderId="0" xfId="0" applyFont="1"/>
    <xf numFmtId="15" fontId="13" fillId="0" borderId="0" xfId="0" quotePrefix="1" applyNumberFormat="1" applyFont="1" applyAlignment="1">
      <alignment horizontal="center"/>
    </xf>
    <xf numFmtId="1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7" fillId="0" borderId="0" xfId="0" applyFont="1" applyAlignment="1" applyProtection="1">
      <alignment horizontal="left" vertical="top" wrapText="1" indent="1"/>
    </xf>
    <xf numFmtId="0" fontId="2" fillId="8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center"/>
    </xf>
    <xf numFmtId="0" fontId="17" fillId="0" borderId="21" xfId="4" applyFont="1" applyBorder="1" applyAlignment="1">
      <alignment horizontal="center" wrapText="1"/>
    </xf>
    <xf numFmtId="0" fontId="17" fillId="0" borderId="25" xfId="4" applyFont="1" applyBorder="1" applyAlignment="1">
      <alignment horizontal="center" wrapText="1"/>
    </xf>
    <xf numFmtId="0" fontId="12" fillId="0" borderId="23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 wrapText="1"/>
    </xf>
    <xf numFmtId="0" fontId="16" fillId="0" borderId="20" xfId="4" applyFont="1" applyBorder="1" applyAlignment="1">
      <alignment horizontal="center" vertical="center" wrapText="1"/>
    </xf>
    <xf numFmtId="0" fontId="17" fillId="0" borderId="1" xfId="4" applyFont="1" applyFill="1" applyBorder="1"/>
    <xf numFmtId="170" fontId="17" fillId="0" borderId="1" xfId="1" applyNumberFormat="1" applyFont="1" applyFill="1" applyBorder="1"/>
    <xf numFmtId="170" fontId="17" fillId="0" borderId="32" xfId="1" applyNumberFormat="1" applyFont="1" applyFill="1" applyBorder="1"/>
    <xf numFmtId="170" fontId="17" fillId="0" borderId="5" xfId="1" applyNumberFormat="1" applyFont="1" applyBorder="1"/>
    <xf numFmtId="170" fontId="17" fillId="0" borderId="5" xfId="1" applyNumberFormat="1" applyFont="1" applyFill="1" applyBorder="1"/>
    <xf numFmtId="44" fontId="17" fillId="0" borderId="5" xfId="4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5"/>
  <sheetViews>
    <sheetView showGridLines="0" tabSelected="1" topLeftCell="A10" zoomScaleNormal="100" workbookViewId="0">
      <selection activeCell="B24" sqref="B24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182" t="s">
        <v>78</v>
      </c>
      <c r="C12" s="182"/>
      <c r="D12" s="182"/>
      <c r="E12" s="182"/>
      <c r="F12" s="182"/>
      <c r="G12" s="182"/>
      <c r="H12" s="182"/>
    </row>
    <row r="13" spans="2:8" ht="23.25" x14ac:dyDescent="0.35">
      <c r="B13" s="182" t="s">
        <v>94</v>
      </c>
      <c r="C13" s="182"/>
      <c r="D13" s="182"/>
      <c r="E13" s="182"/>
      <c r="F13" s="182"/>
      <c r="G13" s="182"/>
      <c r="H13" s="182"/>
    </row>
    <row r="14" spans="2:8" ht="23.25" x14ac:dyDescent="0.35">
      <c r="B14" s="182" t="s">
        <v>95</v>
      </c>
      <c r="C14" s="182"/>
      <c r="D14" s="182"/>
      <c r="E14" s="182"/>
      <c r="F14" s="182"/>
      <c r="G14" s="182"/>
      <c r="H14" s="182"/>
    </row>
    <row r="15" spans="2:8" ht="23.25" x14ac:dyDescent="0.35">
      <c r="B15" s="142"/>
    </row>
    <row r="16" spans="2:8" ht="23.25" x14ac:dyDescent="0.35">
      <c r="B16" s="182" t="s">
        <v>79</v>
      </c>
      <c r="C16" s="182"/>
      <c r="D16" s="182"/>
      <c r="E16" s="182"/>
      <c r="F16" s="182"/>
      <c r="G16" s="182"/>
      <c r="H16" s="182"/>
    </row>
    <row r="17" spans="2:8" ht="23.25" x14ac:dyDescent="0.35">
      <c r="B17" s="182" t="s">
        <v>110</v>
      </c>
      <c r="C17" s="182"/>
      <c r="D17" s="182"/>
      <c r="E17" s="182"/>
      <c r="F17" s="182"/>
      <c r="G17" s="182"/>
      <c r="H17" s="182"/>
    </row>
    <row r="18" spans="2:8" ht="23.25" x14ac:dyDescent="0.35">
      <c r="B18" s="182" t="s">
        <v>96</v>
      </c>
      <c r="C18" s="182"/>
      <c r="D18" s="182"/>
      <c r="E18" s="182"/>
      <c r="F18" s="182"/>
      <c r="G18" s="182"/>
      <c r="H18" s="182"/>
    </row>
    <row r="19" spans="2:8" ht="23.25" x14ac:dyDescent="0.35">
      <c r="B19" s="142"/>
    </row>
    <row r="20" spans="2:8" ht="23.25" x14ac:dyDescent="0.35">
      <c r="B20" s="180" t="s">
        <v>109</v>
      </c>
      <c r="C20" s="181"/>
      <c r="D20" s="181"/>
      <c r="E20" s="181"/>
      <c r="F20" s="181"/>
      <c r="G20" s="181"/>
      <c r="H20" s="181"/>
    </row>
    <row r="23" spans="2:8" x14ac:dyDescent="0.25">
      <c r="B23" s="179" t="s">
        <v>113</v>
      </c>
    </row>
    <row r="24" spans="2:8" x14ac:dyDescent="0.25">
      <c r="B24" s="179" t="s">
        <v>112</v>
      </c>
    </row>
    <row r="25" spans="2:8" x14ac:dyDescent="0.25">
      <c r="B25" s="179" t="s">
        <v>114</v>
      </c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62"/>
  <sheetViews>
    <sheetView showGridLines="0" topLeftCell="A31" zoomScaleNormal="100" workbookViewId="0">
      <selection activeCell="F11" sqref="F11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89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15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Rates!D40</f>
        <v>27.15</v>
      </c>
      <c r="G15" s="20">
        <v>1</v>
      </c>
      <c r="H15" s="21">
        <f>G15*F15</f>
        <v>27.15</v>
      </c>
      <c r="I15" s="22"/>
      <c r="J15" s="23">
        <f>Rates!F40</f>
        <v>34.270000000000003</v>
      </c>
      <c r="K15" s="24">
        <v>1</v>
      </c>
      <c r="L15" s="21">
        <f>K15*J15</f>
        <v>34.270000000000003</v>
      </c>
      <c r="M15" s="22"/>
      <c r="N15" s="25">
        <f>L15-H15</f>
        <v>7.1200000000000045</v>
      </c>
      <c r="O15" s="26">
        <f>IF((H15)=0,"",(N15/H15))</f>
        <v>0.26224677716390443</v>
      </c>
    </row>
    <row r="16" spans="2:16" x14ac:dyDescent="0.25">
      <c r="B16" s="16" t="s">
        <v>18</v>
      </c>
      <c r="C16" s="16"/>
      <c r="D16" s="17"/>
      <c r="E16" s="18"/>
      <c r="F16" s="19"/>
      <c r="G16" s="20">
        <v>1</v>
      </c>
      <c r="H16" s="21">
        <f t="shared" ref="H16:H32" si="0">G16*F16</f>
        <v>0</v>
      </c>
      <c r="I16" s="22"/>
      <c r="J16" s="23"/>
      <c r="K16" s="24">
        <v>1</v>
      </c>
      <c r="L16" s="21">
        <f>K16*J16</f>
        <v>0</v>
      </c>
      <c r="M16" s="22"/>
      <c r="N16" s="25">
        <f>L16-H16</f>
        <v>0</v>
      </c>
      <c r="O16" s="26" t="str">
        <f>IF((H16)=0,"",(N16/H16))</f>
        <v/>
      </c>
    </row>
    <row r="17" spans="2:15" ht="30" x14ac:dyDescent="0.25">
      <c r="B17" s="128" t="str">
        <f>Rates!A46</f>
        <v>SME - Net Deferred Revenue Requirement, effective until December 31, 2016</v>
      </c>
      <c r="C17" s="16"/>
      <c r="D17" s="54" t="s">
        <v>67</v>
      </c>
      <c r="E17" s="18"/>
      <c r="F17" s="23">
        <f>Rates!D46</f>
        <v>3.57</v>
      </c>
      <c r="G17" s="20">
        <v>1</v>
      </c>
      <c r="H17" s="21">
        <f t="shared" si="0"/>
        <v>3.57</v>
      </c>
      <c r="I17" s="22"/>
      <c r="J17" s="23">
        <f>Rates!F46</f>
        <v>3.57</v>
      </c>
      <c r="K17" s="24">
        <v>1</v>
      </c>
      <c r="L17" s="21">
        <f t="shared" ref="L17:L32" si="1">K17*J17</f>
        <v>3.57</v>
      </c>
      <c r="M17" s="22"/>
      <c r="N17" s="25">
        <f t="shared" ref="N17:N33" si="2">L17-H17</f>
        <v>0</v>
      </c>
      <c r="O17" s="26">
        <f t="shared" ref="O17:O33" si="3">IF((H17)=0,"",(N17/H17))</f>
        <v>0</v>
      </c>
    </row>
    <row r="18" spans="2:15" x14ac:dyDescent="0.25">
      <c r="B18" s="128"/>
      <c r="C18" s="16"/>
      <c r="D18" s="54"/>
      <c r="E18" s="18"/>
      <c r="F18" s="23"/>
      <c r="G18" s="20"/>
      <c r="H18" s="21">
        <f t="shared" si="0"/>
        <v>0</v>
      </c>
      <c r="I18" s="22"/>
      <c r="J18" s="23"/>
      <c r="K18" s="24"/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45" x14ac:dyDescent="0.25">
      <c r="B19" s="153" t="str">
        <f>Rates!A48</f>
        <v>Rate Rider for Recovery of Stranded Meter Assets (2014) - effective until December 31, 2015</v>
      </c>
      <c r="C19" s="16"/>
      <c r="D19" s="54" t="s">
        <v>67</v>
      </c>
      <c r="E19" s="18"/>
      <c r="F19" s="23">
        <f>Rates!D48</f>
        <v>2.5099999999999998</v>
      </c>
      <c r="G19" s="20">
        <v>1</v>
      </c>
      <c r="H19" s="21">
        <f t="shared" si="0"/>
        <v>2.5099999999999998</v>
      </c>
      <c r="I19" s="22"/>
      <c r="J19" s="23">
        <f>Rates!F48</f>
        <v>0</v>
      </c>
      <c r="K19" s="24">
        <v>1</v>
      </c>
      <c r="L19" s="21">
        <f t="shared" si="1"/>
        <v>0</v>
      </c>
      <c r="M19" s="22"/>
      <c r="N19" s="25">
        <f t="shared" si="2"/>
        <v>-2.5099999999999998</v>
      </c>
      <c r="O19" s="26">
        <f t="shared" si="3"/>
        <v>-1</v>
      </c>
    </row>
    <row r="20" spans="2:15" x14ac:dyDescent="0.25">
      <c r="B20" s="27"/>
      <c r="C20" s="16"/>
      <c r="D20" s="17"/>
      <c r="E20" s="18"/>
      <c r="F20" s="19"/>
      <c r="G20" s="20">
        <v>1</v>
      </c>
      <c r="H20" s="21">
        <f t="shared" si="0"/>
        <v>0</v>
      </c>
      <c r="I20" s="22"/>
      <c r="J20" s="23"/>
      <c r="K20" s="24">
        <v>1</v>
      </c>
      <c r="L20" s="21">
        <f t="shared" si="1"/>
        <v>0</v>
      </c>
      <c r="M20" s="22"/>
      <c r="N20" s="25">
        <f t="shared" si="2"/>
        <v>0</v>
      </c>
      <c r="O20" s="26" t="str">
        <f t="shared" si="3"/>
        <v/>
      </c>
    </row>
    <row r="21" spans="2:15" x14ac:dyDescent="0.25">
      <c r="B21" s="16" t="s">
        <v>19</v>
      </c>
      <c r="C21" s="16"/>
      <c r="D21" s="17" t="s">
        <v>68</v>
      </c>
      <c r="E21" s="18"/>
      <c r="F21" s="19">
        <f>Rates!D41</f>
        <v>0.1462</v>
      </c>
      <c r="G21" s="20">
        <f>$F$10</f>
        <v>15</v>
      </c>
      <c r="H21" s="21">
        <f t="shared" si="0"/>
        <v>2.1930000000000001</v>
      </c>
      <c r="I21" s="22"/>
      <c r="J21" s="23">
        <f>Rates!F41</f>
        <v>0.14349999999999999</v>
      </c>
      <c r="K21" s="20">
        <f>$F$10</f>
        <v>15</v>
      </c>
      <c r="L21" s="21">
        <f t="shared" si="1"/>
        <v>2.1524999999999999</v>
      </c>
      <c r="M21" s="22"/>
      <c r="N21" s="25">
        <f t="shared" si="2"/>
        <v>-4.0500000000000203E-2</v>
      </c>
      <c r="O21" s="26">
        <f t="shared" si="3"/>
        <v>-1.8467852257182036E-2</v>
      </c>
    </row>
    <row r="22" spans="2:15" x14ac:dyDescent="0.25">
      <c r="B22" s="16" t="s">
        <v>20</v>
      </c>
      <c r="C22" s="16"/>
      <c r="D22" s="17"/>
      <c r="E22" s="18"/>
      <c r="F22" s="19"/>
      <c r="G22" s="20">
        <f t="shared" ref="G22" si="4">$F$10</f>
        <v>15</v>
      </c>
      <c r="H22" s="21">
        <f t="shared" si="0"/>
        <v>0</v>
      </c>
      <c r="I22" s="22"/>
      <c r="J22" s="23"/>
      <c r="K22" s="20">
        <f t="shared" ref="K22:K32" si="5">$F$10</f>
        <v>15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6" t="s">
        <v>21</v>
      </c>
      <c r="C23" s="16"/>
      <c r="D23" s="17"/>
      <c r="E23" s="18"/>
      <c r="F23" s="19"/>
      <c r="G23" s="20">
        <f>$F$10</f>
        <v>15</v>
      </c>
      <c r="H23" s="21">
        <f t="shared" si="0"/>
        <v>0</v>
      </c>
      <c r="I23" s="22"/>
      <c r="J23" s="23"/>
      <c r="K23" s="20">
        <f t="shared" si="5"/>
        <v>15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 t="s">
        <v>68</v>
      </c>
      <c r="E24" s="18"/>
      <c r="F24" s="23">
        <f>Rates!D42</f>
        <v>0</v>
      </c>
      <c r="G24" s="20">
        <f t="shared" ref="G24:G32" si="6">$F$10</f>
        <v>15</v>
      </c>
      <c r="H24" s="21">
        <f t="shared" si="0"/>
        <v>0</v>
      </c>
      <c r="I24" s="22"/>
      <c r="J24" s="23">
        <f>Rates!F42</f>
        <v>0</v>
      </c>
      <c r="K24" s="20">
        <f t="shared" si="5"/>
        <v>15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x14ac:dyDescent="0.25">
      <c r="B25" s="128"/>
      <c r="C25" s="16"/>
      <c r="D25" s="54" t="s">
        <v>68</v>
      </c>
      <c r="E25" s="18"/>
      <c r="F25" s="23">
        <f>Rates!D43</f>
        <v>0</v>
      </c>
      <c r="G25" s="20">
        <f t="shared" si="6"/>
        <v>15</v>
      </c>
      <c r="H25" s="21">
        <f t="shared" si="0"/>
        <v>0</v>
      </c>
      <c r="I25" s="22"/>
      <c r="J25" s="23">
        <f>Rates!F43</f>
        <v>0</v>
      </c>
      <c r="K25" s="20">
        <f t="shared" si="5"/>
        <v>15</v>
      </c>
      <c r="L25" s="21">
        <f t="shared" si="1"/>
        <v>0</v>
      </c>
      <c r="M25" s="22"/>
      <c r="N25" s="25">
        <f t="shared" si="2"/>
        <v>0</v>
      </c>
      <c r="O25" s="26" t="str">
        <f t="shared" si="3"/>
        <v/>
      </c>
    </row>
    <row r="26" spans="2:15" ht="30" x14ac:dyDescent="0.25">
      <c r="B26" s="128" t="str">
        <f>Rates!A44</f>
        <v>Foregone Revenue Recovery (2015) - effective until December 31, 2015 (2015)</v>
      </c>
      <c r="C26" s="16"/>
      <c r="D26" s="54" t="s">
        <v>68</v>
      </c>
      <c r="E26" s="18"/>
      <c r="F26" s="23">
        <f>Rates!D44</f>
        <v>4.1000000000000003E-3</v>
      </c>
      <c r="G26" s="20"/>
      <c r="H26" s="21"/>
      <c r="I26" s="22"/>
      <c r="J26" s="23">
        <f>Rates!F44</f>
        <v>0</v>
      </c>
      <c r="K26" s="20">
        <f t="shared" si="5"/>
        <v>15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x14ac:dyDescent="0.25">
      <c r="B27" s="128"/>
      <c r="C27" s="16"/>
      <c r="D27" s="54" t="s">
        <v>68</v>
      </c>
      <c r="E27" s="18"/>
      <c r="F27" s="23">
        <f>Rates!D49</f>
        <v>0</v>
      </c>
      <c r="G27" s="20">
        <f t="shared" si="6"/>
        <v>15</v>
      </c>
      <c r="H27" s="21">
        <f t="shared" si="0"/>
        <v>0</v>
      </c>
      <c r="I27" s="22"/>
      <c r="J27" s="23">
        <f>Rates!F49</f>
        <v>0</v>
      </c>
      <c r="K27" s="20">
        <f t="shared" si="5"/>
        <v>15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ht="30" x14ac:dyDescent="0.25">
      <c r="B28" s="128" t="str">
        <f>Rates!A45</f>
        <v>Deferral/Variance Account Disposition - effective until June 30, 2019</v>
      </c>
      <c r="C28" s="16"/>
      <c r="D28" s="54" t="s">
        <v>68</v>
      </c>
      <c r="E28" s="18"/>
      <c r="F28" s="23">
        <f>Rates!D45</f>
        <v>3.0700000000000002E-2</v>
      </c>
      <c r="G28" s="20">
        <f t="shared" si="6"/>
        <v>15</v>
      </c>
      <c r="H28" s="21">
        <f t="shared" si="0"/>
        <v>0.46050000000000002</v>
      </c>
      <c r="I28" s="22"/>
      <c r="J28" s="23">
        <f>Rates!F45</f>
        <v>3.0700000000000002E-2</v>
      </c>
      <c r="K28" s="20">
        <f t="shared" si="5"/>
        <v>15</v>
      </c>
      <c r="L28" s="21">
        <f t="shared" si="1"/>
        <v>0.46050000000000002</v>
      </c>
      <c r="M28" s="22"/>
      <c r="N28" s="25">
        <f t="shared" si="2"/>
        <v>0</v>
      </c>
      <c r="O28" s="26">
        <f t="shared" si="3"/>
        <v>0</v>
      </c>
    </row>
    <row r="29" spans="2:15" ht="45" x14ac:dyDescent="0.25">
      <c r="B29" s="128" t="str">
        <f>Rates!A71</f>
        <v>Rate Rider for the Disposition of Account 1575 &amp; 1576 - effective until December 31, 2019</v>
      </c>
      <c r="C29" s="16"/>
      <c r="D29" s="54" t="s">
        <v>68</v>
      </c>
      <c r="E29" s="18"/>
      <c r="F29" s="23">
        <f>Rates!D53</f>
        <v>-1.9E-3</v>
      </c>
      <c r="G29" s="20">
        <f t="shared" si="6"/>
        <v>15</v>
      </c>
      <c r="H29" s="21">
        <f t="shared" si="0"/>
        <v>-2.8500000000000001E-2</v>
      </c>
      <c r="I29" s="22"/>
      <c r="J29" s="23">
        <f>Rates!F53</f>
        <v>-1.9E-3</v>
      </c>
      <c r="K29" s="20">
        <f t="shared" si="5"/>
        <v>15</v>
      </c>
      <c r="L29" s="21">
        <f t="shared" si="1"/>
        <v>-2.8500000000000001E-2</v>
      </c>
      <c r="M29" s="22"/>
      <c r="N29" s="25">
        <f t="shared" si="2"/>
        <v>0</v>
      </c>
      <c r="O29" s="26">
        <f t="shared" si="3"/>
        <v>0</v>
      </c>
    </row>
    <row r="30" spans="2:15" x14ac:dyDescent="0.25">
      <c r="B30" s="28"/>
      <c r="C30" s="16"/>
      <c r="D30" s="17"/>
      <c r="E30" s="18"/>
      <c r="F30" s="19"/>
      <c r="G30" s="20">
        <f t="shared" si="6"/>
        <v>15</v>
      </c>
      <c r="H30" s="21">
        <f t="shared" si="0"/>
        <v>0</v>
      </c>
      <c r="I30" s="22"/>
      <c r="J30" s="23"/>
      <c r="K30" s="20">
        <f t="shared" si="5"/>
        <v>15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6"/>
        <v>15</v>
      </c>
      <c r="H31" s="21">
        <f t="shared" si="0"/>
        <v>0</v>
      </c>
      <c r="I31" s="22"/>
      <c r="J31" s="23"/>
      <c r="K31" s="20">
        <f t="shared" si="5"/>
        <v>15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x14ac:dyDescent="0.25">
      <c r="B32" s="28"/>
      <c r="C32" s="16"/>
      <c r="D32" s="17"/>
      <c r="E32" s="18"/>
      <c r="F32" s="19"/>
      <c r="G32" s="20">
        <f t="shared" si="6"/>
        <v>15</v>
      </c>
      <c r="H32" s="21">
        <f t="shared" si="0"/>
        <v>0</v>
      </c>
      <c r="I32" s="22"/>
      <c r="J32" s="23"/>
      <c r="K32" s="20">
        <f t="shared" si="5"/>
        <v>15</v>
      </c>
      <c r="L32" s="21">
        <f t="shared" si="1"/>
        <v>0</v>
      </c>
      <c r="M32" s="22"/>
      <c r="N32" s="25">
        <f t="shared" si="2"/>
        <v>0</v>
      </c>
      <c r="O32" s="26" t="str">
        <f t="shared" si="3"/>
        <v/>
      </c>
    </row>
    <row r="33" spans="2:15" s="40" customFormat="1" x14ac:dyDescent="0.25">
      <c r="B33" s="29" t="s">
        <v>22</v>
      </c>
      <c r="C33" s="30"/>
      <c r="D33" s="31"/>
      <c r="E33" s="30"/>
      <c r="F33" s="32"/>
      <c r="G33" s="33"/>
      <c r="H33" s="34">
        <f>SUM(H15:H32)</f>
        <v>35.854999999999997</v>
      </c>
      <c r="I33" s="35"/>
      <c r="J33" s="36"/>
      <c r="K33" s="37"/>
      <c r="L33" s="34">
        <f>SUM(L15:L32)</f>
        <v>40.424500000000009</v>
      </c>
      <c r="M33" s="35"/>
      <c r="N33" s="38">
        <f t="shared" si="2"/>
        <v>4.5695000000000121</v>
      </c>
      <c r="O33" s="39">
        <f t="shared" si="3"/>
        <v>0.12744387114767849</v>
      </c>
    </row>
    <row r="34" spans="2:15" ht="38.25" x14ac:dyDescent="0.25">
      <c r="B34" s="41" t="str">
        <f>Rates!A50</f>
        <v>Rate Rider for the Disposition of Deferral/Variance Accounts (2014) - effective until December 31, 2015</v>
      </c>
      <c r="C34" s="16"/>
      <c r="D34" s="54" t="s">
        <v>68</v>
      </c>
      <c r="E34" s="18"/>
      <c r="F34" s="23">
        <f>Rates!D50</f>
        <v>-1.41E-2</v>
      </c>
      <c r="G34" s="20">
        <f>$F$10</f>
        <v>15</v>
      </c>
      <c r="H34" s="21">
        <f>G34*F34</f>
        <v>-0.21149999999999999</v>
      </c>
      <c r="I34" s="22"/>
      <c r="J34" s="23">
        <f>Rates!F50</f>
        <v>0</v>
      </c>
      <c r="K34" s="20">
        <f>$F$10</f>
        <v>15</v>
      </c>
      <c r="L34" s="21">
        <f>K34*J34</f>
        <v>0</v>
      </c>
      <c r="M34" s="22"/>
      <c r="N34" s="25">
        <f>L34-H34</f>
        <v>0.21149999999999999</v>
      </c>
      <c r="O34" s="26">
        <f>IF((H34)=0,"",(N34/H34))</f>
        <v>-1</v>
      </c>
    </row>
    <row r="35" spans="2:15" ht="38.25" x14ac:dyDescent="0.25">
      <c r="B35" s="41" t="str">
        <f>Rates!A51</f>
        <v>Rate Rider for the Disposition of Global Adjustment Sub-Account (2014) - effective until December 31, 2015</v>
      </c>
      <c r="C35" s="16"/>
      <c r="D35" s="54" t="s">
        <v>68</v>
      </c>
      <c r="E35" s="18"/>
      <c r="F35" s="23">
        <f>Rates!D51</f>
        <v>2.1899999999999999E-2</v>
      </c>
      <c r="G35" s="20">
        <f t="shared" ref="G35:G38" si="7">$F$10</f>
        <v>15</v>
      </c>
      <c r="H35" s="21">
        <f t="shared" ref="H35:H39" si="8">G35*F35</f>
        <v>0.32850000000000001</v>
      </c>
      <c r="I35" s="42"/>
      <c r="J35" s="23">
        <v>0</v>
      </c>
      <c r="K35" s="20">
        <f t="shared" ref="K35:K38" si="9">$F$10</f>
        <v>15</v>
      </c>
      <c r="L35" s="21">
        <f t="shared" ref="L35:L39" si="10">K35*J35</f>
        <v>0</v>
      </c>
      <c r="M35" s="43"/>
      <c r="N35" s="25">
        <f t="shared" ref="N35:N39" si="11">L35-H35</f>
        <v>-0.32850000000000001</v>
      </c>
      <c r="O35" s="26">
        <f t="shared" ref="O35:O39" si="12">IF((H35)=0,"",(N35/H35))</f>
        <v>-1</v>
      </c>
    </row>
    <row r="36" spans="2:15" ht="38.25" x14ac:dyDescent="0.25">
      <c r="B36" s="41" t="str">
        <f>Rates!A42</f>
        <v>Rate Rider for the Disposition of Deferral/Variance Accounts (2016) - effective until December 31, 2016</v>
      </c>
      <c r="C36" s="16"/>
      <c r="D36" s="17" t="s">
        <v>68</v>
      </c>
      <c r="E36" s="18"/>
      <c r="F36" s="19">
        <f>Rates!D42</f>
        <v>0</v>
      </c>
      <c r="G36" s="20">
        <f t="shared" si="7"/>
        <v>15</v>
      </c>
      <c r="H36" s="21">
        <f t="shared" si="8"/>
        <v>0</v>
      </c>
      <c r="I36" s="42"/>
      <c r="J36" s="23">
        <f>Rates!F42</f>
        <v>0</v>
      </c>
      <c r="K36" s="20">
        <f t="shared" si="9"/>
        <v>15</v>
      </c>
      <c r="L36" s="21">
        <f t="shared" si="10"/>
        <v>0</v>
      </c>
      <c r="M36" s="43"/>
      <c r="N36" s="25">
        <f t="shared" si="11"/>
        <v>0</v>
      </c>
      <c r="O36" s="26" t="str">
        <f t="shared" si="12"/>
        <v/>
      </c>
    </row>
    <row r="37" spans="2:15" ht="38.25" x14ac:dyDescent="0.25">
      <c r="B37" s="41" t="str">
        <f>Rates!A43</f>
        <v>Rate Rider for the Disposition of Global Adjustment Sub-Account (2016) - effective until December 31, 2016</v>
      </c>
      <c r="C37" s="16"/>
      <c r="D37" s="17" t="s">
        <v>68</v>
      </c>
      <c r="E37" s="18"/>
      <c r="F37" s="19">
        <f>Rates!D43</f>
        <v>0</v>
      </c>
      <c r="G37" s="20">
        <f t="shared" si="7"/>
        <v>15</v>
      </c>
      <c r="H37" s="21">
        <f t="shared" si="8"/>
        <v>0</v>
      </c>
      <c r="I37" s="42"/>
      <c r="J37" s="23">
        <f>Rates!F43</f>
        <v>0</v>
      </c>
      <c r="K37" s="20">
        <f t="shared" si="9"/>
        <v>15</v>
      </c>
      <c r="L37" s="21">
        <f t="shared" si="10"/>
        <v>0</v>
      </c>
      <c r="M37" s="43"/>
      <c r="N37" s="25">
        <f t="shared" si="11"/>
        <v>0</v>
      </c>
      <c r="O37" s="26" t="str">
        <f t="shared" si="12"/>
        <v/>
      </c>
    </row>
    <row r="38" spans="2:15" x14ac:dyDescent="0.25">
      <c r="B38" s="44" t="s">
        <v>23</v>
      </c>
      <c r="C38" s="16"/>
      <c r="D38" s="17"/>
      <c r="E38" s="18"/>
      <c r="F38" s="19"/>
      <c r="G38" s="20">
        <f t="shared" si="7"/>
        <v>15</v>
      </c>
      <c r="H38" s="21">
        <f>G38*F38</f>
        <v>0</v>
      </c>
      <c r="I38" s="22"/>
      <c r="J38" s="23"/>
      <c r="K38" s="20">
        <f t="shared" si="9"/>
        <v>15</v>
      </c>
      <c r="L38" s="21">
        <f>K38*J38</f>
        <v>0</v>
      </c>
      <c r="M38" s="22"/>
      <c r="N38" s="25">
        <f>L38-H38</f>
        <v>0</v>
      </c>
      <c r="O38" s="26" t="str">
        <f>IF((H38)=0,"",(N38/H38))</f>
        <v/>
      </c>
    </row>
    <row r="39" spans="2:15" x14ac:dyDescent="0.25">
      <c r="B39" s="44" t="s">
        <v>24</v>
      </c>
      <c r="C39" s="16"/>
      <c r="D39" s="17" t="s">
        <v>68</v>
      </c>
      <c r="E39" s="18"/>
      <c r="F39" s="45">
        <f>IF(ISBLANK(D8)=TRUE, 0, IF(D8="TOU", 0.64*$F$50+0.18*$F$51+0.18*$F$52, IF(AND(D8="non-TOU",#REF!&gt; 0),#REF!,#REF!)))</f>
        <v>0.10214000000000001</v>
      </c>
      <c r="G39" s="46">
        <f>$F$10*(1+$F$60)-$F$10</f>
        <v>1.3754999999999988</v>
      </c>
      <c r="H39" s="21">
        <f t="shared" si="8"/>
        <v>0.1404935699999999</v>
      </c>
      <c r="I39" s="22"/>
      <c r="J39" s="47">
        <f>0.64*$F$50+0.18*$F$51+0.18*$F$52</f>
        <v>0.10214000000000001</v>
      </c>
      <c r="K39" s="46">
        <f>$F$10*(1+$J$60)-$F$10</f>
        <v>1.3754999999999988</v>
      </c>
      <c r="L39" s="21">
        <f t="shared" si="10"/>
        <v>0.1404935699999999</v>
      </c>
      <c r="M39" s="22"/>
      <c r="N39" s="25">
        <f t="shared" si="11"/>
        <v>0</v>
      </c>
      <c r="O39" s="26">
        <f t="shared" si="12"/>
        <v>0</v>
      </c>
    </row>
    <row r="40" spans="2:15" x14ac:dyDescent="0.25">
      <c r="B40" s="44" t="s">
        <v>25</v>
      </c>
      <c r="C40" s="16"/>
      <c r="D40" s="17" t="s">
        <v>67</v>
      </c>
      <c r="E40" s="18"/>
      <c r="F40" s="45">
        <f>Rates!D58</f>
        <v>0.79</v>
      </c>
      <c r="G40" s="20">
        <v>1</v>
      </c>
      <c r="H40" s="21">
        <f>G40*F40</f>
        <v>0.79</v>
      </c>
      <c r="I40" s="22"/>
      <c r="J40" s="45">
        <f>Rates!F58</f>
        <v>0.79</v>
      </c>
      <c r="K40" s="20">
        <v>1</v>
      </c>
      <c r="L40" s="21">
        <f>K40*J40</f>
        <v>0.79</v>
      </c>
      <c r="M40" s="22"/>
      <c r="N40" s="25">
        <f>L40-H40</f>
        <v>0</v>
      </c>
      <c r="O40" s="26"/>
    </row>
    <row r="41" spans="2:15" ht="25.5" x14ac:dyDescent="0.25">
      <c r="B41" s="48" t="s">
        <v>26</v>
      </c>
      <c r="C41" s="49"/>
      <c r="D41" s="49"/>
      <c r="E41" s="49"/>
      <c r="F41" s="50"/>
      <c r="G41" s="51"/>
      <c r="H41" s="52">
        <f>SUM(H34:H40)+H33</f>
        <v>36.902493569999997</v>
      </c>
      <c r="I41" s="35"/>
      <c r="J41" s="51"/>
      <c r="K41" s="53"/>
      <c r="L41" s="52">
        <f>SUM(L34:L40)+L33</f>
        <v>41.354993570000012</v>
      </c>
      <c r="M41" s="35"/>
      <c r="N41" s="38">
        <f t="shared" ref="N41:N58" si="13">L41-H41</f>
        <v>4.4525000000000148</v>
      </c>
      <c r="O41" s="39">
        <f t="shared" ref="O41:O58" si="14">IF((H41)=0,"",(N41/H41))</f>
        <v>0.12065580315200405</v>
      </c>
    </row>
    <row r="42" spans="2:15" x14ac:dyDescent="0.25">
      <c r="B42" s="22" t="s">
        <v>27</v>
      </c>
      <c r="C42" s="22"/>
      <c r="D42" s="54" t="s">
        <v>68</v>
      </c>
      <c r="E42" s="55"/>
      <c r="F42" s="23">
        <f>Rates!D54</f>
        <v>7.1000000000000004E-3</v>
      </c>
      <c r="G42" s="56">
        <f>F10*(1+F60)</f>
        <v>16.375499999999999</v>
      </c>
      <c r="H42" s="21">
        <f>G42*F42</f>
        <v>0.11626605</v>
      </c>
      <c r="I42" s="22"/>
      <c r="J42" s="23">
        <f>Rates!F54</f>
        <v>7.0000000000000001E-3</v>
      </c>
      <c r="K42" s="57">
        <f>F10*(1+J60)</f>
        <v>16.375499999999999</v>
      </c>
      <c r="L42" s="21">
        <f>K42*J42</f>
        <v>0.11462849999999999</v>
      </c>
      <c r="M42" s="22"/>
      <c r="N42" s="25">
        <f t="shared" si="13"/>
        <v>-1.6375500000000015E-3</v>
      </c>
      <c r="O42" s="26">
        <f t="shared" si="14"/>
        <v>-1.4084507042253535E-2</v>
      </c>
    </row>
    <row r="43" spans="2:15" x14ac:dyDescent="0.25">
      <c r="B43" s="58" t="s">
        <v>28</v>
      </c>
      <c r="C43" s="22"/>
      <c r="D43" s="54" t="s">
        <v>68</v>
      </c>
      <c r="E43" s="55"/>
      <c r="F43" s="23">
        <f>Rates!D55</f>
        <v>5.3E-3</v>
      </c>
      <c r="G43" s="56">
        <f>G42</f>
        <v>16.375499999999999</v>
      </c>
      <c r="H43" s="21">
        <f>G43*F43</f>
        <v>8.6790149999999996E-2</v>
      </c>
      <c r="I43" s="22"/>
      <c r="J43" s="23">
        <f>Rates!F55</f>
        <v>5.1000000000000004E-3</v>
      </c>
      <c r="K43" s="57">
        <f>K42</f>
        <v>16.375499999999999</v>
      </c>
      <c r="L43" s="21">
        <f>K43*J43</f>
        <v>8.3515049999999993E-2</v>
      </c>
      <c r="M43" s="22"/>
      <c r="N43" s="25">
        <f t="shared" si="13"/>
        <v>-3.275100000000003E-3</v>
      </c>
      <c r="O43" s="26">
        <f t="shared" si="14"/>
        <v>-3.7735849056603807E-2</v>
      </c>
    </row>
    <row r="44" spans="2:15" ht="25.5" x14ac:dyDescent="0.25">
      <c r="B44" s="48" t="s">
        <v>29</v>
      </c>
      <c r="C44" s="30"/>
      <c r="D44" s="30"/>
      <c r="E44" s="30"/>
      <c r="F44" s="59"/>
      <c r="G44" s="51"/>
      <c r="H44" s="52">
        <f>SUM(H41:H43)</f>
        <v>37.105549769999996</v>
      </c>
      <c r="I44" s="60"/>
      <c r="J44" s="61"/>
      <c r="K44" s="62"/>
      <c r="L44" s="52">
        <f>SUM(L41:L43)</f>
        <v>41.553137120000017</v>
      </c>
      <c r="M44" s="60"/>
      <c r="N44" s="38">
        <f t="shared" si="13"/>
        <v>4.4475873500000205</v>
      </c>
      <c r="O44" s="39">
        <f t="shared" si="14"/>
        <v>0.11986313038261233</v>
      </c>
    </row>
    <row r="45" spans="2:15" x14ac:dyDescent="0.25">
      <c r="B45" s="63" t="s">
        <v>30</v>
      </c>
      <c r="C45" s="16"/>
      <c r="D45" s="54" t="s">
        <v>68</v>
      </c>
      <c r="E45" s="18"/>
      <c r="F45" s="66">
        <f>Rates!D56</f>
        <v>4.4000000000000003E-3</v>
      </c>
      <c r="G45" s="56">
        <f>G43</f>
        <v>16.375499999999999</v>
      </c>
      <c r="H45" s="65">
        <f t="shared" ref="H45:H52" si="15">G45*F45</f>
        <v>7.2052199999999997E-2</v>
      </c>
      <c r="I45" s="22"/>
      <c r="J45" s="66">
        <f>Rates!F56</f>
        <v>4.4000000000000003E-3</v>
      </c>
      <c r="K45" s="57">
        <f>K43</f>
        <v>16.375499999999999</v>
      </c>
      <c r="L45" s="65">
        <f t="shared" ref="L45:L52" si="16">K45*J45</f>
        <v>7.2052199999999997E-2</v>
      </c>
      <c r="M45" s="22"/>
      <c r="N45" s="25">
        <f t="shared" si="13"/>
        <v>0</v>
      </c>
      <c r="O45" s="67">
        <f t="shared" si="14"/>
        <v>0</v>
      </c>
    </row>
    <row r="46" spans="2:15" x14ac:dyDescent="0.25">
      <c r="B46" s="63" t="s">
        <v>31</v>
      </c>
      <c r="C46" s="16"/>
      <c r="D46" s="54" t="s">
        <v>68</v>
      </c>
      <c r="E46" s="18"/>
      <c r="F46" s="66">
        <f>Rates!D57</f>
        <v>1.2999999999999999E-3</v>
      </c>
      <c r="G46" s="56">
        <f>G43</f>
        <v>16.375499999999999</v>
      </c>
      <c r="H46" s="65">
        <f t="shared" si="15"/>
        <v>2.1288149999999999E-2</v>
      </c>
      <c r="I46" s="22"/>
      <c r="J46" s="66">
        <f>Rates!F57</f>
        <v>1.2999999999999999E-3</v>
      </c>
      <c r="K46" s="57">
        <f>K43</f>
        <v>16.375499999999999</v>
      </c>
      <c r="L46" s="65">
        <f t="shared" si="16"/>
        <v>2.1288149999999999E-2</v>
      </c>
      <c r="M46" s="22"/>
      <c r="N46" s="25">
        <f t="shared" si="13"/>
        <v>0</v>
      </c>
      <c r="O46" s="67">
        <f t="shared" si="14"/>
        <v>0</v>
      </c>
    </row>
    <row r="47" spans="2:15" x14ac:dyDescent="0.25">
      <c r="B47" s="16" t="s">
        <v>32</v>
      </c>
      <c r="C47" s="16"/>
      <c r="D47" s="17" t="s">
        <v>67</v>
      </c>
      <c r="E47" s="18"/>
      <c r="F47" s="64">
        <f>Rates!D59</f>
        <v>0.25</v>
      </c>
      <c r="G47" s="20">
        <v>1</v>
      </c>
      <c r="H47" s="65">
        <f t="shared" si="15"/>
        <v>0.25</v>
      </c>
      <c r="I47" s="22"/>
      <c r="J47" s="66">
        <f>Rates!F59</f>
        <v>0.25</v>
      </c>
      <c r="K47" s="24">
        <v>1</v>
      </c>
      <c r="L47" s="65">
        <f t="shared" si="16"/>
        <v>0.25</v>
      </c>
      <c r="M47" s="22"/>
      <c r="N47" s="25">
        <f t="shared" si="13"/>
        <v>0</v>
      </c>
      <c r="O47" s="67">
        <f t="shared" si="14"/>
        <v>0</v>
      </c>
    </row>
    <row r="48" spans="2:15" x14ac:dyDescent="0.25">
      <c r="B48" s="16" t="s">
        <v>33</v>
      </c>
      <c r="C48" s="16"/>
      <c r="D48" s="17" t="s">
        <v>68</v>
      </c>
      <c r="E48" s="18"/>
      <c r="F48" s="64">
        <f>Rates!D79</f>
        <v>2E-3</v>
      </c>
      <c r="G48" s="68">
        <f>F10</f>
        <v>15</v>
      </c>
      <c r="H48" s="65">
        <f t="shared" si="15"/>
        <v>0.03</v>
      </c>
      <c r="I48" s="22"/>
      <c r="J48" s="66">
        <f>Rates!F79</f>
        <v>0</v>
      </c>
      <c r="K48" s="69">
        <f>F10</f>
        <v>15</v>
      </c>
      <c r="L48" s="65">
        <f t="shared" si="16"/>
        <v>0</v>
      </c>
      <c r="M48" s="22"/>
      <c r="N48" s="25">
        <f t="shared" si="13"/>
        <v>-0.03</v>
      </c>
      <c r="O48" s="67">
        <f t="shared" si="14"/>
        <v>-1</v>
      </c>
    </row>
    <row r="49" spans="1:19" x14ac:dyDescent="0.25">
      <c r="B49" s="16" t="s">
        <v>115</v>
      </c>
      <c r="C49" s="16"/>
      <c r="D49" s="17" t="s">
        <v>68</v>
      </c>
      <c r="E49" s="18"/>
      <c r="F49" s="64"/>
      <c r="G49" s="68"/>
      <c r="H49" s="65"/>
      <c r="I49" s="22"/>
      <c r="J49" s="66">
        <f>Rates!F80</f>
        <v>1.1000000000000001E-3</v>
      </c>
      <c r="K49" s="69">
        <f>F10</f>
        <v>15</v>
      </c>
      <c r="L49" s="65">
        <f t="shared" si="16"/>
        <v>1.6500000000000001E-2</v>
      </c>
      <c r="M49" s="22"/>
      <c r="N49" s="25">
        <f t="shared" si="13"/>
        <v>1.6500000000000001E-2</v>
      </c>
      <c r="O49" s="67" t="str">
        <f t="shared" si="14"/>
        <v/>
      </c>
    </row>
    <row r="50" spans="1:19" x14ac:dyDescent="0.25">
      <c r="B50" s="44" t="s">
        <v>34</v>
      </c>
      <c r="C50" s="16"/>
      <c r="D50" s="17" t="s">
        <v>68</v>
      </c>
      <c r="E50" s="18"/>
      <c r="F50" s="70">
        <f>Rates!D88</f>
        <v>0.08</v>
      </c>
      <c r="G50" s="71">
        <f>0.64*$F$10</f>
        <v>9.6</v>
      </c>
      <c r="H50" s="65">
        <f t="shared" si="15"/>
        <v>0.76800000000000002</v>
      </c>
      <c r="I50" s="22"/>
      <c r="J50" s="64">
        <f>Rates!F88</f>
        <v>0.08</v>
      </c>
      <c r="K50" s="71">
        <f>G50</f>
        <v>9.6</v>
      </c>
      <c r="L50" s="65">
        <f t="shared" si="16"/>
        <v>0.76800000000000002</v>
      </c>
      <c r="M50" s="22"/>
      <c r="N50" s="25">
        <f t="shared" si="13"/>
        <v>0</v>
      </c>
      <c r="O50" s="67">
        <f t="shared" si="14"/>
        <v>0</v>
      </c>
      <c r="S50" s="72"/>
    </row>
    <row r="51" spans="1:19" x14ac:dyDescent="0.25">
      <c r="B51" s="44" t="s">
        <v>35</v>
      </c>
      <c r="C51" s="16"/>
      <c r="D51" s="17" t="s">
        <v>68</v>
      </c>
      <c r="E51" s="18"/>
      <c r="F51" s="70">
        <f>Rates!D89</f>
        <v>0.122</v>
      </c>
      <c r="G51" s="71">
        <f>0.18*$F$10</f>
        <v>2.6999999999999997</v>
      </c>
      <c r="H51" s="65">
        <f t="shared" si="15"/>
        <v>0.32939999999999997</v>
      </c>
      <c r="I51" s="22"/>
      <c r="J51" s="64">
        <f>Rates!F89</f>
        <v>0.122</v>
      </c>
      <c r="K51" s="71">
        <f>G51</f>
        <v>2.6999999999999997</v>
      </c>
      <c r="L51" s="65">
        <f t="shared" si="16"/>
        <v>0.32939999999999997</v>
      </c>
      <c r="M51" s="22"/>
      <c r="N51" s="25">
        <f t="shared" si="13"/>
        <v>0</v>
      </c>
      <c r="O51" s="67">
        <f t="shared" si="14"/>
        <v>0</v>
      </c>
      <c r="S51" s="72"/>
    </row>
    <row r="52" spans="1:19" ht="15.75" thickBot="1" x14ac:dyDescent="0.3">
      <c r="B52" s="6" t="s">
        <v>36</v>
      </c>
      <c r="C52" s="16"/>
      <c r="D52" s="17" t="s">
        <v>68</v>
      </c>
      <c r="E52" s="18"/>
      <c r="F52" s="70">
        <f>Rates!D90</f>
        <v>0.161</v>
      </c>
      <c r="G52" s="71">
        <f>0.18*$F$10</f>
        <v>2.6999999999999997</v>
      </c>
      <c r="H52" s="65">
        <f t="shared" si="15"/>
        <v>0.43469999999999998</v>
      </c>
      <c r="I52" s="22"/>
      <c r="J52" s="64">
        <f>Rates!F90</f>
        <v>0.161</v>
      </c>
      <c r="K52" s="71">
        <f>G52</f>
        <v>2.6999999999999997</v>
      </c>
      <c r="L52" s="65">
        <f t="shared" si="16"/>
        <v>0.43469999999999998</v>
      </c>
      <c r="M52" s="22"/>
      <c r="N52" s="25">
        <f t="shared" si="13"/>
        <v>0</v>
      </c>
      <c r="O52" s="67">
        <f t="shared" si="14"/>
        <v>0</v>
      </c>
      <c r="S52" s="72"/>
    </row>
    <row r="53" spans="1:19" ht="15.75" thickBot="1" x14ac:dyDescent="0.3">
      <c r="B53" s="74"/>
      <c r="C53" s="75"/>
      <c r="D53" s="76"/>
      <c r="E53" s="75"/>
      <c r="F53" s="77"/>
      <c r="G53" s="78"/>
      <c r="H53" s="79"/>
      <c r="I53" s="80"/>
      <c r="J53" s="77"/>
      <c r="K53" s="81"/>
      <c r="L53" s="79"/>
      <c r="M53" s="80"/>
      <c r="N53" s="82"/>
      <c r="O53" s="83"/>
    </row>
    <row r="54" spans="1:19" x14ac:dyDescent="0.25">
      <c r="B54" s="84" t="s">
        <v>37</v>
      </c>
      <c r="C54" s="16"/>
      <c r="D54" s="16"/>
      <c r="E54" s="16"/>
      <c r="F54" s="85"/>
      <c r="G54" s="86"/>
      <c r="H54" s="87">
        <f>SUM(H45:H52,H44)</f>
        <v>39.010990119999995</v>
      </c>
      <c r="I54" s="88"/>
      <c r="J54" s="89"/>
      <c r="K54" s="89"/>
      <c r="L54" s="127">
        <f>SUM(L45:L52,L44)</f>
        <v>43.445077470000015</v>
      </c>
      <c r="M54" s="90"/>
      <c r="N54" s="91">
        <f t="shared" ref="N54" si="17">L54-H54</f>
        <v>4.43408735000002</v>
      </c>
      <c r="O54" s="92">
        <f t="shared" ref="O54" si="18">IF((H54)=0,"",(N54/H54))</f>
        <v>0.11366251757160016</v>
      </c>
      <c r="S54" s="72"/>
    </row>
    <row r="55" spans="1:19" x14ac:dyDescent="0.25">
      <c r="B55" s="93" t="s">
        <v>38</v>
      </c>
      <c r="C55" s="16"/>
      <c r="D55" s="16"/>
      <c r="E55" s="16"/>
      <c r="F55" s="94">
        <v>0.13</v>
      </c>
      <c r="G55" s="95"/>
      <c r="H55" s="96">
        <f>H54*F55</f>
        <v>5.0714287155999997</v>
      </c>
      <c r="I55" s="97"/>
      <c r="J55" s="98">
        <v>0.13</v>
      </c>
      <c r="K55" s="97"/>
      <c r="L55" s="99">
        <f>L54*J55</f>
        <v>5.647860071100002</v>
      </c>
      <c r="M55" s="100"/>
      <c r="N55" s="101">
        <f t="shared" si="13"/>
        <v>0.57643135550000224</v>
      </c>
      <c r="O55" s="102">
        <f t="shared" si="14"/>
        <v>0.11366251757160009</v>
      </c>
      <c r="S55" s="72"/>
    </row>
    <row r="56" spans="1:19" x14ac:dyDescent="0.25">
      <c r="B56" s="103" t="s">
        <v>42</v>
      </c>
      <c r="C56" s="16"/>
      <c r="D56" s="16"/>
      <c r="E56" s="16"/>
      <c r="F56" s="104"/>
      <c r="G56" s="95"/>
      <c r="H56" s="96">
        <f>H54+H55</f>
        <v>44.082418835599995</v>
      </c>
      <c r="I56" s="97"/>
      <c r="J56" s="97"/>
      <c r="K56" s="97"/>
      <c r="L56" s="99">
        <f>L54+L55</f>
        <v>49.092937541100014</v>
      </c>
      <c r="M56" s="100"/>
      <c r="N56" s="101">
        <f t="shared" si="13"/>
        <v>5.0105187055000187</v>
      </c>
      <c r="O56" s="102">
        <f t="shared" si="14"/>
        <v>0.11366251757160008</v>
      </c>
      <c r="S56" s="72"/>
    </row>
    <row r="57" spans="1:19" x14ac:dyDescent="0.25">
      <c r="B57" s="194" t="s">
        <v>43</v>
      </c>
      <c r="C57" s="194"/>
      <c r="D57" s="194"/>
      <c r="E57" s="16"/>
      <c r="F57" s="104"/>
      <c r="G57" s="95"/>
      <c r="H57" s="105">
        <f>ROUND(-H56*10%,2)</f>
        <v>-4.41</v>
      </c>
      <c r="I57" s="97"/>
      <c r="J57" s="97"/>
      <c r="K57" s="97"/>
      <c r="L57" s="106">
        <v>0</v>
      </c>
      <c r="M57" s="100"/>
      <c r="N57" s="107">
        <f t="shared" si="13"/>
        <v>4.41</v>
      </c>
      <c r="O57" s="108">
        <f t="shared" si="14"/>
        <v>-1</v>
      </c>
    </row>
    <row r="58" spans="1:19" x14ac:dyDescent="0.25">
      <c r="B58" s="195" t="s">
        <v>39</v>
      </c>
      <c r="C58" s="195"/>
      <c r="D58" s="195"/>
      <c r="E58" s="109"/>
      <c r="F58" s="110"/>
      <c r="G58" s="111"/>
      <c r="H58" s="112">
        <f>H56+H57</f>
        <v>39.672418835599998</v>
      </c>
      <c r="I58" s="113"/>
      <c r="J58" s="113"/>
      <c r="K58" s="113"/>
      <c r="L58" s="114">
        <f>L56+L57</f>
        <v>49.092937541100014</v>
      </c>
      <c r="M58" s="115"/>
      <c r="N58" s="116">
        <f t="shared" si="13"/>
        <v>9.4205187055000152</v>
      </c>
      <c r="O58" s="117">
        <f t="shared" si="14"/>
        <v>0.23745763384224317</v>
      </c>
    </row>
    <row r="59" spans="1:19" x14ac:dyDescent="0.25">
      <c r="L59" s="72"/>
    </row>
    <row r="60" spans="1:19" x14ac:dyDescent="0.25">
      <c r="B60" s="7" t="s">
        <v>40</v>
      </c>
      <c r="F60" s="125">
        <f>Rates!D85</f>
        <v>9.1700000000000004E-2</v>
      </c>
      <c r="J60" s="125">
        <f>Rates!F85</f>
        <v>9.1700000000000004E-2</v>
      </c>
    </row>
    <row r="62" spans="1:19" x14ac:dyDescent="0.25">
      <c r="A62" s="126"/>
      <c r="B62" s="1" t="s">
        <v>41</v>
      </c>
    </row>
  </sheetData>
  <mergeCells count="11">
    <mergeCell ref="D13:D14"/>
    <mergeCell ref="N13:N14"/>
    <mergeCell ref="O13:O14"/>
    <mergeCell ref="B57:D57"/>
    <mergeCell ref="B58:D58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42:E43 E34:E40 E15:E32 E45:E53">
      <formula1>#REF!</formula1>
    </dataValidation>
    <dataValidation type="list" allowBlank="1" showInputMessage="1" showErrorMessage="1" prompt="Select Charge Unit - monthly, per kWh, per kW" sqref="D42:D43 D34:D40 D15:D32 D45:D53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62"/>
  <sheetViews>
    <sheetView showGridLines="0" zoomScaleNormal="100" workbookViewId="0">
      <selection activeCell="F52" sqref="F52"/>
    </sheetView>
  </sheetViews>
  <sheetFormatPr defaultRowHeight="15" x14ac:dyDescent="0.25"/>
  <cols>
    <col min="1" max="1" width="2.140625" style="1" customWidth="1"/>
    <col min="2" max="2" width="40.140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89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800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Rates!D40</f>
        <v>27.15</v>
      </c>
      <c r="G15" s="20">
        <v>1</v>
      </c>
      <c r="H15" s="21">
        <f>G15*F15</f>
        <v>27.15</v>
      </c>
      <c r="I15" s="22"/>
      <c r="J15" s="23">
        <f>Rates!F40</f>
        <v>34.270000000000003</v>
      </c>
      <c r="K15" s="24">
        <v>1</v>
      </c>
      <c r="L15" s="21">
        <f>K15*J15</f>
        <v>34.270000000000003</v>
      </c>
      <c r="M15" s="22"/>
      <c r="N15" s="25">
        <f>L15-H15</f>
        <v>7.1200000000000045</v>
      </c>
      <c r="O15" s="26">
        <f>IF((H15)=0,"",(N15/H15))</f>
        <v>0.26224677716390443</v>
      </c>
    </row>
    <row r="16" spans="2:16" x14ac:dyDescent="0.25">
      <c r="B16" s="16" t="s">
        <v>18</v>
      </c>
      <c r="C16" s="16"/>
      <c r="D16" s="17"/>
      <c r="E16" s="18"/>
      <c r="F16" s="19"/>
      <c r="G16" s="20">
        <v>1</v>
      </c>
      <c r="H16" s="21">
        <f t="shared" ref="H16:H32" si="0">G16*F16</f>
        <v>0</v>
      </c>
      <c r="I16" s="22"/>
      <c r="J16" s="23"/>
      <c r="K16" s="24">
        <v>1</v>
      </c>
      <c r="L16" s="21">
        <f>K16*J16</f>
        <v>0</v>
      </c>
      <c r="M16" s="22"/>
      <c r="N16" s="25">
        <f>L16-H16</f>
        <v>0</v>
      </c>
      <c r="O16" s="26" t="str">
        <f>IF((H16)=0,"",(N16/H16))</f>
        <v/>
      </c>
    </row>
    <row r="17" spans="2:15" ht="45" x14ac:dyDescent="0.25">
      <c r="B17" s="128" t="str">
        <f>Rates!A46</f>
        <v>SME - Net Deferred Revenue Requirement, effective until December 31, 2016</v>
      </c>
      <c r="C17" s="16"/>
      <c r="D17" s="54" t="s">
        <v>67</v>
      </c>
      <c r="E17" s="18"/>
      <c r="F17" s="23">
        <f>Rates!D46</f>
        <v>3.57</v>
      </c>
      <c r="G17" s="20">
        <v>1</v>
      </c>
      <c r="H17" s="21">
        <f t="shared" si="0"/>
        <v>3.57</v>
      </c>
      <c r="I17" s="22"/>
      <c r="J17" s="23">
        <f>Rates!F46</f>
        <v>3.57</v>
      </c>
      <c r="K17" s="24">
        <v>1</v>
      </c>
      <c r="L17" s="21">
        <f t="shared" ref="L17:L32" si="1">K17*J17</f>
        <v>3.57</v>
      </c>
      <c r="M17" s="22"/>
      <c r="N17" s="25">
        <f t="shared" ref="N17:N33" si="2">L17-H17</f>
        <v>0</v>
      </c>
      <c r="O17" s="26">
        <f t="shared" ref="O17:O33" si="3">IF((H17)=0,"",(N17/H17))</f>
        <v>0</v>
      </c>
    </row>
    <row r="18" spans="2:15" x14ac:dyDescent="0.25">
      <c r="B18" s="128"/>
      <c r="C18" s="16"/>
      <c r="D18" s="54"/>
      <c r="E18" s="18"/>
      <c r="F18" s="23"/>
      <c r="G18" s="20"/>
      <c r="H18" s="21">
        <f t="shared" si="0"/>
        <v>0</v>
      </c>
      <c r="I18" s="22"/>
      <c r="J18" s="23"/>
      <c r="K18" s="24"/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45" x14ac:dyDescent="0.25">
      <c r="B19" s="153" t="str">
        <f>Rates!A48</f>
        <v>Rate Rider for Recovery of Stranded Meter Assets (2014) - effective until December 31, 2015</v>
      </c>
      <c r="C19" s="16"/>
      <c r="D19" s="54" t="s">
        <v>67</v>
      </c>
      <c r="E19" s="18"/>
      <c r="F19" s="23">
        <f>Rates!D48</f>
        <v>2.5099999999999998</v>
      </c>
      <c r="G19" s="20">
        <v>1</v>
      </c>
      <c r="H19" s="21">
        <f t="shared" si="0"/>
        <v>2.5099999999999998</v>
      </c>
      <c r="I19" s="22"/>
      <c r="J19" s="23">
        <f>Rates!F48</f>
        <v>0</v>
      </c>
      <c r="K19" s="24">
        <v>1</v>
      </c>
      <c r="L19" s="21">
        <f t="shared" si="1"/>
        <v>0</v>
      </c>
      <c r="M19" s="22"/>
      <c r="N19" s="25">
        <f t="shared" si="2"/>
        <v>-2.5099999999999998</v>
      </c>
      <c r="O19" s="26">
        <f t="shared" si="3"/>
        <v>-1</v>
      </c>
    </row>
    <row r="20" spans="2:15" x14ac:dyDescent="0.25">
      <c r="B20" s="27"/>
      <c r="C20" s="16"/>
      <c r="D20" s="17"/>
      <c r="E20" s="18"/>
      <c r="F20" s="19"/>
      <c r="G20" s="20">
        <v>1</v>
      </c>
      <c r="H20" s="21">
        <f t="shared" si="0"/>
        <v>0</v>
      </c>
      <c r="I20" s="22"/>
      <c r="J20" s="23"/>
      <c r="K20" s="24">
        <v>1</v>
      </c>
      <c r="L20" s="21">
        <f t="shared" si="1"/>
        <v>0</v>
      </c>
      <c r="M20" s="22"/>
      <c r="N20" s="25">
        <f t="shared" si="2"/>
        <v>0</v>
      </c>
      <c r="O20" s="26" t="str">
        <f t="shared" si="3"/>
        <v/>
      </c>
    </row>
    <row r="21" spans="2:15" x14ac:dyDescent="0.25">
      <c r="B21" s="16" t="s">
        <v>19</v>
      </c>
      <c r="C21" s="16"/>
      <c r="D21" s="17" t="s">
        <v>68</v>
      </c>
      <c r="E21" s="18"/>
      <c r="F21" s="19">
        <f>Rates!D41</f>
        <v>0.1462</v>
      </c>
      <c r="G21" s="20">
        <f>$F$10</f>
        <v>800</v>
      </c>
      <c r="H21" s="21">
        <f t="shared" si="0"/>
        <v>116.96</v>
      </c>
      <c r="I21" s="22"/>
      <c r="J21" s="23">
        <f>Rates!F41</f>
        <v>0.14349999999999999</v>
      </c>
      <c r="K21" s="20">
        <f>$F$10</f>
        <v>800</v>
      </c>
      <c r="L21" s="21">
        <f t="shared" si="1"/>
        <v>114.8</v>
      </c>
      <c r="M21" s="22"/>
      <c r="N21" s="25">
        <f t="shared" si="2"/>
        <v>-2.1599999999999966</v>
      </c>
      <c r="O21" s="26">
        <f t="shared" si="3"/>
        <v>-1.8467852257181915E-2</v>
      </c>
    </row>
    <row r="22" spans="2:15" x14ac:dyDescent="0.25">
      <c r="B22" s="16" t="s">
        <v>20</v>
      </c>
      <c r="C22" s="16"/>
      <c r="D22" s="17"/>
      <c r="E22" s="18"/>
      <c r="F22" s="19"/>
      <c r="G22" s="20">
        <f t="shared" ref="G22" si="4">$F$10</f>
        <v>800</v>
      </c>
      <c r="H22" s="21">
        <f t="shared" si="0"/>
        <v>0</v>
      </c>
      <c r="I22" s="22"/>
      <c r="J22" s="23"/>
      <c r="K22" s="20">
        <f t="shared" ref="K22:K32" si="5">$F$10</f>
        <v>800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6" t="s">
        <v>21</v>
      </c>
      <c r="C23" s="16"/>
      <c r="D23" s="17"/>
      <c r="E23" s="18"/>
      <c r="F23" s="19"/>
      <c r="G23" s="20">
        <f>$F$10</f>
        <v>800</v>
      </c>
      <c r="H23" s="21">
        <f t="shared" si="0"/>
        <v>0</v>
      </c>
      <c r="I23" s="22"/>
      <c r="J23" s="23"/>
      <c r="K23" s="20">
        <f t="shared" si="5"/>
        <v>800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 t="s">
        <v>68</v>
      </c>
      <c r="E24" s="18"/>
      <c r="F24" s="23">
        <f>Rates!D42</f>
        <v>0</v>
      </c>
      <c r="G24" s="20">
        <f t="shared" ref="G24:G32" si="6">$F$10</f>
        <v>800</v>
      </c>
      <c r="H24" s="21">
        <f t="shared" si="0"/>
        <v>0</v>
      </c>
      <c r="I24" s="22"/>
      <c r="J24" s="23">
        <f>Rates!F42</f>
        <v>0</v>
      </c>
      <c r="K24" s="20">
        <f t="shared" si="5"/>
        <v>800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x14ac:dyDescent="0.25">
      <c r="B25" s="128"/>
      <c r="C25" s="16"/>
      <c r="D25" s="54" t="s">
        <v>68</v>
      </c>
      <c r="E25" s="18"/>
      <c r="F25" s="23">
        <f>Rates!D43</f>
        <v>0</v>
      </c>
      <c r="G25" s="20">
        <f t="shared" si="6"/>
        <v>800</v>
      </c>
      <c r="H25" s="21">
        <f t="shared" si="0"/>
        <v>0</v>
      </c>
      <c r="I25" s="22"/>
      <c r="J25" s="23">
        <f>Rates!F43</f>
        <v>0</v>
      </c>
      <c r="K25" s="20">
        <f t="shared" si="5"/>
        <v>800</v>
      </c>
      <c r="L25" s="21">
        <f t="shared" si="1"/>
        <v>0</v>
      </c>
      <c r="M25" s="22"/>
      <c r="N25" s="25">
        <f t="shared" si="2"/>
        <v>0</v>
      </c>
      <c r="O25" s="26" t="str">
        <f t="shared" si="3"/>
        <v/>
      </c>
    </row>
    <row r="26" spans="2:15" ht="30" x14ac:dyDescent="0.25">
      <c r="B26" s="128" t="str">
        <f>Rates!A44</f>
        <v>Foregone Revenue Recovery (2015) - effective until December 31, 2015 (2015)</v>
      </c>
      <c r="C26" s="16"/>
      <c r="D26" s="54" t="s">
        <v>68</v>
      </c>
      <c r="E26" s="18"/>
      <c r="F26" s="23">
        <f>Rates!D44</f>
        <v>4.1000000000000003E-3</v>
      </c>
      <c r="G26" s="20"/>
      <c r="H26" s="21"/>
      <c r="I26" s="22"/>
      <c r="J26" s="23">
        <f>Rates!F44</f>
        <v>0</v>
      </c>
      <c r="K26" s="20">
        <f t="shared" si="5"/>
        <v>800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x14ac:dyDescent="0.25">
      <c r="B27" s="128"/>
      <c r="C27" s="16"/>
      <c r="D27" s="54" t="s">
        <v>68</v>
      </c>
      <c r="E27" s="18"/>
      <c r="F27" s="23">
        <f>Rates!D49</f>
        <v>0</v>
      </c>
      <c r="G27" s="20">
        <f t="shared" si="6"/>
        <v>800</v>
      </c>
      <c r="H27" s="21">
        <f t="shared" si="0"/>
        <v>0</v>
      </c>
      <c r="I27" s="22"/>
      <c r="J27" s="23">
        <f>Rates!F49</f>
        <v>0</v>
      </c>
      <c r="K27" s="20">
        <f t="shared" si="5"/>
        <v>800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ht="30" x14ac:dyDescent="0.25">
      <c r="B28" s="128" t="str">
        <f>Rates!A45</f>
        <v>Deferral/Variance Account Disposition - effective until June 30, 2019</v>
      </c>
      <c r="C28" s="16"/>
      <c r="D28" s="54" t="s">
        <v>68</v>
      </c>
      <c r="E28" s="18"/>
      <c r="F28" s="23">
        <f>Rates!D45</f>
        <v>3.0700000000000002E-2</v>
      </c>
      <c r="G28" s="20">
        <f t="shared" si="6"/>
        <v>800</v>
      </c>
      <c r="H28" s="21">
        <f t="shared" si="0"/>
        <v>24.560000000000002</v>
      </c>
      <c r="I28" s="22"/>
      <c r="J28" s="23">
        <f>Rates!F45</f>
        <v>3.0700000000000002E-2</v>
      </c>
      <c r="K28" s="20">
        <f t="shared" si="5"/>
        <v>800</v>
      </c>
      <c r="L28" s="21">
        <f t="shared" si="1"/>
        <v>24.560000000000002</v>
      </c>
      <c r="M28" s="22"/>
      <c r="N28" s="25">
        <f t="shared" si="2"/>
        <v>0</v>
      </c>
      <c r="O28" s="26">
        <f t="shared" si="3"/>
        <v>0</v>
      </c>
    </row>
    <row r="29" spans="2:15" ht="45" x14ac:dyDescent="0.25">
      <c r="B29" s="128" t="str">
        <f>Rates!A71</f>
        <v>Rate Rider for the Disposition of Account 1575 &amp; 1576 - effective until December 31, 2019</v>
      </c>
      <c r="C29" s="16"/>
      <c r="D29" s="54" t="s">
        <v>68</v>
      </c>
      <c r="E29" s="18"/>
      <c r="F29" s="23">
        <f>Rates!D53</f>
        <v>-1.9E-3</v>
      </c>
      <c r="G29" s="20">
        <f t="shared" si="6"/>
        <v>800</v>
      </c>
      <c r="H29" s="21">
        <f t="shared" si="0"/>
        <v>-1.52</v>
      </c>
      <c r="I29" s="22"/>
      <c r="J29" s="23">
        <f>Rates!F53</f>
        <v>-1.9E-3</v>
      </c>
      <c r="K29" s="20">
        <f t="shared" si="5"/>
        <v>800</v>
      </c>
      <c r="L29" s="21">
        <f t="shared" si="1"/>
        <v>-1.52</v>
      </c>
      <c r="M29" s="22"/>
      <c r="N29" s="25">
        <f t="shared" si="2"/>
        <v>0</v>
      </c>
      <c r="O29" s="26">
        <f t="shared" si="3"/>
        <v>0</v>
      </c>
    </row>
    <row r="30" spans="2:15" x14ac:dyDescent="0.25">
      <c r="B30" s="28"/>
      <c r="C30" s="16"/>
      <c r="D30" s="17"/>
      <c r="E30" s="18"/>
      <c r="F30" s="19"/>
      <c r="G30" s="20">
        <f t="shared" si="6"/>
        <v>800</v>
      </c>
      <c r="H30" s="21">
        <f t="shared" si="0"/>
        <v>0</v>
      </c>
      <c r="I30" s="22"/>
      <c r="J30" s="23"/>
      <c r="K30" s="20">
        <f t="shared" si="5"/>
        <v>800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6"/>
        <v>800</v>
      </c>
      <c r="H31" s="21">
        <f t="shared" si="0"/>
        <v>0</v>
      </c>
      <c r="I31" s="22"/>
      <c r="J31" s="23"/>
      <c r="K31" s="20">
        <f t="shared" si="5"/>
        <v>800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x14ac:dyDescent="0.25">
      <c r="B32" s="28"/>
      <c r="C32" s="16"/>
      <c r="D32" s="17"/>
      <c r="E32" s="18"/>
      <c r="F32" s="19"/>
      <c r="G32" s="20">
        <f t="shared" si="6"/>
        <v>800</v>
      </c>
      <c r="H32" s="21">
        <f t="shared" si="0"/>
        <v>0</v>
      </c>
      <c r="I32" s="22"/>
      <c r="J32" s="23"/>
      <c r="K32" s="20">
        <f t="shared" si="5"/>
        <v>800</v>
      </c>
      <c r="L32" s="21">
        <f t="shared" si="1"/>
        <v>0</v>
      </c>
      <c r="M32" s="22"/>
      <c r="N32" s="25">
        <f t="shared" si="2"/>
        <v>0</v>
      </c>
      <c r="O32" s="26" t="str">
        <f t="shared" si="3"/>
        <v/>
      </c>
    </row>
    <row r="33" spans="2:15" s="40" customFormat="1" x14ac:dyDescent="0.25">
      <c r="B33" s="29" t="s">
        <v>22</v>
      </c>
      <c r="C33" s="30"/>
      <c r="D33" s="31"/>
      <c r="E33" s="30"/>
      <c r="F33" s="32"/>
      <c r="G33" s="33"/>
      <c r="H33" s="34">
        <f>SUM(H15:H32)</f>
        <v>173.23</v>
      </c>
      <c r="I33" s="35"/>
      <c r="J33" s="36"/>
      <c r="K33" s="37"/>
      <c r="L33" s="34">
        <f>SUM(L15:L32)</f>
        <v>175.67999999999998</v>
      </c>
      <c r="M33" s="35"/>
      <c r="N33" s="38">
        <f t="shared" si="2"/>
        <v>2.4499999999999886</v>
      </c>
      <c r="O33" s="39">
        <f t="shared" si="3"/>
        <v>1.4143046816371234E-2</v>
      </c>
    </row>
    <row r="34" spans="2:15" ht="38.25" x14ac:dyDescent="0.25">
      <c r="B34" s="41" t="str">
        <f>Rates!A50</f>
        <v>Rate Rider for the Disposition of Deferral/Variance Accounts (2014) - effective until December 31, 2015</v>
      </c>
      <c r="C34" s="16"/>
      <c r="D34" s="54" t="s">
        <v>68</v>
      </c>
      <c r="E34" s="18"/>
      <c r="F34" s="23">
        <f>Rates!D50</f>
        <v>-1.41E-2</v>
      </c>
      <c r="G34" s="20">
        <f>$F$10</f>
        <v>800</v>
      </c>
      <c r="H34" s="21">
        <f>G34*F34</f>
        <v>-11.28</v>
      </c>
      <c r="I34" s="22"/>
      <c r="J34" s="23">
        <f>Rates!F50</f>
        <v>0</v>
      </c>
      <c r="K34" s="20">
        <f>$F$10</f>
        <v>800</v>
      </c>
      <c r="L34" s="21">
        <f>K34*J34</f>
        <v>0</v>
      </c>
      <c r="M34" s="22"/>
      <c r="N34" s="25">
        <f>L34-H34</f>
        <v>11.28</v>
      </c>
      <c r="O34" s="26">
        <f>IF((H34)=0,"",(N34/H34))</f>
        <v>-1</v>
      </c>
    </row>
    <row r="35" spans="2:15" ht="38.25" x14ac:dyDescent="0.25">
      <c r="B35" s="41" t="str">
        <f>Rates!A51</f>
        <v>Rate Rider for the Disposition of Global Adjustment Sub-Account (2014) - effective until December 31, 2015</v>
      </c>
      <c r="C35" s="16"/>
      <c r="D35" s="54" t="s">
        <v>68</v>
      </c>
      <c r="E35" s="18"/>
      <c r="F35" s="23">
        <f>Rates!D51</f>
        <v>2.1899999999999999E-2</v>
      </c>
      <c r="G35" s="20">
        <f t="shared" ref="G35:G38" si="7">$F$10</f>
        <v>800</v>
      </c>
      <c r="H35" s="21">
        <f t="shared" ref="H35:H39" si="8">G35*F35</f>
        <v>17.52</v>
      </c>
      <c r="I35" s="42"/>
      <c r="J35" s="23">
        <v>0</v>
      </c>
      <c r="K35" s="20">
        <f t="shared" ref="K35:K38" si="9">$F$10</f>
        <v>800</v>
      </c>
      <c r="L35" s="21">
        <f t="shared" ref="L35:L39" si="10">K35*J35</f>
        <v>0</v>
      </c>
      <c r="M35" s="43"/>
      <c r="N35" s="25">
        <f t="shared" ref="N35:N39" si="11">L35-H35</f>
        <v>-17.52</v>
      </c>
      <c r="O35" s="26">
        <f t="shared" ref="O35:O39" si="12">IF((H35)=0,"",(N35/H35))</f>
        <v>-1</v>
      </c>
    </row>
    <row r="36" spans="2:15" ht="38.25" x14ac:dyDescent="0.25">
      <c r="B36" s="41" t="str">
        <f>Rates!A42</f>
        <v>Rate Rider for the Disposition of Deferral/Variance Accounts (2016) - effective until December 31, 2016</v>
      </c>
      <c r="C36" s="16"/>
      <c r="D36" s="17" t="s">
        <v>68</v>
      </c>
      <c r="E36" s="18"/>
      <c r="F36" s="19">
        <f>Rates!D42</f>
        <v>0</v>
      </c>
      <c r="G36" s="20">
        <f t="shared" si="7"/>
        <v>800</v>
      </c>
      <c r="H36" s="21">
        <f t="shared" si="8"/>
        <v>0</v>
      </c>
      <c r="I36" s="42"/>
      <c r="J36" s="23">
        <f>Rates!F42</f>
        <v>0</v>
      </c>
      <c r="K36" s="20">
        <f t="shared" si="9"/>
        <v>800</v>
      </c>
      <c r="L36" s="21">
        <f t="shared" si="10"/>
        <v>0</v>
      </c>
      <c r="M36" s="43"/>
      <c r="N36" s="25">
        <f t="shared" si="11"/>
        <v>0</v>
      </c>
      <c r="O36" s="26" t="str">
        <f t="shared" si="12"/>
        <v/>
      </c>
    </row>
    <row r="37" spans="2:15" ht="38.25" x14ac:dyDescent="0.25">
      <c r="B37" s="41" t="str">
        <f>Rates!A43</f>
        <v>Rate Rider for the Disposition of Global Adjustment Sub-Account (2016) - effective until December 31, 2016</v>
      </c>
      <c r="C37" s="16"/>
      <c r="D37" s="17" t="s">
        <v>68</v>
      </c>
      <c r="E37" s="18"/>
      <c r="F37" s="19">
        <f>Rates!D43</f>
        <v>0</v>
      </c>
      <c r="G37" s="20">
        <f t="shared" si="7"/>
        <v>800</v>
      </c>
      <c r="H37" s="21">
        <f t="shared" si="8"/>
        <v>0</v>
      </c>
      <c r="I37" s="42"/>
      <c r="J37" s="23">
        <f>Rates!F43</f>
        <v>0</v>
      </c>
      <c r="K37" s="20">
        <f t="shared" si="9"/>
        <v>800</v>
      </c>
      <c r="L37" s="21">
        <f t="shared" si="10"/>
        <v>0</v>
      </c>
      <c r="M37" s="43"/>
      <c r="N37" s="25">
        <f t="shared" si="11"/>
        <v>0</v>
      </c>
      <c r="O37" s="26" t="str">
        <f t="shared" si="12"/>
        <v/>
      </c>
    </row>
    <row r="38" spans="2:15" x14ac:dyDescent="0.25">
      <c r="B38" s="44" t="s">
        <v>23</v>
      </c>
      <c r="C38" s="16"/>
      <c r="D38" s="17"/>
      <c r="E38" s="18"/>
      <c r="F38" s="19"/>
      <c r="G38" s="20">
        <f t="shared" si="7"/>
        <v>800</v>
      </c>
      <c r="H38" s="21">
        <f>G38*F38</f>
        <v>0</v>
      </c>
      <c r="I38" s="22"/>
      <c r="J38" s="23"/>
      <c r="K38" s="20">
        <f t="shared" si="9"/>
        <v>800</v>
      </c>
      <c r="L38" s="21">
        <f>K38*J38</f>
        <v>0</v>
      </c>
      <c r="M38" s="22"/>
      <c r="N38" s="25">
        <f>L38-H38</f>
        <v>0</v>
      </c>
      <c r="O38" s="26" t="str">
        <f>IF((H38)=0,"",(N38/H38))</f>
        <v/>
      </c>
    </row>
    <row r="39" spans="2:15" x14ac:dyDescent="0.25">
      <c r="B39" s="44" t="s">
        <v>24</v>
      </c>
      <c r="C39" s="16"/>
      <c r="D39" s="17" t="s">
        <v>68</v>
      </c>
      <c r="E39" s="18"/>
      <c r="F39" s="45">
        <f>IF(ISBLANK(D8)=TRUE, 0, IF(D8="TOU", 0.64*$F$50+0.18*$F$51+0.18*$F$52, IF(AND(D8="non-TOU",#REF!&gt; 0),#REF!,#REF!)))</f>
        <v>0.10214000000000001</v>
      </c>
      <c r="G39" s="46">
        <f>$F$10*(1+$F$60)-$F$10</f>
        <v>73.3599999999999</v>
      </c>
      <c r="H39" s="21">
        <f t="shared" si="8"/>
        <v>7.4929903999999903</v>
      </c>
      <c r="I39" s="22"/>
      <c r="J39" s="47">
        <f>0.64*$F$50+0.18*$F$51+0.18*$F$52</f>
        <v>0.10214000000000001</v>
      </c>
      <c r="K39" s="46">
        <f>$F$10*(1+$J$60)-$F$10</f>
        <v>73.3599999999999</v>
      </c>
      <c r="L39" s="21">
        <f t="shared" si="10"/>
        <v>7.4929903999999903</v>
      </c>
      <c r="M39" s="22"/>
      <c r="N39" s="25">
        <f t="shared" si="11"/>
        <v>0</v>
      </c>
      <c r="O39" s="26">
        <f t="shared" si="12"/>
        <v>0</v>
      </c>
    </row>
    <row r="40" spans="2:15" x14ac:dyDescent="0.25">
      <c r="B40" s="44" t="s">
        <v>25</v>
      </c>
      <c r="C40" s="16"/>
      <c r="D40" s="17" t="s">
        <v>67</v>
      </c>
      <c r="E40" s="18"/>
      <c r="F40" s="45">
        <f>Rates!D58</f>
        <v>0.79</v>
      </c>
      <c r="G40" s="20">
        <v>1</v>
      </c>
      <c r="H40" s="21">
        <f>G40*F40</f>
        <v>0.79</v>
      </c>
      <c r="I40" s="22"/>
      <c r="J40" s="45">
        <f>Rates!F58</f>
        <v>0.79</v>
      </c>
      <c r="K40" s="20">
        <v>1</v>
      </c>
      <c r="L40" s="21">
        <f>K40*J40</f>
        <v>0.79</v>
      </c>
      <c r="M40" s="22"/>
      <c r="N40" s="25">
        <f>L40-H40</f>
        <v>0</v>
      </c>
      <c r="O40" s="26"/>
    </row>
    <row r="41" spans="2:15" ht="25.5" x14ac:dyDescent="0.25">
      <c r="B41" s="48" t="s">
        <v>26</v>
      </c>
      <c r="C41" s="49"/>
      <c r="D41" s="49"/>
      <c r="E41" s="49"/>
      <c r="F41" s="50"/>
      <c r="G41" s="51"/>
      <c r="H41" s="52">
        <f>SUM(H34:H40)+H33</f>
        <v>187.75299039999999</v>
      </c>
      <c r="I41" s="35"/>
      <c r="J41" s="51"/>
      <c r="K41" s="53"/>
      <c r="L41" s="52">
        <f>SUM(L34:L40)+L33</f>
        <v>183.96299039999997</v>
      </c>
      <c r="M41" s="35"/>
      <c r="N41" s="38">
        <f t="shared" ref="N41:N58" si="13">L41-H41</f>
        <v>-3.7900000000000205</v>
      </c>
      <c r="O41" s="39">
        <f t="shared" ref="O41:O58" si="14">IF((H41)=0,"",(N41/H41))</f>
        <v>-2.018609659385761E-2</v>
      </c>
    </row>
    <row r="42" spans="2:15" x14ac:dyDescent="0.25">
      <c r="B42" s="22" t="s">
        <v>27</v>
      </c>
      <c r="C42" s="22"/>
      <c r="D42" s="54" t="s">
        <v>68</v>
      </c>
      <c r="E42" s="55"/>
      <c r="F42" s="23">
        <f>Rates!D54</f>
        <v>7.1000000000000004E-3</v>
      </c>
      <c r="G42" s="56">
        <f>F10*(1+F60)</f>
        <v>873.3599999999999</v>
      </c>
      <c r="H42" s="21">
        <f>G42*F42</f>
        <v>6.2008559999999999</v>
      </c>
      <c r="I42" s="22"/>
      <c r="J42" s="23">
        <f>Rates!F54</f>
        <v>7.0000000000000001E-3</v>
      </c>
      <c r="K42" s="57">
        <f>F10*(1+J60)</f>
        <v>873.3599999999999</v>
      </c>
      <c r="L42" s="21">
        <f>K42*J42</f>
        <v>6.1135199999999994</v>
      </c>
      <c r="M42" s="22"/>
      <c r="N42" s="25">
        <f t="shared" si="13"/>
        <v>-8.7336000000000524E-2</v>
      </c>
      <c r="O42" s="26">
        <f t="shared" si="14"/>
        <v>-1.4084507042253606E-2</v>
      </c>
    </row>
    <row r="43" spans="2:15" x14ac:dyDescent="0.25">
      <c r="B43" s="58" t="s">
        <v>28</v>
      </c>
      <c r="C43" s="22"/>
      <c r="D43" s="54" t="s">
        <v>68</v>
      </c>
      <c r="E43" s="55"/>
      <c r="F43" s="23">
        <f>Rates!D55</f>
        <v>5.3E-3</v>
      </c>
      <c r="G43" s="56">
        <f>G42</f>
        <v>873.3599999999999</v>
      </c>
      <c r="H43" s="21">
        <f>G43*F43</f>
        <v>4.6288079999999994</v>
      </c>
      <c r="I43" s="22"/>
      <c r="J43" s="23">
        <f>Rates!F55</f>
        <v>5.1000000000000004E-3</v>
      </c>
      <c r="K43" s="57">
        <f>K42</f>
        <v>873.3599999999999</v>
      </c>
      <c r="L43" s="21">
        <f>K43*J43</f>
        <v>4.4541360000000001</v>
      </c>
      <c r="M43" s="22"/>
      <c r="N43" s="25">
        <f t="shared" si="13"/>
        <v>-0.17467199999999927</v>
      </c>
      <c r="O43" s="26">
        <f t="shared" si="14"/>
        <v>-3.7735849056603619E-2</v>
      </c>
    </row>
    <row r="44" spans="2:15" ht="25.5" x14ac:dyDescent="0.25">
      <c r="B44" s="48" t="s">
        <v>29</v>
      </c>
      <c r="C44" s="30"/>
      <c r="D44" s="30"/>
      <c r="E44" s="30"/>
      <c r="F44" s="59"/>
      <c r="G44" s="51"/>
      <c r="H44" s="52">
        <f>SUM(H41:H43)</f>
        <v>198.58265439999997</v>
      </c>
      <c r="I44" s="60"/>
      <c r="J44" s="61"/>
      <c r="K44" s="62"/>
      <c r="L44" s="52">
        <f>SUM(L41:L43)</f>
        <v>194.53064639999997</v>
      </c>
      <c r="M44" s="60"/>
      <c r="N44" s="38">
        <f t="shared" si="13"/>
        <v>-4.0520080000000007</v>
      </c>
      <c r="O44" s="39">
        <f t="shared" si="14"/>
        <v>-2.0404642148846217E-2</v>
      </c>
    </row>
    <row r="45" spans="2:15" x14ac:dyDescent="0.25">
      <c r="B45" s="63" t="s">
        <v>30</v>
      </c>
      <c r="C45" s="16"/>
      <c r="D45" s="54" t="s">
        <v>68</v>
      </c>
      <c r="E45" s="18"/>
      <c r="F45" s="66">
        <f>Rates!D56</f>
        <v>4.4000000000000003E-3</v>
      </c>
      <c r="G45" s="56">
        <f>G43</f>
        <v>873.3599999999999</v>
      </c>
      <c r="H45" s="65">
        <f t="shared" ref="H45:H52" si="15">G45*F45</f>
        <v>3.842784</v>
      </c>
      <c r="I45" s="22"/>
      <c r="J45" s="66">
        <f>Rates!F56</f>
        <v>4.4000000000000003E-3</v>
      </c>
      <c r="K45" s="57">
        <f>K43</f>
        <v>873.3599999999999</v>
      </c>
      <c r="L45" s="65">
        <f t="shared" ref="L45:L52" si="16">K45*J45</f>
        <v>3.842784</v>
      </c>
      <c r="M45" s="22"/>
      <c r="N45" s="25">
        <f t="shared" si="13"/>
        <v>0</v>
      </c>
      <c r="O45" s="67">
        <f t="shared" si="14"/>
        <v>0</v>
      </c>
    </row>
    <row r="46" spans="2:15" x14ac:dyDescent="0.25">
      <c r="B46" s="63" t="s">
        <v>31</v>
      </c>
      <c r="C46" s="16"/>
      <c r="D46" s="54" t="s">
        <v>68</v>
      </c>
      <c r="E46" s="18"/>
      <c r="F46" s="66">
        <f>Rates!D57</f>
        <v>1.2999999999999999E-3</v>
      </c>
      <c r="G46" s="56">
        <f>G43</f>
        <v>873.3599999999999</v>
      </c>
      <c r="H46" s="65">
        <f t="shared" si="15"/>
        <v>1.1353679999999997</v>
      </c>
      <c r="I46" s="22"/>
      <c r="J46" s="66">
        <f>Rates!F57</f>
        <v>1.2999999999999999E-3</v>
      </c>
      <c r="K46" s="57">
        <f>K43</f>
        <v>873.3599999999999</v>
      </c>
      <c r="L46" s="65">
        <f t="shared" si="16"/>
        <v>1.1353679999999997</v>
      </c>
      <c r="M46" s="22"/>
      <c r="N46" s="25">
        <f t="shared" si="13"/>
        <v>0</v>
      </c>
      <c r="O46" s="67">
        <f t="shared" si="14"/>
        <v>0</v>
      </c>
    </row>
    <row r="47" spans="2:15" x14ac:dyDescent="0.25">
      <c r="B47" s="16" t="s">
        <v>32</v>
      </c>
      <c r="C47" s="16"/>
      <c r="D47" s="17" t="s">
        <v>67</v>
      </c>
      <c r="E47" s="18"/>
      <c r="F47" s="64">
        <f>Rates!D59</f>
        <v>0.25</v>
      </c>
      <c r="G47" s="20">
        <v>1</v>
      </c>
      <c r="H47" s="65">
        <f t="shared" si="15"/>
        <v>0.25</v>
      </c>
      <c r="I47" s="22"/>
      <c r="J47" s="66">
        <f>Rates!F59</f>
        <v>0.25</v>
      </c>
      <c r="K47" s="24">
        <v>1</v>
      </c>
      <c r="L47" s="65">
        <f t="shared" si="16"/>
        <v>0.25</v>
      </c>
      <c r="M47" s="22"/>
      <c r="N47" s="25">
        <f t="shared" si="13"/>
        <v>0</v>
      </c>
      <c r="O47" s="67">
        <f t="shared" si="14"/>
        <v>0</v>
      </c>
    </row>
    <row r="48" spans="2:15" x14ac:dyDescent="0.25">
      <c r="B48" s="16" t="s">
        <v>33</v>
      </c>
      <c r="C48" s="16"/>
      <c r="D48" s="17" t="s">
        <v>68</v>
      </c>
      <c r="E48" s="18"/>
      <c r="F48" s="64">
        <f>Rates!D79</f>
        <v>2E-3</v>
      </c>
      <c r="G48" s="68">
        <f>F10</f>
        <v>800</v>
      </c>
      <c r="H48" s="65">
        <f t="shared" si="15"/>
        <v>1.6</v>
      </c>
      <c r="I48" s="22"/>
      <c r="J48" s="66">
        <f>Rates!F79</f>
        <v>0</v>
      </c>
      <c r="K48" s="69">
        <f>F10</f>
        <v>800</v>
      </c>
      <c r="L48" s="65">
        <f t="shared" si="16"/>
        <v>0</v>
      </c>
      <c r="M48" s="22"/>
      <c r="N48" s="25">
        <f t="shared" si="13"/>
        <v>-1.6</v>
      </c>
      <c r="O48" s="67">
        <f t="shared" si="14"/>
        <v>-1</v>
      </c>
    </row>
    <row r="49" spans="1:19" x14ac:dyDescent="0.25">
      <c r="B49" s="16" t="s">
        <v>115</v>
      </c>
      <c r="C49" s="16"/>
      <c r="D49" s="17" t="s">
        <v>68</v>
      </c>
      <c r="E49" s="18"/>
      <c r="F49" s="64"/>
      <c r="G49" s="68"/>
      <c r="H49" s="65"/>
      <c r="I49" s="22"/>
      <c r="J49" s="66">
        <f>Rates!F80</f>
        <v>1.1000000000000001E-3</v>
      </c>
      <c r="K49" s="69">
        <f>F10</f>
        <v>800</v>
      </c>
      <c r="L49" s="65">
        <f t="shared" ref="L49" si="17">K49*J49</f>
        <v>0.88</v>
      </c>
      <c r="M49" s="22"/>
      <c r="N49" s="25">
        <f t="shared" ref="N49" si="18">L49-H49</f>
        <v>0.88</v>
      </c>
      <c r="O49" s="67" t="str">
        <f t="shared" ref="O49" si="19">IF((H49)=0,"",(N49/H49))</f>
        <v/>
      </c>
    </row>
    <row r="50" spans="1:19" x14ac:dyDescent="0.25">
      <c r="B50" s="44" t="s">
        <v>34</v>
      </c>
      <c r="C50" s="16"/>
      <c r="D50" s="17" t="s">
        <v>68</v>
      </c>
      <c r="E50" s="18"/>
      <c r="F50" s="70">
        <f>Rates!D88</f>
        <v>0.08</v>
      </c>
      <c r="G50" s="71">
        <f>0.64*$F$10</f>
        <v>512</v>
      </c>
      <c r="H50" s="65">
        <f t="shared" si="15"/>
        <v>40.96</v>
      </c>
      <c r="I50" s="22"/>
      <c r="J50" s="64">
        <f>Rates!F88</f>
        <v>0.08</v>
      </c>
      <c r="K50" s="71">
        <f>G50</f>
        <v>512</v>
      </c>
      <c r="L50" s="65">
        <f t="shared" si="16"/>
        <v>40.96</v>
      </c>
      <c r="M50" s="22"/>
      <c r="N50" s="25">
        <f t="shared" si="13"/>
        <v>0</v>
      </c>
      <c r="O50" s="67">
        <f t="shared" si="14"/>
        <v>0</v>
      </c>
      <c r="S50" s="72"/>
    </row>
    <row r="51" spans="1:19" x14ac:dyDescent="0.25">
      <c r="B51" s="44" t="s">
        <v>35</v>
      </c>
      <c r="C51" s="16"/>
      <c r="D51" s="17" t="s">
        <v>68</v>
      </c>
      <c r="E51" s="18"/>
      <c r="F51" s="70">
        <f>Rates!D89</f>
        <v>0.122</v>
      </c>
      <c r="G51" s="71">
        <f>0.18*$F$10</f>
        <v>144</v>
      </c>
      <c r="H51" s="65">
        <f t="shared" si="15"/>
        <v>17.567999999999998</v>
      </c>
      <c r="I51" s="22"/>
      <c r="J51" s="64">
        <f>Rates!F89</f>
        <v>0.122</v>
      </c>
      <c r="K51" s="71">
        <f>G51</f>
        <v>144</v>
      </c>
      <c r="L51" s="65">
        <f t="shared" si="16"/>
        <v>17.567999999999998</v>
      </c>
      <c r="M51" s="22"/>
      <c r="N51" s="25">
        <f t="shared" si="13"/>
        <v>0</v>
      </c>
      <c r="O51" s="67">
        <f t="shared" si="14"/>
        <v>0</v>
      </c>
      <c r="S51" s="72"/>
    </row>
    <row r="52" spans="1:19" ht="15.75" thickBot="1" x14ac:dyDescent="0.3">
      <c r="B52" s="6" t="s">
        <v>36</v>
      </c>
      <c r="C52" s="16"/>
      <c r="D52" s="17" t="s">
        <v>68</v>
      </c>
      <c r="E52" s="18"/>
      <c r="F52" s="70">
        <f>Rates!D90</f>
        <v>0.161</v>
      </c>
      <c r="G52" s="71">
        <f>0.18*$F$10</f>
        <v>144</v>
      </c>
      <c r="H52" s="65">
        <f t="shared" si="15"/>
        <v>23.184000000000001</v>
      </c>
      <c r="I52" s="22"/>
      <c r="J52" s="64">
        <f>Rates!F90</f>
        <v>0.161</v>
      </c>
      <c r="K52" s="71">
        <f>G52</f>
        <v>144</v>
      </c>
      <c r="L52" s="65">
        <f t="shared" si="16"/>
        <v>23.184000000000001</v>
      </c>
      <c r="M52" s="22"/>
      <c r="N52" s="25">
        <f t="shared" si="13"/>
        <v>0</v>
      </c>
      <c r="O52" s="67">
        <f t="shared" si="14"/>
        <v>0</v>
      </c>
      <c r="S52" s="72"/>
    </row>
    <row r="53" spans="1:19" ht="15.75" thickBot="1" x14ac:dyDescent="0.3">
      <c r="B53" s="74"/>
      <c r="C53" s="75"/>
      <c r="D53" s="76"/>
      <c r="E53" s="75"/>
      <c r="F53" s="77"/>
      <c r="G53" s="78"/>
      <c r="H53" s="79"/>
      <c r="I53" s="80"/>
      <c r="J53" s="77"/>
      <c r="K53" s="81"/>
      <c r="L53" s="79"/>
      <c r="M53" s="80"/>
      <c r="N53" s="82"/>
      <c r="O53" s="83"/>
    </row>
    <row r="54" spans="1:19" x14ac:dyDescent="0.25">
      <c r="B54" s="84" t="s">
        <v>37</v>
      </c>
      <c r="C54" s="16"/>
      <c r="D54" s="16"/>
      <c r="E54" s="16"/>
      <c r="F54" s="85"/>
      <c r="G54" s="86"/>
      <c r="H54" s="87">
        <f>SUM(H45:H52,H44)</f>
        <v>287.12280639999994</v>
      </c>
      <c r="I54" s="88"/>
      <c r="J54" s="89"/>
      <c r="K54" s="89"/>
      <c r="L54" s="127">
        <f>SUM(L45:L52,L44)</f>
        <v>282.35079839999997</v>
      </c>
      <c r="M54" s="90"/>
      <c r="N54" s="91">
        <f t="shared" ref="N54" si="20">L54-H54</f>
        <v>-4.7720079999999712</v>
      </c>
      <c r="O54" s="92">
        <f t="shared" ref="O54" si="21">IF((H54)=0,"",(N54/H54))</f>
        <v>-1.6620093888856515E-2</v>
      </c>
      <c r="S54" s="72"/>
    </row>
    <row r="55" spans="1:19" x14ac:dyDescent="0.25">
      <c r="B55" s="93" t="s">
        <v>38</v>
      </c>
      <c r="C55" s="16"/>
      <c r="D55" s="16"/>
      <c r="E55" s="16"/>
      <c r="F55" s="94">
        <v>0.13</v>
      </c>
      <c r="G55" s="95"/>
      <c r="H55" s="96">
        <f>H54*F55</f>
        <v>37.325964831999997</v>
      </c>
      <c r="I55" s="97"/>
      <c r="J55" s="98">
        <v>0.13</v>
      </c>
      <c r="K55" s="97"/>
      <c r="L55" s="99">
        <f>L54*J55</f>
        <v>36.705603791999998</v>
      </c>
      <c r="M55" s="100"/>
      <c r="N55" s="101">
        <f t="shared" si="13"/>
        <v>-0.62036103999999881</v>
      </c>
      <c r="O55" s="102">
        <f t="shared" si="14"/>
        <v>-1.6620093888856581E-2</v>
      </c>
      <c r="S55" s="72"/>
    </row>
    <row r="56" spans="1:19" x14ac:dyDescent="0.25">
      <c r="B56" s="103" t="s">
        <v>42</v>
      </c>
      <c r="C56" s="16"/>
      <c r="D56" s="16"/>
      <c r="E56" s="16"/>
      <c r="F56" s="104"/>
      <c r="G56" s="95"/>
      <c r="H56" s="96">
        <f>H54+H55</f>
        <v>324.44877123199996</v>
      </c>
      <c r="I56" s="97"/>
      <c r="J56" s="97"/>
      <c r="K56" s="97"/>
      <c r="L56" s="99">
        <f>L54+L55</f>
        <v>319.05640219199995</v>
      </c>
      <c r="M56" s="100"/>
      <c r="N56" s="101">
        <f t="shared" si="13"/>
        <v>-5.3923690400000055</v>
      </c>
      <c r="O56" s="102">
        <f t="shared" si="14"/>
        <v>-1.662009388885663E-2</v>
      </c>
      <c r="S56" s="72"/>
    </row>
    <row r="57" spans="1:19" x14ac:dyDescent="0.25">
      <c r="B57" s="194" t="s">
        <v>43</v>
      </c>
      <c r="C57" s="194"/>
      <c r="D57" s="194"/>
      <c r="E57" s="16"/>
      <c r="F57" s="104"/>
      <c r="G57" s="95"/>
      <c r="H57" s="105">
        <f>ROUND(-H56*10%,2)</f>
        <v>-32.44</v>
      </c>
      <c r="I57" s="97"/>
      <c r="J57" s="97"/>
      <c r="K57" s="97"/>
      <c r="L57" s="106">
        <v>0</v>
      </c>
      <c r="M57" s="100"/>
      <c r="N57" s="107">
        <f t="shared" si="13"/>
        <v>32.44</v>
      </c>
      <c r="O57" s="108">
        <f t="shared" si="14"/>
        <v>-1</v>
      </c>
    </row>
    <row r="58" spans="1:19" x14ac:dyDescent="0.25">
      <c r="B58" s="195" t="s">
        <v>39</v>
      </c>
      <c r="C58" s="195"/>
      <c r="D58" s="195"/>
      <c r="E58" s="109"/>
      <c r="F58" s="110"/>
      <c r="G58" s="111"/>
      <c r="H58" s="112">
        <f>H56+H57</f>
        <v>292.00877123199996</v>
      </c>
      <c r="I58" s="113"/>
      <c r="J58" s="113"/>
      <c r="K58" s="113"/>
      <c r="L58" s="114">
        <f>L56+L57</f>
        <v>319.05640219199995</v>
      </c>
      <c r="M58" s="115"/>
      <c r="N58" s="116">
        <f t="shared" si="13"/>
        <v>27.047630959999992</v>
      </c>
      <c r="O58" s="117">
        <f t="shared" si="14"/>
        <v>9.2626090805028399E-2</v>
      </c>
    </row>
    <row r="59" spans="1:19" x14ac:dyDescent="0.25">
      <c r="L59" s="72"/>
    </row>
    <row r="60" spans="1:19" x14ac:dyDescent="0.25">
      <c r="B60" s="7" t="s">
        <v>40</v>
      </c>
      <c r="F60" s="125">
        <f>Rates!D85</f>
        <v>9.1700000000000004E-2</v>
      </c>
      <c r="J60" s="125">
        <f>Rates!F85</f>
        <v>9.1700000000000004E-2</v>
      </c>
    </row>
    <row r="62" spans="1:19" x14ac:dyDescent="0.25">
      <c r="A62" s="126"/>
      <c r="B62" s="1" t="s">
        <v>41</v>
      </c>
    </row>
  </sheetData>
  <mergeCells count="11">
    <mergeCell ref="B2:O2"/>
    <mergeCell ref="B3:O3"/>
    <mergeCell ref="D6:O6"/>
    <mergeCell ref="F12:H12"/>
    <mergeCell ref="J12:L12"/>
    <mergeCell ref="N12:O12"/>
    <mergeCell ref="D13:D14"/>
    <mergeCell ref="N13:N14"/>
    <mergeCell ref="O13:O14"/>
    <mergeCell ref="B57:D57"/>
    <mergeCell ref="B58:D58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42:D43 D34:D40 D15:D32 D45:D53">
      <formula1>"Monthly, per kWh, per kW"</formula1>
    </dataValidation>
    <dataValidation type="list" allowBlank="1" showInputMessage="1" showErrorMessage="1" sqref="E42:E43 E34:E40 E15:E32 E45:E53">
      <formula1>#REF!</formula1>
    </dataValidation>
  </dataValidations>
  <pageMargins left="0.7" right="0.7" top="0.75" bottom="0.75" header="0.3" footer="0.3"/>
  <pageSetup scale="62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58"/>
  <sheetViews>
    <sheetView showGridLines="0" topLeftCell="A40" zoomScaleNormal="100" workbookViewId="0">
      <selection activeCell="B48" sqref="B48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77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19056</v>
      </c>
      <c r="G9" s="7" t="s">
        <v>6</v>
      </c>
      <c r="I9" s="196" t="s">
        <v>71</v>
      </c>
      <c r="J9" s="196"/>
      <c r="K9" s="8">
        <v>62</v>
      </c>
      <c r="L9" s="129" t="s">
        <v>72</v>
      </c>
    </row>
    <row r="10" spans="2:16" x14ac:dyDescent="0.25">
      <c r="B10" s="6"/>
    </row>
    <row r="11" spans="2:16" x14ac:dyDescent="0.25">
      <c r="B11" s="6"/>
      <c r="D11" s="9"/>
      <c r="E11" s="9"/>
      <c r="F11" s="185" t="s">
        <v>7</v>
      </c>
      <c r="G11" s="186"/>
      <c r="H11" s="187"/>
      <c r="J11" s="185" t="s">
        <v>8</v>
      </c>
      <c r="K11" s="186"/>
      <c r="L11" s="187"/>
      <c r="N11" s="185" t="s">
        <v>9</v>
      </c>
      <c r="O11" s="187"/>
    </row>
    <row r="12" spans="2:16" x14ac:dyDescent="0.25">
      <c r="B12" s="6"/>
      <c r="D12" s="188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90" t="s">
        <v>14</v>
      </c>
      <c r="O12" s="192" t="s">
        <v>15</v>
      </c>
    </row>
    <row r="13" spans="2:16" x14ac:dyDescent="0.25">
      <c r="B13" s="6"/>
      <c r="D13" s="189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91"/>
      <c r="O13" s="193"/>
    </row>
    <row r="14" spans="2:16" x14ac:dyDescent="0.25">
      <c r="B14" s="16" t="s">
        <v>17</v>
      </c>
      <c r="C14" s="16"/>
      <c r="D14" s="17" t="s">
        <v>67</v>
      </c>
      <c r="E14" s="18"/>
      <c r="F14" s="19">
        <f>Rates!D62</f>
        <v>1.1000000000000001</v>
      </c>
      <c r="G14" s="20">
        <v>391</v>
      </c>
      <c r="H14" s="21">
        <f>G14*F14</f>
        <v>430.1</v>
      </c>
      <c r="I14" s="22"/>
      <c r="J14" s="23">
        <f>Rates!F62</f>
        <v>1.34</v>
      </c>
      <c r="K14" s="24">
        <v>391</v>
      </c>
      <c r="L14" s="21">
        <f>K14*J14</f>
        <v>523.94000000000005</v>
      </c>
      <c r="M14" s="22"/>
      <c r="N14" s="25">
        <f>L14-H14</f>
        <v>93.840000000000032</v>
      </c>
      <c r="O14" s="26">
        <f>IF((H14)=0,"",(N14/H14))</f>
        <v>0.21818181818181825</v>
      </c>
    </row>
    <row r="15" spans="2:16" x14ac:dyDescent="0.25">
      <c r="B15" s="16"/>
      <c r="C15" s="16"/>
      <c r="D15" s="17"/>
      <c r="E15" s="18"/>
      <c r="F15" s="19"/>
      <c r="G15" s="20">
        <v>1</v>
      </c>
      <c r="H15" s="21">
        <f t="shared" ref="H15:H31" si="0">G15*F15</f>
        <v>0</v>
      </c>
      <c r="I15" s="22"/>
      <c r="J15" s="23"/>
      <c r="K15" s="24">
        <v>1</v>
      </c>
      <c r="L15" s="21">
        <f>K15*J15</f>
        <v>0</v>
      </c>
      <c r="M15" s="22"/>
      <c r="N15" s="25">
        <f>L15-H15</f>
        <v>0</v>
      </c>
      <c r="O15" s="26" t="str">
        <f>IF((H15)=0,"",(N15/H15))</f>
        <v/>
      </c>
    </row>
    <row r="16" spans="2:16" x14ac:dyDescent="0.25">
      <c r="B16" s="27"/>
      <c r="C16" s="16"/>
      <c r="D16" s="17"/>
      <c r="E16" s="18"/>
      <c r="F16" s="19"/>
      <c r="G16" s="20">
        <v>1</v>
      </c>
      <c r="H16" s="21">
        <f t="shared" si="0"/>
        <v>0</v>
      </c>
      <c r="I16" s="22"/>
      <c r="J16" s="23"/>
      <c r="K16" s="24">
        <v>1</v>
      </c>
      <c r="L16" s="21">
        <f t="shared" ref="L16:L31" si="1">K16*J16</f>
        <v>0</v>
      </c>
      <c r="M16" s="22"/>
      <c r="N16" s="25">
        <f t="shared" ref="N16:N32" si="2">L16-H16</f>
        <v>0</v>
      </c>
      <c r="O16" s="26" t="str">
        <f t="shared" ref="O16:O32" si="3">IF((H16)=0,"",(N16/H16))</f>
        <v/>
      </c>
    </row>
    <row r="17" spans="2:15" x14ac:dyDescent="0.25">
      <c r="B17" s="27"/>
      <c r="C17" s="16"/>
      <c r="D17" s="17"/>
      <c r="E17" s="18"/>
      <c r="F17" s="19"/>
      <c r="G17" s="20">
        <v>1</v>
      </c>
      <c r="H17" s="21">
        <f t="shared" si="0"/>
        <v>0</v>
      </c>
      <c r="I17" s="22"/>
      <c r="J17" s="23"/>
      <c r="K17" s="24">
        <v>1</v>
      </c>
      <c r="L17" s="21">
        <f t="shared" si="1"/>
        <v>0</v>
      </c>
      <c r="M17" s="22"/>
      <c r="N17" s="25">
        <f t="shared" si="2"/>
        <v>0</v>
      </c>
      <c r="O17" s="26" t="str">
        <f t="shared" si="3"/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27"/>
      <c r="C19" s="16"/>
      <c r="D19" s="17"/>
      <c r="E19" s="18"/>
      <c r="F19" s="19"/>
      <c r="G19" s="20">
        <v>1</v>
      </c>
      <c r="H19" s="21">
        <f t="shared" si="0"/>
        <v>0</v>
      </c>
      <c r="I19" s="22"/>
      <c r="J19" s="23"/>
      <c r="K19" s="24">
        <v>1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x14ac:dyDescent="0.25">
      <c r="B20" s="16" t="s">
        <v>19</v>
      </c>
      <c r="C20" s="16"/>
      <c r="D20" s="17" t="s">
        <v>68</v>
      </c>
      <c r="E20" s="18"/>
      <c r="F20" s="19">
        <f>Rates!D63</f>
        <v>0.1767</v>
      </c>
      <c r="G20" s="130">
        <f>$F$9</f>
        <v>19056</v>
      </c>
      <c r="H20" s="21">
        <f t="shared" si="0"/>
        <v>3367.1952000000001</v>
      </c>
      <c r="I20" s="22"/>
      <c r="J20" s="23">
        <f>Rates!F63</f>
        <v>0.21640000000000001</v>
      </c>
      <c r="K20" s="130">
        <f>$F$9</f>
        <v>19056</v>
      </c>
      <c r="L20" s="21">
        <f t="shared" si="1"/>
        <v>4123.7183999999997</v>
      </c>
      <c r="M20" s="22"/>
      <c r="N20" s="25">
        <f t="shared" si="2"/>
        <v>756.52319999999963</v>
      </c>
      <c r="O20" s="26">
        <f t="shared" si="3"/>
        <v>0.22467458970005647</v>
      </c>
    </row>
    <row r="21" spans="2:15" x14ac:dyDescent="0.25">
      <c r="B21" s="16"/>
      <c r="C21" s="16"/>
      <c r="D21" s="17"/>
      <c r="E21" s="18"/>
      <c r="F21" s="19"/>
      <c r="G21" s="20">
        <f t="shared" ref="G21:G37" si="4">$K$9</f>
        <v>62</v>
      </c>
      <c r="H21" s="21">
        <f t="shared" si="0"/>
        <v>0</v>
      </c>
      <c r="I21" s="22"/>
      <c r="J21" s="23"/>
      <c r="K21" s="20">
        <f t="shared" ref="K21:K37" si="5">$K$9</f>
        <v>62</v>
      </c>
      <c r="L21" s="21">
        <f t="shared" si="1"/>
        <v>0</v>
      </c>
      <c r="M21" s="22"/>
      <c r="N21" s="25">
        <f t="shared" si="2"/>
        <v>0</v>
      </c>
      <c r="O21" s="26" t="str">
        <f t="shared" si="3"/>
        <v/>
      </c>
    </row>
    <row r="22" spans="2:15" x14ac:dyDescent="0.25">
      <c r="B22" s="16" t="s">
        <v>21</v>
      </c>
      <c r="C22" s="16"/>
      <c r="D22" s="17"/>
      <c r="E22" s="18"/>
      <c r="F22" s="19"/>
      <c r="G22" s="20">
        <f t="shared" si="4"/>
        <v>62</v>
      </c>
      <c r="H22" s="21">
        <f t="shared" si="0"/>
        <v>0</v>
      </c>
      <c r="I22" s="22"/>
      <c r="J22" s="23"/>
      <c r="K22" s="20">
        <f t="shared" si="5"/>
        <v>62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28"/>
      <c r="C23" s="16"/>
      <c r="D23" s="54"/>
      <c r="E23" s="18"/>
      <c r="F23" s="23"/>
      <c r="G23" s="130">
        <f>$F$9</f>
        <v>19056</v>
      </c>
      <c r="H23" s="21">
        <f t="shared" si="0"/>
        <v>0</v>
      </c>
      <c r="I23" s="22"/>
      <c r="J23" s="23"/>
      <c r="K23" s="130">
        <f>$F$9</f>
        <v>19056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/>
      <c r="E24" s="18"/>
      <c r="F24" s="23"/>
      <c r="G24" s="130">
        <f>$F$9</f>
        <v>19056</v>
      </c>
      <c r="H24" s="21">
        <f t="shared" ref="H24:H25" si="6">G24*F24</f>
        <v>0</v>
      </c>
      <c r="I24" s="22"/>
      <c r="J24" s="23"/>
      <c r="K24" s="130">
        <f>$F$9</f>
        <v>19056</v>
      </c>
      <c r="L24" s="21">
        <f t="shared" ref="L24" si="7">K24*J24</f>
        <v>0</v>
      </c>
      <c r="M24" s="22"/>
      <c r="N24" s="25">
        <f t="shared" ref="N24" si="8">L24-H24</f>
        <v>0</v>
      </c>
      <c r="O24" s="26" t="str">
        <f t="shared" ref="O24" si="9">IF((H24)=0,"",(N24/H24))</f>
        <v/>
      </c>
    </row>
    <row r="25" spans="2:15" ht="30" x14ac:dyDescent="0.25">
      <c r="B25" s="128" t="str">
        <f>Rates!A66</f>
        <v>Foregone Revenue Recovery (2015) - effective until December 31, 2015 (2015)</v>
      </c>
      <c r="C25" s="16"/>
      <c r="D25" s="54" t="s">
        <v>68</v>
      </c>
      <c r="E25" s="18"/>
      <c r="F25" s="23">
        <f>Rates!D66</f>
        <v>1.9E-3</v>
      </c>
      <c r="G25" s="130">
        <f>$F$9</f>
        <v>19056</v>
      </c>
      <c r="H25" s="21">
        <f t="shared" si="6"/>
        <v>36.206400000000002</v>
      </c>
      <c r="I25" s="22"/>
      <c r="J25" s="23">
        <f>Rates!F66</f>
        <v>0</v>
      </c>
      <c r="K25" s="130">
        <f>$F$9</f>
        <v>19056</v>
      </c>
      <c r="L25" s="21">
        <f t="shared" ref="L25" si="10">K25*J25</f>
        <v>0</v>
      </c>
      <c r="M25" s="22"/>
      <c r="N25" s="25">
        <f t="shared" ref="N25" si="11">L25-H25</f>
        <v>-36.206400000000002</v>
      </c>
      <c r="O25" s="26">
        <f t="shared" ref="O25" si="12">IF((H25)=0,"",(N25/H25))</f>
        <v>-1</v>
      </c>
    </row>
    <row r="26" spans="2:15" x14ac:dyDescent="0.25">
      <c r="B26" s="128"/>
      <c r="C26" s="16"/>
      <c r="D26" s="54" t="s">
        <v>68</v>
      </c>
      <c r="E26" s="18"/>
      <c r="F26" s="23"/>
      <c r="G26" s="130">
        <f>$F$9</f>
        <v>19056</v>
      </c>
      <c r="H26" s="21">
        <f t="shared" si="0"/>
        <v>0</v>
      </c>
      <c r="I26" s="22"/>
      <c r="J26" s="23"/>
      <c r="K26" s="130">
        <f>$F$9</f>
        <v>19056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ht="45" x14ac:dyDescent="0.25">
      <c r="B27" s="128" t="str">
        <f>Rates!A71</f>
        <v>Rate Rider for the Disposition of Account 1575 &amp; 1576 - effective until December 31, 2019</v>
      </c>
      <c r="C27" s="16"/>
      <c r="D27" s="54" t="s">
        <v>68</v>
      </c>
      <c r="E27" s="18"/>
      <c r="F27" s="23">
        <f>Rates!D71</f>
        <v>-1.9E-3</v>
      </c>
      <c r="G27" s="130">
        <f>$F$9</f>
        <v>19056</v>
      </c>
      <c r="H27" s="21">
        <f t="shared" si="0"/>
        <v>-36.206400000000002</v>
      </c>
      <c r="I27" s="22"/>
      <c r="J27" s="23">
        <f>Rates!F71</f>
        <v>-1.9E-3</v>
      </c>
      <c r="K27" s="130">
        <f>$F$9</f>
        <v>19056</v>
      </c>
      <c r="L27" s="21">
        <f t="shared" si="1"/>
        <v>-36.206400000000002</v>
      </c>
      <c r="M27" s="22"/>
      <c r="N27" s="25">
        <f t="shared" si="2"/>
        <v>0</v>
      </c>
      <c r="O27" s="26">
        <f t="shared" si="3"/>
        <v>0</v>
      </c>
    </row>
    <row r="28" spans="2:15" x14ac:dyDescent="0.25">
      <c r="B28" s="28"/>
      <c r="C28" s="16"/>
      <c r="D28" s="17"/>
      <c r="E28" s="18"/>
      <c r="F28" s="19"/>
      <c r="G28" s="20">
        <f t="shared" si="4"/>
        <v>62</v>
      </c>
      <c r="H28" s="21">
        <f t="shared" si="0"/>
        <v>0</v>
      </c>
      <c r="I28" s="22"/>
      <c r="J28" s="23"/>
      <c r="K28" s="20">
        <f t="shared" si="5"/>
        <v>62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4"/>
        <v>62</v>
      </c>
      <c r="H29" s="21">
        <f t="shared" si="0"/>
        <v>0</v>
      </c>
      <c r="I29" s="22"/>
      <c r="J29" s="23"/>
      <c r="K29" s="20">
        <f t="shared" si="5"/>
        <v>62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x14ac:dyDescent="0.25">
      <c r="B30" s="28"/>
      <c r="C30" s="16"/>
      <c r="D30" s="17"/>
      <c r="E30" s="18"/>
      <c r="F30" s="19"/>
      <c r="G30" s="20">
        <f t="shared" si="4"/>
        <v>62</v>
      </c>
      <c r="H30" s="21">
        <f t="shared" si="0"/>
        <v>0</v>
      </c>
      <c r="I30" s="22"/>
      <c r="J30" s="23"/>
      <c r="K30" s="20">
        <f t="shared" si="5"/>
        <v>62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4"/>
        <v>62</v>
      </c>
      <c r="H31" s="21">
        <f t="shared" si="0"/>
        <v>0</v>
      </c>
      <c r="I31" s="22"/>
      <c r="J31" s="23"/>
      <c r="K31" s="20">
        <f t="shared" si="5"/>
        <v>62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s="40" customFormat="1" x14ac:dyDescent="0.25">
      <c r="B32" s="29" t="s">
        <v>22</v>
      </c>
      <c r="C32" s="30"/>
      <c r="D32" s="31"/>
      <c r="E32" s="30"/>
      <c r="F32" s="32"/>
      <c r="G32" s="33"/>
      <c r="H32" s="34">
        <f>SUM(H14:H31)</f>
        <v>3797.2952</v>
      </c>
      <c r="I32" s="35"/>
      <c r="J32" s="36"/>
      <c r="K32" s="37"/>
      <c r="L32" s="34">
        <f>SUM(L14:L31)</f>
        <v>4611.4520000000002</v>
      </c>
      <c r="M32" s="35"/>
      <c r="N32" s="38">
        <f t="shared" si="2"/>
        <v>814.1568000000002</v>
      </c>
      <c r="O32" s="39">
        <f t="shared" si="3"/>
        <v>0.21440440026890725</v>
      </c>
    </row>
    <row r="33" spans="2:15" ht="38.25" x14ac:dyDescent="0.25">
      <c r="B33" s="41" t="str">
        <f>Rates!A68</f>
        <v>Rate Rider for the Disposition of Deferral/Variance Accounts (2014) - effective until December 31, 2015</v>
      </c>
      <c r="C33" s="16"/>
      <c r="D33" s="54" t="s">
        <v>68</v>
      </c>
      <c r="E33" s="18"/>
      <c r="F33" s="23">
        <f>Rates!D68</f>
        <v>-1.41E-2</v>
      </c>
      <c r="G33" s="130">
        <f>$F$9</f>
        <v>19056</v>
      </c>
      <c r="H33" s="21">
        <f>G33*F33</f>
        <v>-268.68959999999998</v>
      </c>
      <c r="I33" s="22"/>
      <c r="J33" s="23">
        <f>Rates!F68</f>
        <v>0</v>
      </c>
      <c r="K33" s="130">
        <f>$F$9</f>
        <v>19056</v>
      </c>
      <c r="L33" s="21">
        <f>K33*J33</f>
        <v>0</v>
      </c>
      <c r="M33" s="22"/>
      <c r="N33" s="25">
        <f>L33-H33</f>
        <v>268.68959999999998</v>
      </c>
      <c r="O33" s="26">
        <f>IF((H33)=0,"",(N33/H33))</f>
        <v>-1</v>
      </c>
    </row>
    <row r="34" spans="2:15" ht="38.25" x14ac:dyDescent="0.25">
      <c r="B34" s="41" t="str">
        <f>Rates!A69</f>
        <v>Rate Rider for the Disposition of Global Adjustment Sub-Account (2014) - effective until December 31, 2015</v>
      </c>
      <c r="C34" s="16"/>
      <c r="D34" s="54" t="s">
        <v>68</v>
      </c>
      <c r="E34" s="18"/>
      <c r="F34" s="19">
        <f>Rates!D69</f>
        <v>2.1899999999999999E-2</v>
      </c>
      <c r="G34" s="130">
        <f>$F$9</f>
        <v>19056</v>
      </c>
      <c r="H34" s="21">
        <f t="shared" ref="H34:H38" si="13">G34*F34</f>
        <v>417.32639999999998</v>
      </c>
      <c r="I34" s="42"/>
      <c r="J34" s="23">
        <f>Rates!F69</f>
        <v>0</v>
      </c>
      <c r="K34" s="130">
        <f>$F$9</f>
        <v>19056</v>
      </c>
      <c r="L34" s="21">
        <f t="shared" ref="L34:L38" si="14">K34*J34</f>
        <v>0</v>
      </c>
      <c r="M34" s="43"/>
      <c r="N34" s="25">
        <f t="shared" ref="N34:N38" si="15">L34-H34</f>
        <v>-417.32639999999998</v>
      </c>
      <c r="O34" s="26">
        <f t="shared" ref="O34:O38" si="16">IF((H34)=0,"",(N34/H34))</f>
        <v>-1</v>
      </c>
    </row>
    <row r="35" spans="2:15" ht="38.25" x14ac:dyDescent="0.25">
      <c r="B35" s="41" t="str">
        <f>Rates!A64</f>
        <v>Rate Rider for the Disposition of Deferral/Variance Accounts (2016) - effective until December 31, 2016</v>
      </c>
      <c r="C35" s="16"/>
      <c r="D35" s="17"/>
      <c r="E35" s="18"/>
      <c r="F35" s="19">
        <f>Rates!D64</f>
        <v>0</v>
      </c>
      <c r="G35" s="20">
        <f t="shared" si="4"/>
        <v>62</v>
      </c>
      <c r="H35" s="21">
        <f t="shared" si="13"/>
        <v>0</v>
      </c>
      <c r="I35" s="42"/>
      <c r="J35" s="23">
        <f>Rates!F64</f>
        <v>0</v>
      </c>
      <c r="K35" s="20">
        <f t="shared" si="5"/>
        <v>62</v>
      </c>
      <c r="L35" s="21">
        <f t="shared" si="14"/>
        <v>0</v>
      </c>
      <c r="M35" s="43"/>
      <c r="N35" s="25">
        <f t="shared" si="15"/>
        <v>0</v>
      </c>
      <c r="O35" s="26" t="str">
        <f t="shared" si="16"/>
        <v/>
      </c>
    </row>
    <row r="36" spans="2:15" ht="38.25" x14ac:dyDescent="0.25">
      <c r="B36" s="41" t="str">
        <f>Rates!A65</f>
        <v>Rate Rider for the Disposition of Global Adjustment Sub-Account (2016) - effective until December 31, 2016</v>
      </c>
      <c r="C36" s="16"/>
      <c r="D36" s="17"/>
      <c r="E36" s="18"/>
      <c r="F36" s="19">
        <f>Rates!D65</f>
        <v>0</v>
      </c>
      <c r="G36" s="20">
        <f t="shared" si="4"/>
        <v>62</v>
      </c>
      <c r="H36" s="21">
        <f t="shared" si="13"/>
        <v>0</v>
      </c>
      <c r="I36" s="42"/>
      <c r="J36" s="23">
        <f>Rates!F65</f>
        <v>0</v>
      </c>
      <c r="K36" s="20">
        <f t="shared" si="5"/>
        <v>62</v>
      </c>
      <c r="L36" s="21">
        <f t="shared" si="14"/>
        <v>0</v>
      </c>
      <c r="M36" s="43"/>
      <c r="N36" s="25">
        <f t="shared" si="15"/>
        <v>0</v>
      </c>
      <c r="O36" s="26" t="str">
        <f t="shared" si="16"/>
        <v/>
      </c>
    </row>
    <row r="37" spans="2:15" x14ac:dyDescent="0.25">
      <c r="B37" s="44" t="s">
        <v>23</v>
      </c>
      <c r="C37" s="16"/>
      <c r="D37" s="17"/>
      <c r="E37" s="18"/>
      <c r="F37" s="19"/>
      <c r="G37" s="20">
        <f t="shared" si="4"/>
        <v>62</v>
      </c>
      <c r="H37" s="21">
        <f>G37*F37</f>
        <v>0</v>
      </c>
      <c r="I37" s="22"/>
      <c r="J37" s="23"/>
      <c r="K37" s="20">
        <f t="shared" si="5"/>
        <v>62</v>
      </c>
      <c r="L37" s="21">
        <f>K37*J37</f>
        <v>0</v>
      </c>
      <c r="M37" s="22"/>
      <c r="N37" s="25">
        <f>L37-H37</f>
        <v>0</v>
      </c>
      <c r="O37" s="26" t="str">
        <f>IF((H37)=0,"",(N37/H37))</f>
        <v/>
      </c>
    </row>
    <row r="38" spans="2:15" x14ac:dyDescent="0.25">
      <c r="B38" s="44" t="s">
        <v>24</v>
      </c>
      <c r="C38" s="16"/>
      <c r="D38" s="17" t="s">
        <v>68</v>
      </c>
      <c r="E38" s="18"/>
      <c r="F38" s="131">
        <f>Rates!D92</f>
        <v>0.10214000000000001</v>
      </c>
      <c r="G38" s="46">
        <f>$F$9*(1+$F$56)-$F$9</f>
        <v>1747.4351999999963</v>
      </c>
      <c r="H38" s="21">
        <f t="shared" si="13"/>
        <v>178.48303132799964</v>
      </c>
      <c r="I38" s="22"/>
      <c r="J38" s="133">
        <f>Rates!F92</f>
        <v>0.10214000000000001</v>
      </c>
      <c r="K38" s="46">
        <f>$F$9*(1+$J$56)-$F$9</f>
        <v>1747.4351999999963</v>
      </c>
      <c r="L38" s="21">
        <f t="shared" si="14"/>
        <v>178.48303132799964</v>
      </c>
      <c r="M38" s="22"/>
      <c r="N38" s="25">
        <f t="shared" si="15"/>
        <v>0</v>
      </c>
      <c r="O38" s="26">
        <f t="shared" si="16"/>
        <v>0</v>
      </c>
    </row>
    <row r="39" spans="2:15" x14ac:dyDescent="0.25">
      <c r="B39" s="44" t="s">
        <v>25</v>
      </c>
      <c r="C39" s="16"/>
      <c r="D39" s="17" t="s">
        <v>67</v>
      </c>
      <c r="E39" s="18"/>
      <c r="F39" s="45"/>
      <c r="G39" s="20">
        <v>1</v>
      </c>
      <c r="H39" s="21">
        <f>G39*F39</f>
        <v>0</v>
      </c>
      <c r="I39" s="22"/>
      <c r="J39" s="45"/>
      <c r="K39" s="20">
        <v>1</v>
      </c>
      <c r="L39" s="21">
        <f>K39*J39</f>
        <v>0</v>
      </c>
      <c r="M39" s="22"/>
      <c r="N39" s="25">
        <f>L39-H39</f>
        <v>0</v>
      </c>
      <c r="O39" s="26"/>
    </row>
    <row r="40" spans="2:15" ht="25.5" x14ac:dyDescent="0.25">
      <c r="B40" s="48" t="s">
        <v>26</v>
      </c>
      <c r="C40" s="49"/>
      <c r="D40" s="49"/>
      <c r="E40" s="49"/>
      <c r="F40" s="50"/>
      <c r="G40" s="51"/>
      <c r="H40" s="52">
        <f>SUM(H33:H39)+H32</f>
        <v>4124.4150313279997</v>
      </c>
      <c r="I40" s="35"/>
      <c r="J40" s="51"/>
      <c r="K40" s="53"/>
      <c r="L40" s="52">
        <f>SUM(L33:L39)+L32</f>
        <v>4789.9350313280002</v>
      </c>
      <c r="M40" s="35"/>
      <c r="N40" s="38">
        <f t="shared" ref="N40:N53" si="17">L40-H40</f>
        <v>665.52000000000044</v>
      </c>
      <c r="O40" s="39">
        <f t="shared" ref="O40:O53" si="18">IF((H40)=0,"",(N40/H40))</f>
        <v>0.16136106452548568</v>
      </c>
    </row>
    <row r="41" spans="2:15" x14ac:dyDescent="0.25">
      <c r="B41" s="22" t="s">
        <v>27</v>
      </c>
      <c r="C41" s="22"/>
      <c r="D41" s="54" t="s">
        <v>73</v>
      </c>
      <c r="E41" s="55"/>
      <c r="F41" s="23">
        <f>Rates!D72</f>
        <v>1.9898</v>
      </c>
      <c r="G41" s="56">
        <f>K9*(1+F56)</f>
        <v>67.685399999999987</v>
      </c>
      <c r="H41" s="21">
        <f>G41*F41</f>
        <v>134.68040891999996</v>
      </c>
      <c r="I41" s="22"/>
      <c r="J41" s="23">
        <f>Rates!F72</f>
        <v>1.9496</v>
      </c>
      <c r="K41" s="57">
        <f>K9*(1+J56)</f>
        <v>67.685399999999987</v>
      </c>
      <c r="L41" s="21">
        <f>K41*J41</f>
        <v>131.95945583999998</v>
      </c>
      <c r="M41" s="22"/>
      <c r="N41" s="25">
        <f t="shared" si="17"/>
        <v>-2.7209530799999868</v>
      </c>
      <c r="O41" s="26">
        <f t="shared" si="18"/>
        <v>-2.0203035480952768E-2</v>
      </c>
    </row>
    <row r="42" spans="2:15" x14ac:dyDescent="0.25">
      <c r="B42" s="58" t="s">
        <v>28</v>
      </c>
      <c r="C42" s="22"/>
      <c r="D42" s="54" t="s">
        <v>73</v>
      </c>
      <c r="E42" s="55"/>
      <c r="F42" s="23">
        <f>Rates!D73</f>
        <v>1.4332</v>
      </c>
      <c r="G42" s="56">
        <f>G41</f>
        <v>67.685399999999987</v>
      </c>
      <c r="H42" s="21">
        <f>G42*F42</f>
        <v>97.00671527999998</v>
      </c>
      <c r="I42" s="22"/>
      <c r="J42" s="23">
        <f>Rates!F73</f>
        <v>1.3767</v>
      </c>
      <c r="K42" s="57">
        <f>K41</f>
        <v>67.685399999999987</v>
      </c>
      <c r="L42" s="21">
        <f>K42*J42</f>
        <v>93.182490179999988</v>
      </c>
      <c r="M42" s="22"/>
      <c r="N42" s="25">
        <f t="shared" si="17"/>
        <v>-3.8242250999999925</v>
      </c>
      <c r="O42" s="26">
        <f t="shared" si="18"/>
        <v>-3.942227183924079E-2</v>
      </c>
    </row>
    <row r="43" spans="2:15" ht="25.5" x14ac:dyDescent="0.25">
      <c r="B43" s="48" t="s">
        <v>29</v>
      </c>
      <c r="C43" s="30"/>
      <c r="D43" s="30"/>
      <c r="E43" s="30"/>
      <c r="F43" s="59"/>
      <c r="G43" s="51"/>
      <c r="H43" s="52">
        <f>SUM(H40:H42)</f>
        <v>4356.1021555279995</v>
      </c>
      <c r="I43" s="60"/>
      <c r="J43" s="61"/>
      <c r="K43" s="62"/>
      <c r="L43" s="52">
        <f>SUM(L40:L42)</f>
        <v>5015.0769773480006</v>
      </c>
      <c r="M43" s="60"/>
      <c r="N43" s="38">
        <f t="shared" si="17"/>
        <v>658.97482182000113</v>
      </c>
      <c r="O43" s="39">
        <f t="shared" si="18"/>
        <v>0.15127625530630545</v>
      </c>
    </row>
    <row r="44" spans="2:15" x14ac:dyDescent="0.25">
      <c r="B44" s="63" t="s">
        <v>30</v>
      </c>
      <c r="C44" s="16"/>
      <c r="D44" s="54" t="s">
        <v>68</v>
      </c>
      <c r="E44" s="18"/>
      <c r="F44" s="66">
        <f>Rates!D74</f>
        <v>4.4000000000000003E-3</v>
      </c>
      <c r="G44" s="56">
        <f>F9*(1+F56)</f>
        <v>20803.435199999996</v>
      </c>
      <c r="H44" s="65">
        <f t="shared" ref="H44:H49" si="19">G44*F44</f>
        <v>91.535114879999995</v>
      </c>
      <c r="I44" s="22"/>
      <c r="J44" s="66">
        <f>Rates!F74</f>
        <v>4.4000000000000003E-3</v>
      </c>
      <c r="K44" s="57">
        <f>F9*(1+J56)</f>
        <v>20803.435199999996</v>
      </c>
      <c r="L44" s="65">
        <f t="shared" ref="L44:L49" si="20">K44*J44</f>
        <v>91.535114879999995</v>
      </c>
      <c r="M44" s="22"/>
      <c r="N44" s="25">
        <f t="shared" si="17"/>
        <v>0</v>
      </c>
      <c r="O44" s="67">
        <f t="shared" si="18"/>
        <v>0</v>
      </c>
    </row>
    <row r="45" spans="2:15" x14ac:dyDescent="0.25">
      <c r="B45" s="63" t="s">
        <v>31</v>
      </c>
      <c r="C45" s="16"/>
      <c r="D45" s="54" t="s">
        <v>68</v>
      </c>
      <c r="E45" s="18"/>
      <c r="F45" s="66">
        <f>Rates!D75</f>
        <v>1.2999999999999999E-3</v>
      </c>
      <c r="G45" s="56">
        <f>G44</f>
        <v>20803.435199999996</v>
      </c>
      <c r="H45" s="65">
        <f t="shared" si="19"/>
        <v>27.044465759999994</v>
      </c>
      <c r="I45" s="22"/>
      <c r="J45" s="66">
        <f>Rates!F75</f>
        <v>1.2999999999999999E-3</v>
      </c>
      <c r="K45" s="57">
        <f>K44</f>
        <v>20803.435199999996</v>
      </c>
      <c r="L45" s="65">
        <f t="shared" si="20"/>
        <v>27.044465759999994</v>
      </c>
      <c r="M45" s="22"/>
      <c r="N45" s="25">
        <f t="shared" si="17"/>
        <v>0</v>
      </c>
      <c r="O45" s="67">
        <f t="shared" si="18"/>
        <v>0</v>
      </c>
    </row>
    <row r="46" spans="2:15" x14ac:dyDescent="0.25">
      <c r="B46" s="16" t="s">
        <v>32</v>
      </c>
      <c r="C46" s="16"/>
      <c r="D46" s="17" t="s">
        <v>67</v>
      </c>
      <c r="E46" s="18"/>
      <c r="F46" s="64">
        <f>Rates!D76</f>
        <v>0.25</v>
      </c>
      <c r="G46" s="20">
        <v>1</v>
      </c>
      <c r="H46" s="65">
        <f t="shared" si="19"/>
        <v>0.25</v>
      </c>
      <c r="I46" s="22"/>
      <c r="J46" s="66">
        <f>Rates!F76</f>
        <v>0.25</v>
      </c>
      <c r="K46" s="24">
        <v>1</v>
      </c>
      <c r="L46" s="65">
        <f t="shared" si="20"/>
        <v>0.25</v>
      </c>
      <c r="M46" s="22"/>
      <c r="N46" s="25">
        <f t="shared" si="17"/>
        <v>0</v>
      </c>
      <c r="O46" s="67">
        <f t="shared" si="18"/>
        <v>0</v>
      </c>
    </row>
    <row r="47" spans="2:15" x14ac:dyDescent="0.25">
      <c r="B47" s="16" t="s">
        <v>33</v>
      </c>
      <c r="C47" s="16"/>
      <c r="D47" s="17" t="s">
        <v>68</v>
      </c>
      <c r="E47" s="18"/>
      <c r="F47" s="64">
        <f>Rates!D79</f>
        <v>2E-3</v>
      </c>
      <c r="G47" s="68">
        <f>F9</f>
        <v>19056</v>
      </c>
      <c r="H47" s="65">
        <f t="shared" si="19"/>
        <v>38.112000000000002</v>
      </c>
      <c r="I47" s="22"/>
      <c r="J47" s="66">
        <f>Rates!F79</f>
        <v>0</v>
      </c>
      <c r="K47" s="69">
        <f>F9</f>
        <v>19056</v>
      </c>
      <c r="L47" s="65">
        <f t="shared" si="20"/>
        <v>0</v>
      </c>
      <c r="M47" s="22"/>
      <c r="N47" s="25">
        <f t="shared" si="17"/>
        <v>-38.112000000000002</v>
      </c>
      <c r="O47" s="67">
        <f t="shared" si="18"/>
        <v>-1</v>
      </c>
    </row>
    <row r="48" spans="2:15" x14ac:dyDescent="0.25">
      <c r="B48" s="16" t="s">
        <v>115</v>
      </c>
      <c r="C48" s="16"/>
      <c r="D48" s="17" t="s">
        <v>68</v>
      </c>
      <c r="E48" s="18"/>
      <c r="F48" s="64"/>
      <c r="G48" s="68"/>
      <c r="H48" s="65"/>
      <c r="I48" s="22"/>
      <c r="J48" s="66">
        <f>Rates!F80</f>
        <v>1.1000000000000001E-3</v>
      </c>
      <c r="K48" s="69">
        <f>F9</f>
        <v>19056</v>
      </c>
      <c r="L48" s="65">
        <f t="shared" ref="L48" si="21">K48*J48</f>
        <v>20.961600000000001</v>
      </c>
      <c r="M48" s="22"/>
      <c r="N48" s="25">
        <f t="shared" ref="N48" si="22">L48-H48</f>
        <v>20.961600000000001</v>
      </c>
      <c r="O48" s="67" t="str">
        <f t="shared" ref="O48" si="23">IF((H48)=0,"",(N48/H48))</f>
        <v/>
      </c>
    </row>
    <row r="49" spans="1:19" ht="15.75" thickBot="1" x14ac:dyDescent="0.3">
      <c r="B49" s="44" t="s">
        <v>76</v>
      </c>
      <c r="C49" s="16"/>
      <c r="D49" s="17" t="s">
        <v>68</v>
      </c>
      <c r="E49" s="18"/>
      <c r="F49" s="70">
        <f>Rates!D92</f>
        <v>0.10214000000000001</v>
      </c>
      <c r="G49" s="71">
        <f>$F$9</f>
        <v>19056</v>
      </c>
      <c r="H49" s="65">
        <f t="shared" si="19"/>
        <v>1946.3798400000001</v>
      </c>
      <c r="I49" s="22"/>
      <c r="J49" s="64">
        <f>Rates!F92</f>
        <v>0.10214000000000001</v>
      </c>
      <c r="K49" s="71">
        <f>F9</f>
        <v>19056</v>
      </c>
      <c r="L49" s="65">
        <f t="shared" si="20"/>
        <v>1946.3798400000001</v>
      </c>
      <c r="M49" s="22"/>
      <c r="N49" s="25">
        <f t="shared" si="17"/>
        <v>0</v>
      </c>
      <c r="O49" s="67">
        <f t="shared" si="18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85</v>
      </c>
      <c r="C51" s="16"/>
      <c r="D51" s="16"/>
      <c r="E51" s="16"/>
      <c r="F51" s="85"/>
      <c r="G51" s="86"/>
      <c r="H51" s="87">
        <f>SUM(H44:H49,H43)</f>
        <v>6459.4235761679993</v>
      </c>
      <c r="I51" s="88"/>
      <c r="J51" s="89"/>
      <c r="K51" s="89"/>
      <c r="L51" s="127">
        <f>SUM(L44:L49,L43)</f>
        <v>7101.2479979880009</v>
      </c>
      <c r="M51" s="90"/>
      <c r="N51" s="91">
        <f t="shared" ref="N51" si="24">L51-H51</f>
        <v>641.82442182000159</v>
      </c>
      <c r="O51" s="92">
        <f t="shared" ref="O51" si="25">IF((H51)=0,"",(N51/H51))</f>
        <v>9.9362491753599902E-2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839.72506490183991</v>
      </c>
      <c r="I52" s="97"/>
      <c r="J52" s="98">
        <v>0.13</v>
      </c>
      <c r="K52" s="97"/>
      <c r="L52" s="99">
        <f>L51*J52</f>
        <v>923.16223973844012</v>
      </c>
      <c r="M52" s="100"/>
      <c r="N52" s="101">
        <f t="shared" si="17"/>
        <v>83.437174836600207</v>
      </c>
      <c r="O52" s="102">
        <f t="shared" si="18"/>
        <v>9.9362491753599902E-2</v>
      </c>
      <c r="S52" s="72"/>
    </row>
    <row r="53" spans="1:19" ht="15.75" thickBot="1" x14ac:dyDescent="0.3">
      <c r="B53" s="103" t="s">
        <v>42</v>
      </c>
      <c r="C53" s="16"/>
      <c r="D53" s="16"/>
      <c r="E53" s="16"/>
      <c r="F53" s="104"/>
      <c r="G53" s="95"/>
      <c r="H53" s="96">
        <f>H51+H52</f>
        <v>7299.148641069839</v>
      </c>
      <c r="I53" s="97"/>
      <c r="J53" s="97"/>
      <c r="K53" s="97"/>
      <c r="L53" s="99">
        <f>L51+L52</f>
        <v>8024.4102377264408</v>
      </c>
      <c r="M53" s="100"/>
      <c r="N53" s="101">
        <f t="shared" si="17"/>
        <v>725.2615966566018</v>
      </c>
      <c r="O53" s="102">
        <f t="shared" si="18"/>
        <v>9.9362491753599902E-2</v>
      </c>
      <c r="S53" s="72"/>
    </row>
    <row r="54" spans="1:19" s="73" customFormat="1" ht="15.75" thickBot="1" x14ac:dyDescent="0.25">
      <c r="B54" s="118"/>
      <c r="C54" s="119"/>
      <c r="D54" s="120"/>
      <c r="E54" s="119"/>
      <c r="F54" s="77"/>
      <c r="G54" s="121"/>
      <c r="H54" s="79"/>
      <c r="I54" s="122"/>
      <c r="J54" s="77"/>
      <c r="K54" s="123"/>
      <c r="L54" s="79"/>
      <c r="M54" s="122"/>
      <c r="N54" s="124"/>
      <c r="O54" s="83"/>
    </row>
    <row r="55" spans="1:19" x14ac:dyDescent="0.25">
      <c r="L55" s="72"/>
    </row>
    <row r="56" spans="1:19" x14ac:dyDescent="0.25">
      <c r="B56" s="7" t="s">
        <v>40</v>
      </c>
      <c r="F56" s="125">
        <f>Rates!D85</f>
        <v>9.1700000000000004E-2</v>
      </c>
      <c r="J56" s="125">
        <f>Rates!F85</f>
        <v>9.1700000000000004E-2</v>
      </c>
    </row>
    <row r="58" spans="1:19" x14ac:dyDescent="0.25">
      <c r="A58" s="126"/>
      <c r="B58" s="1" t="s">
        <v>41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41:D42 D33:D39 D54 D14:D31 D44:D50">
      <formula1>"Monthly, per kWh, per kW"</formula1>
    </dataValidation>
    <dataValidation type="list" allowBlank="1" showInputMessage="1" showErrorMessage="1" sqref="E41:E42 E33:E39 E14:E31 E54 E44:E50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58"/>
  <sheetViews>
    <sheetView showGridLines="0" topLeftCell="A37" zoomScaleNormal="100" workbookViewId="0">
      <selection activeCell="N60" sqref="N60"/>
    </sheetView>
  </sheetViews>
  <sheetFormatPr defaultRowHeight="15" x14ac:dyDescent="0.25"/>
  <cols>
    <col min="1" max="1" width="2.140625" style="1" customWidth="1"/>
    <col min="2" max="2" width="40.855468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77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150</v>
      </c>
      <c r="G9" s="7" t="s">
        <v>6</v>
      </c>
      <c r="I9" s="196" t="s">
        <v>71</v>
      </c>
      <c r="J9" s="196"/>
      <c r="K9" s="8">
        <v>1</v>
      </c>
      <c r="L9" s="129" t="s">
        <v>72</v>
      </c>
    </row>
    <row r="10" spans="2:16" x14ac:dyDescent="0.25">
      <c r="B10" s="6"/>
    </row>
    <row r="11" spans="2:16" x14ac:dyDescent="0.25">
      <c r="B11" s="6"/>
      <c r="D11" s="9"/>
      <c r="E11" s="9"/>
      <c r="F11" s="185" t="s">
        <v>7</v>
      </c>
      <c r="G11" s="186"/>
      <c r="H11" s="187"/>
      <c r="J11" s="185" t="s">
        <v>8</v>
      </c>
      <c r="K11" s="186"/>
      <c r="L11" s="187"/>
      <c r="N11" s="185" t="s">
        <v>9</v>
      </c>
      <c r="O11" s="187"/>
    </row>
    <row r="12" spans="2:16" x14ac:dyDescent="0.25">
      <c r="B12" s="6"/>
      <c r="D12" s="188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90" t="s">
        <v>14</v>
      </c>
      <c r="O12" s="192" t="s">
        <v>15</v>
      </c>
    </row>
    <row r="13" spans="2:16" x14ac:dyDescent="0.25">
      <c r="B13" s="6"/>
      <c r="D13" s="189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91"/>
      <c r="O13" s="193"/>
    </row>
    <row r="14" spans="2:16" x14ac:dyDescent="0.25">
      <c r="B14" s="16" t="s">
        <v>17</v>
      </c>
      <c r="C14" s="16"/>
      <c r="D14" s="17" t="s">
        <v>67</v>
      </c>
      <c r="E14" s="18"/>
      <c r="F14" s="19">
        <f>Rates!D62</f>
        <v>1.1000000000000001</v>
      </c>
      <c r="G14" s="20">
        <v>1</v>
      </c>
      <c r="H14" s="21">
        <f>G14*F14</f>
        <v>1.1000000000000001</v>
      </c>
      <c r="I14" s="22"/>
      <c r="J14" s="23">
        <f>Rates!F62</f>
        <v>1.34</v>
      </c>
      <c r="K14" s="24">
        <v>1</v>
      </c>
      <c r="L14" s="21">
        <f>K14*J14</f>
        <v>1.34</v>
      </c>
      <c r="M14" s="22"/>
      <c r="N14" s="25">
        <f>L14-H14</f>
        <v>0.24</v>
      </c>
      <c r="O14" s="26">
        <f>IF((H14)=0,"",(N14/H14))</f>
        <v>0.21818181818181814</v>
      </c>
    </row>
    <row r="15" spans="2:16" x14ac:dyDescent="0.25">
      <c r="B15" s="16"/>
      <c r="C15" s="16"/>
      <c r="D15" s="17"/>
      <c r="E15" s="18"/>
      <c r="F15" s="19"/>
      <c r="G15" s="20">
        <v>1</v>
      </c>
      <c r="H15" s="21">
        <f t="shared" ref="H15:H31" si="0">G15*F15</f>
        <v>0</v>
      </c>
      <c r="I15" s="22"/>
      <c r="J15" s="23"/>
      <c r="K15" s="24">
        <v>1</v>
      </c>
      <c r="L15" s="21">
        <f>K15*J15</f>
        <v>0</v>
      </c>
      <c r="M15" s="22"/>
      <c r="N15" s="25">
        <f>L15-H15</f>
        <v>0</v>
      </c>
      <c r="O15" s="26" t="str">
        <f>IF((H15)=0,"",(N15/H15))</f>
        <v/>
      </c>
    </row>
    <row r="16" spans="2:16" x14ac:dyDescent="0.25">
      <c r="B16" s="27"/>
      <c r="C16" s="16"/>
      <c r="D16" s="17"/>
      <c r="E16" s="18"/>
      <c r="F16" s="19"/>
      <c r="G16" s="20">
        <v>1</v>
      </c>
      <c r="H16" s="21">
        <f t="shared" si="0"/>
        <v>0</v>
      </c>
      <c r="I16" s="22"/>
      <c r="J16" s="23"/>
      <c r="K16" s="24">
        <v>1</v>
      </c>
      <c r="L16" s="21">
        <f t="shared" ref="L16:L31" si="1">K16*J16</f>
        <v>0</v>
      </c>
      <c r="M16" s="22"/>
      <c r="N16" s="25">
        <f t="shared" ref="N16:N32" si="2">L16-H16</f>
        <v>0</v>
      </c>
      <c r="O16" s="26" t="str">
        <f t="shared" ref="O16:O32" si="3">IF((H16)=0,"",(N16/H16))</f>
        <v/>
      </c>
    </row>
    <row r="17" spans="2:15" x14ac:dyDescent="0.25">
      <c r="B17" s="27"/>
      <c r="C17" s="16"/>
      <c r="D17" s="17"/>
      <c r="E17" s="18"/>
      <c r="F17" s="19"/>
      <c r="G17" s="20">
        <v>1</v>
      </c>
      <c r="H17" s="21">
        <f t="shared" si="0"/>
        <v>0</v>
      </c>
      <c r="I17" s="22"/>
      <c r="J17" s="23"/>
      <c r="K17" s="24">
        <v>1</v>
      </c>
      <c r="L17" s="21">
        <f t="shared" si="1"/>
        <v>0</v>
      </c>
      <c r="M17" s="22"/>
      <c r="N17" s="25">
        <f t="shared" si="2"/>
        <v>0</v>
      </c>
      <c r="O17" s="26" t="str">
        <f t="shared" si="3"/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27"/>
      <c r="C19" s="16"/>
      <c r="D19" s="17"/>
      <c r="E19" s="18"/>
      <c r="F19" s="19"/>
      <c r="G19" s="20">
        <v>1</v>
      </c>
      <c r="H19" s="21">
        <f t="shared" si="0"/>
        <v>0</v>
      </c>
      <c r="I19" s="22"/>
      <c r="J19" s="23"/>
      <c r="K19" s="24">
        <v>1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x14ac:dyDescent="0.25">
      <c r="B20" s="16" t="s">
        <v>19</v>
      </c>
      <c r="C20" s="16"/>
      <c r="D20" s="17" t="s">
        <v>68</v>
      </c>
      <c r="E20" s="18"/>
      <c r="F20" s="19">
        <f>Rates!D63</f>
        <v>0.1767</v>
      </c>
      <c r="G20" s="130">
        <f>$F$9</f>
        <v>150</v>
      </c>
      <c r="H20" s="21">
        <f t="shared" si="0"/>
        <v>26.504999999999999</v>
      </c>
      <c r="I20" s="22"/>
      <c r="J20" s="23">
        <f>Rates!F63</f>
        <v>0.21640000000000001</v>
      </c>
      <c r="K20" s="130">
        <f>$F$9</f>
        <v>150</v>
      </c>
      <c r="L20" s="21">
        <f t="shared" si="1"/>
        <v>32.46</v>
      </c>
      <c r="M20" s="22"/>
      <c r="N20" s="25">
        <f t="shared" si="2"/>
        <v>5.9550000000000018</v>
      </c>
      <c r="O20" s="26">
        <f t="shared" si="3"/>
        <v>0.22467458970005666</v>
      </c>
    </row>
    <row r="21" spans="2:15" x14ac:dyDescent="0.25">
      <c r="B21" s="16"/>
      <c r="C21" s="16"/>
      <c r="D21" s="17"/>
      <c r="E21" s="18"/>
      <c r="F21" s="19"/>
      <c r="G21" s="20">
        <f t="shared" ref="G21:G37" si="4">$K$9</f>
        <v>1</v>
      </c>
      <c r="H21" s="21">
        <f t="shared" si="0"/>
        <v>0</v>
      </c>
      <c r="I21" s="22"/>
      <c r="J21" s="23"/>
      <c r="K21" s="20">
        <f t="shared" ref="K21:K37" si="5">$K$9</f>
        <v>1</v>
      </c>
      <c r="L21" s="21">
        <f t="shared" si="1"/>
        <v>0</v>
      </c>
      <c r="M21" s="22"/>
      <c r="N21" s="25">
        <f t="shared" si="2"/>
        <v>0</v>
      </c>
      <c r="O21" s="26" t="str">
        <f t="shared" si="3"/>
        <v/>
      </c>
    </row>
    <row r="22" spans="2:15" x14ac:dyDescent="0.25">
      <c r="B22" s="16" t="s">
        <v>21</v>
      </c>
      <c r="C22" s="16"/>
      <c r="D22" s="17"/>
      <c r="E22" s="18"/>
      <c r="F22" s="19"/>
      <c r="G22" s="20">
        <f t="shared" si="4"/>
        <v>1</v>
      </c>
      <c r="H22" s="21">
        <f t="shared" si="0"/>
        <v>0</v>
      </c>
      <c r="I22" s="22"/>
      <c r="J22" s="23"/>
      <c r="K22" s="20">
        <f t="shared" si="5"/>
        <v>1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28"/>
      <c r="C23" s="16"/>
      <c r="D23" s="54"/>
      <c r="E23" s="18"/>
      <c r="F23" s="23"/>
      <c r="G23" s="130">
        <f>$F$9</f>
        <v>150</v>
      </c>
      <c r="H23" s="21">
        <f t="shared" si="0"/>
        <v>0</v>
      </c>
      <c r="I23" s="22"/>
      <c r="J23" s="23"/>
      <c r="K23" s="130">
        <f>$F$9</f>
        <v>150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/>
      <c r="E24" s="18"/>
      <c r="F24" s="23"/>
      <c r="G24" s="130">
        <f>$F$9</f>
        <v>150</v>
      </c>
      <c r="H24" s="21">
        <f t="shared" si="0"/>
        <v>0</v>
      </c>
      <c r="I24" s="22"/>
      <c r="J24" s="23"/>
      <c r="K24" s="130">
        <f>$F$9</f>
        <v>150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ht="30" x14ac:dyDescent="0.25">
      <c r="B25" s="128" t="str">
        <f>Rates!A66</f>
        <v>Foregone Revenue Recovery (2015) - effective until December 31, 2015 (2015)</v>
      </c>
      <c r="C25" s="16"/>
      <c r="D25" s="54" t="s">
        <v>68</v>
      </c>
      <c r="E25" s="18"/>
      <c r="F25" s="23">
        <f>Rates!D66</f>
        <v>1.9E-3</v>
      </c>
      <c r="G25" s="130">
        <f>$F$9</f>
        <v>150</v>
      </c>
      <c r="H25" s="21">
        <f t="shared" si="0"/>
        <v>0.28499999999999998</v>
      </c>
      <c r="I25" s="22"/>
      <c r="J25" s="23">
        <f>Rates!F66</f>
        <v>0</v>
      </c>
      <c r="K25" s="130">
        <f>$F$9</f>
        <v>150</v>
      </c>
      <c r="L25" s="21">
        <f t="shared" si="1"/>
        <v>0</v>
      </c>
      <c r="M25" s="22"/>
      <c r="N25" s="25">
        <f t="shared" si="2"/>
        <v>-0.28499999999999998</v>
      </c>
      <c r="O25" s="26">
        <f t="shared" si="3"/>
        <v>-1</v>
      </c>
    </row>
    <row r="26" spans="2:15" x14ac:dyDescent="0.25">
      <c r="B26" s="128"/>
      <c r="C26" s="16"/>
      <c r="D26" s="54" t="s">
        <v>68</v>
      </c>
      <c r="E26" s="18"/>
      <c r="F26" s="23"/>
      <c r="G26" s="130">
        <f>$F$9</f>
        <v>150</v>
      </c>
      <c r="H26" s="21">
        <f t="shared" si="0"/>
        <v>0</v>
      </c>
      <c r="I26" s="22"/>
      <c r="J26" s="23"/>
      <c r="K26" s="130">
        <f>$F$9</f>
        <v>150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ht="45" x14ac:dyDescent="0.25">
      <c r="B27" s="128" t="str">
        <f>Rates!A71</f>
        <v>Rate Rider for the Disposition of Account 1575 &amp; 1576 - effective until December 31, 2019</v>
      </c>
      <c r="C27" s="16"/>
      <c r="D27" s="54" t="s">
        <v>68</v>
      </c>
      <c r="E27" s="18"/>
      <c r="F27" s="23">
        <f>Rates!D71</f>
        <v>-1.9E-3</v>
      </c>
      <c r="G27" s="130">
        <f>$F$9</f>
        <v>150</v>
      </c>
      <c r="H27" s="21">
        <f t="shared" si="0"/>
        <v>-0.28499999999999998</v>
      </c>
      <c r="I27" s="22"/>
      <c r="J27" s="23">
        <f>Rates!F71</f>
        <v>-1.9E-3</v>
      </c>
      <c r="K27" s="130">
        <f>$F$9</f>
        <v>150</v>
      </c>
      <c r="L27" s="21">
        <f t="shared" si="1"/>
        <v>-0.28499999999999998</v>
      </c>
      <c r="M27" s="22"/>
      <c r="N27" s="25">
        <f t="shared" si="2"/>
        <v>0</v>
      </c>
      <c r="O27" s="26">
        <f t="shared" si="3"/>
        <v>0</v>
      </c>
    </row>
    <row r="28" spans="2:15" x14ac:dyDescent="0.25">
      <c r="B28" s="28"/>
      <c r="C28" s="16"/>
      <c r="D28" s="17"/>
      <c r="E28" s="18"/>
      <c r="F28" s="19"/>
      <c r="G28" s="20">
        <f t="shared" si="4"/>
        <v>1</v>
      </c>
      <c r="H28" s="21">
        <f t="shared" si="0"/>
        <v>0</v>
      </c>
      <c r="I28" s="22"/>
      <c r="J28" s="23"/>
      <c r="K28" s="20">
        <f t="shared" si="5"/>
        <v>1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4"/>
        <v>1</v>
      </c>
      <c r="H29" s="21">
        <f t="shared" si="0"/>
        <v>0</v>
      </c>
      <c r="I29" s="22"/>
      <c r="J29" s="23"/>
      <c r="K29" s="20">
        <f t="shared" si="5"/>
        <v>1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x14ac:dyDescent="0.25">
      <c r="B30" s="28"/>
      <c r="C30" s="16"/>
      <c r="D30" s="17"/>
      <c r="E30" s="18"/>
      <c r="F30" s="19"/>
      <c r="G30" s="20">
        <f t="shared" si="4"/>
        <v>1</v>
      </c>
      <c r="H30" s="21">
        <f t="shared" si="0"/>
        <v>0</v>
      </c>
      <c r="I30" s="22"/>
      <c r="J30" s="23"/>
      <c r="K30" s="20">
        <f t="shared" si="5"/>
        <v>1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4"/>
        <v>1</v>
      </c>
      <c r="H31" s="21">
        <f t="shared" si="0"/>
        <v>0</v>
      </c>
      <c r="I31" s="22"/>
      <c r="J31" s="23"/>
      <c r="K31" s="20">
        <f t="shared" si="5"/>
        <v>1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s="40" customFormat="1" x14ac:dyDescent="0.25">
      <c r="B32" s="29" t="s">
        <v>22</v>
      </c>
      <c r="C32" s="30"/>
      <c r="D32" s="31"/>
      <c r="E32" s="30"/>
      <c r="F32" s="32"/>
      <c r="G32" s="33"/>
      <c r="H32" s="34">
        <f>SUM(H14:H31)</f>
        <v>27.605</v>
      </c>
      <c r="I32" s="35"/>
      <c r="J32" s="36"/>
      <c r="K32" s="37"/>
      <c r="L32" s="34">
        <f>SUM(L14:L31)</f>
        <v>33.515000000000008</v>
      </c>
      <c r="M32" s="35"/>
      <c r="N32" s="38">
        <f t="shared" si="2"/>
        <v>5.9100000000000072</v>
      </c>
      <c r="O32" s="39">
        <f t="shared" si="3"/>
        <v>0.21409165006339456</v>
      </c>
    </row>
    <row r="33" spans="2:15" ht="38.25" x14ac:dyDescent="0.25">
      <c r="B33" s="41" t="str">
        <f>Rates!A68</f>
        <v>Rate Rider for the Disposition of Deferral/Variance Accounts (2014) - effective until December 31, 2015</v>
      </c>
      <c r="C33" s="16"/>
      <c r="D33" s="54" t="s">
        <v>68</v>
      </c>
      <c r="E33" s="18"/>
      <c r="F33" s="23">
        <f>Rates!D68</f>
        <v>-1.41E-2</v>
      </c>
      <c r="G33" s="130">
        <f>$F$9</f>
        <v>150</v>
      </c>
      <c r="H33" s="21">
        <f>G33*F33</f>
        <v>-2.1149999999999998</v>
      </c>
      <c r="I33" s="22"/>
      <c r="J33" s="23">
        <f>Rates!F68</f>
        <v>0</v>
      </c>
      <c r="K33" s="130">
        <f>$F$9</f>
        <v>150</v>
      </c>
      <c r="L33" s="21">
        <f>K33*J33</f>
        <v>0</v>
      </c>
      <c r="M33" s="22"/>
      <c r="N33" s="25">
        <f>L33-H33</f>
        <v>2.1149999999999998</v>
      </c>
      <c r="O33" s="26">
        <f>IF((H33)=0,"",(N33/H33))</f>
        <v>-1</v>
      </c>
    </row>
    <row r="34" spans="2:15" ht="38.25" x14ac:dyDescent="0.25">
      <c r="B34" s="41" t="str">
        <f>Rates!A69</f>
        <v>Rate Rider for the Disposition of Global Adjustment Sub-Account (2014) - effective until December 31, 2015</v>
      </c>
      <c r="C34" s="16"/>
      <c r="D34" s="54" t="s">
        <v>68</v>
      </c>
      <c r="E34" s="18"/>
      <c r="F34" s="19">
        <f>Rates!D69</f>
        <v>2.1899999999999999E-2</v>
      </c>
      <c r="G34" s="130">
        <f>$F$9</f>
        <v>150</v>
      </c>
      <c r="H34" s="21">
        <f t="shared" ref="H34:H38" si="6">G34*F34</f>
        <v>3.2849999999999997</v>
      </c>
      <c r="I34" s="42"/>
      <c r="J34" s="23">
        <f>Rates!F69</f>
        <v>0</v>
      </c>
      <c r="K34" s="130">
        <f>$F$9</f>
        <v>150</v>
      </c>
      <c r="L34" s="21">
        <f t="shared" ref="L34:L38" si="7">K34*J34</f>
        <v>0</v>
      </c>
      <c r="M34" s="43"/>
      <c r="N34" s="25">
        <f t="shared" ref="N34:N38" si="8">L34-H34</f>
        <v>-3.2849999999999997</v>
      </c>
      <c r="O34" s="26">
        <f t="shared" ref="O34:O38" si="9">IF((H34)=0,"",(N34/H34))</f>
        <v>-1</v>
      </c>
    </row>
    <row r="35" spans="2:15" ht="38.25" x14ac:dyDescent="0.25">
      <c r="B35" s="41" t="str">
        <f>Rates!A64</f>
        <v>Rate Rider for the Disposition of Deferral/Variance Accounts (2016) - effective until December 31, 2016</v>
      </c>
      <c r="C35" s="16"/>
      <c r="D35" s="17"/>
      <c r="E35" s="18"/>
      <c r="F35" s="19">
        <f>Rates!D64</f>
        <v>0</v>
      </c>
      <c r="G35" s="20">
        <f t="shared" si="4"/>
        <v>1</v>
      </c>
      <c r="H35" s="21">
        <f t="shared" si="6"/>
        <v>0</v>
      </c>
      <c r="I35" s="42"/>
      <c r="J35" s="23">
        <f>Rates!F64</f>
        <v>0</v>
      </c>
      <c r="K35" s="20">
        <f t="shared" si="5"/>
        <v>1</v>
      </c>
      <c r="L35" s="21">
        <f t="shared" si="7"/>
        <v>0</v>
      </c>
      <c r="M35" s="43"/>
      <c r="N35" s="25">
        <f t="shared" si="8"/>
        <v>0</v>
      </c>
      <c r="O35" s="26" t="str">
        <f t="shared" si="9"/>
        <v/>
      </c>
    </row>
    <row r="36" spans="2:15" ht="38.25" x14ac:dyDescent="0.25">
      <c r="B36" s="41" t="str">
        <f>Rates!A65</f>
        <v>Rate Rider for the Disposition of Global Adjustment Sub-Account (2016) - effective until December 31, 2016</v>
      </c>
      <c r="C36" s="16"/>
      <c r="D36" s="17"/>
      <c r="E36" s="18"/>
      <c r="F36" s="19">
        <f>Rates!D65</f>
        <v>0</v>
      </c>
      <c r="G36" s="20">
        <f t="shared" si="4"/>
        <v>1</v>
      </c>
      <c r="H36" s="21">
        <f t="shared" si="6"/>
        <v>0</v>
      </c>
      <c r="I36" s="42"/>
      <c r="J36" s="23">
        <f>Rates!F65</f>
        <v>0</v>
      </c>
      <c r="K36" s="20">
        <f t="shared" si="5"/>
        <v>1</v>
      </c>
      <c r="L36" s="21">
        <f t="shared" si="7"/>
        <v>0</v>
      </c>
      <c r="M36" s="43"/>
      <c r="N36" s="25">
        <f t="shared" si="8"/>
        <v>0</v>
      </c>
      <c r="O36" s="26" t="str">
        <f t="shared" si="9"/>
        <v/>
      </c>
    </row>
    <row r="37" spans="2:15" x14ac:dyDescent="0.25">
      <c r="B37" s="44" t="s">
        <v>23</v>
      </c>
      <c r="C37" s="16"/>
      <c r="D37" s="17"/>
      <c r="E37" s="18"/>
      <c r="F37" s="19"/>
      <c r="G37" s="20">
        <f t="shared" si="4"/>
        <v>1</v>
      </c>
      <c r="H37" s="21">
        <f>G37*F37</f>
        <v>0</v>
      </c>
      <c r="I37" s="22"/>
      <c r="J37" s="23"/>
      <c r="K37" s="20">
        <f t="shared" si="5"/>
        <v>1</v>
      </c>
      <c r="L37" s="21">
        <f>K37*J37</f>
        <v>0</v>
      </c>
      <c r="M37" s="22"/>
      <c r="N37" s="25">
        <f>L37-H37</f>
        <v>0</v>
      </c>
      <c r="O37" s="26" t="str">
        <f>IF((H37)=0,"",(N37/H37))</f>
        <v/>
      </c>
    </row>
    <row r="38" spans="2:15" x14ac:dyDescent="0.25">
      <c r="B38" s="44" t="s">
        <v>24</v>
      </c>
      <c r="C38" s="16"/>
      <c r="D38" s="17" t="s">
        <v>68</v>
      </c>
      <c r="E38" s="18"/>
      <c r="F38" s="131">
        <f>Rates!D92</f>
        <v>0.10214000000000001</v>
      </c>
      <c r="G38" s="46">
        <f>$F$9*(1+$F$56)-$F$9</f>
        <v>13.754999999999995</v>
      </c>
      <c r="H38" s="21">
        <f t="shared" si="6"/>
        <v>1.4049356999999996</v>
      </c>
      <c r="I38" s="22"/>
      <c r="J38" s="133">
        <f>Rates!F92</f>
        <v>0.10214000000000001</v>
      </c>
      <c r="K38" s="46">
        <f>$F$9*(1+$J$56)-$F$9</f>
        <v>13.754999999999995</v>
      </c>
      <c r="L38" s="21">
        <f t="shared" si="7"/>
        <v>1.4049356999999996</v>
      </c>
      <c r="M38" s="22"/>
      <c r="N38" s="25">
        <f t="shared" si="8"/>
        <v>0</v>
      </c>
      <c r="O38" s="26">
        <f t="shared" si="9"/>
        <v>0</v>
      </c>
    </row>
    <row r="39" spans="2:15" x14ac:dyDescent="0.25">
      <c r="B39" s="44" t="s">
        <v>25</v>
      </c>
      <c r="C39" s="16"/>
      <c r="D39" s="17" t="s">
        <v>67</v>
      </c>
      <c r="E39" s="18"/>
      <c r="F39" s="45"/>
      <c r="G39" s="20">
        <v>1</v>
      </c>
      <c r="H39" s="21">
        <f>G39*F39</f>
        <v>0</v>
      </c>
      <c r="I39" s="22"/>
      <c r="J39" s="45"/>
      <c r="K39" s="20">
        <v>1</v>
      </c>
      <c r="L39" s="21">
        <f>K39*J39</f>
        <v>0</v>
      </c>
      <c r="M39" s="22"/>
      <c r="N39" s="25">
        <f>L39-H39</f>
        <v>0</v>
      </c>
      <c r="O39" s="26"/>
    </row>
    <row r="40" spans="2:15" ht="25.5" x14ac:dyDescent="0.25">
      <c r="B40" s="48" t="s">
        <v>26</v>
      </c>
      <c r="C40" s="49"/>
      <c r="D40" s="49"/>
      <c r="E40" s="49"/>
      <c r="F40" s="50"/>
      <c r="G40" s="51"/>
      <c r="H40" s="52">
        <f>SUM(H33:H39)+H32</f>
        <v>30.179935700000001</v>
      </c>
      <c r="I40" s="35"/>
      <c r="J40" s="51"/>
      <c r="K40" s="53"/>
      <c r="L40" s="52">
        <f>SUM(L33:L39)+L32</f>
        <v>34.919935700000011</v>
      </c>
      <c r="M40" s="35"/>
      <c r="N40" s="38">
        <f t="shared" ref="N40:N53" si="10">L40-H40</f>
        <v>4.7400000000000091</v>
      </c>
      <c r="O40" s="39">
        <f t="shared" ref="O40:O53" si="11">IF((H40)=0,"",(N40/H40))</f>
        <v>0.15705798869545004</v>
      </c>
    </row>
    <row r="41" spans="2:15" x14ac:dyDescent="0.25">
      <c r="B41" s="22" t="s">
        <v>27</v>
      </c>
      <c r="C41" s="22"/>
      <c r="D41" s="54" t="s">
        <v>73</v>
      </c>
      <c r="E41" s="55"/>
      <c r="F41" s="23">
        <f>Rates!D72</f>
        <v>1.9898</v>
      </c>
      <c r="G41" s="56">
        <f>K9*(1+F56)</f>
        <v>1.0916999999999999</v>
      </c>
      <c r="H41" s="21">
        <f>G41*F41</f>
        <v>2.1722646599999997</v>
      </c>
      <c r="I41" s="22"/>
      <c r="J41" s="23">
        <f>Rates!F72</f>
        <v>1.9496</v>
      </c>
      <c r="K41" s="57">
        <f>K9*(1+J56)</f>
        <v>1.0916999999999999</v>
      </c>
      <c r="L41" s="21">
        <f>K41*J41</f>
        <v>2.1283783199999999</v>
      </c>
      <c r="M41" s="22"/>
      <c r="N41" s="25">
        <f t="shared" si="10"/>
        <v>-4.3886339999999802E-2</v>
      </c>
      <c r="O41" s="26">
        <f t="shared" si="11"/>
        <v>-2.0203035480952772E-2</v>
      </c>
    </row>
    <row r="42" spans="2:15" x14ac:dyDescent="0.25">
      <c r="B42" s="58" t="s">
        <v>28</v>
      </c>
      <c r="C42" s="22"/>
      <c r="D42" s="54" t="s">
        <v>73</v>
      </c>
      <c r="E42" s="55"/>
      <c r="F42" s="23">
        <f>Rates!D73</f>
        <v>1.4332</v>
      </c>
      <c r="G42" s="56">
        <f>G41</f>
        <v>1.0916999999999999</v>
      </c>
      <c r="H42" s="21">
        <f>G42*F42</f>
        <v>1.5646244399999998</v>
      </c>
      <c r="I42" s="22"/>
      <c r="J42" s="23">
        <f>Rates!F73</f>
        <v>1.3767</v>
      </c>
      <c r="K42" s="57">
        <f>K41</f>
        <v>1.0916999999999999</v>
      </c>
      <c r="L42" s="21">
        <f>K42*J42</f>
        <v>1.50294339</v>
      </c>
      <c r="M42" s="22"/>
      <c r="N42" s="25">
        <f t="shared" si="10"/>
        <v>-6.1681049999999793E-2</v>
      </c>
      <c r="O42" s="26">
        <f t="shared" si="11"/>
        <v>-3.9422271839240734E-2</v>
      </c>
    </row>
    <row r="43" spans="2:15" ht="25.5" x14ac:dyDescent="0.25">
      <c r="B43" s="48" t="s">
        <v>29</v>
      </c>
      <c r="C43" s="30"/>
      <c r="D43" s="30"/>
      <c r="E43" s="30"/>
      <c r="F43" s="59"/>
      <c r="G43" s="51"/>
      <c r="H43" s="52">
        <f>SUM(H40:H42)</f>
        <v>33.916824800000001</v>
      </c>
      <c r="I43" s="60"/>
      <c r="J43" s="61"/>
      <c r="K43" s="62"/>
      <c r="L43" s="52">
        <f>SUM(L40:L42)</f>
        <v>38.551257410000012</v>
      </c>
      <c r="M43" s="60"/>
      <c r="N43" s="38">
        <f t="shared" si="10"/>
        <v>4.6344326100000117</v>
      </c>
      <c r="O43" s="39">
        <f t="shared" si="11"/>
        <v>0.13664111063839948</v>
      </c>
    </row>
    <row r="44" spans="2:15" x14ac:dyDescent="0.25">
      <c r="B44" s="63" t="s">
        <v>30</v>
      </c>
      <c r="C44" s="16"/>
      <c r="D44" s="54" t="s">
        <v>68</v>
      </c>
      <c r="E44" s="18"/>
      <c r="F44" s="66">
        <f>Rates!D74</f>
        <v>4.4000000000000003E-3</v>
      </c>
      <c r="G44" s="56">
        <f>F9*(1+F56)</f>
        <v>163.755</v>
      </c>
      <c r="H44" s="65">
        <f t="shared" ref="H44:H49" si="12">G44*F44</f>
        <v>0.720522</v>
      </c>
      <c r="I44" s="22"/>
      <c r="J44" s="66">
        <f>Rates!F74</f>
        <v>4.4000000000000003E-3</v>
      </c>
      <c r="K44" s="57">
        <f>F9*(1+J56)</f>
        <v>163.755</v>
      </c>
      <c r="L44" s="65">
        <f t="shared" ref="L44:L49" si="13">K44*J44</f>
        <v>0.720522</v>
      </c>
      <c r="M44" s="22"/>
      <c r="N44" s="25">
        <f t="shared" si="10"/>
        <v>0</v>
      </c>
      <c r="O44" s="67">
        <f t="shared" si="11"/>
        <v>0</v>
      </c>
    </row>
    <row r="45" spans="2:15" x14ac:dyDescent="0.25">
      <c r="B45" s="63" t="s">
        <v>31</v>
      </c>
      <c r="C45" s="16"/>
      <c r="D45" s="54" t="s">
        <v>68</v>
      </c>
      <c r="E45" s="18"/>
      <c r="F45" s="66">
        <f>Rates!D75</f>
        <v>1.2999999999999999E-3</v>
      </c>
      <c r="G45" s="56">
        <f>G44</f>
        <v>163.755</v>
      </c>
      <c r="H45" s="65">
        <f t="shared" si="12"/>
        <v>0.21288149999999997</v>
      </c>
      <c r="I45" s="22"/>
      <c r="J45" s="66">
        <f>Rates!F75</f>
        <v>1.2999999999999999E-3</v>
      </c>
      <c r="K45" s="57">
        <f>K44</f>
        <v>163.755</v>
      </c>
      <c r="L45" s="65">
        <f t="shared" si="13"/>
        <v>0.21288149999999997</v>
      </c>
      <c r="M45" s="22"/>
      <c r="N45" s="25">
        <f t="shared" si="10"/>
        <v>0</v>
      </c>
      <c r="O45" s="67">
        <f t="shared" si="11"/>
        <v>0</v>
      </c>
    </row>
    <row r="46" spans="2:15" x14ac:dyDescent="0.25">
      <c r="B46" s="16" t="s">
        <v>32</v>
      </c>
      <c r="C46" s="16"/>
      <c r="D46" s="17" t="s">
        <v>67</v>
      </c>
      <c r="E46" s="18"/>
      <c r="F46" s="64">
        <f>Rates!D76</f>
        <v>0.25</v>
      </c>
      <c r="G46" s="20">
        <v>1</v>
      </c>
      <c r="H46" s="65">
        <f t="shared" si="12"/>
        <v>0.25</v>
      </c>
      <c r="I46" s="22"/>
      <c r="J46" s="66">
        <f>Rates!F76</f>
        <v>0.25</v>
      </c>
      <c r="K46" s="24">
        <v>1</v>
      </c>
      <c r="L46" s="65">
        <f t="shared" si="13"/>
        <v>0.25</v>
      </c>
      <c r="M46" s="22"/>
      <c r="N46" s="25">
        <f t="shared" si="10"/>
        <v>0</v>
      </c>
      <c r="O46" s="67">
        <f t="shared" si="11"/>
        <v>0</v>
      </c>
    </row>
    <row r="47" spans="2:15" x14ac:dyDescent="0.25">
      <c r="B47" s="16" t="s">
        <v>33</v>
      </c>
      <c r="C47" s="16"/>
      <c r="D47" s="17" t="s">
        <v>68</v>
      </c>
      <c r="E47" s="18"/>
      <c r="F47" s="64">
        <f>Rates!D79</f>
        <v>2E-3</v>
      </c>
      <c r="G47" s="68">
        <f>F9</f>
        <v>150</v>
      </c>
      <c r="H47" s="65">
        <f t="shared" si="12"/>
        <v>0.3</v>
      </c>
      <c r="I47" s="22"/>
      <c r="J47" s="66">
        <f>Rates!F79</f>
        <v>0</v>
      </c>
      <c r="K47" s="69">
        <f>F9</f>
        <v>150</v>
      </c>
      <c r="L47" s="65">
        <f t="shared" si="13"/>
        <v>0</v>
      </c>
      <c r="M47" s="22"/>
      <c r="N47" s="25">
        <f t="shared" si="10"/>
        <v>-0.3</v>
      </c>
      <c r="O47" s="67">
        <f t="shared" si="11"/>
        <v>-1</v>
      </c>
    </row>
    <row r="48" spans="2:15" x14ac:dyDescent="0.25">
      <c r="B48" s="16" t="s">
        <v>115</v>
      </c>
      <c r="C48" s="16"/>
      <c r="D48" s="17" t="s">
        <v>68</v>
      </c>
      <c r="E48" s="18"/>
      <c r="F48" s="64"/>
      <c r="G48" s="68"/>
      <c r="H48" s="65"/>
      <c r="I48" s="22"/>
      <c r="J48" s="66">
        <f>Rates!F80</f>
        <v>1.1000000000000001E-3</v>
      </c>
      <c r="K48" s="69">
        <f>F9</f>
        <v>150</v>
      </c>
      <c r="L48" s="65">
        <f t="shared" ref="L48" si="14">K48*J48</f>
        <v>0.16500000000000001</v>
      </c>
      <c r="M48" s="22"/>
      <c r="N48" s="25">
        <f t="shared" ref="N48" si="15">L48-H48</f>
        <v>0.16500000000000001</v>
      </c>
      <c r="O48" s="67" t="str">
        <f t="shared" ref="O48" si="16">IF((H48)=0,"",(N48/H48))</f>
        <v/>
      </c>
    </row>
    <row r="49" spans="1:19" ht="15.75" thickBot="1" x14ac:dyDescent="0.3">
      <c r="B49" s="44" t="s">
        <v>76</v>
      </c>
      <c r="C49" s="16"/>
      <c r="D49" s="17" t="s">
        <v>68</v>
      </c>
      <c r="E49" s="18"/>
      <c r="F49" s="132">
        <f>Rates!D92</f>
        <v>0.10214000000000001</v>
      </c>
      <c r="G49" s="71">
        <f>$F$9</f>
        <v>150</v>
      </c>
      <c r="H49" s="65">
        <f t="shared" si="12"/>
        <v>15.321000000000002</v>
      </c>
      <c r="I49" s="22"/>
      <c r="J49" s="134">
        <f>Rates!F92</f>
        <v>0.10214000000000001</v>
      </c>
      <c r="K49" s="71">
        <f>F9</f>
        <v>150</v>
      </c>
      <c r="L49" s="65">
        <f t="shared" si="13"/>
        <v>15.321000000000002</v>
      </c>
      <c r="M49" s="22"/>
      <c r="N49" s="25">
        <f t="shared" si="10"/>
        <v>0</v>
      </c>
      <c r="O49" s="67">
        <f t="shared" si="11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85</v>
      </c>
      <c r="C51" s="16"/>
      <c r="D51" s="16"/>
      <c r="E51" s="16"/>
      <c r="F51" s="85"/>
      <c r="G51" s="86"/>
      <c r="H51" s="87">
        <f>SUM(H44:H49,H43)</f>
        <v>50.721228300000007</v>
      </c>
      <c r="I51" s="88"/>
      <c r="J51" s="89"/>
      <c r="K51" s="89"/>
      <c r="L51" s="127">
        <f>SUM(L44:L49,L43)</f>
        <v>55.220660910000014</v>
      </c>
      <c r="M51" s="90"/>
      <c r="N51" s="91">
        <f t="shared" ref="N51" si="17">L51-H51</f>
        <v>4.4994326100000066</v>
      </c>
      <c r="O51" s="92">
        <f t="shared" ref="O51" si="18">IF((H51)=0,"",(N51/H51))</f>
        <v>8.8709062473552244E-2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6.5937596790000015</v>
      </c>
      <c r="I52" s="97"/>
      <c r="J52" s="98">
        <v>0.13</v>
      </c>
      <c r="K52" s="97"/>
      <c r="L52" s="99">
        <f>L51*J52</f>
        <v>7.178685918300002</v>
      </c>
      <c r="M52" s="100"/>
      <c r="N52" s="101">
        <f t="shared" si="10"/>
        <v>0.58492623930000054</v>
      </c>
      <c r="O52" s="102">
        <f t="shared" si="11"/>
        <v>8.8709062473552189E-2</v>
      </c>
      <c r="S52" s="72"/>
    </row>
    <row r="53" spans="1:19" ht="15.75" thickBot="1" x14ac:dyDescent="0.3">
      <c r="B53" s="103" t="s">
        <v>42</v>
      </c>
      <c r="C53" s="16"/>
      <c r="D53" s="16"/>
      <c r="E53" s="16"/>
      <c r="F53" s="104"/>
      <c r="G53" s="95"/>
      <c r="H53" s="96">
        <f>H51+H52</f>
        <v>57.314987979000009</v>
      </c>
      <c r="I53" s="97"/>
      <c r="J53" s="97"/>
      <c r="K53" s="97"/>
      <c r="L53" s="99">
        <f>L51+L52</f>
        <v>62.399346828300018</v>
      </c>
      <c r="M53" s="100"/>
      <c r="N53" s="101">
        <f t="shared" si="10"/>
        <v>5.0843588493000098</v>
      </c>
      <c r="O53" s="102">
        <f t="shared" si="11"/>
        <v>8.8709062473552286E-2</v>
      </c>
      <c r="S53" s="72"/>
    </row>
    <row r="54" spans="1:19" s="73" customFormat="1" ht="15.75" thickBot="1" x14ac:dyDescent="0.25">
      <c r="B54" s="118"/>
      <c r="C54" s="119"/>
      <c r="D54" s="120"/>
      <c r="E54" s="119"/>
      <c r="F54" s="77"/>
      <c r="G54" s="121"/>
      <c r="H54" s="79"/>
      <c r="I54" s="122"/>
      <c r="J54" s="77"/>
      <c r="K54" s="123"/>
      <c r="L54" s="79"/>
      <c r="M54" s="122"/>
      <c r="N54" s="124"/>
      <c r="O54" s="83"/>
    </row>
    <row r="55" spans="1:19" x14ac:dyDescent="0.25">
      <c r="L55" s="72"/>
    </row>
    <row r="56" spans="1:19" x14ac:dyDescent="0.25">
      <c r="B56" s="7" t="s">
        <v>40</v>
      </c>
      <c r="F56" s="125">
        <f>Rates!D85</f>
        <v>9.1700000000000004E-2</v>
      </c>
      <c r="J56" s="125">
        <f>Rates!F85</f>
        <v>9.1700000000000004E-2</v>
      </c>
    </row>
    <row r="58" spans="1:19" x14ac:dyDescent="0.25">
      <c r="A58" s="126"/>
      <c r="B58" s="1" t="s">
        <v>41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41:E42 E33:E39 E14:E31 E54 E44:E50">
      <formula1>#REF!</formula1>
    </dataValidation>
    <dataValidation type="list" allowBlank="1" showInputMessage="1" showErrorMessage="1" prompt="Select Charge Unit - monthly, per kWh, per kW" sqref="D41:D42 D33:D39 D54 D14:D31 D44:D50">
      <formula1>"Monthly, per kWh, per kW"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8"/>
  <sheetViews>
    <sheetView showGridLines="0" zoomScaleNormal="100" workbookViewId="0">
      <selection activeCell="B6" sqref="B6:B7"/>
    </sheetView>
  </sheetViews>
  <sheetFormatPr defaultRowHeight="15" x14ac:dyDescent="0.25"/>
  <cols>
    <col min="1" max="1" width="4.140625" customWidth="1"/>
    <col min="2" max="2" width="25.140625" customWidth="1"/>
    <col min="3" max="3" width="11.85546875" customWidth="1"/>
    <col min="4" max="4" width="11.140625" customWidth="1"/>
    <col min="5" max="5" width="2.140625" customWidth="1"/>
    <col min="6" max="6" width="13.7109375" bestFit="1" customWidth="1"/>
    <col min="7" max="7" width="15.140625" bestFit="1" customWidth="1"/>
    <col min="8" max="8" width="12.5703125" bestFit="1" customWidth="1"/>
    <col min="9" max="9" width="9.28515625" bestFit="1" customWidth="1"/>
  </cols>
  <sheetData>
    <row r="3" spans="2:9" x14ac:dyDescent="0.25">
      <c r="B3" s="205" t="s">
        <v>116</v>
      </c>
      <c r="C3" s="205"/>
      <c r="D3" s="205"/>
      <c r="E3" s="205"/>
      <c r="F3" s="205"/>
      <c r="G3" s="205"/>
      <c r="H3" s="205"/>
      <c r="I3" s="205"/>
    </row>
    <row r="4" spans="2:9" x14ac:dyDescent="0.25">
      <c r="B4" s="205"/>
      <c r="C4" s="205"/>
      <c r="D4" s="205"/>
      <c r="E4" s="205"/>
      <c r="F4" s="205"/>
      <c r="G4" s="205"/>
      <c r="H4" s="205"/>
      <c r="I4" s="205"/>
    </row>
    <row r="5" spans="2:9" ht="15.75" thickBot="1" x14ac:dyDescent="0.3">
      <c r="B5" s="206"/>
      <c r="C5" s="206"/>
      <c r="D5" s="206"/>
      <c r="E5" s="206"/>
      <c r="F5" s="206"/>
      <c r="G5" s="206"/>
      <c r="H5" s="206"/>
      <c r="I5" s="206"/>
    </row>
    <row r="6" spans="2:9" x14ac:dyDescent="0.25">
      <c r="B6" s="197" t="s">
        <v>97</v>
      </c>
      <c r="C6" s="156" t="s">
        <v>98</v>
      </c>
      <c r="D6" s="156" t="s">
        <v>99</v>
      </c>
      <c r="E6" s="157"/>
      <c r="F6" s="199" t="s">
        <v>100</v>
      </c>
      <c r="G6" s="199"/>
      <c r="H6" s="199"/>
      <c r="I6" s="200"/>
    </row>
    <row r="7" spans="2:9" x14ac:dyDescent="0.25">
      <c r="B7" s="198"/>
      <c r="C7" s="158" t="s">
        <v>101</v>
      </c>
      <c r="D7" s="158" t="s">
        <v>72</v>
      </c>
      <c r="E7" s="159"/>
      <c r="F7" s="201" t="s">
        <v>102</v>
      </c>
      <c r="G7" s="202" t="s">
        <v>103</v>
      </c>
      <c r="H7" s="203" t="s">
        <v>104</v>
      </c>
      <c r="I7" s="204"/>
    </row>
    <row r="8" spans="2:9" x14ac:dyDescent="0.25">
      <c r="B8" s="160"/>
      <c r="C8" s="161"/>
      <c r="D8" s="161"/>
      <c r="E8" s="162"/>
      <c r="F8" s="201"/>
      <c r="G8" s="202"/>
      <c r="H8" s="163" t="s">
        <v>48</v>
      </c>
      <c r="I8" s="164" t="s">
        <v>66</v>
      </c>
    </row>
    <row r="9" spans="2:9" x14ac:dyDescent="0.25">
      <c r="B9" s="165" t="s">
        <v>47</v>
      </c>
      <c r="C9" s="166">
        <f>'Residential - R1 RPP'!F10</f>
        <v>800</v>
      </c>
      <c r="D9" s="207"/>
      <c r="E9" s="159"/>
      <c r="F9" s="167">
        <f>'Residential - R1 RPP'!H41</f>
        <v>58.102654399999984</v>
      </c>
      <c r="G9" s="167">
        <f>'Residential - R1 RPP'!L41</f>
        <v>68.130646399999989</v>
      </c>
      <c r="H9" s="167">
        <f>G9-F9</f>
        <v>10.027992000000005</v>
      </c>
      <c r="I9" s="168">
        <f>IF(ISBLANK(F9),"",H9/F9)</f>
        <v>0.17259094448531781</v>
      </c>
    </row>
    <row r="10" spans="2:9" x14ac:dyDescent="0.25">
      <c r="B10" s="165" t="s">
        <v>47</v>
      </c>
      <c r="C10" s="166">
        <f>'Residential - R1 RPP (2)'!F10</f>
        <v>320</v>
      </c>
      <c r="D10" s="207"/>
      <c r="E10" s="159"/>
      <c r="F10" s="167">
        <f>'Residential - R1 RPP (2)'!H41</f>
        <v>38.949061759999992</v>
      </c>
      <c r="G10" s="167">
        <f>'Residential - R1 RPP (2)'!L41</f>
        <v>44.382258559999997</v>
      </c>
      <c r="H10" s="167">
        <f>G10-F10</f>
        <v>5.4331968000000046</v>
      </c>
      <c r="I10" s="168">
        <f>IF(ISBLANK(F10),"",H10/F10)</f>
        <v>0.13949493401096</v>
      </c>
    </row>
    <row r="11" spans="2:9" x14ac:dyDescent="0.25">
      <c r="B11" s="165" t="s">
        <v>108</v>
      </c>
      <c r="C11" s="166">
        <f>'Residential - R1 GS RPP'!F10</f>
        <v>2000</v>
      </c>
      <c r="D11" s="207"/>
      <c r="E11" s="159"/>
      <c r="F11" s="167">
        <f>'Residential - R1 GS RPP'!H41</f>
        <v>105.98663599999998</v>
      </c>
      <c r="G11" s="167">
        <f>'Residential - R1 GS RPP'!L41</f>
        <v>132.70161599999997</v>
      </c>
      <c r="H11" s="167">
        <f>G11-F11</f>
        <v>26.714979999999997</v>
      </c>
      <c r="I11" s="168">
        <f>IF(ISBLANK(F11),"",H11/F11)</f>
        <v>0.25205989177729921</v>
      </c>
    </row>
    <row r="12" spans="2:9" x14ac:dyDescent="0.25">
      <c r="B12" s="165" t="s">
        <v>56</v>
      </c>
      <c r="C12" s="166">
        <f>'Residential - R2'!F9</f>
        <v>90000</v>
      </c>
      <c r="D12" s="207">
        <f>'Residential - R2'!K9</f>
        <v>225</v>
      </c>
      <c r="E12" s="159"/>
      <c r="F12" s="167">
        <f>'Residential - R2'!H43</f>
        <v>3866.8101177499984</v>
      </c>
      <c r="G12" s="167">
        <f>'Residential - R2'!L43</f>
        <v>3117.5299259999983</v>
      </c>
      <c r="H12" s="167">
        <f t="shared" ref="H12:H16" si="0">G12-F12</f>
        <v>-749.28019175000009</v>
      </c>
      <c r="I12" s="168">
        <f t="shared" ref="I12:I16" si="1">IF(ISBLANK(F12),"",H12/F12)</f>
        <v>-0.19377217110055245</v>
      </c>
    </row>
    <row r="13" spans="2:9" x14ac:dyDescent="0.25">
      <c r="B13" s="165" t="s">
        <v>58</v>
      </c>
      <c r="C13" s="166">
        <f>'Seasonal RPP'!F10</f>
        <v>800</v>
      </c>
      <c r="D13" s="208"/>
      <c r="E13" s="159"/>
      <c r="F13" s="167">
        <f>'Seasonal RPP'!H44</f>
        <v>198.58265439999997</v>
      </c>
      <c r="G13" s="167">
        <f>'Seasonal RPP'!L44</f>
        <v>194.53064639999997</v>
      </c>
      <c r="H13" s="167">
        <f t="shared" si="0"/>
        <v>-4.0520080000000007</v>
      </c>
      <c r="I13" s="168">
        <f t="shared" si="1"/>
        <v>-2.0404642148846217E-2</v>
      </c>
    </row>
    <row r="14" spans="2:9" x14ac:dyDescent="0.25">
      <c r="B14" s="165" t="s">
        <v>58</v>
      </c>
      <c r="C14" s="166">
        <f>'Seasonal RPP (2)'!F10</f>
        <v>205</v>
      </c>
      <c r="D14" s="208"/>
      <c r="E14" s="159"/>
      <c r="F14" s="167">
        <f>'Seasonal RPP (2)'!H44</f>
        <v>76.189180189999988</v>
      </c>
      <c r="G14" s="167">
        <f>'Seasonal RPP (2)'!L44</f>
        <v>78.579540639999991</v>
      </c>
      <c r="H14" s="167">
        <f t="shared" ref="H14:H15" si="2">G14-F14</f>
        <v>2.3903604500000029</v>
      </c>
      <c r="I14" s="168">
        <f t="shared" ref="I14:I15" si="3">IF(ISBLANK(F14),"",H14/F14)</f>
        <v>3.1374014578434112E-2</v>
      </c>
    </row>
    <row r="15" spans="2:9" x14ac:dyDescent="0.25">
      <c r="B15" s="165" t="s">
        <v>58</v>
      </c>
      <c r="C15" s="166">
        <f>'Seasonal RPP (3)'!F10</f>
        <v>15</v>
      </c>
      <c r="D15" s="208"/>
      <c r="E15" s="159"/>
      <c r="F15" s="167">
        <f>'Seasonal RPP (3)'!H44</f>
        <v>37.105549769999996</v>
      </c>
      <c r="G15" s="167">
        <f>'Seasonal RPP (3)'!L44</f>
        <v>41.553137120000017</v>
      </c>
      <c r="H15" s="167">
        <f t="shared" si="2"/>
        <v>4.4475873500000205</v>
      </c>
      <c r="I15" s="168">
        <f t="shared" si="3"/>
        <v>0.11986313038261233</v>
      </c>
    </row>
    <row r="16" spans="2:9" x14ac:dyDescent="0.25">
      <c r="B16" s="165" t="s">
        <v>59</v>
      </c>
      <c r="C16" s="166">
        <f>'Street Lighting Non-RPP'!F9</f>
        <v>19056</v>
      </c>
      <c r="D16" s="208">
        <f>'Street Lighting Non-RPP'!K9</f>
        <v>62</v>
      </c>
      <c r="E16" s="159"/>
      <c r="F16" s="167">
        <f>'Street Lighting Non-RPP'!H43</f>
        <v>4356.1021555279995</v>
      </c>
      <c r="G16" s="167">
        <f>'Street Lighting Non-RPP'!L43</f>
        <v>5015.0769773480006</v>
      </c>
      <c r="H16" s="167">
        <f t="shared" si="0"/>
        <v>658.97482182000113</v>
      </c>
      <c r="I16" s="168">
        <f t="shared" si="1"/>
        <v>0.15127625530630545</v>
      </c>
    </row>
    <row r="17" spans="2:9" ht="15.75" thickBot="1" x14ac:dyDescent="0.3">
      <c r="B17" s="169"/>
      <c r="C17" s="170"/>
      <c r="D17" s="170"/>
      <c r="E17" s="159"/>
      <c r="F17" s="171"/>
      <c r="G17" s="171"/>
      <c r="H17" s="171"/>
      <c r="I17" s="172"/>
    </row>
    <row r="18" spans="2:9" x14ac:dyDescent="0.25">
      <c r="B18" s="197" t="s">
        <v>97</v>
      </c>
      <c r="C18" s="156" t="s">
        <v>98</v>
      </c>
      <c r="D18" s="156" t="s">
        <v>99</v>
      </c>
      <c r="E18" s="157"/>
      <c r="F18" s="199" t="s">
        <v>105</v>
      </c>
      <c r="G18" s="199"/>
      <c r="H18" s="199"/>
      <c r="I18" s="200"/>
    </row>
    <row r="19" spans="2:9" x14ac:dyDescent="0.25">
      <c r="B19" s="198"/>
      <c r="C19" s="158" t="s">
        <v>101</v>
      </c>
      <c r="D19" s="158" t="s">
        <v>72</v>
      </c>
      <c r="E19" s="159"/>
      <c r="F19" s="201" t="s">
        <v>102</v>
      </c>
      <c r="G19" s="202" t="s">
        <v>103</v>
      </c>
      <c r="H19" s="203" t="s">
        <v>104</v>
      </c>
      <c r="I19" s="204"/>
    </row>
    <row r="20" spans="2:9" x14ac:dyDescent="0.25">
      <c r="B20" s="160"/>
      <c r="C20" s="161"/>
      <c r="D20" s="161"/>
      <c r="E20" s="162"/>
      <c r="F20" s="201"/>
      <c r="G20" s="202"/>
      <c r="H20" s="163" t="s">
        <v>48</v>
      </c>
      <c r="I20" s="164" t="s">
        <v>66</v>
      </c>
    </row>
    <row r="21" spans="2:9" x14ac:dyDescent="0.25">
      <c r="B21" s="165" t="s">
        <v>47</v>
      </c>
      <c r="C21" s="166">
        <f>'Residential - R1 RPP'!F10</f>
        <v>800</v>
      </c>
      <c r="D21" s="207"/>
      <c r="E21" s="159"/>
      <c r="F21" s="167">
        <f>'Residential - R1 RPP'!H55</f>
        <v>149.13637123199999</v>
      </c>
      <c r="G21" s="167">
        <f>'Residential - R1 RPP'!L55</f>
        <v>176.22440219199999</v>
      </c>
      <c r="H21" s="167">
        <f>G21-F21</f>
        <v>27.088030959999998</v>
      </c>
      <c r="I21" s="168">
        <f>IF(ISBLANK(F21),"",H21/F21)</f>
        <v>0.18163262748200593</v>
      </c>
    </row>
    <row r="22" spans="2:9" x14ac:dyDescent="0.25">
      <c r="B22" s="165" t="s">
        <v>47</v>
      </c>
      <c r="C22" s="166">
        <f>'Residential - R1 RPP (2)'!F10</f>
        <v>320</v>
      </c>
      <c r="D22" s="207"/>
      <c r="E22" s="159"/>
      <c r="F22" s="167">
        <f>'Residential - R1 RPP (2)'!H55</f>
        <v>75.782088492799986</v>
      </c>
      <c r="G22" s="167">
        <f>'Residential - R1 RPP (2)'!L55</f>
        <v>90.016160876799987</v>
      </c>
      <c r="H22" s="167">
        <f>G22-F22</f>
        <v>14.234072384000001</v>
      </c>
      <c r="I22" s="168">
        <f>IF(ISBLANK(F22),"",H22/F22)</f>
        <v>0.18782898000168433</v>
      </c>
    </row>
    <row r="23" spans="2:9" x14ac:dyDescent="0.25">
      <c r="B23" s="165" t="s">
        <v>108</v>
      </c>
      <c r="C23" s="166">
        <f>'Residential - R1 GS RPP'!F10</f>
        <v>2000</v>
      </c>
      <c r="D23" s="207"/>
      <c r="E23" s="159"/>
      <c r="F23" s="167">
        <f>'Residential - R1 GS RPP'!H55</f>
        <v>332.51707807999998</v>
      </c>
      <c r="G23" s="167">
        <f>'Residential - R1 GS RPP'!L55</f>
        <v>397.62100547999995</v>
      </c>
      <c r="H23" s="167">
        <f>G23-F23</f>
        <v>65.103927399999975</v>
      </c>
      <c r="I23" s="168">
        <f>IF(ISBLANK(F23),"",H23/F23)</f>
        <v>0.19579122905782506</v>
      </c>
    </row>
    <row r="24" spans="2:9" x14ac:dyDescent="0.25">
      <c r="B24" s="165" t="s">
        <v>56</v>
      </c>
      <c r="C24" s="166">
        <f>'Residential - R2'!F9</f>
        <v>90000</v>
      </c>
      <c r="D24" s="207">
        <f>'Residential - R2'!K9</f>
        <v>225</v>
      </c>
      <c r="E24" s="159"/>
      <c r="F24" s="167">
        <f>'Residential - R2'!H53</f>
        <v>15593.663506057501</v>
      </c>
      <c r="G24" s="167">
        <f>'Residential - R2'!L53</f>
        <v>14655.44688938</v>
      </c>
      <c r="H24" s="167">
        <f t="shared" ref="H24:H28" si="4">G24-F24</f>
        <v>-938.2166166775005</v>
      </c>
      <c r="I24" s="168">
        <f t="shared" ref="I24:I28" si="5">IF(ISBLANK(F24),"",H24/F24)</f>
        <v>-6.0166529585112677E-2</v>
      </c>
    </row>
    <row r="25" spans="2:9" x14ac:dyDescent="0.25">
      <c r="B25" s="165" t="s">
        <v>58</v>
      </c>
      <c r="C25" s="166">
        <f>'Seasonal RPP'!F10</f>
        <v>800</v>
      </c>
      <c r="D25" s="208"/>
      <c r="E25" s="159"/>
      <c r="F25" s="167">
        <f>'Seasonal RPP'!H58</f>
        <v>292.00877123199996</v>
      </c>
      <c r="G25" s="167">
        <f>'Seasonal RPP'!L58</f>
        <v>319.05640219199995</v>
      </c>
      <c r="H25" s="167">
        <f t="shared" si="4"/>
        <v>27.047630959999992</v>
      </c>
      <c r="I25" s="168">
        <f t="shared" si="5"/>
        <v>9.2626090805028399E-2</v>
      </c>
    </row>
    <row r="26" spans="2:9" x14ac:dyDescent="0.25">
      <c r="B26" s="165" t="s">
        <v>58</v>
      </c>
      <c r="C26" s="210">
        <f>'Seasonal RPP (2)'!F10</f>
        <v>205</v>
      </c>
      <c r="D26" s="211"/>
      <c r="E26" s="159"/>
      <c r="F26" s="212">
        <f>'Seasonal RPP (2)'!H58</f>
        <v>100.75179075319998</v>
      </c>
      <c r="G26" s="212">
        <f>'Seasonal RPP (2)'!L58</f>
        <v>114.4344130617</v>
      </c>
      <c r="H26" s="167">
        <f t="shared" ref="H26:H27" si="6">G26-F26</f>
        <v>13.682622308500015</v>
      </c>
      <c r="I26" s="168">
        <f t="shared" ref="I26:I27" si="7">IF(ISBLANK(F26),"",H26/F26)</f>
        <v>0.13580525175990921</v>
      </c>
    </row>
    <row r="27" spans="2:9" x14ac:dyDescent="0.25">
      <c r="B27" s="165" t="s">
        <v>58</v>
      </c>
      <c r="C27" s="210">
        <f>'Seasonal RPP (3)'!F10</f>
        <v>15</v>
      </c>
      <c r="D27" s="211"/>
      <c r="E27" s="159"/>
      <c r="F27" s="212">
        <f>'Seasonal RPP (3)'!H58</f>
        <v>39.672418835599998</v>
      </c>
      <c r="G27" s="212">
        <f>'Seasonal RPP (3)'!L58</f>
        <v>49.092937541100014</v>
      </c>
      <c r="H27" s="167">
        <f t="shared" si="6"/>
        <v>9.4205187055000152</v>
      </c>
      <c r="I27" s="168">
        <f t="shared" si="7"/>
        <v>0.23745763384224317</v>
      </c>
    </row>
    <row r="28" spans="2:9" ht="15.75" thickBot="1" x14ac:dyDescent="0.3">
      <c r="B28" s="173" t="s">
        <v>59</v>
      </c>
      <c r="C28" s="174">
        <f>'Street Lighting Non-RPP'!F9</f>
        <v>19056</v>
      </c>
      <c r="D28" s="209">
        <f>'Street Lighting Non-RPP'!K9</f>
        <v>62</v>
      </c>
      <c r="E28" s="175"/>
      <c r="F28" s="176">
        <f>'Street Lighting Non-RPP'!H53</f>
        <v>7299.148641069839</v>
      </c>
      <c r="G28" s="176">
        <f>'Street Lighting Non-RPP'!L53</f>
        <v>8024.4102377264408</v>
      </c>
      <c r="H28" s="176">
        <f t="shared" si="4"/>
        <v>725.2615966566018</v>
      </c>
      <c r="I28" s="177">
        <f t="shared" si="5"/>
        <v>9.9362491753599902E-2</v>
      </c>
    </row>
  </sheetData>
  <mergeCells count="11">
    <mergeCell ref="B3:I5"/>
    <mergeCell ref="B6:B7"/>
    <mergeCell ref="F6:I6"/>
    <mergeCell ref="F7:F8"/>
    <mergeCell ref="G7:G8"/>
    <mergeCell ref="H7:I7"/>
    <mergeCell ref="B18:B19"/>
    <mergeCell ref="F18:I18"/>
    <mergeCell ref="F19:F20"/>
    <mergeCell ref="G19:G20"/>
    <mergeCell ref="H19:I19"/>
  </mergeCells>
  <pageMargins left="0.7" right="0.7" top="0.75" bottom="0.75" header="0.3" footer="0.3"/>
  <pageSetup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opLeftCell="A64" zoomScaleNormal="100" workbookViewId="0">
      <selection activeCell="D80" sqref="D80"/>
    </sheetView>
  </sheetViews>
  <sheetFormatPr defaultRowHeight="15" x14ac:dyDescent="0.25"/>
  <cols>
    <col min="1" max="1" width="91.85546875" style="139" bestFit="1" customWidth="1"/>
    <col min="2" max="2" width="6.7109375" style="138" customWidth="1"/>
    <col min="3" max="3" width="2.5703125" style="138" customWidth="1"/>
    <col min="4" max="4" width="11.28515625" style="139" bestFit="1" customWidth="1"/>
    <col min="5" max="5" width="2.5703125" style="139" customWidth="1"/>
    <col min="6" max="6" width="10.85546875" style="139" customWidth="1"/>
    <col min="7" max="7" width="6" style="138" customWidth="1"/>
    <col min="8" max="16384" width="9.140625" style="139"/>
  </cols>
  <sheetData>
    <row r="1" spans="1:6" ht="38.25" x14ac:dyDescent="0.25">
      <c r="A1" s="135" t="s">
        <v>44</v>
      </c>
      <c r="B1" s="136" t="s">
        <v>70</v>
      </c>
      <c r="C1" s="136"/>
      <c r="D1" s="137" t="s">
        <v>45</v>
      </c>
      <c r="E1" s="136"/>
      <c r="F1" s="137" t="s">
        <v>46</v>
      </c>
    </row>
    <row r="2" spans="1:6" x14ac:dyDescent="0.25">
      <c r="A2" s="135" t="s">
        <v>47</v>
      </c>
      <c r="C2" s="140"/>
      <c r="D2" s="138"/>
      <c r="E2" s="140"/>
      <c r="F2" s="138"/>
    </row>
    <row r="3" spans="1:6" x14ac:dyDescent="0.25">
      <c r="A3" s="144" t="s">
        <v>17</v>
      </c>
      <c r="B3" s="145" t="s">
        <v>48</v>
      </c>
      <c r="C3" s="145"/>
      <c r="D3" s="146">
        <v>23.34</v>
      </c>
      <c r="E3" s="147"/>
      <c r="F3" s="146">
        <v>27.76</v>
      </c>
    </row>
    <row r="4" spans="1:6" x14ac:dyDescent="0.25">
      <c r="A4" s="144" t="s">
        <v>107</v>
      </c>
      <c r="B4" s="145" t="s">
        <v>48</v>
      </c>
      <c r="C4" s="145"/>
      <c r="D4" s="146">
        <v>23.34</v>
      </c>
      <c r="E4" s="147"/>
      <c r="F4" s="146">
        <v>23.76</v>
      </c>
    </row>
    <row r="5" spans="1:6" x14ac:dyDescent="0.25">
      <c r="A5" s="144" t="s">
        <v>19</v>
      </c>
      <c r="B5" s="145" t="s">
        <v>49</v>
      </c>
      <c r="C5" s="145"/>
      <c r="D5" s="148">
        <v>3.2800000000000003E-2</v>
      </c>
      <c r="E5" s="147"/>
      <c r="F5" s="148">
        <v>2.8799999999999999E-2</v>
      </c>
    </row>
    <row r="6" spans="1:6" x14ac:dyDescent="0.25">
      <c r="A6" s="144" t="s">
        <v>106</v>
      </c>
      <c r="B6" s="145" t="s">
        <v>49</v>
      </c>
      <c r="C6" s="145"/>
      <c r="D6" s="148">
        <v>3.2800000000000003E-2</v>
      </c>
      <c r="E6" s="147"/>
      <c r="F6" s="148">
        <v>3.3399999999999999E-2</v>
      </c>
    </row>
    <row r="7" spans="1:6" x14ac:dyDescent="0.25">
      <c r="A7" s="144" t="s">
        <v>90</v>
      </c>
      <c r="B7" s="145" t="s">
        <v>48</v>
      </c>
      <c r="C7" s="145"/>
      <c r="D7" s="146">
        <v>2.0499999999999998</v>
      </c>
      <c r="E7" s="147"/>
      <c r="F7" s="146">
        <v>0</v>
      </c>
    </row>
    <row r="8" spans="1:6" x14ac:dyDescent="0.25">
      <c r="A8" s="141" t="s">
        <v>92</v>
      </c>
      <c r="B8" s="145" t="s">
        <v>49</v>
      </c>
      <c r="C8" s="145"/>
      <c r="D8" s="148"/>
      <c r="E8" s="147"/>
      <c r="F8" s="148">
        <v>0</v>
      </c>
    </row>
    <row r="9" spans="1:6" x14ac:dyDescent="0.25">
      <c r="A9" s="141" t="s">
        <v>93</v>
      </c>
      <c r="B9" s="145" t="s">
        <v>49</v>
      </c>
      <c r="C9" s="145"/>
      <c r="D9" s="148"/>
      <c r="E9" s="147"/>
      <c r="F9" s="148">
        <v>0</v>
      </c>
    </row>
    <row r="10" spans="1:6" x14ac:dyDescent="0.25">
      <c r="A10" s="141"/>
      <c r="B10" s="145" t="s">
        <v>49</v>
      </c>
      <c r="C10" s="145"/>
      <c r="D10" s="148"/>
      <c r="E10" s="146"/>
      <c r="F10" s="148"/>
    </row>
    <row r="11" spans="1:6" x14ac:dyDescent="0.25">
      <c r="A11" s="141" t="s">
        <v>80</v>
      </c>
      <c r="B11" s="145" t="s">
        <v>49</v>
      </c>
      <c r="C11" s="145"/>
      <c r="D11" s="148">
        <v>-1.41E-2</v>
      </c>
      <c r="E11" s="146"/>
      <c r="F11" s="148"/>
    </row>
    <row r="12" spans="1:6" x14ac:dyDescent="0.25">
      <c r="A12" s="141" t="s">
        <v>82</v>
      </c>
      <c r="B12" s="145" t="s">
        <v>49</v>
      </c>
      <c r="C12" s="145"/>
      <c r="D12" s="148">
        <v>2.1899999999999999E-2</v>
      </c>
      <c r="E12" s="146"/>
      <c r="F12" s="148"/>
    </row>
    <row r="13" spans="1:6" x14ac:dyDescent="0.25">
      <c r="A13" s="141" t="s">
        <v>83</v>
      </c>
      <c r="B13" s="145" t="s">
        <v>49</v>
      </c>
      <c r="C13" s="145"/>
      <c r="D13" s="148">
        <v>2.0000000000000001E-4</v>
      </c>
      <c r="E13" s="146"/>
      <c r="F13" s="148"/>
    </row>
    <row r="14" spans="1:6" x14ac:dyDescent="0.25">
      <c r="A14" s="141" t="s">
        <v>84</v>
      </c>
      <c r="B14" s="145" t="s">
        <v>49</v>
      </c>
      <c r="C14" s="145"/>
      <c r="D14" s="148">
        <v>-1.9E-3</v>
      </c>
      <c r="E14" s="146"/>
      <c r="F14" s="148">
        <v>-1.9E-3</v>
      </c>
    </row>
    <row r="15" spans="1:6" x14ac:dyDescent="0.25">
      <c r="A15" s="144" t="s">
        <v>50</v>
      </c>
      <c r="B15" s="145" t="s">
        <v>49</v>
      </c>
      <c r="C15" s="145"/>
      <c r="D15" s="149">
        <v>7.1000000000000004E-3</v>
      </c>
      <c r="E15" s="150"/>
      <c r="F15" s="149">
        <v>7.0000000000000001E-3</v>
      </c>
    </row>
    <row r="16" spans="1:6" x14ac:dyDescent="0.25">
      <c r="A16" s="144" t="s">
        <v>51</v>
      </c>
      <c r="B16" s="145" t="s">
        <v>49</v>
      </c>
      <c r="C16" s="145"/>
      <c r="D16" s="149">
        <v>5.3E-3</v>
      </c>
      <c r="E16" s="151"/>
      <c r="F16" s="149">
        <v>5.1000000000000004E-3</v>
      </c>
    </row>
    <row r="17" spans="1:6" x14ac:dyDescent="0.25">
      <c r="A17" s="144" t="s">
        <v>52</v>
      </c>
      <c r="B17" s="145" t="s">
        <v>49</v>
      </c>
      <c r="C17" s="145"/>
      <c r="D17" s="148">
        <v>4.4000000000000003E-3</v>
      </c>
      <c r="E17" s="146"/>
      <c r="F17" s="148">
        <v>4.4000000000000003E-3</v>
      </c>
    </row>
    <row r="18" spans="1:6" x14ac:dyDescent="0.25">
      <c r="A18" s="144" t="s">
        <v>53</v>
      </c>
      <c r="B18" s="145" t="s">
        <v>49</v>
      </c>
      <c r="C18" s="145"/>
      <c r="D18" s="148">
        <v>1.2999999999999999E-3</v>
      </c>
      <c r="E18" s="148"/>
      <c r="F18" s="148">
        <v>1.2999999999999999E-3</v>
      </c>
    </row>
    <row r="19" spans="1:6" x14ac:dyDescent="0.25">
      <c r="A19" s="144" t="s">
        <v>54</v>
      </c>
      <c r="B19" s="145" t="s">
        <v>48</v>
      </c>
      <c r="C19" s="145"/>
      <c r="D19" s="146">
        <v>0.79</v>
      </c>
      <c r="E19" s="148"/>
      <c r="F19" s="146">
        <v>0.79</v>
      </c>
    </row>
    <row r="20" spans="1:6" x14ac:dyDescent="0.25">
      <c r="A20" s="141" t="s">
        <v>55</v>
      </c>
      <c r="B20" s="145" t="s">
        <v>48</v>
      </c>
      <c r="C20" s="145"/>
      <c r="D20" s="146">
        <v>0.25</v>
      </c>
      <c r="E20" s="146"/>
      <c r="F20" s="146">
        <v>0.25</v>
      </c>
    </row>
    <row r="21" spans="1:6" x14ac:dyDescent="0.25">
      <c r="B21" s="145"/>
      <c r="C21" s="145"/>
      <c r="D21" s="144"/>
      <c r="E21" s="144"/>
      <c r="F21" s="144"/>
    </row>
    <row r="22" spans="1:6" x14ac:dyDescent="0.25">
      <c r="A22" s="135" t="s">
        <v>56</v>
      </c>
      <c r="B22" s="145"/>
      <c r="C22" s="145"/>
      <c r="D22" s="144"/>
      <c r="E22" s="144"/>
      <c r="F22" s="144"/>
    </row>
    <row r="23" spans="1:6" x14ac:dyDescent="0.25">
      <c r="A23" s="144" t="s">
        <v>17</v>
      </c>
      <c r="B23" s="145" t="s">
        <v>48</v>
      </c>
      <c r="C23" s="145"/>
      <c r="D23" s="146">
        <v>600.83000000000004</v>
      </c>
      <c r="E23" s="147"/>
      <c r="F23" s="146">
        <v>611.64</v>
      </c>
    </row>
    <row r="24" spans="1:6" x14ac:dyDescent="0.25">
      <c r="A24" s="144" t="s">
        <v>19</v>
      </c>
      <c r="B24" s="145" t="s">
        <v>57</v>
      </c>
      <c r="C24" s="145"/>
      <c r="D24" s="148">
        <v>3.1131000000000002</v>
      </c>
      <c r="E24" s="147"/>
      <c r="F24" s="148">
        <v>3.1690999999999998</v>
      </c>
    </row>
    <row r="25" spans="1:6" x14ac:dyDescent="0.25">
      <c r="A25" s="141" t="s">
        <v>92</v>
      </c>
      <c r="B25" s="145" t="s">
        <v>57</v>
      </c>
      <c r="C25" s="145"/>
      <c r="D25" s="148">
        <v>0</v>
      </c>
      <c r="E25" s="147"/>
      <c r="F25" s="148">
        <v>0</v>
      </c>
    </row>
    <row r="26" spans="1:6" x14ac:dyDescent="0.25">
      <c r="A26" s="141" t="s">
        <v>93</v>
      </c>
      <c r="B26" s="145" t="s">
        <v>57</v>
      </c>
      <c r="C26" s="145"/>
      <c r="D26" s="148">
        <v>0</v>
      </c>
      <c r="E26" s="147"/>
      <c r="F26" s="148">
        <v>0</v>
      </c>
    </row>
    <row r="27" spans="1:6" x14ac:dyDescent="0.25">
      <c r="A27" s="144" t="s">
        <v>91</v>
      </c>
      <c r="B27" s="145" t="s">
        <v>57</v>
      </c>
      <c r="C27" s="145"/>
      <c r="D27" s="148">
        <v>3.5000000000000001E-3</v>
      </c>
      <c r="E27" s="147"/>
      <c r="F27" s="148">
        <v>0</v>
      </c>
    </row>
    <row r="28" spans="1:6" x14ac:dyDescent="0.25">
      <c r="A28" s="141"/>
      <c r="B28" s="145" t="s">
        <v>57</v>
      </c>
      <c r="C28" s="145"/>
      <c r="D28" s="148">
        <v>0</v>
      </c>
      <c r="E28" s="146"/>
      <c r="F28" s="148">
        <v>0</v>
      </c>
    </row>
    <row r="29" spans="1:6" x14ac:dyDescent="0.25">
      <c r="A29" s="141" t="s">
        <v>80</v>
      </c>
      <c r="B29" s="145" t="s">
        <v>57</v>
      </c>
      <c r="C29" s="145"/>
      <c r="D29" s="148">
        <v>-5.8936999999999999</v>
      </c>
      <c r="E29" s="146"/>
      <c r="F29" s="148">
        <v>0</v>
      </c>
    </row>
    <row r="30" spans="1:6" x14ac:dyDescent="0.25">
      <c r="A30" s="141" t="s">
        <v>82</v>
      </c>
      <c r="B30" s="145" t="s">
        <v>57</v>
      </c>
      <c r="C30" s="145"/>
      <c r="D30" s="148">
        <v>9.1750000000000007</v>
      </c>
      <c r="E30" s="146"/>
      <c r="F30" s="148">
        <v>0</v>
      </c>
    </row>
    <row r="31" spans="1:6" x14ac:dyDescent="0.25">
      <c r="A31" s="141" t="s">
        <v>83</v>
      </c>
      <c r="B31" s="145" t="s">
        <v>57</v>
      </c>
      <c r="C31" s="145"/>
      <c r="D31" s="148">
        <v>3.2000000000000002E-3</v>
      </c>
      <c r="E31" s="146"/>
      <c r="F31" s="148">
        <v>0</v>
      </c>
    </row>
    <row r="32" spans="1:6" x14ac:dyDescent="0.25">
      <c r="A32" s="141" t="s">
        <v>84</v>
      </c>
      <c r="B32" s="145" t="s">
        <v>57</v>
      </c>
      <c r="C32" s="145"/>
      <c r="D32" s="148">
        <v>-0.80100000000000005</v>
      </c>
      <c r="E32" s="146"/>
      <c r="F32" s="148">
        <v>-0.80100000000000005</v>
      </c>
    </row>
    <row r="33" spans="1:6" x14ac:dyDescent="0.25">
      <c r="A33" s="144" t="s">
        <v>50</v>
      </c>
      <c r="B33" s="145" t="s">
        <v>57</v>
      </c>
      <c r="C33" s="145"/>
      <c r="D33" s="149">
        <v>2.7479</v>
      </c>
      <c r="E33" s="150"/>
      <c r="F33" s="149">
        <v>2.6924000000000001</v>
      </c>
    </row>
    <row r="34" spans="1:6" x14ac:dyDescent="0.25">
      <c r="A34" s="144" t="s">
        <v>51</v>
      </c>
      <c r="B34" s="145" t="s">
        <v>57</v>
      </c>
      <c r="C34" s="145"/>
      <c r="D34" s="149">
        <v>1.9867999999999999</v>
      </c>
      <c r="E34" s="151"/>
      <c r="F34" s="149">
        <v>1.9084000000000001</v>
      </c>
    </row>
    <row r="35" spans="1:6" x14ac:dyDescent="0.25">
      <c r="A35" s="144" t="s">
        <v>52</v>
      </c>
      <c r="B35" s="145" t="s">
        <v>49</v>
      </c>
      <c r="C35" s="145"/>
      <c r="D35" s="148">
        <v>4.4000000000000003E-3</v>
      </c>
      <c r="E35" s="146"/>
      <c r="F35" s="148">
        <v>4.4000000000000003E-3</v>
      </c>
    </row>
    <row r="36" spans="1:6" x14ac:dyDescent="0.25">
      <c r="A36" s="144" t="s">
        <v>53</v>
      </c>
      <c r="B36" s="145" t="s">
        <v>49</v>
      </c>
      <c r="C36" s="145"/>
      <c r="D36" s="148">
        <v>1.2999999999999999E-3</v>
      </c>
      <c r="E36" s="148"/>
      <c r="F36" s="148">
        <v>1.2999999999999999E-3</v>
      </c>
    </row>
    <row r="37" spans="1:6" x14ac:dyDescent="0.25">
      <c r="A37" s="141" t="s">
        <v>55</v>
      </c>
      <c r="B37" s="145" t="s">
        <v>48</v>
      </c>
      <c r="C37" s="145"/>
      <c r="D37" s="146">
        <v>0.25</v>
      </c>
      <c r="E37" s="146"/>
      <c r="F37" s="146">
        <v>0.25</v>
      </c>
    </row>
    <row r="38" spans="1:6" x14ac:dyDescent="0.25">
      <c r="B38" s="145"/>
      <c r="C38" s="145"/>
      <c r="D38" s="144"/>
      <c r="E38" s="144"/>
      <c r="F38" s="144"/>
    </row>
    <row r="39" spans="1:6" x14ac:dyDescent="0.25">
      <c r="A39" s="135" t="s">
        <v>58</v>
      </c>
      <c r="B39" s="145"/>
      <c r="C39" s="145"/>
      <c r="D39" s="144"/>
      <c r="E39" s="144"/>
      <c r="F39" s="144"/>
    </row>
    <row r="40" spans="1:6" x14ac:dyDescent="0.25">
      <c r="A40" s="144" t="s">
        <v>17</v>
      </c>
      <c r="B40" s="145" t="s">
        <v>48</v>
      </c>
      <c r="C40" s="145"/>
      <c r="D40" s="146">
        <v>27.15</v>
      </c>
      <c r="E40" s="147"/>
      <c r="F40" s="146">
        <v>34.270000000000003</v>
      </c>
    </row>
    <row r="41" spans="1:6" x14ac:dyDescent="0.25">
      <c r="A41" s="144" t="s">
        <v>19</v>
      </c>
      <c r="B41" s="145" t="s">
        <v>49</v>
      </c>
      <c r="C41" s="145"/>
      <c r="D41" s="148">
        <v>0.1462</v>
      </c>
      <c r="E41" s="147"/>
      <c r="F41" s="148">
        <v>0.14349999999999999</v>
      </c>
    </row>
    <row r="42" spans="1:6" x14ac:dyDescent="0.25">
      <c r="A42" s="141" t="s">
        <v>92</v>
      </c>
      <c r="B42" s="145" t="s">
        <v>49</v>
      </c>
      <c r="C42" s="145"/>
      <c r="D42" s="148">
        <v>0</v>
      </c>
      <c r="E42" s="147"/>
      <c r="F42" s="148">
        <v>0</v>
      </c>
    </row>
    <row r="43" spans="1:6" x14ac:dyDescent="0.25">
      <c r="A43" s="141" t="s">
        <v>93</v>
      </c>
      <c r="B43" s="145" t="s">
        <v>49</v>
      </c>
      <c r="C43" s="145"/>
      <c r="D43" s="148">
        <v>0</v>
      </c>
      <c r="E43" s="147"/>
      <c r="F43" s="148">
        <v>0</v>
      </c>
    </row>
    <row r="44" spans="1:6" x14ac:dyDescent="0.25">
      <c r="A44" s="144" t="s">
        <v>91</v>
      </c>
      <c r="B44" s="145" t="s">
        <v>49</v>
      </c>
      <c r="C44" s="145"/>
      <c r="D44" s="148">
        <v>4.1000000000000003E-3</v>
      </c>
      <c r="E44" s="147"/>
      <c r="F44" s="148">
        <v>0</v>
      </c>
    </row>
    <row r="45" spans="1:6" x14ac:dyDescent="0.25">
      <c r="A45" s="141" t="s">
        <v>81</v>
      </c>
      <c r="B45" s="145" t="s">
        <v>49</v>
      </c>
      <c r="C45" s="145"/>
      <c r="D45" s="149">
        <v>3.0700000000000002E-2</v>
      </c>
      <c r="E45" s="144"/>
      <c r="F45" s="149">
        <v>3.0700000000000002E-2</v>
      </c>
    </row>
    <row r="46" spans="1:6" x14ac:dyDescent="0.25">
      <c r="A46" s="141" t="s">
        <v>69</v>
      </c>
      <c r="B46" s="145" t="s">
        <v>48</v>
      </c>
      <c r="C46" s="145"/>
      <c r="D46" s="146">
        <v>3.57</v>
      </c>
      <c r="E46" s="144"/>
      <c r="F46" s="146">
        <v>3.57</v>
      </c>
    </row>
    <row r="47" spans="1:6" x14ac:dyDescent="0.25">
      <c r="A47" s="141"/>
      <c r="B47" s="145" t="s">
        <v>48</v>
      </c>
      <c r="C47" s="145"/>
      <c r="D47" s="146">
        <v>0</v>
      </c>
      <c r="E47" s="144"/>
      <c r="F47" s="146">
        <v>0</v>
      </c>
    </row>
    <row r="48" spans="1:6" x14ac:dyDescent="0.25">
      <c r="A48" s="141" t="s">
        <v>90</v>
      </c>
      <c r="B48" s="145" t="s">
        <v>48</v>
      </c>
      <c r="C48" s="145"/>
      <c r="D48" s="146">
        <v>2.5099999999999998</v>
      </c>
      <c r="E48" s="144"/>
      <c r="F48" s="146">
        <v>0</v>
      </c>
    </row>
    <row r="49" spans="1:6" x14ac:dyDescent="0.25">
      <c r="A49" s="141"/>
      <c r="B49" s="145" t="s">
        <v>49</v>
      </c>
      <c r="C49" s="145"/>
      <c r="D49" s="148">
        <v>0</v>
      </c>
      <c r="E49" s="146"/>
      <c r="F49" s="148">
        <v>0</v>
      </c>
    </row>
    <row r="50" spans="1:6" x14ac:dyDescent="0.25">
      <c r="A50" s="141" t="s">
        <v>80</v>
      </c>
      <c r="B50" s="145" t="s">
        <v>49</v>
      </c>
      <c r="C50" s="145"/>
      <c r="D50" s="148">
        <v>-1.41E-2</v>
      </c>
      <c r="E50" s="146"/>
      <c r="F50" s="148"/>
    </row>
    <row r="51" spans="1:6" x14ac:dyDescent="0.25">
      <c r="A51" s="141" t="s">
        <v>82</v>
      </c>
      <c r="B51" s="145" t="s">
        <v>49</v>
      </c>
      <c r="C51" s="145"/>
      <c r="D51" s="148">
        <v>2.1899999999999999E-2</v>
      </c>
      <c r="E51" s="146"/>
      <c r="F51" s="148"/>
    </row>
    <row r="52" spans="1:6" x14ac:dyDescent="0.25">
      <c r="A52" s="141" t="s">
        <v>83</v>
      </c>
      <c r="B52" s="145" t="s">
        <v>49</v>
      </c>
      <c r="C52" s="145"/>
      <c r="D52" s="148">
        <v>0</v>
      </c>
      <c r="E52" s="146"/>
      <c r="F52" s="148">
        <v>0</v>
      </c>
    </row>
    <row r="53" spans="1:6" x14ac:dyDescent="0.25">
      <c r="A53" s="141" t="s">
        <v>84</v>
      </c>
      <c r="B53" s="145" t="s">
        <v>49</v>
      </c>
      <c r="C53" s="145"/>
      <c r="D53" s="148">
        <v>-1.9E-3</v>
      </c>
      <c r="E53" s="146"/>
      <c r="F53" s="148">
        <v>-1.9E-3</v>
      </c>
    </row>
    <row r="54" spans="1:6" x14ac:dyDescent="0.25">
      <c r="A54" s="144" t="s">
        <v>50</v>
      </c>
      <c r="B54" s="145" t="s">
        <v>49</v>
      </c>
      <c r="C54" s="145"/>
      <c r="D54" s="149">
        <v>7.1000000000000004E-3</v>
      </c>
      <c r="E54" s="150"/>
      <c r="F54" s="149">
        <v>7.0000000000000001E-3</v>
      </c>
    </row>
    <row r="55" spans="1:6" x14ac:dyDescent="0.25">
      <c r="A55" s="144" t="s">
        <v>51</v>
      </c>
      <c r="B55" s="145" t="s">
        <v>49</v>
      </c>
      <c r="C55" s="145"/>
      <c r="D55" s="149">
        <v>5.3E-3</v>
      </c>
      <c r="E55" s="151"/>
      <c r="F55" s="149">
        <v>5.1000000000000004E-3</v>
      </c>
    </row>
    <row r="56" spans="1:6" x14ac:dyDescent="0.25">
      <c r="A56" s="144" t="s">
        <v>52</v>
      </c>
      <c r="B56" s="145" t="s">
        <v>49</v>
      </c>
      <c r="C56" s="145"/>
      <c r="D56" s="148">
        <v>4.4000000000000003E-3</v>
      </c>
      <c r="E56" s="146"/>
      <c r="F56" s="148">
        <v>4.4000000000000003E-3</v>
      </c>
    </row>
    <row r="57" spans="1:6" x14ac:dyDescent="0.25">
      <c r="A57" s="144" t="s">
        <v>53</v>
      </c>
      <c r="B57" s="145" t="s">
        <v>49</v>
      </c>
      <c r="C57" s="145"/>
      <c r="D57" s="148">
        <v>1.2999999999999999E-3</v>
      </c>
      <c r="E57" s="148"/>
      <c r="F57" s="148">
        <v>1.2999999999999999E-3</v>
      </c>
    </row>
    <row r="58" spans="1:6" x14ac:dyDescent="0.25">
      <c r="A58" s="144" t="s">
        <v>54</v>
      </c>
      <c r="B58" s="145" t="s">
        <v>48</v>
      </c>
      <c r="C58" s="145"/>
      <c r="D58" s="146">
        <v>0.79</v>
      </c>
      <c r="E58" s="148"/>
      <c r="F58" s="146">
        <v>0.79</v>
      </c>
    </row>
    <row r="59" spans="1:6" x14ac:dyDescent="0.25">
      <c r="A59" s="141" t="s">
        <v>55</v>
      </c>
      <c r="B59" s="145" t="s">
        <v>48</v>
      </c>
      <c r="C59" s="145"/>
      <c r="D59" s="146">
        <v>0.25</v>
      </c>
      <c r="E59" s="146"/>
      <c r="F59" s="146">
        <v>0.25</v>
      </c>
    </row>
    <row r="60" spans="1:6" x14ac:dyDescent="0.25">
      <c r="B60" s="145"/>
      <c r="C60" s="145"/>
      <c r="D60" s="144"/>
      <c r="E60" s="144"/>
      <c r="F60" s="144"/>
    </row>
    <row r="61" spans="1:6" x14ac:dyDescent="0.25">
      <c r="A61" s="135" t="s">
        <v>59</v>
      </c>
      <c r="B61" s="145"/>
      <c r="C61" s="145"/>
      <c r="D61" s="145"/>
      <c r="E61" s="144"/>
      <c r="F61" s="145"/>
    </row>
    <row r="62" spans="1:6" x14ac:dyDescent="0.25">
      <c r="A62" s="144" t="s">
        <v>17</v>
      </c>
      <c r="B62" s="145" t="s">
        <v>48</v>
      </c>
      <c r="C62" s="145"/>
      <c r="D62" s="146">
        <v>1.1000000000000001</v>
      </c>
      <c r="E62" s="147"/>
      <c r="F62" s="146">
        <v>1.34</v>
      </c>
    </row>
    <row r="63" spans="1:6" x14ac:dyDescent="0.25">
      <c r="A63" s="144" t="s">
        <v>19</v>
      </c>
      <c r="B63" s="145" t="s">
        <v>49</v>
      </c>
      <c r="C63" s="145"/>
      <c r="D63" s="148">
        <v>0.1767</v>
      </c>
      <c r="E63" s="147"/>
      <c r="F63" s="148">
        <v>0.21640000000000001</v>
      </c>
    </row>
    <row r="64" spans="1:6" x14ac:dyDescent="0.25">
      <c r="A64" s="141" t="s">
        <v>92</v>
      </c>
      <c r="B64" s="145" t="s">
        <v>49</v>
      </c>
      <c r="C64" s="145"/>
      <c r="D64" s="148">
        <v>0</v>
      </c>
      <c r="E64" s="147"/>
      <c r="F64" s="148">
        <v>0</v>
      </c>
    </row>
    <row r="65" spans="1:6" x14ac:dyDescent="0.25">
      <c r="A65" s="141" t="s">
        <v>93</v>
      </c>
      <c r="B65" s="145" t="s">
        <v>49</v>
      </c>
      <c r="C65" s="145"/>
      <c r="D65" s="148">
        <v>0</v>
      </c>
      <c r="E65" s="147"/>
      <c r="F65" s="148">
        <v>0</v>
      </c>
    </row>
    <row r="66" spans="1:6" x14ac:dyDescent="0.25">
      <c r="A66" s="144" t="s">
        <v>91</v>
      </c>
      <c r="B66" s="145" t="s">
        <v>49</v>
      </c>
      <c r="C66" s="145"/>
      <c r="D66" s="148">
        <v>1.9E-3</v>
      </c>
      <c r="E66" s="147"/>
      <c r="F66" s="148">
        <v>0</v>
      </c>
    </row>
    <row r="67" spans="1:6" x14ac:dyDescent="0.25">
      <c r="A67" s="141"/>
      <c r="B67" s="145" t="s">
        <v>49</v>
      </c>
      <c r="C67" s="145"/>
      <c r="D67" s="148">
        <v>0</v>
      </c>
      <c r="E67" s="147"/>
      <c r="F67" s="148">
        <v>0</v>
      </c>
    </row>
    <row r="68" spans="1:6" x14ac:dyDescent="0.25">
      <c r="A68" s="141" t="s">
        <v>80</v>
      </c>
      <c r="B68" s="145" t="s">
        <v>49</v>
      </c>
      <c r="C68" s="145"/>
      <c r="D68" s="148">
        <v>-1.41E-2</v>
      </c>
      <c r="E68" s="147"/>
      <c r="F68" s="148">
        <v>0</v>
      </c>
    </row>
    <row r="69" spans="1:6" x14ac:dyDescent="0.25">
      <c r="A69" s="141" t="s">
        <v>82</v>
      </c>
      <c r="B69" s="145" t="s">
        <v>49</v>
      </c>
      <c r="C69" s="145"/>
      <c r="D69" s="148">
        <v>2.1899999999999999E-2</v>
      </c>
      <c r="E69" s="147"/>
      <c r="F69" s="148">
        <v>0</v>
      </c>
    </row>
    <row r="70" spans="1:6" x14ac:dyDescent="0.25">
      <c r="A70" s="141" t="s">
        <v>83</v>
      </c>
      <c r="B70" s="145" t="s">
        <v>49</v>
      </c>
      <c r="C70" s="145"/>
      <c r="D70" s="148">
        <v>0</v>
      </c>
      <c r="E70" s="147"/>
      <c r="F70" s="148">
        <v>0</v>
      </c>
    </row>
    <row r="71" spans="1:6" x14ac:dyDescent="0.25">
      <c r="A71" s="141" t="s">
        <v>84</v>
      </c>
      <c r="B71" s="145" t="s">
        <v>49</v>
      </c>
      <c r="C71" s="145"/>
      <c r="D71" s="148">
        <v>-1.9E-3</v>
      </c>
      <c r="E71" s="147"/>
      <c r="F71" s="148">
        <v>-1.9E-3</v>
      </c>
    </row>
    <row r="72" spans="1:6" x14ac:dyDescent="0.25">
      <c r="A72" s="144" t="s">
        <v>50</v>
      </c>
      <c r="B72" s="145" t="s">
        <v>57</v>
      </c>
      <c r="C72" s="145"/>
      <c r="D72" s="149">
        <v>1.9898</v>
      </c>
      <c r="E72" s="150"/>
      <c r="F72" s="149">
        <v>1.9496</v>
      </c>
    </row>
    <row r="73" spans="1:6" x14ac:dyDescent="0.25">
      <c r="A73" s="144" t="s">
        <v>51</v>
      </c>
      <c r="B73" s="145" t="s">
        <v>57</v>
      </c>
      <c r="C73" s="145"/>
      <c r="D73" s="149">
        <v>1.4332</v>
      </c>
      <c r="E73" s="151"/>
      <c r="F73" s="149">
        <v>1.3767</v>
      </c>
    </row>
    <row r="74" spans="1:6" x14ac:dyDescent="0.25">
      <c r="A74" s="144" t="s">
        <v>52</v>
      </c>
      <c r="B74" s="145" t="s">
        <v>49</v>
      </c>
      <c r="C74" s="145"/>
      <c r="D74" s="148">
        <v>4.4000000000000003E-3</v>
      </c>
      <c r="E74" s="146"/>
      <c r="F74" s="148">
        <v>4.4000000000000003E-3</v>
      </c>
    </row>
    <row r="75" spans="1:6" x14ac:dyDescent="0.25">
      <c r="A75" s="144" t="s">
        <v>53</v>
      </c>
      <c r="B75" s="145" t="s">
        <v>49</v>
      </c>
      <c r="C75" s="145"/>
      <c r="D75" s="148">
        <v>1.2999999999999999E-3</v>
      </c>
      <c r="E75" s="148"/>
      <c r="F75" s="148">
        <v>1.2999999999999999E-3</v>
      </c>
    </row>
    <row r="76" spans="1:6" x14ac:dyDescent="0.25">
      <c r="A76" s="141" t="s">
        <v>55</v>
      </c>
      <c r="B76" s="145" t="s">
        <v>48</v>
      </c>
      <c r="C76" s="145"/>
      <c r="D76" s="146">
        <v>0.25</v>
      </c>
      <c r="E76" s="146"/>
      <c r="F76" s="146">
        <v>0.25</v>
      </c>
    </row>
    <row r="77" spans="1:6" x14ac:dyDescent="0.25">
      <c r="B77" s="145"/>
      <c r="C77" s="145"/>
      <c r="D77" s="144"/>
      <c r="E77" s="144"/>
      <c r="F77" s="144"/>
    </row>
    <row r="78" spans="1:6" x14ac:dyDescent="0.25">
      <c r="A78" s="135" t="s">
        <v>60</v>
      </c>
      <c r="B78" s="145"/>
      <c r="C78" s="145"/>
      <c r="D78" s="144"/>
      <c r="E78" s="144"/>
      <c r="F78" s="144"/>
    </row>
    <row r="79" spans="1:6" x14ac:dyDescent="0.25">
      <c r="A79" s="139" t="s">
        <v>61</v>
      </c>
      <c r="B79" s="145" t="s">
        <v>49</v>
      </c>
      <c r="C79" s="145"/>
      <c r="D79" s="148">
        <v>2E-3</v>
      </c>
      <c r="E79" s="144"/>
      <c r="F79" s="148">
        <v>0</v>
      </c>
    </row>
    <row r="80" spans="1:6" x14ac:dyDescent="0.25">
      <c r="A80" s="178" t="s">
        <v>111</v>
      </c>
      <c r="B80" s="145" t="s">
        <v>49</v>
      </c>
      <c r="C80" s="145"/>
      <c r="D80" s="148">
        <v>0</v>
      </c>
      <c r="E80" s="144"/>
      <c r="F80" s="148">
        <v>1.1000000000000001E-3</v>
      </c>
    </row>
    <row r="81" spans="1:6" x14ac:dyDescent="0.25">
      <c r="A81" s="139" t="s">
        <v>62</v>
      </c>
      <c r="B81" s="145" t="s">
        <v>49</v>
      </c>
      <c r="C81" s="145"/>
      <c r="D81" s="148">
        <v>8.3000000000000004E-2</v>
      </c>
      <c r="E81" s="144"/>
      <c r="F81" s="148">
        <v>8.3000000000000004E-2</v>
      </c>
    </row>
    <row r="82" spans="1:6" x14ac:dyDescent="0.25">
      <c r="A82" s="139" t="s">
        <v>63</v>
      </c>
      <c r="B82" s="145" t="s">
        <v>49</v>
      </c>
      <c r="C82" s="145"/>
      <c r="D82" s="148">
        <v>9.7000000000000003E-2</v>
      </c>
      <c r="E82" s="144"/>
      <c r="F82" s="148">
        <v>9.7000000000000003E-2</v>
      </c>
    </row>
    <row r="83" spans="1:6" x14ac:dyDescent="0.25">
      <c r="B83" s="139"/>
      <c r="C83" s="145"/>
      <c r="D83" s="148"/>
      <c r="E83" s="144"/>
      <c r="F83" s="148"/>
    </row>
    <row r="84" spans="1:6" x14ac:dyDescent="0.25">
      <c r="A84" s="135" t="s">
        <v>64</v>
      </c>
      <c r="B84" s="145"/>
      <c r="C84" s="145"/>
      <c r="D84" s="144"/>
      <c r="E84" s="146"/>
      <c r="F84" s="144"/>
    </row>
    <row r="85" spans="1:6" x14ac:dyDescent="0.25">
      <c r="A85" s="139" t="s">
        <v>65</v>
      </c>
      <c r="B85" s="145" t="s">
        <v>66</v>
      </c>
      <c r="C85" s="145"/>
      <c r="D85" s="148">
        <v>9.1700000000000004E-2</v>
      </c>
      <c r="E85" s="144"/>
      <c r="F85" s="148">
        <v>9.1700000000000004E-2</v>
      </c>
    </row>
    <row r="86" spans="1:6" x14ac:dyDescent="0.25">
      <c r="B86" s="145"/>
      <c r="C86" s="145"/>
      <c r="D86" s="144"/>
      <c r="E86" s="144"/>
      <c r="F86" s="144"/>
    </row>
    <row r="87" spans="1:6" x14ac:dyDescent="0.25">
      <c r="A87" s="135" t="s">
        <v>4</v>
      </c>
      <c r="B87" s="145"/>
      <c r="C87" s="145"/>
      <c r="D87" s="144"/>
      <c r="E87" s="144"/>
      <c r="F87" s="144"/>
    </row>
    <row r="88" spans="1:6" x14ac:dyDescent="0.25">
      <c r="A88" s="139" t="s">
        <v>34</v>
      </c>
      <c r="B88" s="145" t="s">
        <v>49</v>
      </c>
      <c r="C88" s="145"/>
      <c r="D88" s="155">
        <v>0.08</v>
      </c>
      <c r="E88" s="144"/>
      <c r="F88" s="155">
        <v>0.08</v>
      </c>
    </row>
    <row r="89" spans="1:6" x14ac:dyDescent="0.25">
      <c r="A89" s="139" t="s">
        <v>35</v>
      </c>
      <c r="B89" s="145" t="s">
        <v>49</v>
      </c>
      <c r="C89" s="145"/>
      <c r="D89" s="155">
        <v>0.122</v>
      </c>
      <c r="E89" s="144"/>
      <c r="F89" s="155">
        <v>0.122</v>
      </c>
    </row>
    <row r="90" spans="1:6" x14ac:dyDescent="0.25">
      <c r="A90" s="139" t="s">
        <v>36</v>
      </c>
      <c r="B90" s="145" t="s">
        <v>49</v>
      </c>
      <c r="C90" s="145"/>
      <c r="D90" s="155">
        <v>0.161</v>
      </c>
      <c r="E90" s="144"/>
      <c r="F90" s="155">
        <v>0.161</v>
      </c>
    </row>
    <row r="91" spans="1:6" x14ac:dyDescent="0.25">
      <c r="B91" s="145"/>
      <c r="C91" s="145"/>
      <c r="D91" s="144"/>
      <c r="E91" s="144"/>
      <c r="F91" s="144"/>
    </row>
    <row r="92" spans="1:6" x14ac:dyDescent="0.25">
      <c r="A92" s="139" t="s">
        <v>74</v>
      </c>
      <c r="B92" s="145" t="s">
        <v>49</v>
      </c>
      <c r="C92" s="145"/>
      <c r="D92" s="155">
        <f>(D88*0.64)+(D89*0.18)+(D90*0.18)</f>
        <v>0.10214000000000001</v>
      </c>
      <c r="E92" s="144"/>
      <c r="F92" s="155">
        <f>(F88*0.64)+(F89*0.18)+(F90*0.18)</f>
        <v>0.10214000000000001</v>
      </c>
    </row>
    <row r="93" spans="1:6" x14ac:dyDescent="0.25">
      <c r="A93" s="139" t="s">
        <v>75</v>
      </c>
      <c r="B93" s="145" t="s">
        <v>49</v>
      </c>
      <c r="C93" s="145"/>
      <c r="D93" s="155">
        <f>D92</f>
        <v>0.10214000000000001</v>
      </c>
      <c r="E93" s="144"/>
      <c r="F93" s="155">
        <f>F92</f>
        <v>0.10214000000000001</v>
      </c>
    </row>
    <row r="94" spans="1:6" x14ac:dyDescent="0.25">
      <c r="B94" s="145"/>
      <c r="C94" s="145"/>
      <c r="D94" s="144"/>
      <c r="E94" s="144"/>
      <c r="F94" s="144"/>
    </row>
    <row r="95" spans="1:6" x14ac:dyDescent="0.25">
      <c r="B95" s="152"/>
      <c r="C95" s="152"/>
      <c r="D95" s="143"/>
      <c r="E95" s="143"/>
      <c r="F95" s="143"/>
    </row>
    <row r="96" spans="1:6" x14ac:dyDescent="0.25">
      <c r="B96" s="152"/>
      <c r="C96" s="152"/>
      <c r="D96" s="143"/>
      <c r="E96" s="143"/>
      <c r="F96" s="143"/>
    </row>
    <row r="97" spans="2:6" x14ac:dyDescent="0.25">
      <c r="B97" s="152"/>
      <c r="C97" s="152"/>
      <c r="D97" s="143"/>
      <c r="E97" s="143"/>
      <c r="F97" s="143"/>
    </row>
  </sheetData>
  <pageMargins left="0.7" right="0.7" top="0.75" bottom="0.75" header="0.3" footer="0.3"/>
  <pageSetup scale="73" fitToHeight="0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59"/>
  <sheetViews>
    <sheetView showGridLines="0" zoomScaleNormal="100" workbookViewId="0">
      <selection activeCell="L46" sqref="L46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86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800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Rates!D3</f>
        <v>23.34</v>
      </c>
      <c r="G15" s="20">
        <v>1</v>
      </c>
      <c r="H15" s="21">
        <f>G15*F15</f>
        <v>23.34</v>
      </c>
      <c r="I15" s="22"/>
      <c r="J15" s="23">
        <f>Rates!F3</f>
        <v>27.76</v>
      </c>
      <c r="K15" s="24">
        <v>1</v>
      </c>
      <c r="L15" s="21">
        <f>K15*J15</f>
        <v>27.76</v>
      </c>
      <c r="M15" s="22"/>
      <c r="N15" s="25">
        <f>L15-H15</f>
        <v>4.4200000000000017</v>
      </c>
      <c r="O15" s="26">
        <f>IF((H15)=0,"",(N15/H15))</f>
        <v>0.18937446443873188</v>
      </c>
    </row>
    <row r="16" spans="2:16" x14ac:dyDescent="0.25">
      <c r="B16" s="27"/>
      <c r="C16" s="16"/>
      <c r="D16" s="17"/>
      <c r="E16" s="18"/>
      <c r="F16" s="19"/>
      <c r="G16" s="20">
        <v>1</v>
      </c>
      <c r="H16" s="21">
        <f t="shared" ref="H16:H29" si="0">G16*F16</f>
        <v>0</v>
      </c>
      <c r="I16" s="22"/>
      <c r="J16" s="23"/>
      <c r="K16" s="24">
        <v>1</v>
      </c>
      <c r="L16" s="21">
        <f t="shared" ref="L16:L29" si="1">K16*J16</f>
        <v>0</v>
      </c>
      <c r="M16" s="22"/>
      <c r="N16" s="25">
        <f t="shared" ref="N16:N30" si="2">L16-H16</f>
        <v>0</v>
      </c>
      <c r="O16" s="26" t="str">
        <f t="shared" ref="O16:O30" si="3">IF((H16)=0,"",(N16/H16))</f>
        <v/>
      </c>
    </row>
    <row r="17" spans="2:15" x14ac:dyDescent="0.25">
      <c r="B17" s="27"/>
      <c r="C17" s="16"/>
      <c r="D17" s="17"/>
      <c r="E17" s="18"/>
      <c r="F17" s="19"/>
      <c r="G17" s="20">
        <v>1</v>
      </c>
      <c r="H17" s="21">
        <f t="shared" si="0"/>
        <v>0</v>
      </c>
      <c r="I17" s="22"/>
      <c r="J17" s="23"/>
      <c r="K17" s="24">
        <v>1</v>
      </c>
      <c r="L17" s="21">
        <f t="shared" si="1"/>
        <v>0</v>
      </c>
      <c r="M17" s="22"/>
      <c r="N17" s="25">
        <f t="shared" si="2"/>
        <v>0</v>
      </c>
      <c r="O17" s="26" t="str">
        <f t="shared" si="3"/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19</v>
      </c>
      <c r="C19" s="16"/>
      <c r="D19" s="17" t="s">
        <v>68</v>
      </c>
      <c r="E19" s="18"/>
      <c r="F19" s="19">
        <f>Rates!D5</f>
        <v>3.2800000000000003E-2</v>
      </c>
      <c r="G19" s="20">
        <f>$F$10</f>
        <v>800</v>
      </c>
      <c r="H19" s="21">
        <f t="shared" si="0"/>
        <v>26.240000000000002</v>
      </c>
      <c r="I19" s="22"/>
      <c r="J19" s="23">
        <f>Rates!F5</f>
        <v>2.8799999999999999E-2</v>
      </c>
      <c r="K19" s="20">
        <f>$F$10</f>
        <v>800</v>
      </c>
      <c r="L19" s="21">
        <f t="shared" si="1"/>
        <v>23.04</v>
      </c>
      <c r="M19" s="22"/>
      <c r="N19" s="25">
        <f t="shared" si="2"/>
        <v>-3.2000000000000028</v>
      </c>
      <c r="O19" s="26">
        <f t="shared" si="3"/>
        <v>-0.12195121951219522</v>
      </c>
    </row>
    <row r="20" spans="2:15" x14ac:dyDescent="0.25">
      <c r="B20" s="16" t="s">
        <v>20</v>
      </c>
      <c r="C20" s="16"/>
      <c r="D20" s="17" t="s">
        <v>67</v>
      </c>
      <c r="E20" s="18"/>
      <c r="F20" s="19">
        <f>Rates!D7</f>
        <v>2.0499999999999998</v>
      </c>
      <c r="G20" s="20">
        <v>1</v>
      </c>
      <c r="H20" s="21">
        <f t="shared" si="0"/>
        <v>2.0499999999999998</v>
      </c>
      <c r="I20" s="22"/>
      <c r="J20" s="23"/>
      <c r="K20" s="20">
        <f t="shared" ref="K20:K29" si="4">$F$10</f>
        <v>800</v>
      </c>
      <c r="L20" s="21">
        <f t="shared" si="1"/>
        <v>0</v>
      </c>
      <c r="M20" s="22"/>
      <c r="N20" s="25">
        <f t="shared" si="2"/>
        <v>-2.0499999999999998</v>
      </c>
      <c r="O20" s="26">
        <f t="shared" si="3"/>
        <v>-1</v>
      </c>
    </row>
    <row r="21" spans="2:15" ht="45" x14ac:dyDescent="0.25">
      <c r="B21" s="63" t="str">
        <f>Rates!A13</f>
        <v>Rate Rider for the Recovery of Lost Revenue Adjustment (LRAM) - effective until December 31, 2015</v>
      </c>
      <c r="C21" s="16"/>
      <c r="D21" s="54" t="s">
        <v>68</v>
      </c>
      <c r="E21" s="18"/>
      <c r="F21" s="23">
        <f>Rates!D13</f>
        <v>2.0000000000000001E-4</v>
      </c>
      <c r="G21" s="20">
        <f>$F$10</f>
        <v>800</v>
      </c>
      <c r="H21" s="21">
        <f t="shared" si="0"/>
        <v>0.16</v>
      </c>
      <c r="I21" s="22"/>
      <c r="J21" s="23">
        <f>Rates!F13</f>
        <v>0</v>
      </c>
      <c r="K21" s="20">
        <f t="shared" si="4"/>
        <v>800</v>
      </c>
      <c r="L21" s="21">
        <f t="shared" si="1"/>
        <v>0</v>
      </c>
      <c r="M21" s="22"/>
      <c r="N21" s="25">
        <f t="shared" si="2"/>
        <v>-0.16</v>
      </c>
      <c r="O21" s="26">
        <f t="shared" si="3"/>
        <v>-1</v>
      </c>
    </row>
    <row r="22" spans="2:15" x14ac:dyDescent="0.25">
      <c r="B22" s="128"/>
      <c r="C22" s="16"/>
      <c r="D22" s="54"/>
      <c r="E22" s="18"/>
      <c r="F22" s="23"/>
      <c r="G22" s="20">
        <f t="shared" ref="G22:G29" si="5">$F$10</f>
        <v>800</v>
      </c>
      <c r="H22" s="21">
        <f t="shared" si="0"/>
        <v>0</v>
      </c>
      <c r="I22" s="22"/>
      <c r="J22" s="23"/>
      <c r="K22" s="20">
        <f t="shared" si="4"/>
        <v>800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28"/>
      <c r="C23" s="16"/>
      <c r="D23" s="54"/>
      <c r="E23" s="18"/>
      <c r="F23" s="23"/>
      <c r="G23" s="20">
        <f t="shared" si="5"/>
        <v>800</v>
      </c>
      <c r="H23" s="21">
        <f t="shared" si="0"/>
        <v>0</v>
      </c>
      <c r="I23" s="22"/>
      <c r="J23" s="23"/>
      <c r="K23" s="20">
        <f t="shared" si="4"/>
        <v>800</v>
      </c>
      <c r="L23" s="21">
        <f t="shared" si="1"/>
        <v>0</v>
      </c>
      <c r="M23" s="22"/>
      <c r="N23" s="25">
        <f t="shared" ref="N23" si="6">L23-H23</f>
        <v>0</v>
      </c>
      <c r="O23" s="26" t="str">
        <f t="shared" ref="O23" si="7">IF((H23)=0,"",(N23/H23))</f>
        <v/>
      </c>
    </row>
    <row r="24" spans="2:15" x14ac:dyDescent="0.25">
      <c r="B24" s="128"/>
      <c r="C24" s="16"/>
      <c r="D24" s="54"/>
      <c r="E24" s="18"/>
      <c r="F24" s="23"/>
      <c r="G24" s="20">
        <f t="shared" si="5"/>
        <v>800</v>
      </c>
      <c r="H24" s="21">
        <f t="shared" si="0"/>
        <v>0</v>
      </c>
      <c r="I24" s="22"/>
      <c r="J24" s="23"/>
      <c r="K24" s="20">
        <f t="shared" si="4"/>
        <v>800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ht="45" x14ac:dyDescent="0.25">
      <c r="B25" s="128" t="str">
        <f>Rates!A14</f>
        <v>Rate Rider for the Disposition of Account 1575 &amp; 1576 - effective until December 31, 2019</v>
      </c>
      <c r="C25" s="16"/>
      <c r="D25" s="54" t="s">
        <v>68</v>
      </c>
      <c r="E25" s="18"/>
      <c r="F25" s="23">
        <f>Rates!D14</f>
        <v>-1.9E-3</v>
      </c>
      <c r="G25" s="20">
        <f t="shared" si="5"/>
        <v>800</v>
      </c>
      <c r="H25" s="21">
        <f t="shared" si="0"/>
        <v>-1.52</v>
      </c>
      <c r="I25" s="22"/>
      <c r="J25" s="23">
        <f>Rates!F14</f>
        <v>-1.9E-3</v>
      </c>
      <c r="K25" s="20">
        <f t="shared" si="4"/>
        <v>800</v>
      </c>
      <c r="L25" s="21">
        <f t="shared" si="1"/>
        <v>-1.52</v>
      </c>
      <c r="M25" s="22"/>
      <c r="N25" s="25">
        <f t="shared" si="2"/>
        <v>0</v>
      </c>
      <c r="O25" s="26">
        <f t="shared" si="3"/>
        <v>0</v>
      </c>
    </row>
    <row r="26" spans="2:15" x14ac:dyDescent="0.25">
      <c r="B26" s="28"/>
      <c r="C26" s="16"/>
      <c r="D26" s="17"/>
      <c r="E26" s="18"/>
      <c r="F26" s="19"/>
      <c r="G26" s="20">
        <f t="shared" si="5"/>
        <v>800</v>
      </c>
      <c r="H26" s="21">
        <f t="shared" si="0"/>
        <v>0</v>
      </c>
      <c r="I26" s="22"/>
      <c r="J26" s="23"/>
      <c r="K26" s="20">
        <f t="shared" si="4"/>
        <v>800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x14ac:dyDescent="0.25">
      <c r="B27" s="28"/>
      <c r="C27" s="16"/>
      <c r="D27" s="17"/>
      <c r="E27" s="18"/>
      <c r="F27" s="19"/>
      <c r="G27" s="20">
        <f t="shared" si="5"/>
        <v>800</v>
      </c>
      <c r="H27" s="21">
        <f t="shared" si="0"/>
        <v>0</v>
      </c>
      <c r="I27" s="22"/>
      <c r="J27" s="23"/>
      <c r="K27" s="20">
        <f t="shared" si="4"/>
        <v>800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x14ac:dyDescent="0.25">
      <c r="B28" s="28"/>
      <c r="C28" s="16"/>
      <c r="D28" s="17"/>
      <c r="E28" s="18"/>
      <c r="F28" s="19"/>
      <c r="G28" s="20">
        <f t="shared" si="5"/>
        <v>800</v>
      </c>
      <c r="H28" s="21">
        <f t="shared" si="0"/>
        <v>0</v>
      </c>
      <c r="I28" s="22"/>
      <c r="J28" s="23"/>
      <c r="K28" s="20">
        <f t="shared" si="4"/>
        <v>800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5"/>
        <v>800</v>
      </c>
      <c r="H29" s="21">
        <f t="shared" si="0"/>
        <v>0</v>
      </c>
      <c r="I29" s="22"/>
      <c r="J29" s="23"/>
      <c r="K29" s="20">
        <f t="shared" si="4"/>
        <v>800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s="40" customFormat="1" x14ac:dyDescent="0.25">
      <c r="B30" s="29" t="s">
        <v>22</v>
      </c>
      <c r="C30" s="30"/>
      <c r="D30" s="31"/>
      <c r="E30" s="30"/>
      <c r="F30" s="32"/>
      <c r="G30" s="33"/>
      <c r="H30" s="34">
        <f>SUM(H15:H29)</f>
        <v>50.269999999999989</v>
      </c>
      <c r="I30" s="35"/>
      <c r="J30" s="36"/>
      <c r="K30" s="37"/>
      <c r="L30" s="34">
        <f>SUM(L15:L29)</f>
        <v>49.279999999999994</v>
      </c>
      <c r="M30" s="35"/>
      <c r="N30" s="38">
        <f t="shared" si="2"/>
        <v>-0.98999999999999488</v>
      </c>
      <c r="O30" s="39">
        <f t="shared" si="3"/>
        <v>-1.9693654266958328E-2</v>
      </c>
    </row>
    <row r="31" spans="2:15" ht="38.25" x14ac:dyDescent="0.25">
      <c r="B31" s="41" t="str">
        <f>Rates!A11</f>
        <v>Rate Rider for the Disposition of Deferral/Variance Accounts (2014) - effective until December 31, 2015</v>
      </c>
      <c r="C31" s="16"/>
      <c r="D31" s="54" t="s">
        <v>68</v>
      </c>
      <c r="E31" s="18"/>
      <c r="F31" s="23">
        <f>Rates!D11</f>
        <v>-1.41E-2</v>
      </c>
      <c r="G31" s="20">
        <f>$F$10</f>
        <v>800</v>
      </c>
      <c r="H31" s="21">
        <f>G31*F31</f>
        <v>-11.28</v>
      </c>
      <c r="I31" s="22"/>
      <c r="J31" s="23">
        <f>Rates!F11</f>
        <v>0</v>
      </c>
      <c r="K31" s="20">
        <f>$F$10</f>
        <v>800</v>
      </c>
      <c r="L31" s="21">
        <f>K31*J31</f>
        <v>0</v>
      </c>
      <c r="M31" s="22"/>
      <c r="N31" s="25">
        <f>L31-H31</f>
        <v>11.28</v>
      </c>
      <c r="O31" s="26">
        <f>IF((H31)=0,"",(N31/H31))</f>
        <v>-1</v>
      </c>
    </row>
    <row r="32" spans="2:15" ht="38.25" x14ac:dyDescent="0.25">
      <c r="B32" s="41" t="str">
        <f>Rates!A12</f>
        <v>Rate Rider for the Disposition of Global Adjustment Sub-Account (2014) - effective until December 31, 2015</v>
      </c>
      <c r="C32" s="16"/>
      <c r="D32" s="54" t="s">
        <v>68</v>
      </c>
      <c r="E32" s="18"/>
      <c r="F32" s="23">
        <f>Rates!D12</f>
        <v>2.1899999999999999E-2</v>
      </c>
      <c r="G32" s="20">
        <v>0</v>
      </c>
      <c r="H32" s="21">
        <f t="shared" ref="H32:H36" si="8">G32*F32</f>
        <v>0</v>
      </c>
      <c r="I32" s="42"/>
      <c r="J32" s="23">
        <v>0</v>
      </c>
      <c r="K32" s="20">
        <v>0</v>
      </c>
      <c r="L32" s="21">
        <f t="shared" ref="L32:L36" si="9">K32*J32</f>
        <v>0</v>
      </c>
      <c r="M32" s="43"/>
      <c r="N32" s="25">
        <f t="shared" ref="N32:N36" si="10">L32-H32</f>
        <v>0</v>
      </c>
      <c r="O32" s="26" t="str">
        <f t="shared" ref="O32:O36" si="11">IF((H32)=0,"",(N32/H32))</f>
        <v/>
      </c>
    </row>
    <row r="33" spans="2:19" ht="38.25" x14ac:dyDescent="0.25">
      <c r="B33" s="41" t="str">
        <f>Rates!A8</f>
        <v>Rate Rider for the Disposition of Deferral/Variance Accounts (2016) - effective until December 31, 2016</v>
      </c>
      <c r="C33" s="16"/>
      <c r="D33" s="17" t="s">
        <v>68</v>
      </c>
      <c r="E33" s="18"/>
      <c r="F33" s="19"/>
      <c r="G33" s="20">
        <f t="shared" ref="G33:G35" si="12">$F$10</f>
        <v>800</v>
      </c>
      <c r="H33" s="21">
        <f t="shared" si="8"/>
        <v>0</v>
      </c>
      <c r="I33" s="42"/>
      <c r="J33" s="23">
        <f>Rates!F8</f>
        <v>0</v>
      </c>
      <c r="K33" s="20">
        <f t="shared" ref="K33:K35" si="13">$F$10</f>
        <v>800</v>
      </c>
      <c r="L33" s="21">
        <f t="shared" si="9"/>
        <v>0</v>
      </c>
      <c r="M33" s="43"/>
      <c r="N33" s="25">
        <f t="shared" si="10"/>
        <v>0</v>
      </c>
      <c r="O33" s="26" t="str">
        <f t="shared" si="11"/>
        <v/>
      </c>
    </row>
    <row r="34" spans="2:19" ht="38.25" x14ac:dyDescent="0.25">
      <c r="B34" s="41" t="str">
        <f>Rates!A9</f>
        <v>Rate Rider for the Disposition of Global Adjustment Sub-Account (2016) - effective until December 31, 2016</v>
      </c>
      <c r="C34" s="16"/>
      <c r="D34" s="17" t="s">
        <v>68</v>
      </c>
      <c r="E34" s="18"/>
      <c r="F34" s="19"/>
      <c r="G34" s="20"/>
      <c r="H34" s="21">
        <f t="shared" si="8"/>
        <v>0</v>
      </c>
      <c r="I34" s="42"/>
      <c r="J34" s="23">
        <f>Rates!F9</f>
        <v>0</v>
      </c>
      <c r="K34" s="20"/>
      <c r="L34" s="21">
        <f t="shared" si="9"/>
        <v>0</v>
      </c>
      <c r="M34" s="43"/>
      <c r="N34" s="25">
        <f t="shared" si="10"/>
        <v>0</v>
      </c>
      <c r="O34" s="26" t="str">
        <f t="shared" si="11"/>
        <v/>
      </c>
    </row>
    <row r="35" spans="2:19" x14ac:dyDescent="0.25">
      <c r="B35" s="44" t="s">
        <v>23</v>
      </c>
      <c r="C35" s="16"/>
      <c r="D35" s="17"/>
      <c r="E35" s="18"/>
      <c r="F35" s="19"/>
      <c r="G35" s="20">
        <f t="shared" si="12"/>
        <v>800</v>
      </c>
      <c r="H35" s="21">
        <f>G35*F35</f>
        <v>0</v>
      </c>
      <c r="I35" s="22"/>
      <c r="J35" s="23"/>
      <c r="K35" s="20">
        <f t="shared" si="13"/>
        <v>800</v>
      </c>
      <c r="L35" s="21">
        <f>K35*J35</f>
        <v>0</v>
      </c>
      <c r="M35" s="22"/>
      <c r="N35" s="25">
        <f>L35-H35</f>
        <v>0</v>
      </c>
      <c r="O35" s="26" t="str">
        <f>IF((H35)=0,"",(N35/H35))</f>
        <v/>
      </c>
    </row>
    <row r="36" spans="2:19" x14ac:dyDescent="0.25">
      <c r="B36" s="44" t="s">
        <v>24</v>
      </c>
      <c r="C36" s="16"/>
      <c r="D36" s="17" t="s">
        <v>68</v>
      </c>
      <c r="E36" s="18"/>
      <c r="F36" s="45">
        <f>IF(ISBLANK(D8)=TRUE, 0, IF(D8="TOU", 0.64*$F$47+0.18*$F$48+0.18*$F$49, IF(AND(D8="non-TOU",#REF!&gt; 0),#REF!,#REF!)))</f>
        <v>0.10214000000000001</v>
      </c>
      <c r="G36" s="46">
        <f>$F$10*(1+$F$57)-$F$10</f>
        <v>73.3599999999999</v>
      </c>
      <c r="H36" s="21">
        <f t="shared" si="8"/>
        <v>7.4929903999999903</v>
      </c>
      <c r="I36" s="22"/>
      <c r="J36" s="47">
        <f>0.64*$F$47+0.18*$F$48+0.18*$F$49</f>
        <v>0.10214000000000001</v>
      </c>
      <c r="K36" s="46">
        <f>$F$10*(1+$J$57)-$F$10</f>
        <v>73.3599999999999</v>
      </c>
      <c r="L36" s="21">
        <f t="shared" si="9"/>
        <v>7.4929903999999903</v>
      </c>
      <c r="M36" s="22"/>
      <c r="N36" s="25">
        <f t="shared" si="10"/>
        <v>0</v>
      </c>
      <c r="O36" s="26">
        <f t="shared" si="11"/>
        <v>0</v>
      </c>
    </row>
    <row r="37" spans="2:19" x14ac:dyDescent="0.25">
      <c r="B37" s="44" t="s">
        <v>25</v>
      </c>
      <c r="C37" s="16"/>
      <c r="D37" s="17" t="s">
        <v>67</v>
      </c>
      <c r="E37" s="18"/>
      <c r="F37" s="45">
        <f>Rates!D19</f>
        <v>0.79</v>
      </c>
      <c r="G37" s="20">
        <v>1</v>
      </c>
      <c r="H37" s="21">
        <f>G37*F37</f>
        <v>0.79</v>
      </c>
      <c r="I37" s="22"/>
      <c r="J37" s="45">
        <f>Rates!F19</f>
        <v>0.79</v>
      </c>
      <c r="K37" s="20">
        <v>1</v>
      </c>
      <c r="L37" s="21">
        <f>K37*J37</f>
        <v>0.79</v>
      </c>
      <c r="M37" s="22"/>
      <c r="N37" s="25">
        <f>L37-H37</f>
        <v>0</v>
      </c>
      <c r="O37" s="26"/>
    </row>
    <row r="38" spans="2:19" ht="25.5" x14ac:dyDescent="0.25">
      <c r="B38" s="48" t="s">
        <v>26</v>
      </c>
      <c r="C38" s="49"/>
      <c r="D38" s="49"/>
      <c r="E38" s="49"/>
      <c r="F38" s="50"/>
      <c r="G38" s="51"/>
      <c r="H38" s="52">
        <f>SUM(H31:H37)+H30</f>
        <v>47.272990399999983</v>
      </c>
      <c r="I38" s="35"/>
      <c r="J38" s="51"/>
      <c r="K38" s="53"/>
      <c r="L38" s="52">
        <f>SUM(L31:L37)+L30</f>
        <v>57.562990399999983</v>
      </c>
      <c r="M38" s="35"/>
      <c r="N38" s="38">
        <f t="shared" ref="N38:N55" si="14">L38-H38</f>
        <v>10.29</v>
      </c>
      <c r="O38" s="39">
        <f t="shared" ref="O38:O55" si="15">IF((H38)=0,"",(N38/H38))</f>
        <v>0.21767186532798657</v>
      </c>
    </row>
    <row r="39" spans="2:19" x14ac:dyDescent="0.25">
      <c r="B39" s="22" t="s">
        <v>27</v>
      </c>
      <c r="C39" s="22"/>
      <c r="D39" s="54" t="s">
        <v>68</v>
      </c>
      <c r="E39" s="55"/>
      <c r="F39" s="23">
        <f>Rates!D15</f>
        <v>7.1000000000000004E-3</v>
      </c>
      <c r="G39" s="56">
        <f>F10*(1+F57)</f>
        <v>873.3599999999999</v>
      </c>
      <c r="H39" s="21">
        <f>G39*F39</f>
        <v>6.2008559999999999</v>
      </c>
      <c r="I39" s="22"/>
      <c r="J39" s="23">
        <f>Rates!F15</f>
        <v>7.0000000000000001E-3</v>
      </c>
      <c r="K39" s="57">
        <f>F10*(1+J57)</f>
        <v>873.3599999999999</v>
      </c>
      <c r="L39" s="21">
        <f>K39*J39</f>
        <v>6.1135199999999994</v>
      </c>
      <c r="M39" s="22"/>
      <c r="N39" s="25">
        <f t="shared" si="14"/>
        <v>-8.7336000000000524E-2</v>
      </c>
      <c r="O39" s="26">
        <f t="shared" si="15"/>
        <v>-1.4084507042253606E-2</v>
      </c>
    </row>
    <row r="40" spans="2:19" x14ac:dyDescent="0.25">
      <c r="B40" s="58" t="s">
        <v>28</v>
      </c>
      <c r="C40" s="22"/>
      <c r="D40" s="54" t="s">
        <v>68</v>
      </c>
      <c r="E40" s="55"/>
      <c r="F40" s="23">
        <f>Rates!D16</f>
        <v>5.3E-3</v>
      </c>
      <c r="G40" s="56">
        <f>G39</f>
        <v>873.3599999999999</v>
      </c>
      <c r="H40" s="21">
        <f>G40*F40</f>
        <v>4.6288079999999994</v>
      </c>
      <c r="I40" s="22"/>
      <c r="J40" s="23">
        <f>Rates!F16</f>
        <v>5.1000000000000004E-3</v>
      </c>
      <c r="K40" s="57">
        <f>K39</f>
        <v>873.3599999999999</v>
      </c>
      <c r="L40" s="21">
        <f>K40*J40</f>
        <v>4.4541360000000001</v>
      </c>
      <c r="M40" s="22"/>
      <c r="N40" s="25">
        <f t="shared" si="14"/>
        <v>-0.17467199999999927</v>
      </c>
      <c r="O40" s="26">
        <f t="shared" si="15"/>
        <v>-3.7735849056603619E-2</v>
      </c>
    </row>
    <row r="41" spans="2:19" ht="25.5" x14ac:dyDescent="0.25">
      <c r="B41" s="48" t="s">
        <v>29</v>
      </c>
      <c r="C41" s="30"/>
      <c r="D41" s="30"/>
      <c r="E41" s="30"/>
      <c r="F41" s="59"/>
      <c r="G41" s="51"/>
      <c r="H41" s="52">
        <f>SUM(H38:H40)</f>
        <v>58.102654399999984</v>
      </c>
      <c r="I41" s="60"/>
      <c r="J41" s="61"/>
      <c r="K41" s="62"/>
      <c r="L41" s="52">
        <f>SUM(L38:L40)</f>
        <v>68.130646399999989</v>
      </c>
      <c r="M41" s="60"/>
      <c r="N41" s="38">
        <f t="shared" si="14"/>
        <v>10.027992000000005</v>
      </c>
      <c r="O41" s="39">
        <f t="shared" si="15"/>
        <v>0.17259094448531781</v>
      </c>
    </row>
    <row r="42" spans="2:19" x14ac:dyDescent="0.25">
      <c r="B42" s="63" t="s">
        <v>30</v>
      </c>
      <c r="C42" s="16"/>
      <c r="D42" s="54" t="s">
        <v>68</v>
      </c>
      <c r="E42" s="18"/>
      <c r="F42" s="66">
        <f>Rates!D17</f>
        <v>4.4000000000000003E-3</v>
      </c>
      <c r="G42" s="56">
        <f>G40</f>
        <v>873.3599999999999</v>
      </c>
      <c r="H42" s="65">
        <f t="shared" ref="H42:H49" si="16">G42*F42</f>
        <v>3.842784</v>
      </c>
      <c r="I42" s="22"/>
      <c r="J42" s="66">
        <f>Rates!F17</f>
        <v>4.4000000000000003E-3</v>
      </c>
      <c r="K42" s="57">
        <f>K40</f>
        <v>873.3599999999999</v>
      </c>
      <c r="L42" s="65">
        <f t="shared" ref="L42:L49" si="17">K42*J42</f>
        <v>3.842784</v>
      </c>
      <c r="M42" s="22"/>
      <c r="N42" s="25">
        <f t="shared" si="14"/>
        <v>0</v>
      </c>
      <c r="O42" s="67">
        <f t="shared" si="15"/>
        <v>0</v>
      </c>
    </row>
    <row r="43" spans="2:19" x14ac:dyDescent="0.25">
      <c r="B43" s="63" t="s">
        <v>31</v>
      </c>
      <c r="C43" s="16"/>
      <c r="D43" s="54" t="s">
        <v>68</v>
      </c>
      <c r="E43" s="18"/>
      <c r="F43" s="66">
        <f>Rates!D18</f>
        <v>1.2999999999999999E-3</v>
      </c>
      <c r="G43" s="56">
        <f>G40</f>
        <v>873.3599999999999</v>
      </c>
      <c r="H43" s="65">
        <f t="shared" si="16"/>
        <v>1.1353679999999997</v>
      </c>
      <c r="I43" s="22"/>
      <c r="J43" s="66">
        <f>Rates!F18</f>
        <v>1.2999999999999999E-3</v>
      </c>
      <c r="K43" s="57">
        <f>K40</f>
        <v>873.3599999999999</v>
      </c>
      <c r="L43" s="65">
        <f t="shared" si="17"/>
        <v>1.1353679999999997</v>
      </c>
      <c r="M43" s="22"/>
      <c r="N43" s="25">
        <f t="shared" si="14"/>
        <v>0</v>
      </c>
      <c r="O43" s="67">
        <f t="shared" si="15"/>
        <v>0</v>
      </c>
    </row>
    <row r="44" spans="2:19" x14ac:dyDescent="0.25">
      <c r="B44" s="16" t="s">
        <v>32</v>
      </c>
      <c r="C44" s="16"/>
      <c r="D44" s="17" t="s">
        <v>67</v>
      </c>
      <c r="E44" s="18"/>
      <c r="F44" s="64">
        <f>Rates!D20</f>
        <v>0.25</v>
      </c>
      <c r="G44" s="20">
        <v>1</v>
      </c>
      <c r="H44" s="65">
        <f t="shared" si="16"/>
        <v>0.25</v>
      </c>
      <c r="I44" s="22"/>
      <c r="J44" s="66">
        <f>Rates!F20</f>
        <v>0.25</v>
      </c>
      <c r="K44" s="24">
        <v>1</v>
      </c>
      <c r="L44" s="65">
        <f t="shared" si="17"/>
        <v>0.25</v>
      </c>
      <c r="M44" s="22"/>
      <c r="N44" s="25">
        <f t="shared" si="14"/>
        <v>0</v>
      </c>
      <c r="O44" s="67">
        <f t="shared" si="15"/>
        <v>0</v>
      </c>
    </row>
    <row r="45" spans="2:19" x14ac:dyDescent="0.25">
      <c r="B45" s="16" t="s">
        <v>33</v>
      </c>
      <c r="C45" s="16"/>
      <c r="D45" s="17" t="s">
        <v>68</v>
      </c>
      <c r="E45" s="18"/>
      <c r="F45" s="64">
        <f>Rates!D79</f>
        <v>2E-3</v>
      </c>
      <c r="G45" s="68">
        <f>F10</f>
        <v>800</v>
      </c>
      <c r="H45" s="65">
        <f t="shared" si="16"/>
        <v>1.6</v>
      </c>
      <c r="I45" s="22"/>
      <c r="J45" s="66">
        <f>Rates!F79</f>
        <v>0</v>
      </c>
      <c r="K45" s="69">
        <f>F10</f>
        <v>800</v>
      </c>
      <c r="L45" s="65">
        <f t="shared" si="17"/>
        <v>0</v>
      </c>
      <c r="M45" s="22"/>
      <c r="N45" s="25">
        <f t="shared" si="14"/>
        <v>-1.6</v>
      </c>
      <c r="O45" s="67">
        <f t="shared" si="15"/>
        <v>-1</v>
      </c>
    </row>
    <row r="46" spans="2:19" x14ac:dyDescent="0.25">
      <c r="B46" s="16" t="s">
        <v>115</v>
      </c>
      <c r="C46" s="16"/>
      <c r="D46" s="17" t="s">
        <v>68</v>
      </c>
      <c r="E46" s="18"/>
      <c r="F46" s="64"/>
      <c r="G46" s="68"/>
      <c r="H46" s="65"/>
      <c r="I46" s="22"/>
      <c r="J46" s="66">
        <f>Rates!F80</f>
        <v>1.1000000000000001E-3</v>
      </c>
      <c r="K46" s="69">
        <f>F10</f>
        <v>800</v>
      </c>
      <c r="L46" s="65">
        <f t="shared" si="17"/>
        <v>0.88</v>
      </c>
      <c r="M46" s="22"/>
      <c r="N46" s="25">
        <f t="shared" si="14"/>
        <v>0.88</v>
      </c>
      <c r="O46" s="67" t="str">
        <f t="shared" si="15"/>
        <v/>
      </c>
    </row>
    <row r="47" spans="2:19" x14ac:dyDescent="0.25">
      <c r="B47" s="44" t="s">
        <v>34</v>
      </c>
      <c r="C47" s="16"/>
      <c r="D47" s="17" t="s">
        <v>68</v>
      </c>
      <c r="E47" s="18"/>
      <c r="F47" s="70">
        <f>Rates!D88</f>
        <v>0.08</v>
      </c>
      <c r="G47" s="71">
        <f>0.64*$F$10</f>
        <v>512</v>
      </c>
      <c r="H47" s="65">
        <f t="shared" si="16"/>
        <v>40.96</v>
      </c>
      <c r="I47" s="22"/>
      <c r="J47" s="64">
        <f>Rates!F88</f>
        <v>0.08</v>
      </c>
      <c r="K47" s="71">
        <f>G47</f>
        <v>512</v>
      </c>
      <c r="L47" s="65">
        <f t="shared" si="17"/>
        <v>40.96</v>
      </c>
      <c r="M47" s="22"/>
      <c r="N47" s="25">
        <f t="shared" si="14"/>
        <v>0</v>
      </c>
      <c r="O47" s="67">
        <f t="shared" si="15"/>
        <v>0</v>
      </c>
      <c r="S47" s="72"/>
    </row>
    <row r="48" spans="2:19" x14ac:dyDescent="0.25">
      <c r="B48" s="44" t="s">
        <v>35</v>
      </c>
      <c r="C48" s="16"/>
      <c r="D48" s="17" t="s">
        <v>68</v>
      </c>
      <c r="E48" s="18"/>
      <c r="F48" s="70">
        <f>Rates!D89</f>
        <v>0.122</v>
      </c>
      <c r="G48" s="71">
        <f>0.18*$F$10</f>
        <v>144</v>
      </c>
      <c r="H48" s="65">
        <f t="shared" si="16"/>
        <v>17.567999999999998</v>
      </c>
      <c r="I48" s="22"/>
      <c r="J48" s="64">
        <f>Rates!F89</f>
        <v>0.122</v>
      </c>
      <c r="K48" s="71">
        <f>G48</f>
        <v>144</v>
      </c>
      <c r="L48" s="65">
        <f t="shared" si="17"/>
        <v>17.567999999999998</v>
      </c>
      <c r="M48" s="22"/>
      <c r="N48" s="25">
        <f t="shared" si="14"/>
        <v>0</v>
      </c>
      <c r="O48" s="67">
        <f t="shared" si="15"/>
        <v>0</v>
      </c>
      <c r="S48" s="72"/>
    </row>
    <row r="49" spans="1:19" ht="15.75" thickBot="1" x14ac:dyDescent="0.3">
      <c r="B49" s="6" t="s">
        <v>36</v>
      </c>
      <c r="C49" s="16"/>
      <c r="D49" s="17" t="s">
        <v>68</v>
      </c>
      <c r="E49" s="18"/>
      <c r="F49" s="70">
        <f>Rates!D90</f>
        <v>0.161</v>
      </c>
      <c r="G49" s="71">
        <f>0.18*$F$10</f>
        <v>144</v>
      </c>
      <c r="H49" s="65">
        <f t="shared" si="16"/>
        <v>23.184000000000001</v>
      </c>
      <c r="I49" s="22"/>
      <c r="J49" s="64">
        <f>Rates!F90</f>
        <v>0.161</v>
      </c>
      <c r="K49" s="71">
        <f>G49</f>
        <v>144</v>
      </c>
      <c r="L49" s="65">
        <f t="shared" si="17"/>
        <v>23.184000000000001</v>
      </c>
      <c r="M49" s="22"/>
      <c r="N49" s="25">
        <f t="shared" si="14"/>
        <v>0</v>
      </c>
      <c r="O49" s="67">
        <f t="shared" si="15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37</v>
      </c>
      <c r="C51" s="16"/>
      <c r="D51" s="16"/>
      <c r="E51" s="16"/>
      <c r="F51" s="85"/>
      <c r="G51" s="86"/>
      <c r="H51" s="87">
        <f>SUM(H42:H49,H41)</f>
        <v>146.64280639999998</v>
      </c>
      <c r="I51" s="88"/>
      <c r="J51" s="89"/>
      <c r="K51" s="89"/>
      <c r="L51" s="127">
        <f>SUM(L42:L49,L41)</f>
        <v>155.9507984</v>
      </c>
      <c r="M51" s="90"/>
      <c r="N51" s="91">
        <f t="shared" ref="N51" si="18">L51-H51</f>
        <v>9.3079920000000129</v>
      </c>
      <c r="O51" s="92">
        <f t="shared" ref="O51" si="19">IF((H51)=0,"",(N51/H51))</f>
        <v>6.3473907984347017E-2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19.063564831999997</v>
      </c>
      <c r="I52" s="97"/>
      <c r="J52" s="98">
        <v>0.13</v>
      </c>
      <c r="K52" s="97"/>
      <c r="L52" s="99">
        <f>L51*J52</f>
        <v>20.273603791999999</v>
      </c>
      <c r="M52" s="100"/>
      <c r="N52" s="101">
        <f t="shared" si="14"/>
        <v>1.2100389600000021</v>
      </c>
      <c r="O52" s="102">
        <f t="shared" si="15"/>
        <v>6.3473907984347044E-2</v>
      </c>
      <c r="S52" s="72"/>
    </row>
    <row r="53" spans="1:19" x14ac:dyDescent="0.25">
      <c r="B53" s="103" t="s">
        <v>42</v>
      </c>
      <c r="C53" s="16"/>
      <c r="D53" s="16"/>
      <c r="E53" s="16"/>
      <c r="F53" s="104"/>
      <c r="G53" s="95"/>
      <c r="H53" s="96">
        <f>H51+H52</f>
        <v>165.70637123199998</v>
      </c>
      <c r="I53" s="97"/>
      <c r="J53" s="97"/>
      <c r="K53" s="97"/>
      <c r="L53" s="99">
        <f>L51+L52</f>
        <v>176.22440219199999</v>
      </c>
      <c r="M53" s="100"/>
      <c r="N53" s="101">
        <f t="shared" si="14"/>
        <v>10.518030960000004</v>
      </c>
      <c r="O53" s="102">
        <f t="shared" si="15"/>
        <v>6.3473907984346961E-2</v>
      </c>
      <c r="S53" s="72"/>
    </row>
    <row r="54" spans="1:19" x14ac:dyDescent="0.25">
      <c r="B54" s="194" t="s">
        <v>43</v>
      </c>
      <c r="C54" s="194"/>
      <c r="D54" s="194"/>
      <c r="E54" s="16"/>
      <c r="F54" s="104"/>
      <c r="G54" s="95"/>
      <c r="H54" s="105">
        <f>ROUND(-H53*10%,2)</f>
        <v>-16.57</v>
      </c>
      <c r="I54" s="97"/>
      <c r="J54" s="97"/>
      <c r="K54" s="97"/>
      <c r="L54" s="106">
        <v>0</v>
      </c>
      <c r="M54" s="100"/>
      <c r="N54" s="107">
        <f t="shared" si="14"/>
        <v>16.57</v>
      </c>
      <c r="O54" s="108">
        <f t="shared" si="15"/>
        <v>-1</v>
      </c>
    </row>
    <row r="55" spans="1:19" x14ac:dyDescent="0.25">
      <c r="B55" s="195" t="s">
        <v>39</v>
      </c>
      <c r="C55" s="195"/>
      <c r="D55" s="195"/>
      <c r="E55" s="109"/>
      <c r="F55" s="110"/>
      <c r="G55" s="111"/>
      <c r="H55" s="112">
        <f>H53+H54</f>
        <v>149.13637123199999</v>
      </c>
      <c r="I55" s="113"/>
      <c r="J55" s="113"/>
      <c r="K55" s="113"/>
      <c r="L55" s="114">
        <f>L53+L54</f>
        <v>176.22440219199999</v>
      </c>
      <c r="M55" s="115"/>
      <c r="N55" s="116">
        <f t="shared" si="14"/>
        <v>27.088030959999998</v>
      </c>
      <c r="O55" s="117">
        <f t="shared" si="15"/>
        <v>0.18163262748200593</v>
      </c>
    </row>
    <row r="56" spans="1:19" x14ac:dyDescent="0.25">
      <c r="L56" s="72"/>
    </row>
    <row r="57" spans="1:19" x14ac:dyDescent="0.25">
      <c r="B57" s="7" t="s">
        <v>40</v>
      </c>
      <c r="F57" s="125">
        <f>Rates!D85</f>
        <v>9.1700000000000004E-2</v>
      </c>
      <c r="J57" s="125">
        <f>Rates!F85</f>
        <v>9.1700000000000004E-2</v>
      </c>
    </row>
    <row r="59" spans="1:19" x14ac:dyDescent="0.25">
      <c r="A59" s="126"/>
      <c r="B59" s="1" t="s">
        <v>41</v>
      </c>
    </row>
  </sheetData>
  <mergeCells count="11">
    <mergeCell ref="D13:D14"/>
    <mergeCell ref="N13:N14"/>
    <mergeCell ref="O13:O14"/>
    <mergeCell ref="B54:D54"/>
    <mergeCell ref="B55:D55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sqref="E39:E40 E31:E37 E15:E29 E42:E50">
      <formula1>#REF!</formula1>
    </dataValidation>
    <dataValidation type="list" allowBlank="1" showInputMessage="1" showErrorMessage="1" prompt="Select Charge Unit - monthly, per kWh, per kW" sqref="D39:D40 D31:D37 D15:D29 D42:D50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59"/>
  <sheetViews>
    <sheetView showGridLines="0" topLeftCell="A43" zoomScaleNormal="100" workbookViewId="0">
      <selection activeCell="F11" sqref="F11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86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320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Rates!D3</f>
        <v>23.34</v>
      </c>
      <c r="G15" s="20">
        <v>1</v>
      </c>
      <c r="H15" s="21">
        <f>G15*F15</f>
        <v>23.34</v>
      </c>
      <c r="I15" s="22"/>
      <c r="J15" s="23">
        <f>Rates!F3</f>
        <v>27.76</v>
      </c>
      <c r="K15" s="24">
        <v>1</v>
      </c>
      <c r="L15" s="21">
        <f>K15*J15</f>
        <v>27.76</v>
      </c>
      <c r="M15" s="22"/>
      <c r="N15" s="25">
        <f>L15-H15</f>
        <v>4.4200000000000017</v>
      </c>
      <c r="O15" s="26">
        <f>IF((H15)=0,"",(N15/H15))</f>
        <v>0.18937446443873188</v>
      </c>
    </row>
    <row r="16" spans="2:16" x14ac:dyDescent="0.25">
      <c r="B16" s="27"/>
      <c r="C16" s="16"/>
      <c r="D16" s="17"/>
      <c r="E16" s="18"/>
      <c r="F16" s="19"/>
      <c r="G16" s="20">
        <v>1</v>
      </c>
      <c r="H16" s="21">
        <f t="shared" ref="H16:H29" si="0">G16*F16</f>
        <v>0</v>
      </c>
      <c r="I16" s="22"/>
      <c r="J16" s="23"/>
      <c r="K16" s="24">
        <v>1</v>
      </c>
      <c r="L16" s="21">
        <f t="shared" ref="L16:L29" si="1">K16*J16</f>
        <v>0</v>
      </c>
      <c r="M16" s="22"/>
      <c r="N16" s="25">
        <f t="shared" ref="N16:N30" si="2">L16-H16</f>
        <v>0</v>
      </c>
      <c r="O16" s="26" t="str">
        <f t="shared" ref="O16:O30" si="3">IF((H16)=0,"",(N16/H16))</f>
        <v/>
      </c>
    </row>
    <row r="17" spans="2:15" x14ac:dyDescent="0.25">
      <c r="B17" s="27"/>
      <c r="C17" s="16"/>
      <c r="D17" s="17"/>
      <c r="E17" s="18"/>
      <c r="F17" s="19"/>
      <c r="G17" s="20">
        <v>1</v>
      </c>
      <c r="H17" s="21">
        <f t="shared" si="0"/>
        <v>0</v>
      </c>
      <c r="I17" s="22"/>
      <c r="J17" s="23"/>
      <c r="K17" s="24">
        <v>1</v>
      </c>
      <c r="L17" s="21">
        <f t="shared" si="1"/>
        <v>0</v>
      </c>
      <c r="M17" s="22"/>
      <c r="N17" s="25">
        <f t="shared" si="2"/>
        <v>0</v>
      </c>
      <c r="O17" s="26" t="str">
        <f t="shared" si="3"/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19</v>
      </c>
      <c r="C19" s="16"/>
      <c r="D19" s="17" t="s">
        <v>68</v>
      </c>
      <c r="E19" s="18"/>
      <c r="F19" s="19">
        <f>Rates!D5</f>
        <v>3.2800000000000003E-2</v>
      </c>
      <c r="G19" s="20">
        <f>$F$10</f>
        <v>320</v>
      </c>
      <c r="H19" s="21">
        <f t="shared" si="0"/>
        <v>10.496</v>
      </c>
      <c r="I19" s="22"/>
      <c r="J19" s="23">
        <f>Rates!F5</f>
        <v>2.8799999999999999E-2</v>
      </c>
      <c r="K19" s="20">
        <f>$F$10</f>
        <v>320</v>
      </c>
      <c r="L19" s="21">
        <f t="shared" si="1"/>
        <v>9.2159999999999993</v>
      </c>
      <c r="M19" s="22"/>
      <c r="N19" s="25">
        <f t="shared" si="2"/>
        <v>-1.2800000000000011</v>
      </c>
      <c r="O19" s="26">
        <f t="shared" si="3"/>
        <v>-0.12195121951219523</v>
      </c>
    </row>
    <row r="20" spans="2:15" x14ac:dyDescent="0.25">
      <c r="B20" s="16" t="s">
        <v>20</v>
      </c>
      <c r="C20" s="16"/>
      <c r="D20" s="17" t="s">
        <v>67</v>
      </c>
      <c r="E20" s="18"/>
      <c r="F20" s="19">
        <f>Rates!D7</f>
        <v>2.0499999999999998</v>
      </c>
      <c r="G20" s="20">
        <v>1</v>
      </c>
      <c r="H20" s="21">
        <f t="shared" si="0"/>
        <v>2.0499999999999998</v>
      </c>
      <c r="I20" s="22"/>
      <c r="J20" s="23"/>
      <c r="K20" s="20">
        <f t="shared" ref="K20:K29" si="4">$F$10</f>
        <v>320</v>
      </c>
      <c r="L20" s="21">
        <f t="shared" si="1"/>
        <v>0</v>
      </c>
      <c r="M20" s="22"/>
      <c r="N20" s="25">
        <f t="shared" si="2"/>
        <v>-2.0499999999999998</v>
      </c>
      <c r="O20" s="26">
        <f t="shared" si="3"/>
        <v>-1</v>
      </c>
    </row>
    <row r="21" spans="2:15" ht="45" x14ac:dyDescent="0.25">
      <c r="B21" s="63" t="str">
        <f>Rates!A13</f>
        <v>Rate Rider for the Recovery of Lost Revenue Adjustment (LRAM) - effective until December 31, 2015</v>
      </c>
      <c r="C21" s="16"/>
      <c r="D21" s="54" t="s">
        <v>68</v>
      </c>
      <c r="E21" s="18"/>
      <c r="F21" s="23">
        <f>Rates!D13</f>
        <v>2.0000000000000001E-4</v>
      </c>
      <c r="G21" s="20">
        <f>$F$10</f>
        <v>320</v>
      </c>
      <c r="H21" s="21">
        <f t="shared" si="0"/>
        <v>6.4000000000000001E-2</v>
      </c>
      <c r="I21" s="22"/>
      <c r="J21" s="23">
        <f>Rates!F13</f>
        <v>0</v>
      </c>
      <c r="K21" s="20">
        <f t="shared" si="4"/>
        <v>320</v>
      </c>
      <c r="L21" s="21">
        <f t="shared" si="1"/>
        <v>0</v>
      </c>
      <c r="M21" s="22"/>
      <c r="N21" s="25">
        <f t="shared" si="2"/>
        <v>-6.4000000000000001E-2</v>
      </c>
      <c r="O21" s="26">
        <f t="shared" si="3"/>
        <v>-1</v>
      </c>
    </row>
    <row r="22" spans="2:15" x14ac:dyDescent="0.25">
      <c r="B22" s="128"/>
      <c r="C22" s="16"/>
      <c r="D22" s="54"/>
      <c r="E22" s="18"/>
      <c r="F22" s="23"/>
      <c r="G22" s="20">
        <f t="shared" ref="G22:G29" si="5">$F$10</f>
        <v>320</v>
      </c>
      <c r="H22" s="21">
        <f t="shared" si="0"/>
        <v>0</v>
      </c>
      <c r="I22" s="22"/>
      <c r="J22" s="23"/>
      <c r="K22" s="20">
        <f t="shared" si="4"/>
        <v>320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28"/>
      <c r="C23" s="16"/>
      <c r="D23" s="54"/>
      <c r="E23" s="18"/>
      <c r="F23" s="23"/>
      <c r="G23" s="20">
        <f t="shared" si="5"/>
        <v>320</v>
      </c>
      <c r="H23" s="21">
        <f t="shared" si="0"/>
        <v>0</v>
      </c>
      <c r="I23" s="22"/>
      <c r="J23" s="23"/>
      <c r="K23" s="20">
        <f t="shared" si="4"/>
        <v>320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/>
      <c r="E24" s="18"/>
      <c r="F24" s="23"/>
      <c r="G24" s="20">
        <f t="shared" si="5"/>
        <v>320</v>
      </c>
      <c r="H24" s="21">
        <f t="shared" si="0"/>
        <v>0</v>
      </c>
      <c r="I24" s="22"/>
      <c r="J24" s="23"/>
      <c r="K24" s="20">
        <f t="shared" si="4"/>
        <v>320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ht="45" x14ac:dyDescent="0.25">
      <c r="B25" s="128" t="str">
        <f>Rates!A14</f>
        <v>Rate Rider for the Disposition of Account 1575 &amp; 1576 - effective until December 31, 2019</v>
      </c>
      <c r="C25" s="16"/>
      <c r="D25" s="54" t="s">
        <v>68</v>
      </c>
      <c r="E25" s="18"/>
      <c r="F25" s="23">
        <f>Rates!D14</f>
        <v>-1.9E-3</v>
      </c>
      <c r="G25" s="20">
        <f t="shared" si="5"/>
        <v>320</v>
      </c>
      <c r="H25" s="21">
        <f t="shared" si="0"/>
        <v>-0.60799999999999998</v>
      </c>
      <c r="I25" s="22"/>
      <c r="J25" s="23">
        <f>Rates!F14</f>
        <v>-1.9E-3</v>
      </c>
      <c r="K25" s="20">
        <f t="shared" si="4"/>
        <v>320</v>
      </c>
      <c r="L25" s="21">
        <f t="shared" si="1"/>
        <v>-0.60799999999999998</v>
      </c>
      <c r="M25" s="22"/>
      <c r="N25" s="25">
        <f t="shared" si="2"/>
        <v>0</v>
      </c>
      <c r="O25" s="26">
        <f t="shared" si="3"/>
        <v>0</v>
      </c>
    </row>
    <row r="26" spans="2:15" x14ac:dyDescent="0.25">
      <c r="B26" s="28"/>
      <c r="C26" s="16"/>
      <c r="D26" s="17"/>
      <c r="E26" s="18"/>
      <c r="F26" s="19"/>
      <c r="G26" s="20">
        <f t="shared" si="5"/>
        <v>320</v>
      </c>
      <c r="H26" s="21">
        <f t="shared" si="0"/>
        <v>0</v>
      </c>
      <c r="I26" s="22"/>
      <c r="J26" s="23"/>
      <c r="K26" s="20">
        <f t="shared" si="4"/>
        <v>320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x14ac:dyDescent="0.25">
      <c r="B27" s="28"/>
      <c r="C27" s="16"/>
      <c r="D27" s="17"/>
      <c r="E27" s="18"/>
      <c r="F27" s="19"/>
      <c r="G27" s="20">
        <f t="shared" si="5"/>
        <v>320</v>
      </c>
      <c r="H27" s="21">
        <f t="shared" si="0"/>
        <v>0</v>
      </c>
      <c r="I27" s="22"/>
      <c r="J27" s="23"/>
      <c r="K27" s="20">
        <f t="shared" si="4"/>
        <v>320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x14ac:dyDescent="0.25">
      <c r="B28" s="28"/>
      <c r="C28" s="16"/>
      <c r="D28" s="17"/>
      <c r="E28" s="18"/>
      <c r="F28" s="19"/>
      <c r="G28" s="20">
        <f t="shared" si="5"/>
        <v>320</v>
      </c>
      <c r="H28" s="21">
        <f t="shared" si="0"/>
        <v>0</v>
      </c>
      <c r="I28" s="22"/>
      <c r="J28" s="23"/>
      <c r="K28" s="20">
        <f t="shared" si="4"/>
        <v>320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5"/>
        <v>320</v>
      </c>
      <c r="H29" s="21">
        <f t="shared" si="0"/>
        <v>0</v>
      </c>
      <c r="I29" s="22"/>
      <c r="J29" s="23"/>
      <c r="K29" s="20">
        <f t="shared" si="4"/>
        <v>320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s="40" customFormat="1" x14ac:dyDescent="0.25">
      <c r="B30" s="29" t="s">
        <v>22</v>
      </c>
      <c r="C30" s="30"/>
      <c r="D30" s="31"/>
      <c r="E30" s="30"/>
      <c r="F30" s="32"/>
      <c r="G30" s="33"/>
      <c r="H30" s="34">
        <f>SUM(H15:H29)</f>
        <v>35.341999999999999</v>
      </c>
      <c r="I30" s="35"/>
      <c r="J30" s="36"/>
      <c r="K30" s="37"/>
      <c r="L30" s="34">
        <f>SUM(L15:L29)</f>
        <v>36.368000000000002</v>
      </c>
      <c r="M30" s="35"/>
      <c r="N30" s="38">
        <f t="shared" si="2"/>
        <v>1.0260000000000034</v>
      </c>
      <c r="O30" s="39">
        <f t="shared" si="3"/>
        <v>2.9030615132137495E-2</v>
      </c>
    </row>
    <row r="31" spans="2:15" ht="38.25" x14ac:dyDescent="0.25">
      <c r="B31" s="41" t="str">
        <f>Rates!A11</f>
        <v>Rate Rider for the Disposition of Deferral/Variance Accounts (2014) - effective until December 31, 2015</v>
      </c>
      <c r="C31" s="16"/>
      <c r="D31" s="54" t="s">
        <v>68</v>
      </c>
      <c r="E31" s="18"/>
      <c r="F31" s="23">
        <f>Rates!D11</f>
        <v>-1.41E-2</v>
      </c>
      <c r="G31" s="20">
        <f>$F$10</f>
        <v>320</v>
      </c>
      <c r="H31" s="21">
        <f>G31*F31</f>
        <v>-4.5119999999999996</v>
      </c>
      <c r="I31" s="22"/>
      <c r="J31" s="23">
        <f>Rates!F11</f>
        <v>0</v>
      </c>
      <c r="K31" s="20">
        <f>$F$10</f>
        <v>320</v>
      </c>
      <c r="L31" s="21">
        <f>K31*J31</f>
        <v>0</v>
      </c>
      <c r="M31" s="22"/>
      <c r="N31" s="25">
        <f>L31-H31</f>
        <v>4.5119999999999996</v>
      </c>
      <c r="O31" s="26">
        <f>IF((H31)=0,"",(N31/H31))</f>
        <v>-1</v>
      </c>
    </row>
    <row r="32" spans="2:15" ht="38.25" x14ac:dyDescent="0.25">
      <c r="B32" s="41" t="str">
        <f>Rates!A12</f>
        <v>Rate Rider for the Disposition of Global Adjustment Sub-Account (2014) - effective until December 31, 2015</v>
      </c>
      <c r="C32" s="16"/>
      <c r="D32" s="54" t="s">
        <v>68</v>
      </c>
      <c r="E32" s="18"/>
      <c r="F32" s="23">
        <f>Rates!D12</f>
        <v>2.1899999999999999E-2</v>
      </c>
      <c r="G32" s="20">
        <v>0</v>
      </c>
      <c r="H32" s="21">
        <f t="shared" ref="H32:H36" si="6">G32*F32</f>
        <v>0</v>
      </c>
      <c r="I32" s="42"/>
      <c r="J32" s="23">
        <v>0</v>
      </c>
      <c r="K32" s="20">
        <v>0</v>
      </c>
      <c r="L32" s="21">
        <f t="shared" ref="L32:L36" si="7">K32*J32</f>
        <v>0</v>
      </c>
      <c r="M32" s="43"/>
      <c r="N32" s="25">
        <f t="shared" ref="N32:N36" si="8">L32-H32</f>
        <v>0</v>
      </c>
      <c r="O32" s="26" t="str">
        <f t="shared" ref="O32:O36" si="9">IF((H32)=0,"",(N32/H32))</f>
        <v/>
      </c>
    </row>
    <row r="33" spans="2:19" ht="38.25" x14ac:dyDescent="0.25">
      <c r="B33" s="41" t="str">
        <f>Rates!A8</f>
        <v>Rate Rider for the Disposition of Deferral/Variance Accounts (2016) - effective until December 31, 2016</v>
      </c>
      <c r="C33" s="16"/>
      <c r="D33" s="17" t="s">
        <v>68</v>
      </c>
      <c r="E33" s="18"/>
      <c r="F33" s="19"/>
      <c r="G33" s="20">
        <f t="shared" ref="G33:G35" si="10">$F$10</f>
        <v>320</v>
      </c>
      <c r="H33" s="21">
        <f t="shared" si="6"/>
        <v>0</v>
      </c>
      <c r="I33" s="42"/>
      <c r="J33" s="23">
        <f>Rates!F8</f>
        <v>0</v>
      </c>
      <c r="K33" s="20">
        <f t="shared" ref="K33:K35" si="11">$F$10</f>
        <v>320</v>
      </c>
      <c r="L33" s="21">
        <f t="shared" si="7"/>
        <v>0</v>
      </c>
      <c r="M33" s="43"/>
      <c r="N33" s="25">
        <f t="shared" si="8"/>
        <v>0</v>
      </c>
      <c r="O33" s="26" t="str">
        <f t="shared" si="9"/>
        <v/>
      </c>
    </row>
    <row r="34" spans="2:19" ht="38.25" x14ac:dyDescent="0.25">
      <c r="B34" s="41" t="str">
        <f>Rates!A9</f>
        <v>Rate Rider for the Disposition of Global Adjustment Sub-Account (2016) - effective until December 31, 2016</v>
      </c>
      <c r="C34" s="16"/>
      <c r="D34" s="17" t="s">
        <v>68</v>
      </c>
      <c r="E34" s="18"/>
      <c r="F34" s="19"/>
      <c r="G34" s="20"/>
      <c r="H34" s="21">
        <f t="shared" si="6"/>
        <v>0</v>
      </c>
      <c r="I34" s="42"/>
      <c r="J34" s="23">
        <f>Rates!F9</f>
        <v>0</v>
      </c>
      <c r="K34" s="20"/>
      <c r="L34" s="21">
        <f t="shared" si="7"/>
        <v>0</v>
      </c>
      <c r="M34" s="43"/>
      <c r="N34" s="25">
        <f t="shared" si="8"/>
        <v>0</v>
      </c>
      <c r="O34" s="26" t="str">
        <f t="shared" si="9"/>
        <v/>
      </c>
    </row>
    <row r="35" spans="2:19" x14ac:dyDescent="0.25">
      <c r="B35" s="44" t="s">
        <v>23</v>
      </c>
      <c r="C35" s="16"/>
      <c r="D35" s="17"/>
      <c r="E35" s="18"/>
      <c r="F35" s="19"/>
      <c r="G35" s="20">
        <f t="shared" si="10"/>
        <v>320</v>
      </c>
      <c r="H35" s="21">
        <f>G35*F35</f>
        <v>0</v>
      </c>
      <c r="I35" s="22"/>
      <c r="J35" s="23"/>
      <c r="K35" s="20">
        <f t="shared" si="11"/>
        <v>320</v>
      </c>
      <c r="L35" s="21">
        <f>K35*J35</f>
        <v>0</v>
      </c>
      <c r="M35" s="22"/>
      <c r="N35" s="25">
        <f>L35-H35</f>
        <v>0</v>
      </c>
      <c r="O35" s="26" t="str">
        <f>IF((H35)=0,"",(N35/H35))</f>
        <v/>
      </c>
    </row>
    <row r="36" spans="2:19" x14ac:dyDescent="0.25">
      <c r="B36" s="44" t="s">
        <v>24</v>
      </c>
      <c r="C36" s="16"/>
      <c r="D36" s="17" t="s">
        <v>68</v>
      </c>
      <c r="E36" s="18"/>
      <c r="F36" s="45">
        <f>IF(ISBLANK(D8)=TRUE, 0, IF(D8="TOU", 0.64*$F$47+0.18*$F$48+0.18*$F$49, IF(AND(D8="non-TOU",#REF!&gt; 0),#REF!,#REF!)))</f>
        <v>0.10214000000000001</v>
      </c>
      <c r="G36" s="46">
        <f>$F$10*(1+$F$57)-$F$10</f>
        <v>29.343999999999937</v>
      </c>
      <c r="H36" s="21">
        <f t="shared" si="6"/>
        <v>2.9971961599999939</v>
      </c>
      <c r="I36" s="22"/>
      <c r="J36" s="47">
        <f>0.64*$F$47+0.18*$F$48+0.18*$F$49</f>
        <v>0.10214000000000001</v>
      </c>
      <c r="K36" s="46">
        <f>$F$10*(1+$J$57)-$F$10</f>
        <v>29.343999999999937</v>
      </c>
      <c r="L36" s="21">
        <f t="shared" si="7"/>
        <v>2.9971961599999939</v>
      </c>
      <c r="M36" s="22"/>
      <c r="N36" s="25">
        <f t="shared" si="8"/>
        <v>0</v>
      </c>
      <c r="O36" s="26">
        <f t="shared" si="9"/>
        <v>0</v>
      </c>
    </row>
    <row r="37" spans="2:19" x14ac:dyDescent="0.25">
      <c r="B37" s="44" t="s">
        <v>25</v>
      </c>
      <c r="C37" s="16"/>
      <c r="D37" s="17" t="s">
        <v>67</v>
      </c>
      <c r="E37" s="18"/>
      <c r="F37" s="45">
        <f>Rates!D19</f>
        <v>0.79</v>
      </c>
      <c r="G37" s="20">
        <v>1</v>
      </c>
      <c r="H37" s="21">
        <f>G37*F37</f>
        <v>0.79</v>
      </c>
      <c r="I37" s="22"/>
      <c r="J37" s="45">
        <f>Rates!F19</f>
        <v>0.79</v>
      </c>
      <c r="K37" s="20">
        <v>1</v>
      </c>
      <c r="L37" s="21">
        <f>K37*J37</f>
        <v>0.79</v>
      </c>
      <c r="M37" s="22"/>
      <c r="N37" s="25">
        <f>L37-H37</f>
        <v>0</v>
      </c>
      <c r="O37" s="26"/>
    </row>
    <row r="38" spans="2:19" ht="25.5" x14ac:dyDescent="0.25">
      <c r="B38" s="48" t="s">
        <v>26</v>
      </c>
      <c r="C38" s="49"/>
      <c r="D38" s="49"/>
      <c r="E38" s="49"/>
      <c r="F38" s="50"/>
      <c r="G38" s="51"/>
      <c r="H38" s="52">
        <f>SUM(H31:H37)+H30</f>
        <v>34.617196159999992</v>
      </c>
      <c r="I38" s="35"/>
      <c r="J38" s="51"/>
      <c r="K38" s="53"/>
      <c r="L38" s="52">
        <f>SUM(L31:L37)+L30</f>
        <v>40.155196159999996</v>
      </c>
      <c r="M38" s="35"/>
      <c r="N38" s="38">
        <f t="shared" ref="N38:N55" si="12">L38-H38</f>
        <v>5.5380000000000038</v>
      </c>
      <c r="O38" s="39">
        <f t="shared" ref="O38:O55" si="13">IF((H38)=0,"",(N38/H38))</f>
        <v>0.15997829444081715</v>
      </c>
    </row>
    <row r="39" spans="2:19" x14ac:dyDescent="0.25">
      <c r="B39" s="22" t="s">
        <v>27</v>
      </c>
      <c r="C39" s="22"/>
      <c r="D39" s="54" t="s">
        <v>68</v>
      </c>
      <c r="E39" s="55"/>
      <c r="F39" s="23">
        <f>Rates!D15</f>
        <v>7.1000000000000004E-3</v>
      </c>
      <c r="G39" s="56">
        <f>F10*(1+F57)</f>
        <v>349.34399999999994</v>
      </c>
      <c r="H39" s="21">
        <f>G39*F39</f>
        <v>2.4803423999999996</v>
      </c>
      <c r="I39" s="22"/>
      <c r="J39" s="23">
        <f>Rates!F15</f>
        <v>7.0000000000000001E-3</v>
      </c>
      <c r="K39" s="57">
        <f>F10*(1+J57)</f>
        <v>349.34399999999994</v>
      </c>
      <c r="L39" s="21">
        <f>K39*J39</f>
        <v>2.4454079999999996</v>
      </c>
      <c r="M39" s="22"/>
      <c r="N39" s="25">
        <f t="shared" si="12"/>
        <v>-3.4934400000000032E-2</v>
      </c>
      <c r="O39" s="26">
        <f t="shared" si="13"/>
        <v>-1.4084507042253537E-2</v>
      </c>
    </row>
    <row r="40" spans="2:19" x14ac:dyDescent="0.25">
      <c r="B40" s="58" t="s">
        <v>28</v>
      </c>
      <c r="C40" s="22"/>
      <c r="D40" s="54" t="s">
        <v>68</v>
      </c>
      <c r="E40" s="55"/>
      <c r="F40" s="23">
        <f>Rates!D16</f>
        <v>5.3E-3</v>
      </c>
      <c r="G40" s="56">
        <f>G39</f>
        <v>349.34399999999994</v>
      </c>
      <c r="H40" s="21">
        <f>G40*F40</f>
        <v>1.8515231999999997</v>
      </c>
      <c r="I40" s="22"/>
      <c r="J40" s="23">
        <f>Rates!F16</f>
        <v>5.1000000000000004E-3</v>
      </c>
      <c r="K40" s="57">
        <f>K39</f>
        <v>349.34399999999994</v>
      </c>
      <c r="L40" s="21">
        <f>K40*J40</f>
        <v>1.7816543999999999</v>
      </c>
      <c r="M40" s="22"/>
      <c r="N40" s="25">
        <f t="shared" si="12"/>
        <v>-6.9868799999999842E-2</v>
      </c>
      <c r="O40" s="26">
        <f t="shared" si="13"/>
        <v>-3.7735849056603696E-2</v>
      </c>
    </row>
    <row r="41" spans="2:19" ht="25.5" x14ac:dyDescent="0.25">
      <c r="B41" s="48" t="s">
        <v>29</v>
      </c>
      <c r="C41" s="30"/>
      <c r="D41" s="30"/>
      <c r="E41" s="30"/>
      <c r="F41" s="59"/>
      <c r="G41" s="51"/>
      <c r="H41" s="52">
        <f>SUM(H38:H40)</f>
        <v>38.949061759999992</v>
      </c>
      <c r="I41" s="60"/>
      <c r="J41" s="61"/>
      <c r="K41" s="62"/>
      <c r="L41" s="52">
        <f>SUM(L38:L40)</f>
        <v>44.382258559999997</v>
      </c>
      <c r="M41" s="60"/>
      <c r="N41" s="38">
        <f t="shared" si="12"/>
        <v>5.4331968000000046</v>
      </c>
      <c r="O41" s="39">
        <f t="shared" si="13"/>
        <v>0.13949493401096</v>
      </c>
    </row>
    <row r="42" spans="2:19" x14ac:dyDescent="0.25">
      <c r="B42" s="63" t="s">
        <v>30</v>
      </c>
      <c r="C42" s="16"/>
      <c r="D42" s="54" t="s">
        <v>68</v>
      </c>
      <c r="E42" s="18"/>
      <c r="F42" s="66">
        <f>Rates!D17</f>
        <v>4.4000000000000003E-3</v>
      </c>
      <c r="G42" s="56">
        <f>G40</f>
        <v>349.34399999999994</v>
      </c>
      <c r="H42" s="65">
        <f t="shared" ref="H42:H49" si="14">G42*F42</f>
        <v>1.5371135999999999</v>
      </c>
      <c r="I42" s="22"/>
      <c r="J42" s="66">
        <f>Rates!F17</f>
        <v>4.4000000000000003E-3</v>
      </c>
      <c r="K42" s="57">
        <f>K40</f>
        <v>349.34399999999994</v>
      </c>
      <c r="L42" s="65">
        <f t="shared" ref="L42:L49" si="15">K42*J42</f>
        <v>1.5371135999999999</v>
      </c>
      <c r="M42" s="22"/>
      <c r="N42" s="25">
        <f t="shared" si="12"/>
        <v>0</v>
      </c>
      <c r="O42" s="67">
        <f t="shared" si="13"/>
        <v>0</v>
      </c>
    </row>
    <row r="43" spans="2:19" x14ac:dyDescent="0.25">
      <c r="B43" s="63" t="s">
        <v>31</v>
      </c>
      <c r="C43" s="16"/>
      <c r="D43" s="54" t="s">
        <v>68</v>
      </c>
      <c r="E43" s="18"/>
      <c r="F43" s="66">
        <f>Rates!D18</f>
        <v>1.2999999999999999E-3</v>
      </c>
      <c r="G43" s="56">
        <f>G40</f>
        <v>349.34399999999994</v>
      </c>
      <c r="H43" s="65">
        <f t="shared" si="14"/>
        <v>0.45414719999999992</v>
      </c>
      <c r="I43" s="22"/>
      <c r="J43" s="66">
        <f>Rates!F18</f>
        <v>1.2999999999999999E-3</v>
      </c>
      <c r="K43" s="57">
        <f>K40</f>
        <v>349.34399999999994</v>
      </c>
      <c r="L43" s="65">
        <f t="shared" si="15"/>
        <v>0.45414719999999992</v>
      </c>
      <c r="M43" s="22"/>
      <c r="N43" s="25">
        <f t="shared" si="12"/>
        <v>0</v>
      </c>
      <c r="O43" s="67">
        <f t="shared" si="13"/>
        <v>0</v>
      </c>
    </row>
    <row r="44" spans="2:19" x14ac:dyDescent="0.25">
      <c r="B44" s="16" t="s">
        <v>32</v>
      </c>
      <c r="C44" s="16"/>
      <c r="D44" s="17" t="s">
        <v>67</v>
      </c>
      <c r="E44" s="18"/>
      <c r="F44" s="64">
        <f>Rates!D20</f>
        <v>0.25</v>
      </c>
      <c r="G44" s="20">
        <v>1</v>
      </c>
      <c r="H44" s="65">
        <f t="shared" si="14"/>
        <v>0.25</v>
      </c>
      <c r="I44" s="22"/>
      <c r="J44" s="66">
        <f>Rates!F20</f>
        <v>0.25</v>
      </c>
      <c r="K44" s="24">
        <v>1</v>
      </c>
      <c r="L44" s="65">
        <f t="shared" si="15"/>
        <v>0.25</v>
      </c>
      <c r="M44" s="22"/>
      <c r="N44" s="25">
        <f t="shared" si="12"/>
        <v>0</v>
      </c>
      <c r="O44" s="67">
        <f t="shared" si="13"/>
        <v>0</v>
      </c>
    </row>
    <row r="45" spans="2:19" x14ac:dyDescent="0.25">
      <c r="B45" s="16" t="s">
        <v>33</v>
      </c>
      <c r="C45" s="16"/>
      <c r="D45" s="17" t="s">
        <v>68</v>
      </c>
      <c r="E45" s="18"/>
      <c r="F45" s="64">
        <f>Rates!D79</f>
        <v>2E-3</v>
      </c>
      <c r="G45" s="68">
        <f>F10</f>
        <v>320</v>
      </c>
      <c r="H45" s="65">
        <f t="shared" si="14"/>
        <v>0.64</v>
      </c>
      <c r="I45" s="22"/>
      <c r="J45" s="66">
        <f>Rates!F79</f>
        <v>0</v>
      </c>
      <c r="K45" s="69">
        <f>F10</f>
        <v>320</v>
      </c>
      <c r="L45" s="65">
        <f t="shared" si="15"/>
        <v>0</v>
      </c>
      <c r="M45" s="22"/>
      <c r="N45" s="25">
        <f t="shared" si="12"/>
        <v>-0.64</v>
      </c>
      <c r="O45" s="67">
        <f t="shared" si="13"/>
        <v>-1</v>
      </c>
    </row>
    <row r="46" spans="2:19" x14ac:dyDescent="0.25">
      <c r="B46" s="16" t="s">
        <v>115</v>
      </c>
      <c r="C46" s="16"/>
      <c r="D46" s="17" t="s">
        <v>68</v>
      </c>
      <c r="E46" s="18"/>
      <c r="F46" s="64"/>
      <c r="G46" s="68"/>
      <c r="H46" s="65"/>
      <c r="I46" s="22"/>
      <c r="J46" s="66">
        <f>Rates!F80</f>
        <v>1.1000000000000001E-3</v>
      </c>
      <c r="K46" s="69">
        <f>F10</f>
        <v>320</v>
      </c>
      <c r="L46" s="65">
        <f t="shared" si="15"/>
        <v>0.35200000000000004</v>
      </c>
      <c r="M46" s="22"/>
      <c r="N46" s="25">
        <f t="shared" si="12"/>
        <v>0.35200000000000004</v>
      </c>
      <c r="O46" s="67" t="str">
        <f t="shared" si="13"/>
        <v/>
      </c>
    </row>
    <row r="47" spans="2:19" x14ac:dyDescent="0.25">
      <c r="B47" s="44" t="s">
        <v>34</v>
      </c>
      <c r="C47" s="16"/>
      <c r="D47" s="17" t="s">
        <v>68</v>
      </c>
      <c r="E47" s="18"/>
      <c r="F47" s="70">
        <f>Rates!D88</f>
        <v>0.08</v>
      </c>
      <c r="G47" s="71">
        <f>0.64*$F$10</f>
        <v>204.8</v>
      </c>
      <c r="H47" s="65">
        <f t="shared" si="14"/>
        <v>16.384</v>
      </c>
      <c r="I47" s="22"/>
      <c r="J47" s="64">
        <f>Rates!F88</f>
        <v>0.08</v>
      </c>
      <c r="K47" s="71">
        <f>G47</f>
        <v>204.8</v>
      </c>
      <c r="L47" s="65">
        <f t="shared" si="15"/>
        <v>16.384</v>
      </c>
      <c r="M47" s="22"/>
      <c r="N47" s="25">
        <f t="shared" si="12"/>
        <v>0</v>
      </c>
      <c r="O47" s="67">
        <f t="shared" si="13"/>
        <v>0</v>
      </c>
      <c r="S47" s="72"/>
    </row>
    <row r="48" spans="2:19" x14ac:dyDescent="0.25">
      <c r="B48" s="44" t="s">
        <v>35</v>
      </c>
      <c r="C48" s="16"/>
      <c r="D48" s="17" t="s">
        <v>68</v>
      </c>
      <c r="E48" s="18"/>
      <c r="F48" s="70">
        <f>Rates!D89</f>
        <v>0.122</v>
      </c>
      <c r="G48" s="71">
        <f>0.18*$F$10</f>
        <v>57.599999999999994</v>
      </c>
      <c r="H48" s="65">
        <f t="shared" si="14"/>
        <v>7.0271999999999988</v>
      </c>
      <c r="I48" s="22"/>
      <c r="J48" s="64">
        <f>Rates!F89</f>
        <v>0.122</v>
      </c>
      <c r="K48" s="71">
        <f>G48</f>
        <v>57.599999999999994</v>
      </c>
      <c r="L48" s="65">
        <f t="shared" si="15"/>
        <v>7.0271999999999988</v>
      </c>
      <c r="M48" s="22"/>
      <c r="N48" s="25">
        <f t="shared" si="12"/>
        <v>0</v>
      </c>
      <c r="O48" s="67">
        <f t="shared" si="13"/>
        <v>0</v>
      </c>
      <c r="S48" s="72"/>
    </row>
    <row r="49" spans="1:19" ht="15.75" thickBot="1" x14ac:dyDescent="0.3">
      <c r="B49" s="6" t="s">
        <v>36</v>
      </c>
      <c r="C49" s="16"/>
      <c r="D49" s="17" t="s">
        <v>68</v>
      </c>
      <c r="E49" s="18"/>
      <c r="F49" s="70">
        <f>Rates!D90</f>
        <v>0.161</v>
      </c>
      <c r="G49" s="71">
        <f>0.18*$F$10</f>
        <v>57.599999999999994</v>
      </c>
      <c r="H49" s="65">
        <f t="shared" si="14"/>
        <v>9.2736000000000001</v>
      </c>
      <c r="I49" s="22"/>
      <c r="J49" s="64">
        <f>Rates!F90</f>
        <v>0.161</v>
      </c>
      <c r="K49" s="71">
        <f>G49</f>
        <v>57.599999999999994</v>
      </c>
      <c r="L49" s="65">
        <f t="shared" si="15"/>
        <v>9.2736000000000001</v>
      </c>
      <c r="M49" s="22"/>
      <c r="N49" s="25">
        <f t="shared" si="12"/>
        <v>0</v>
      </c>
      <c r="O49" s="67">
        <f t="shared" si="13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37</v>
      </c>
      <c r="C51" s="16"/>
      <c r="D51" s="16"/>
      <c r="E51" s="16"/>
      <c r="F51" s="85"/>
      <c r="G51" s="86"/>
      <c r="H51" s="87">
        <f>SUM(H42:H49,H41)</f>
        <v>74.515122559999995</v>
      </c>
      <c r="I51" s="88"/>
      <c r="J51" s="89"/>
      <c r="K51" s="89"/>
      <c r="L51" s="127">
        <f>SUM(L42:L49,L41)</f>
        <v>79.660319359999988</v>
      </c>
      <c r="M51" s="90"/>
      <c r="N51" s="91">
        <f t="shared" ref="N51" si="16">L51-H51</f>
        <v>5.1451967999999937</v>
      </c>
      <c r="O51" s="92">
        <f t="shared" ref="O51" si="17">IF((H51)=0,"",(N51/H51))</f>
        <v>6.9049028213797173E-2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9.6869659327999997</v>
      </c>
      <c r="I52" s="97"/>
      <c r="J52" s="98">
        <v>0.13</v>
      </c>
      <c r="K52" s="97"/>
      <c r="L52" s="99">
        <f>L51*J52</f>
        <v>10.355841516799998</v>
      </c>
      <c r="M52" s="100"/>
      <c r="N52" s="101">
        <f t="shared" si="12"/>
        <v>0.66887558399999847</v>
      </c>
      <c r="O52" s="102">
        <f t="shared" si="13"/>
        <v>6.904902821379709E-2</v>
      </c>
      <c r="S52" s="72"/>
    </row>
    <row r="53" spans="1:19" x14ac:dyDescent="0.25">
      <c r="B53" s="103" t="s">
        <v>42</v>
      </c>
      <c r="C53" s="16"/>
      <c r="D53" s="16"/>
      <c r="E53" s="16"/>
      <c r="F53" s="104"/>
      <c r="G53" s="95"/>
      <c r="H53" s="96">
        <f>H51+H52</f>
        <v>84.202088492799987</v>
      </c>
      <c r="I53" s="97"/>
      <c r="J53" s="97"/>
      <c r="K53" s="97"/>
      <c r="L53" s="99">
        <f>L51+L52</f>
        <v>90.016160876799987</v>
      </c>
      <c r="M53" s="100"/>
      <c r="N53" s="101">
        <f t="shared" si="12"/>
        <v>5.8140723839999993</v>
      </c>
      <c r="O53" s="102">
        <f t="shared" si="13"/>
        <v>6.9049028213797256E-2</v>
      </c>
      <c r="S53" s="72"/>
    </row>
    <row r="54" spans="1:19" x14ac:dyDescent="0.25">
      <c r="B54" s="194" t="s">
        <v>43</v>
      </c>
      <c r="C54" s="194"/>
      <c r="D54" s="194"/>
      <c r="E54" s="16"/>
      <c r="F54" s="104"/>
      <c r="G54" s="95"/>
      <c r="H54" s="105">
        <f>ROUND(-H53*10%,2)</f>
        <v>-8.42</v>
      </c>
      <c r="I54" s="97"/>
      <c r="J54" s="97"/>
      <c r="K54" s="97"/>
      <c r="L54" s="106">
        <v>0</v>
      </c>
      <c r="M54" s="100"/>
      <c r="N54" s="107">
        <f t="shared" si="12"/>
        <v>8.42</v>
      </c>
      <c r="O54" s="108">
        <f t="shared" si="13"/>
        <v>-1</v>
      </c>
    </row>
    <row r="55" spans="1:19" x14ac:dyDescent="0.25">
      <c r="B55" s="195" t="s">
        <v>39</v>
      </c>
      <c r="C55" s="195"/>
      <c r="D55" s="195"/>
      <c r="E55" s="109"/>
      <c r="F55" s="110"/>
      <c r="G55" s="111"/>
      <c r="H55" s="112">
        <f>H53+H54</f>
        <v>75.782088492799986</v>
      </c>
      <c r="I55" s="113"/>
      <c r="J55" s="113"/>
      <c r="K55" s="113"/>
      <c r="L55" s="114">
        <f>L53+L54</f>
        <v>90.016160876799987</v>
      </c>
      <c r="M55" s="115"/>
      <c r="N55" s="116">
        <f t="shared" si="12"/>
        <v>14.234072384000001</v>
      </c>
      <c r="O55" s="117">
        <f t="shared" si="13"/>
        <v>0.18782898000168433</v>
      </c>
    </row>
    <row r="56" spans="1:19" x14ac:dyDescent="0.25">
      <c r="L56" s="72"/>
    </row>
    <row r="57" spans="1:19" x14ac:dyDescent="0.25">
      <c r="B57" s="7" t="s">
        <v>40</v>
      </c>
      <c r="F57" s="125">
        <f>Rates!D85</f>
        <v>9.1700000000000004E-2</v>
      </c>
      <c r="J57" s="125">
        <f>Rates!F85</f>
        <v>9.1700000000000004E-2</v>
      </c>
    </row>
    <row r="59" spans="1:19" x14ac:dyDescent="0.25">
      <c r="A59" s="126"/>
      <c r="B59" s="1" t="s">
        <v>41</v>
      </c>
    </row>
  </sheetData>
  <mergeCells count="11">
    <mergeCell ref="D13:D14"/>
    <mergeCell ref="N13:N14"/>
    <mergeCell ref="O13:O14"/>
    <mergeCell ref="B54:D54"/>
    <mergeCell ref="B55:D55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39:D40 D31:D37 D15:D29 D42:D50">
      <formula1>"Monthly, per kWh, per kW"</formula1>
    </dataValidation>
    <dataValidation type="list" allowBlank="1" showInputMessage="1" showErrorMessage="1" sqref="E39:E40 E31:E37 E15:E29 E42:E50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59"/>
  <sheetViews>
    <sheetView showGridLines="0" topLeftCell="A31" zoomScaleNormal="100" workbookViewId="0">
      <selection activeCell="B46" sqref="B46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86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Rates!D4</f>
        <v>23.34</v>
      </c>
      <c r="G15" s="20">
        <v>1</v>
      </c>
      <c r="H15" s="21">
        <f>G15*F15</f>
        <v>23.34</v>
      </c>
      <c r="I15" s="22"/>
      <c r="J15" s="23">
        <f>Rates!F4</f>
        <v>23.76</v>
      </c>
      <c r="K15" s="24">
        <v>1</v>
      </c>
      <c r="L15" s="21">
        <f>K15*J15</f>
        <v>23.76</v>
      </c>
      <c r="M15" s="22"/>
      <c r="N15" s="25">
        <f>L15-H15</f>
        <v>0.42000000000000171</v>
      </c>
      <c r="O15" s="26">
        <f>IF((H15)=0,"",(N15/H15))</f>
        <v>1.7994858611825267E-2</v>
      </c>
    </row>
    <row r="16" spans="2:16" x14ac:dyDescent="0.25">
      <c r="B16" s="27"/>
      <c r="C16" s="16"/>
      <c r="D16" s="17"/>
      <c r="E16" s="18"/>
      <c r="F16" s="19"/>
      <c r="G16" s="20">
        <v>1</v>
      </c>
      <c r="H16" s="21">
        <f t="shared" ref="H16:H29" si="0">G16*F16</f>
        <v>0</v>
      </c>
      <c r="I16" s="22"/>
      <c r="J16" s="23"/>
      <c r="K16" s="24">
        <v>1</v>
      </c>
      <c r="L16" s="21">
        <f t="shared" ref="L16:L29" si="1">K16*J16</f>
        <v>0</v>
      </c>
      <c r="M16" s="22"/>
      <c r="N16" s="25">
        <f t="shared" ref="N16:N30" si="2">L16-H16</f>
        <v>0</v>
      </c>
      <c r="O16" s="26" t="str">
        <f t="shared" ref="O16:O30" si="3">IF((H16)=0,"",(N16/H16))</f>
        <v/>
      </c>
    </row>
    <row r="17" spans="2:15" x14ac:dyDescent="0.25">
      <c r="B17" s="27"/>
      <c r="C17" s="16"/>
      <c r="D17" s="17"/>
      <c r="E17" s="18"/>
      <c r="F17" s="19"/>
      <c r="G17" s="20">
        <v>1</v>
      </c>
      <c r="H17" s="21">
        <f t="shared" si="0"/>
        <v>0</v>
      </c>
      <c r="I17" s="22"/>
      <c r="J17" s="23"/>
      <c r="K17" s="24">
        <v>1</v>
      </c>
      <c r="L17" s="21">
        <f t="shared" si="1"/>
        <v>0</v>
      </c>
      <c r="M17" s="22"/>
      <c r="N17" s="25">
        <f t="shared" si="2"/>
        <v>0</v>
      </c>
      <c r="O17" s="26" t="str">
        <f t="shared" si="3"/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19</v>
      </c>
      <c r="C19" s="16"/>
      <c r="D19" s="17" t="s">
        <v>68</v>
      </c>
      <c r="E19" s="18"/>
      <c r="F19" s="19">
        <f>Rates!D6</f>
        <v>3.2800000000000003E-2</v>
      </c>
      <c r="G19" s="20">
        <f>$F$10</f>
        <v>2000</v>
      </c>
      <c r="H19" s="21">
        <f t="shared" si="0"/>
        <v>65.600000000000009</v>
      </c>
      <c r="I19" s="22"/>
      <c r="J19" s="23">
        <f>Rates!F6</f>
        <v>3.3399999999999999E-2</v>
      </c>
      <c r="K19" s="20">
        <f>$F$10</f>
        <v>2000</v>
      </c>
      <c r="L19" s="21">
        <f t="shared" si="1"/>
        <v>66.8</v>
      </c>
      <c r="M19" s="22"/>
      <c r="N19" s="25">
        <f t="shared" si="2"/>
        <v>1.1999999999999886</v>
      </c>
      <c r="O19" s="26">
        <f t="shared" si="3"/>
        <v>1.8292682926829094E-2</v>
      </c>
    </row>
    <row r="20" spans="2:15" x14ac:dyDescent="0.25">
      <c r="B20" s="16" t="s">
        <v>20</v>
      </c>
      <c r="C20" s="16"/>
      <c r="D20" s="17" t="s">
        <v>67</v>
      </c>
      <c r="E20" s="18"/>
      <c r="F20" s="19">
        <f>Rates!D7</f>
        <v>2.0499999999999998</v>
      </c>
      <c r="G20" s="20">
        <v>1</v>
      </c>
      <c r="H20" s="21">
        <f t="shared" si="0"/>
        <v>2.0499999999999998</v>
      </c>
      <c r="I20" s="22"/>
      <c r="J20" s="23"/>
      <c r="K20" s="20">
        <f t="shared" ref="K20:K29" si="4">$F$10</f>
        <v>2000</v>
      </c>
      <c r="L20" s="21">
        <f t="shared" si="1"/>
        <v>0</v>
      </c>
      <c r="M20" s="22"/>
      <c r="N20" s="25">
        <f t="shared" si="2"/>
        <v>-2.0499999999999998</v>
      </c>
      <c r="O20" s="26">
        <f t="shared" si="3"/>
        <v>-1</v>
      </c>
    </row>
    <row r="21" spans="2:15" ht="45" x14ac:dyDescent="0.25">
      <c r="B21" s="63" t="str">
        <f>Rates!A13</f>
        <v>Rate Rider for the Recovery of Lost Revenue Adjustment (LRAM) - effective until December 31, 2015</v>
      </c>
      <c r="C21" s="16"/>
      <c r="D21" s="54" t="s">
        <v>68</v>
      </c>
      <c r="E21" s="18"/>
      <c r="F21" s="23">
        <f>Rates!D13</f>
        <v>2.0000000000000001E-4</v>
      </c>
      <c r="G21" s="20">
        <f>$F$10</f>
        <v>2000</v>
      </c>
      <c r="H21" s="21">
        <f t="shared" si="0"/>
        <v>0.4</v>
      </c>
      <c r="I21" s="22"/>
      <c r="J21" s="23">
        <f>Rates!F13</f>
        <v>0</v>
      </c>
      <c r="K21" s="20">
        <f t="shared" si="4"/>
        <v>2000</v>
      </c>
      <c r="L21" s="21">
        <f t="shared" si="1"/>
        <v>0</v>
      </c>
      <c r="M21" s="22"/>
      <c r="N21" s="25">
        <f t="shared" si="2"/>
        <v>-0.4</v>
      </c>
      <c r="O21" s="26">
        <f t="shared" si="3"/>
        <v>-1</v>
      </c>
    </row>
    <row r="22" spans="2:15" x14ac:dyDescent="0.25">
      <c r="B22" s="128"/>
      <c r="C22" s="16"/>
      <c r="D22" s="54"/>
      <c r="E22" s="18"/>
      <c r="F22" s="23"/>
      <c r="G22" s="20">
        <f t="shared" ref="G22:G29" si="5">$F$10</f>
        <v>2000</v>
      </c>
      <c r="H22" s="21">
        <f t="shared" si="0"/>
        <v>0</v>
      </c>
      <c r="I22" s="22"/>
      <c r="J22" s="23"/>
      <c r="K22" s="20">
        <f t="shared" si="4"/>
        <v>2000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28"/>
      <c r="C23" s="16"/>
      <c r="D23" s="54"/>
      <c r="E23" s="18"/>
      <c r="F23" s="23"/>
      <c r="G23" s="20">
        <f t="shared" si="5"/>
        <v>2000</v>
      </c>
      <c r="H23" s="21">
        <f t="shared" si="0"/>
        <v>0</v>
      </c>
      <c r="I23" s="22"/>
      <c r="J23" s="23"/>
      <c r="K23" s="20">
        <f t="shared" si="4"/>
        <v>2000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/>
      <c r="E24" s="18"/>
      <c r="F24" s="23"/>
      <c r="G24" s="20">
        <f t="shared" si="5"/>
        <v>2000</v>
      </c>
      <c r="H24" s="21">
        <f t="shared" si="0"/>
        <v>0</v>
      </c>
      <c r="I24" s="22"/>
      <c r="J24" s="23"/>
      <c r="K24" s="20">
        <f t="shared" si="4"/>
        <v>2000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ht="45" x14ac:dyDescent="0.25">
      <c r="B25" s="128" t="str">
        <f>Rates!A14</f>
        <v>Rate Rider for the Disposition of Account 1575 &amp; 1576 - effective until December 31, 2019</v>
      </c>
      <c r="C25" s="16"/>
      <c r="D25" s="54" t="s">
        <v>68</v>
      </c>
      <c r="E25" s="18"/>
      <c r="F25" s="23">
        <f>Rates!D14</f>
        <v>-1.9E-3</v>
      </c>
      <c r="G25" s="20">
        <f t="shared" si="5"/>
        <v>2000</v>
      </c>
      <c r="H25" s="21">
        <f t="shared" si="0"/>
        <v>-3.8</v>
      </c>
      <c r="I25" s="22"/>
      <c r="J25" s="23">
        <f>Rates!F14</f>
        <v>-1.9E-3</v>
      </c>
      <c r="K25" s="20">
        <f t="shared" si="4"/>
        <v>2000</v>
      </c>
      <c r="L25" s="21">
        <f t="shared" si="1"/>
        <v>-3.8</v>
      </c>
      <c r="M25" s="22"/>
      <c r="N25" s="25">
        <f t="shared" si="2"/>
        <v>0</v>
      </c>
      <c r="O25" s="26">
        <f t="shared" si="3"/>
        <v>0</v>
      </c>
    </row>
    <row r="26" spans="2:15" x14ac:dyDescent="0.25">
      <c r="B26" s="28"/>
      <c r="C26" s="16"/>
      <c r="D26" s="17"/>
      <c r="E26" s="18"/>
      <c r="F26" s="19"/>
      <c r="G26" s="20">
        <f t="shared" si="5"/>
        <v>2000</v>
      </c>
      <c r="H26" s="21">
        <f t="shared" si="0"/>
        <v>0</v>
      </c>
      <c r="I26" s="22"/>
      <c r="J26" s="23"/>
      <c r="K26" s="20">
        <f t="shared" si="4"/>
        <v>2000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x14ac:dyDescent="0.25">
      <c r="B27" s="28"/>
      <c r="C27" s="16"/>
      <c r="D27" s="17"/>
      <c r="E27" s="18"/>
      <c r="F27" s="19"/>
      <c r="G27" s="20">
        <f t="shared" si="5"/>
        <v>2000</v>
      </c>
      <c r="H27" s="21">
        <f t="shared" si="0"/>
        <v>0</v>
      </c>
      <c r="I27" s="22"/>
      <c r="J27" s="23"/>
      <c r="K27" s="20">
        <f t="shared" si="4"/>
        <v>2000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x14ac:dyDescent="0.25">
      <c r="B28" s="28"/>
      <c r="C28" s="16"/>
      <c r="D28" s="17"/>
      <c r="E28" s="18"/>
      <c r="F28" s="19"/>
      <c r="G28" s="20">
        <f t="shared" si="5"/>
        <v>2000</v>
      </c>
      <c r="H28" s="21">
        <f t="shared" si="0"/>
        <v>0</v>
      </c>
      <c r="I28" s="22"/>
      <c r="J28" s="23"/>
      <c r="K28" s="20">
        <f t="shared" si="4"/>
        <v>2000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5"/>
        <v>2000</v>
      </c>
      <c r="H29" s="21">
        <f t="shared" si="0"/>
        <v>0</v>
      </c>
      <c r="I29" s="22"/>
      <c r="J29" s="23"/>
      <c r="K29" s="20">
        <f t="shared" si="4"/>
        <v>2000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s="40" customFormat="1" x14ac:dyDescent="0.25">
      <c r="B30" s="29" t="s">
        <v>22</v>
      </c>
      <c r="C30" s="30"/>
      <c r="D30" s="31"/>
      <c r="E30" s="30"/>
      <c r="F30" s="32"/>
      <c r="G30" s="33"/>
      <c r="H30" s="34">
        <f>SUM(H15:H29)</f>
        <v>87.590000000000018</v>
      </c>
      <c r="I30" s="35"/>
      <c r="J30" s="36"/>
      <c r="K30" s="37"/>
      <c r="L30" s="34">
        <f>SUM(L15:L29)</f>
        <v>86.76</v>
      </c>
      <c r="M30" s="35"/>
      <c r="N30" s="38">
        <f t="shared" si="2"/>
        <v>-0.83000000000001251</v>
      </c>
      <c r="O30" s="39">
        <f t="shared" si="3"/>
        <v>-9.4759675762074707E-3</v>
      </c>
    </row>
    <row r="31" spans="2:15" ht="38.25" x14ac:dyDescent="0.25">
      <c r="B31" s="41" t="str">
        <f>Rates!A11</f>
        <v>Rate Rider for the Disposition of Deferral/Variance Accounts (2014) - effective until December 31, 2015</v>
      </c>
      <c r="C31" s="16"/>
      <c r="D31" s="54" t="s">
        <v>68</v>
      </c>
      <c r="E31" s="18"/>
      <c r="F31" s="23">
        <f>Rates!D11</f>
        <v>-1.41E-2</v>
      </c>
      <c r="G31" s="20">
        <f>$F$10</f>
        <v>2000</v>
      </c>
      <c r="H31" s="21">
        <f>G31*F31</f>
        <v>-28.2</v>
      </c>
      <c r="I31" s="22"/>
      <c r="J31" s="23">
        <f>Rates!F11</f>
        <v>0</v>
      </c>
      <c r="K31" s="20">
        <f>$F$10</f>
        <v>2000</v>
      </c>
      <c r="L31" s="21">
        <f>K31*J31</f>
        <v>0</v>
      </c>
      <c r="M31" s="22"/>
      <c r="N31" s="25">
        <f>L31-H31</f>
        <v>28.2</v>
      </c>
      <c r="O31" s="26">
        <f>IF((H31)=0,"",(N31/H31))</f>
        <v>-1</v>
      </c>
    </row>
    <row r="32" spans="2:15" ht="38.25" x14ac:dyDescent="0.25">
      <c r="B32" s="41" t="str">
        <f>Rates!A12</f>
        <v>Rate Rider for the Disposition of Global Adjustment Sub-Account (2014) - effective until December 31, 2015</v>
      </c>
      <c r="C32" s="16"/>
      <c r="D32" s="54" t="s">
        <v>68</v>
      </c>
      <c r="E32" s="18"/>
      <c r="F32" s="23">
        <f>Rates!D12</f>
        <v>2.1899999999999999E-2</v>
      </c>
      <c r="G32" s="20">
        <v>0</v>
      </c>
      <c r="H32" s="21">
        <f t="shared" ref="H32:H36" si="6">G32*F32</f>
        <v>0</v>
      </c>
      <c r="I32" s="42"/>
      <c r="J32" s="23">
        <v>0</v>
      </c>
      <c r="K32" s="20">
        <v>0</v>
      </c>
      <c r="L32" s="21">
        <f t="shared" ref="L32:L36" si="7">K32*J32</f>
        <v>0</v>
      </c>
      <c r="M32" s="43"/>
      <c r="N32" s="25">
        <f t="shared" ref="N32:N36" si="8">L32-H32</f>
        <v>0</v>
      </c>
      <c r="O32" s="26" t="str">
        <f t="shared" ref="O32:O36" si="9">IF((H32)=0,"",(N32/H32))</f>
        <v/>
      </c>
    </row>
    <row r="33" spans="2:19" ht="38.25" x14ac:dyDescent="0.25">
      <c r="B33" s="41" t="str">
        <f>Rates!A8</f>
        <v>Rate Rider for the Disposition of Deferral/Variance Accounts (2016) - effective until December 31, 2016</v>
      </c>
      <c r="C33" s="16"/>
      <c r="D33" s="17" t="s">
        <v>68</v>
      </c>
      <c r="E33" s="18"/>
      <c r="F33" s="19"/>
      <c r="G33" s="20">
        <f t="shared" ref="G33:G35" si="10">$F$10</f>
        <v>2000</v>
      </c>
      <c r="H33" s="21">
        <f t="shared" si="6"/>
        <v>0</v>
      </c>
      <c r="I33" s="42"/>
      <c r="J33" s="23">
        <f>Rates!F8</f>
        <v>0</v>
      </c>
      <c r="K33" s="20">
        <f t="shared" ref="K33:K35" si="11">$F$10</f>
        <v>2000</v>
      </c>
      <c r="L33" s="21">
        <f t="shared" si="7"/>
        <v>0</v>
      </c>
      <c r="M33" s="43"/>
      <c r="N33" s="25">
        <f t="shared" si="8"/>
        <v>0</v>
      </c>
      <c r="O33" s="26" t="str">
        <f t="shared" si="9"/>
        <v/>
      </c>
    </row>
    <row r="34" spans="2:19" ht="38.25" x14ac:dyDescent="0.25">
      <c r="B34" s="41" t="str">
        <f>Rates!A9</f>
        <v>Rate Rider for the Disposition of Global Adjustment Sub-Account (2016) - effective until December 31, 2016</v>
      </c>
      <c r="C34" s="16"/>
      <c r="D34" s="17" t="s">
        <v>68</v>
      </c>
      <c r="E34" s="18"/>
      <c r="F34" s="19"/>
      <c r="G34" s="20"/>
      <c r="H34" s="21">
        <f t="shared" si="6"/>
        <v>0</v>
      </c>
      <c r="I34" s="42"/>
      <c r="J34" s="23">
        <f>Rates!F9</f>
        <v>0</v>
      </c>
      <c r="K34" s="20"/>
      <c r="L34" s="21">
        <f t="shared" si="7"/>
        <v>0</v>
      </c>
      <c r="M34" s="43"/>
      <c r="N34" s="25">
        <f t="shared" si="8"/>
        <v>0</v>
      </c>
      <c r="O34" s="26" t="str">
        <f t="shared" si="9"/>
        <v/>
      </c>
    </row>
    <row r="35" spans="2:19" x14ac:dyDescent="0.25">
      <c r="B35" s="44" t="s">
        <v>23</v>
      </c>
      <c r="C35" s="16"/>
      <c r="D35" s="17"/>
      <c r="E35" s="18"/>
      <c r="F35" s="19"/>
      <c r="G35" s="20">
        <f t="shared" si="10"/>
        <v>2000</v>
      </c>
      <c r="H35" s="21">
        <f>G35*F35</f>
        <v>0</v>
      </c>
      <c r="I35" s="22"/>
      <c r="J35" s="23"/>
      <c r="K35" s="20">
        <f t="shared" si="11"/>
        <v>2000</v>
      </c>
      <c r="L35" s="21">
        <f>K35*J35</f>
        <v>0</v>
      </c>
      <c r="M35" s="22"/>
      <c r="N35" s="25">
        <f>L35-H35</f>
        <v>0</v>
      </c>
      <c r="O35" s="26" t="str">
        <f>IF((H35)=0,"",(N35/H35))</f>
        <v/>
      </c>
    </row>
    <row r="36" spans="2:19" x14ac:dyDescent="0.25">
      <c r="B36" s="44" t="s">
        <v>24</v>
      </c>
      <c r="C36" s="16"/>
      <c r="D36" s="17" t="s">
        <v>68</v>
      </c>
      <c r="E36" s="18"/>
      <c r="F36" s="45">
        <f>IF(ISBLANK(D8)=TRUE, 0, IF(D8="TOU", 0.64*$F$47+0.18*$F$48+0.18*$F$49, IF(AND(D8="non-TOU",#REF!&gt; 0),#REF!,#REF!)))</f>
        <v>0.10214000000000001</v>
      </c>
      <c r="G36" s="46">
        <f>$F$10*(1+$F$57)-$F$10</f>
        <v>183.39999999999964</v>
      </c>
      <c r="H36" s="21">
        <f t="shared" si="6"/>
        <v>18.732475999999963</v>
      </c>
      <c r="I36" s="22"/>
      <c r="J36" s="47">
        <f>0.64*$F$47+0.18*$F$48+0.18*$F$49</f>
        <v>0.10214000000000001</v>
      </c>
      <c r="K36" s="46">
        <f>$F$10*(1+$J$57)-$F$10</f>
        <v>183.39999999999964</v>
      </c>
      <c r="L36" s="21">
        <f t="shared" si="7"/>
        <v>18.732475999999963</v>
      </c>
      <c r="M36" s="22"/>
      <c r="N36" s="25">
        <f t="shared" si="8"/>
        <v>0</v>
      </c>
      <c r="O36" s="26">
        <f t="shared" si="9"/>
        <v>0</v>
      </c>
    </row>
    <row r="37" spans="2:19" x14ac:dyDescent="0.25">
      <c r="B37" s="44" t="s">
        <v>25</v>
      </c>
      <c r="C37" s="16"/>
      <c r="D37" s="17" t="s">
        <v>67</v>
      </c>
      <c r="E37" s="18"/>
      <c r="F37" s="45">
        <f>Rates!D19</f>
        <v>0.79</v>
      </c>
      <c r="G37" s="20">
        <v>1</v>
      </c>
      <c r="H37" s="21">
        <f>G37*F37</f>
        <v>0.79</v>
      </c>
      <c r="I37" s="22"/>
      <c r="J37" s="45">
        <f>Rates!F19</f>
        <v>0.79</v>
      </c>
      <c r="K37" s="20">
        <v>1</v>
      </c>
      <c r="L37" s="21">
        <f>K37*J37</f>
        <v>0.79</v>
      </c>
      <c r="M37" s="22"/>
      <c r="N37" s="25">
        <f>L37-H37</f>
        <v>0</v>
      </c>
      <c r="O37" s="26"/>
    </row>
    <row r="38" spans="2:19" ht="25.5" x14ac:dyDescent="0.25">
      <c r="B38" s="48" t="s">
        <v>26</v>
      </c>
      <c r="C38" s="49"/>
      <c r="D38" s="49"/>
      <c r="E38" s="49"/>
      <c r="F38" s="50"/>
      <c r="G38" s="51"/>
      <c r="H38" s="52">
        <f>SUM(H31:H37)+H30</f>
        <v>78.912475999999984</v>
      </c>
      <c r="I38" s="35"/>
      <c r="J38" s="51"/>
      <c r="K38" s="53"/>
      <c r="L38" s="52">
        <f>SUM(L31:L37)+L30</f>
        <v>106.28247599999997</v>
      </c>
      <c r="M38" s="35"/>
      <c r="N38" s="38">
        <f t="shared" ref="N38:N55" si="12">L38-H38</f>
        <v>27.36999999999999</v>
      </c>
      <c r="O38" s="39">
        <f t="shared" ref="O38:O55" si="13">IF((H38)=0,"",(N38/H38))</f>
        <v>0.34683995975490611</v>
      </c>
    </row>
    <row r="39" spans="2:19" x14ac:dyDescent="0.25">
      <c r="B39" s="22" t="s">
        <v>27</v>
      </c>
      <c r="C39" s="22"/>
      <c r="D39" s="54" t="s">
        <v>68</v>
      </c>
      <c r="E39" s="55"/>
      <c r="F39" s="23">
        <f>Rates!D15</f>
        <v>7.1000000000000004E-3</v>
      </c>
      <c r="G39" s="56">
        <f>F10*(1+F57)</f>
        <v>2183.3999999999996</v>
      </c>
      <c r="H39" s="21">
        <f>G39*F39</f>
        <v>15.502139999999999</v>
      </c>
      <c r="I39" s="22"/>
      <c r="J39" s="23">
        <f>Rates!F15</f>
        <v>7.0000000000000001E-3</v>
      </c>
      <c r="K39" s="57">
        <f>F10*(1+J57)</f>
        <v>2183.3999999999996</v>
      </c>
      <c r="L39" s="21">
        <f>K39*J39</f>
        <v>15.283799999999998</v>
      </c>
      <c r="M39" s="22"/>
      <c r="N39" s="25">
        <f t="shared" si="12"/>
        <v>-0.21834000000000131</v>
      </c>
      <c r="O39" s="26">
        <f t="shared" si="13"/>
        <v>-1.4084507042253606E-2</v>
      </c>
    </row>
    <row r="40" spans="2:19" x14ac:dyDescent="0.25">
      <c r="B40" s="58" t="s">
        <v>28</v>
      </c>
      <c r="C40" s="22"/>
      <c r="D40" s="54" t="s">
        <v>68</v>
      </c>
      <c r="E40" s="55"/>
      <c r="F40" s="23">
        <f>Rates!D16</f>
        <v>5.3E-3</v>
      </c>
      <c r="G40" s="56">
        <f>G39</f>
        <v>2183.3999999999996</v>
      </c>
      <c r="H40" s="21">
        <f>G40*F40</f>
        <v>11.572019999999998</v>
      </c>
      <c r="I40" s="22"/>
      <c r="J40" s="23">
        <f>Rates!F16</f>
        <v>5.1000000000000004E-3</v>
      </c>
      <c r="K40" s="57">
        <f>K39</f>
        <v>2183.3999999999996</v>
      </c>
      <c r="L40" s="21">
        <f>K40*J40</f>
        <v>11.135339999999999</v>
      </c>
      <c r="M40" s="22"/>
      <c r="N40" s="25">
        <f t="shared" si="12"/>
        <v>-0.43667999999999907</v>
      </c>
      <c r="O40" s="26">
        <f t="shared" si="13"/>
        <v>-3.7735849056603696E-2</v>
      </c>
    </row>
    <row r="41" spans="2:19" ht="25.5" x14ac:dyDescent="0.25">
      <c r="B41" s="48" t="s">
        <v>29</v>
      </c>
      <c r="C41" s="30"/>
      <c r="D41" s="30"/>
      <c r="E41" s="30"/>
      <c r="F41" s="59"/>
      <c r="G41" s="51"/>
      <c r="H41" s="52">
        <f>SUM(H38:H40)</f>
        <v>105.98663599999998</v>
      </c>
      <c r="I41" s="60"/>
      <c r="J41" s="61"/>
      <c r="K41" s="62"/>
      <c r="L41" s="52">
        <f>SUM(L38:L40)</f>
        <v>132.70161599999997</v>
      </c>
      <c r="M41" s="60"/>
      <c r="N41" s="38">
        <f t="shared" si="12"/>
        <v>26.714979999999997</v>
      </c>
      <c r="O41" s="39">
        <f t="shared" si="13"/>
        <v>0.25205989177729921</v>
      </c>
    </row>
    <row r="42" spans="2:19" x14ac:dyDescent="0.25">
      <c r="B42" s="63" t="s">
        <v>30</v>
      </c>
      <c r="C42" s="16"/>
      <c r="D42" s="54" t="s">
        <v>68</v>
      </c>
      <c r="E42" s="18"/>
      <c r="F42" s="66">
        <f>Rates!D17</f>
        <v>4.4000000000000003E-3</v>
      </c>
      <c r="G42" s="56">
        <f>G40</f>
        <v>2183.3999999999996</v>
      </c>
      <c r="H42" s="65">
        <f t="shared" ref="H42:H49" si="14">G42*F42</f>
        <v>9.6069599999999991</v>
      </c>
      <c r="I42" s="22"/>
      <c r="J42" s="66">
        <f>Rates!F17</f>
        <v>4.4000000000000003E-3</v>
      </c>
      <c r="K42" s="57">
        <f>K40</f>
        <v>2183.3999999999996</v>
      </c>
      <c r="L42" s="65">
        <f t="shared" ref="L42:L49" si="15">K42*J42</f>
        <v>9.6069599999999991</v>
      </c>
      <c r="M42" s="22"/>
      <c r="N42" s="25">
        <f t="shared" si="12"/>
        <v>0</v>
      </c>
      <c r="O42" s="67">
        <f t="shared" si="13"/>
        <v>0</v>
      </c>
    </row>
    <row r="43" spans="2:19" x14ac:dyDescent="0.25">
      <c r="B43" s="63" t="s">
        <v>31</v>
      </c>
      <c r="C43" s="16"/>
      <c r="D43" s="54" t="s">
        <v>68</v>
      </c>
      <c r="E43" s="18"/>
      <c r="F43" s="66">
        <f>Rates!D18</f>
        <v>1.2999999999999999E-3</v>
      </c>
      <c r="G43" s="56">
        <f>G40</f>
        <v>2183.3999999999996</v>
      </c>
      <c r="H43" s="65">
        <f t="shared" si="14"/>
        <v>2.8384199999999993</v>
      </c>
      <c r="I43" s="22"/>
      <c r="J43" s="66">
        <f>Rates!F18</f>
        <v>1.2999999999999999E-3</v>
      </c>
      <c r="K43" s="57">
        <f>K40</f>
        <v>2183.3999999999996</v>
      </c>
      <c r="L43" s="65">
        <f t="shared" si="15"/>
        <v>2.8384199999999993</v>
      </c>
      <c r="M43" s="22"/>
      <c r="N43" s="25">
        <f t="shared" si="12"/>
        <v>0</v>
      </c>
      <c r="O43" s="67">
        <f t="shared" si="13"/>
        <v>0</v>
      </c>
    </row>
    <row r="44" spans="2:19" x14ac:dyDescent="0.25">
      <c r="B44" s="16" t="s">
        <v>32</v>
      </c>
      <c r="C44" s="16"/>
      <c r="D44" s="17" t="s">
        <v>67</v>
      </c>
      <c r="E44" s="18"/>
      <c r="F44" s="64">
        <f>Rates!D20</f>
        <v>0.25</v>
      </c>
      <c r="G44" s="20">
        <v>1</v>
      </c>
      <c r="H44" s="65">
        <f t="shared" si="14"/>
        <v>0.25</v>
      </c>
      <c r="I44" s="22"/>
      <c r="J44" s="66">
        <f>Rates!F20</f>
        <v>0.25</v>
      </c>
      <c r="K44" s="24">
        <v>1</v>
      </c>
      <c r="L44" s="65">
        <f t="shared" si="15"/>
        <v>0.25</v>
      </c>
      <c r="M44" s="22"/>
      <c r="N44" s="25">
        <f t="shared" si="12"/>
        <v>0</v>
      </c>
      <c r="O44" s="67">
        <f t="shared" si="13"/>
        <v>0</v>
      </c>
    </row>
    <row r="45" spans="2:19" x14ac:dyDescent="0.25">
      <c r="B45" s="16" t="s">
        <v>33</v>
      </c>
      <c r="C45" s="16"/>
      <c r="D45" s="17" t="s">
        <v>68</v>
      </c>
      <c r="E45" s="18"/>
      <c r="F45" s="64">
        <f>Rates!D79</f>
        <v>2E-3</v>
      </c>
      <c r="G45" s="68">
        <f>F10</f>
        <v>2000</v>
      </c>
      <c r="H45" s="65">
        <f t="shared" si="14"/>
        <v>4</v>
      </c>
      <c r="I45" s="22"/>
      <c r="J45" s="66">
        <f>Rates!F79</f>
        <v>0</v>
      </c>
      <c r="K45" s="69">
        <f>F10</f>
        <v>2000</v>
      </c>
      <c r="L45" s="65">
        <f t="shared" si="15"/>
        <v>0</v>
      </c>
      <c r="M45" s="22"/>
      <c r="N45" s="25">
        <f t="shared" si="12"/>
        <v>-4</v>
      </c>
      <c r="O45" s="67">
        <f t="shared" si="13"/>
        <v>-1</v>
      </c>
    </row>
    <row r="46" spans="2:19" x14ac:dyDescent="0.25">
      <c r="B46" s="16" t="s">
        <v>115</v>
      </c>
      <c r="C46" s="16"/>
      <c r="D46" s="17" t="s">
        <v>68</v>
      </c>
      <c r="E46" s="18"/>
      <c r="F46" s="64"/>
      <c r="G46" s="68"/>
      <c r="H46" s="65"/>
      <c r="I46" s="22"/>
      <c r="J46" s="66">
        <f>Rates!F80</f>
        <v>1.1000000000000001E-3</v>
      </c>
      <c r="K46" s="69">
        <f>F10</f>
        <v>2000</v>
      </c>
      <c r="L46" s="65">
        <f t="shared" si="15"/>
        <v>2.2000000000000002</v>
      </c>
      <c r="M46" s="22"/>
      <c r="N46" s="25">
        <f t="shared" ref="N46" si="16">L46-H46</f>
        <v>2.2000000000000002</v>
      </c>
      <c r="O46" s="67" t="str">
        <f t="shared" ref="O46" si="17">IF((H46)=0,"",(N46/H46))</f>
        <v/>
      </c>
    </row>
    <row r="47" spans="2:19" x14ac:dyDescent="0.25">
      <c r="B47" s="44" t="s">
        <v>34</v>
      </c>
      <c r="C47" s="16"/>
      <c r="D47" s="17" t="s">
        <v>68</v>
      </c>
      <c r="E47" s="18"/>
      <c r="F47" s="70">
        <f>Rates!D88</f>
        <v>0.08</v>
      </c>
      <c r="G47" s="71">
        <f>0.64*$F$10</f>
        <v>1280</v>
      </c>
      <c r="H47" s="65">
        <f t="shared" si="14"/>
        <v>102.4</v>
      </c>
      <c r="I47" s="22"/>
      <c r="J47" s="64">
        <f>Rates!F88</f>
        <v>0.08</v>
      </c>
      <c r="K47" s="71">
        <f>G47</f>
        <v>1280</v>
      </c>
      <c r="L47" s="65">
        <f t="shared" si="15"/>
        <v>102.4</v>
      </c>
      <c r="M47" s="22"/>
      <c r="N47" s="25">
        <f t="shared" si="12"/>
        <v>0</v>
      </c>
      <c r="O47" s="67">
        <f t="shared" si="13"/>
        <v>0</v>
      </c>
      <c r="S47" s="72"/>
    </row>
    <row r="48" spans="2:19" x14ac:dyDescent="0.25">
      <c r="B48" s="44" t="s">
        <v>35</v>
      </c>
      <c r="C48" s="16"/>
      <c r="D48" s="17" t="s">
        <v>68</v>
      </c>
      <c r="E48" s="18"/>
      <c r="F48" s="70">
        <f>Rates!D89</f>
        <v>0.122</v>
      </c>
      <c r="G48" s="71">
        <f>0.18*$F$10</f>
        <v>360</v>
      </c>
      <c r="H48" s="65">
        <f t="shared" si="14"/>
        <v>43.92</v>
      </c>
      <c r="I48" s="22"/>
      <c r="J48" s="64">
        <f>Rates!F89</f>
        <v>0.122</v>
      </c>
      <c r="K48" s="71">
        <f>G48</f>
        <v>360</v>
      </c>
      <c r="L48" s="65">
        <f t="shared" si="15"/>
        <v>43.92</v>
      </c>
      <c r="M48" s="22"/>
      <c r="N48" s="25">
        <f t="shared" si="12"/>
        <v>0</v>
      </c>
      <c r="O48" s="67">
        <f t="shared" si="13"/>
        <v>0</v>
      </c>
      <c r="S48" s="72"/>
    </row>
    <row r="49" spans="1:19" ht="15.75" thickBot="1" x14ac:dyDescent="0.3">
      <c r="B49" s="6" t="s">
        <v>36</v>
      </c>
      <c r="C49" s="16"/>
      <c r="D49" s="17" t="s">
        <v>68</v>
      </c>
      <c r="E49" s="18"/>
      <c r="F49" s="70">
        <f>Rates!D90</f>
        <v>0.161</v>
      </c>
      <c r="G49" s="71">
        <f>0.18*$F$10</f>
        <v>360</v>
      </c>
      <c r="H49" s="65">
        <f t="shared" si="14"/>
        <v>57.96</v>
      </c>
      <c r="I49" s="22"/>
      <c r="J49" s="64">
        <f>Rates!F90</f>
        <v>0.161</v>
      </c>
      <c r="K49" s="71">
        <f>G49</f>
        <v>360</v>
      </c>
      <c r="L49" s="65">
        <f t="shared" si="15"/>
        <v>57.96</v>
      </c>
      <c r="M49" s="22"/>
      <c r="N49" s="25">
        <f t="shared" si="12"/>
        <v>0</v>
      </c>
      <c r="O49" s="67">
        <f t="shared" si="13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37</v>
      </c>
      <c r="C51" s="16"/>
      <c r="D51" s="16"/>
      <c r="E51" s="16"/>
      <c r="F51" s="85"/>
      <c r="G51" s="86"/>
      <c r="H51" s="87">
        <f>SUM(H42:H49,H41)</f>
        <v>326.96201599999995</v>
      </c>
      <c r="I51" s="88"/>
      <c r="J51" s="89"/>
      <c r="K51" s="89"/>
      <c r="L51" s="127">
        <f>SUM(L42:L49,L41)</f>
        <v>351.87699599999996</v>
      </c>
      <c r="M51" s="90"/>
      <c r="N51" s="91">
        <f t="shared" ref="N51" si="18">L51-H51</f>
        <v>24.914980000000014</v>
      </c>
      <c r="O51" s="92">
        <f t="shared" ref="O51" si="19">IF((H51)=0,"",(N51/H51))</f>
        <v>7.6201450874342602E-2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42.505062079999995</v>
      </c>
      <c r="I52" s="97"/>
      <c r="J52" s="98">
        <v>0.13</v>
      </c>
      <c r="K52" s="97"/>
      <c r="L52" s="99">
        <f>L51*J52</f>
        <v>45.744009479999995</v>
      </c>
      <c r="M52" s="100"/>
      <c r="N52" s="101">
        <f t="shared" si="12"/>
        <v>3.2389474000000007</v>
      </c>
      <c r="O52" s="102">
        <f t="shared" si="13"/>
        <v>7.6201450874342561E-2</v>
      </c>
      <c r="S52" s="72"/>
    </row>
    <row r="53" spans="1:19" x14ac:dyDescent="0.25">
      <c r="B53" s="103" t="s">
        <v>42</v>
      </c>
      <c r="C53" s="16"/>
      <c r="D53" s="16"/>
      <c r="E53" s="16"/>
      <c r="F53" s="104"/>
      <c r="G53" s="95"/>
      <c r="H53" s="96">
        <f>H51+H52</f>
        <v>369.46707807999996</v>
      </c>
      <c r="I53" s="97"/>
      <c r="J53" s="97"/>
      <c r="K53" s="97"/>
      <c r="L53" s="99">
        <f>L51+L52</f>
        <v>397.62100547999995</v>
      </c>
      <c r="M53" s="100"/>
      <c r="N53" s="101">
        <f t="shared" si="12"/>
        <v>28.153927399999986</v>
      </c>
      <c r="O53" s="102">
        <f t="shared" si="13"/>
        <v>7.6201450874342505E-2</v>
      </c>
      <c r="S53" s="72"/>
    </row>
    <row r="54" spans="1:19" x14ac:dyDescent="0.25">
      <c r="B54" s="194" t="s">
        <v>43</v>
      </c>
      <c r="C54" s="194"/>
      <c r="D54" s="194"/>
      <c r="E54" s="16"/>
      <c r="F54" s="104"/>
      <c r="G54" s="95"/>
      <c r="H54" s="105">
        <f>ROUND(-H53*10%,2)</f>
        <v>-36.950000000000003</v>
      </c>
      <c r="I54" s="97"/>
      <c r="J54" s="97"/>
      <c r="K54" s="97"/>
      <c r="L54" s="106">
        <v>0</v>
      </c>
      <c r="M54" s="100"/>
      <c r="N54" s="107">
        <f t="shared" si="12"/>
        <v>36.950000000000003</v>
      </c>
      <c r="O54" s="108">
        <f t="shared" si="13"/>
        <v>-1</v>
      </c>
    </row>
    <row r="55" spans="1:19" x14ac:dyDescent="0.25">
      <c r="B55" s="195" t="s">
        <v>39</v>
      </c>
      <c r="C55" s="195"/>
      <c r="D55" s="195"/>
      <c r="E55" s="109"/>
      <c r="F55" s="110"/>
      <c r="G55" s="111"/>
      <c r="H55" s="112">
        <f>H53+H54</f>
        <v>332.51707807999998</v>
      </c>
      <c r="I55" s="113"/>
      <c r="J55" s="113"/>
      <c r="K55" s="113"/>
      <c r="L55" s="114">
        <f>L53+L54</f>
        <v>397.62100547999995</v>
      </c>
      <c r="M55" s="115"/>
      <c r="N55" s="116">
        <f t="shared" si="12"/>
        <v>65.103927399999975</v>
      </c>
      <c r="O55" s="117">
        <f t="shared" si="13"/>
        <v>0.19579122905782506</v>
      </c>
    </row>
    <row r="56" spans="1:19" x14ac:dyDescent="0.25">
      <c r="L56" s="72"/>
    </row>
    <row r="57" spans="1:19" x14ac:dyDescent="0.25">
      <c r="B57" s="7" t="s">
        <v>40</v>
      </c>
      <c r="F57" s="125">
        <f>Rates!D85</f>
        <v>9.1700000000000004E-2</v>
      </c>
      <c r="J57" s="125">
        <f>Rates!F85</f>
        <v>9.1700000000000004E-2</v>
      </c>
    </row>
    <row r="59" spans="1:19" x14ac:dyDescent="0.25">
      <c r="A59" s="126"/>
      <c r="B59" s="1" t="s">
        <v>41</v>
      </c>
    </row>
  </sheetData>
  <mergeCells count="11">
    <mergeCell ref="D13:D14"/>
    <mergeCell ref="N13:N14"/>
    <mergeCell ref="O13:O14"/>
    <mergeCell ref="B54:D54"/>
    <mergeCell ref="B55:D55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39:D40 D31:D37 D15:D29 D42:D50">
      <formula1>"Monthly, per kWh, per kW"</formula1>
    </dataValidation>
    <dataValidation type="list" allowBlank="1" showInputMessage="1" showErrorMessage="1" sqref="E39:E40 E31:E37 E15:E29 E42:E50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59"/>
  <sheetViews>
    <sheetView showGridLines="0" topLeftCell="A31" zoomScaleNormal="100" workbookViewId="0">
      <selection activeCell="N34" sqref="N34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87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800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Rates!D3</f>
        <v>23.34</v>
      </c>
      <c r="G15" s="20">
        <v>1</v>
      </c>
      <c r="H15" s="21">
        <f>G15*F15</f>
        <v>23.34</v>
      </c>
      <c r="I15" s="22"/>
      <c r="J15" s="23">
        <f>Rates!F3</f>
        <v>27.76</v>
      </c>
      <c r="K15" s="24">
        <v>1</v>
      </c>
      <c r="L15" s="21">
        <f>K15*J15</f>
        <v>27.76</v>
      </c>
      <c r="M15" s="22"/>
      <c r="N15" s="25">
        <f>L15-H15</f>
        <v>4.4200000000000017</v>
      </c>
      <c r="O15" s="26">
        <f>IF((H15)=0,"",(N15/H15))</f>
        <v>0.18937446443873188</v>
      </c>
    </row>
    <row r="16" spans="2:16" x14ac:dyDescent="0.25">
      <c r="B16" s="16" t="s">
        <v>18</v>
      </c>
      <c r="C16" s="16"/>
      <c r="D16" s="17"/>
      <c r="E16" s="18"/>
      <c r="F16" s="19"/>
      <c r="G16" s="20">
        <v>1</v>
      </c>
      <c r="H16" s="21">
        <f t="shared" ref="H16:H31" si="0">G16*F16</f>
        <v>0</v>
      </c>
      <c r="I16" s="22"/>
      <c r="J16" s="23"/>
      <c r="K16" s="24">
        <v>1</v>
      </c>
      <c r="L16" s="21">
        <f>K16*J16</f>
        <v>0</v>
      </c>
      <c r="M16" s="22"/>
      <c r="N16" s="25">
        <f>L16-H16</f>
        <v>0</v>
      </c>
      <c r="O16" s="26" t="str">
        <f>IF((H16)=0,"",(N16/H16))</f>
        <v/>
      </c>
    </row>
    <row r="17" spans="2:15" x14ac:dyDescent="0.25">
      <c r="B17" s="154"/>
      <c r="C17" s="16"/>
      <c r="D17" s="54"/>
      <c r="E17" s="18"/>
      <c r="F17" s="19"/>
      <c r="G17" s="20">
        <v>1</v>
      </c>
      <c r="H17" s="21">
        <f t="shared" si="0"/>
        <v>0</v>
      </c>
      <c r="I17" s="22"/>
      <c r="J17" s="23">
        <f>Rates!F7</f>
        <v>0</v>
      </c>
      <c r="K17" s="24">
        <v>1</v>
      </c>
      <c r="L17" s="21">
        <f t="shared" ref="L17:L31" si="1">K17*J17</f>
        <v>0</v>
      </c>
      <c r="M17" s="22"/>
      <c r="N17" s="25">
        <f t="shared" ref="N17:N32" si="2">L17-H17</f>
        <v>0</v>
      </c>
      <c r="O17" s="26" t="str">
        <f t="shared" ref="O17:O32" si="3">IF((H17)=0,"",(N17/H17))</f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27"/>
      <c r="C19" s="16"/>
      <c r="D19" s="17"/>
      <c r="E19" s="18"/>
      <c r="F19" s="19"/>
      <c r="G19" s="20">
        <v>1</v>
      </c>
      <c r="H19" s="21">
        <f t="shared" si="0"/>
        <v>0</v>
      </c>
      <c r="I19" s="22"/>
      <c r="J19" s="23"/>
      <c r="K19" s="24">
        <v>1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x14ac:dyDescent="0.25">
      <c r="B20" s="27"/>
      <c r="C20" s="16"/>
      <c r="D20" s="17"/>
      <c r="E20" s="18"/>
      <c r="F20" s="19"/>
      <c r="G20" s="20">
        <v>1</v>
      </c>
      <c r="H20" s="21">
        <f t="shared" si="0"/>
        <v>0</v>
      </c>
      <c r="I20" s="22"/>
      <c r="J20" s="23"/>
      <c r="K20" s="24">
        <v>1</v>
      </c>
      <c r="L20" s="21">
        <f t="shared" si="1"/>
        <v>0</v>
      </c>
      <c r="M20" s="22"/>
      <c r="N20" s="25">
        <f t="shared" si="2"/>
        <v>0</v>
      </c>
      <c r="O20" s="26" t="str">
        <f t="shared" si="3"/>
        <v/>
      </c>
    </row>
    <row r="21" spans="2:15" x14ac:dyDescent="0.25">
      <c r="B21" s="16" t="s">
        <v>19</v>
      </c>
      <c r="C21" s="16"/>
      <c r="D21" s="17" t="s">
        <v>68</v>
      </c>
      <c r="E21" s="18"/>
      <c r="F21" s="19">
        <f>Rates!D5</f>
        <v>3.2800000000000003E-2</v>
      </c>
      <c r="G21" s="20">
        <f>$F$10</f>
        <v>800</v>
      </c>
      <c r="H21" s="21">
        <f t="shared" si="0"/>
        <v>26.240000000000002</v>
      </c>
      <c r="I21" s="22"/>
      <c r="J21" s="23">
        <f>Rates!F5</f>
        <v>2.8799999999999999E-2</v>
      </c>
      <c r="K21" s="20">
        <f>$F$10</f>
        <v>800</v>
      </c>
      <c r="L21" s="21">
        <f t="shared" si="1"/>
        <v>23.04</v>
      </c>
      <c r="M21" s="22"/>
      <c r="N21" s="25">
        <f t="shared" si="2"/>
        <v>-3.2000000000000028</v>
      </c>
      <c r="O21" s="26">
        <f t="shared" si="3"/>
        <v>-0.12195121951219522</v>
      </c>
    </row>
    <row r="22" spans="2:15" x14ac:dyDescent="0.25">
      <c r="B22" s="16" t="s">
        <v>20</v>
      </c>
      <c r="C22" s="16"/>
      <c r="D22" s="17" t="s">
        <v>67</v>
      </c>
      <c r="E22" s="18"/>
      <c r="F22" s="19">
        <f>Rates!D7</f>
        <v>2.0499999999999998</v>
      </c>
      <c r="G22" s="20">
        <v>1</v>
      </c>
      <c r="H22" s="21">
        <f t="shared" si="0"/>
        <v>2.0499999999999998</v>
      </c>
      <c r="I22" s="22"/>
      <c r="J22" s="23"/>
      <c r="K22" s="20">
        <f t="shared" ref="K22:K31" si="4">$F$10</f>
        <v>800</v>
      </c>
      <c r="L22" s="21">
        <f t="shared" si="1"/>
        <v>0</v>
      </c>
      <c r="M22" s="22"/>
      <c r="N22" s="25">
        <f t="shared" si="2"/>
        <v>-2.0499999999999998</v>
      </c>
      <c r="O22" s="26">
        <f t="shared" si="3"/>
        <v>-1</v>
      </c>
    </row>
    <row r="23" spans="2:15" ht="45" x14ac:dyDescent="0.25">
      <c r="B23" s="63" t="str">
        <f>Rates!A13</f>
        <v>Rate Rider for the Recovery of Lost Revenue Adjustment (LRAM) - effective until December 31, 2015</v>
      </c>
      <c r="C23" s="16"/>
      <c r="D23" s="54" t="s">
        <v>68</v>
      </c>
      <c r="E23" s="18"/>
      <c r="F23" s="23">
        <f>Rates!D13</f>
        <v>2.0000000000000001E-4</v>
      </c>
      <c r="G23" s="20">
        <f>$F$10</f>
        <v>800</v>
      </c>
      <c r="H23" s="21">
        <f t="shared" si="0"/>
        <v>0.16</v>
      </c>
      <c r="I23" s="22"/>
      <c r="J23" s="23">
        <f>Rates!F13</f>
        <v>0</v>
      </c>
      <c r="K23" s="20">
        <f t="shared" si="4"/>
        <v>800</v>
      </c>
      <c r="L23" s="21">
        <f t="shared" si="1"/>
        <v>0</v>
      </c>
      <c r="M23" s="22"/>
      <c r="N23" s="25">
        <f t="shared" si="2"/>
        <v>-0.16</v>
      </c>
      <c r="O23" s="26">
        <f t="shared" si="3"/>
        <v>-1</v>
      </c>
    </row>
    <row r="24" spans="2:15" x14ac:dyDescent="0.25">
      <c r="B24" s="128"/>
      <c r="C24" s="16"/>
      <c r="D24" s="54" t="s">
        <v>68</v>
      </c>
      <c r="E24" s="18"/>
      <c r="F24" s="23"/>
      <c r="G24" s="20">
        <f t="shared" ref="G24:G31" si="5">$F$10</f>
        <v>800</v>
      </c>
      <c r="H24" s="21">
        <f t="shared" si="0"/>
        <v>0</v>
      </c>
      <c r="I24" s="22"/>
      <c r="J24" s="23"/>
      <c r="K24" s="20">
        <f t="shared" si="4"/>
        <v>800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x14ac:dyDescent="0.25">
      <c r="B25" s="128"/>
      <c r="C25" s="16"/>
      <c r="D25" s="54" t="s">
        <v>68</v>
      </c>
      <c r="E25" s="18"/>
      <c r="F25" s="23"/>
      <c r="G25" s="20">
        <f t="shared" si="5"/>
        <v>800</v>
      </c>
      <c r="H25" s="21">
        <f t="shared" si="0"/>
        <v>0</v>
      </c>
      <c r="I25" s="22"/>
      <c r="J25" s="23"/>
      <c r="K25" s="20">
        <f t="shared" si="4"/>
        <v>800</v>
      </c>
      <c r="L25" s="21">
        <f t="shared" si="1"/>
        <v>0</v>
      </c>
      <c r="M25" s="22"/>
      <c r="N25" s="25">
        <f t="shared" ref="N25" si="6">L25-H25</f>
        <v>0</v>
      </c>
      <c r="O25" s="26" t="str">
        <f t="shared" ref="O25" si="7">IF((H25)=0,"",(N25/H25))</f>
        <v/>
      </c>
    </row>
    <row r="26" spans="2:15" x14ac:dyDescent="0.25">
      <c r="B26" s="128"/>
      <c r="C26" s="16"/>
      <c r="D26" s="54" t="s">
        <v>68</v>
      </c>
      <c r="E26" s="18"/>
      <c r="F26" s="23"/>
      <c r="G26" s="20">
        <f t="shared" si="5"/>
        <v>800</v>
      </c>
      <c r="H26" s="21">
        <f t="shared" si="0"/>
        <v>0</v>
      </c>
      <c r="I26" s="22"/>
      <c r="J26" s="23"/>
      <c r="K26" s="20">
        <f t="shared" si="4"/>
        <v>800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ht="45" x14ac:dyDescent="0.25">
      <c r="B27" s="128" t="str">
        <f>Rates!A14</f>
        <v>Rate Rider for the Disposition of Account 1575 &amp; 1576 - effective until December 31, 2019</v>
      </c>
      <c r="C27" s="16"/>
      <c r="D27" s="54" t="s">
        <v>68</v>
      </c>
      <c r="E27" s="18"/>
      <c r="F27" s="23">
        <f>Rates!D14</f>
        <v>-1.9E-3</v>
      </c>
      <c r="G27" s="20">
        <f t="shared" si="5"/>
        <v>800</v>
      </c>
      <c r="H27" s="21">
        <f t="shared" si="0"/>
        <v>-1.52</v>
      </c>
      <c r="I27" s="22"/>
      <c r="J27" s="23">
        <f>Rates!F14</f>
        <v>-1.9E-3</v>
      </c>
      <c r="K27" s="20">
        <f t="shared" si="4"/>
        <v>800</v>
      </c>
      <c r="L27" s="21">
        <f t="shared" si="1"/>
        <v>-1.52</v>
      </c>
      <c r="M27" s="22"/>
      <c r="N27" s="25">
        <f t="shared" si="2"/>
        <v>0</v>
      </c>
      <c r="O27" s="26">
        <f t="shared" si="3"/>
        <v>0</v>
      </c>
    </row>
    <row r="28" spans="2:15" x14ac:dyDescent="0.25">
      <c r="B28" s="28"/>
      <c r="C28" s="16"/>
      <c r="D28" s="17"/>
      <c r="E28" s="18"/>
      <c r="F28" s="19"/>
      <c r="G28" s="20">
        <f t="shared" si="5"/>
        <v>800</v>
      </c>
      <c r="H28" s="21">
        <f t="shared" si="0"/>
        <v>0</v>
      </c>
      <c r="I28" s="22"/>
      <c r="J28" s="23"/>
      <c r="K28" s="20">
        <f t="shared" si="4"/>
        <v>800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5"/>
        <v>800</v>
      </c>
      <c r="H29" s="21">
        <f t="shared" si="0"/>
        <v>0</v>
      </c>
      <c r="I29" s="22"/>
      <c r="J29" s="23"/>
      <c r="K29" s="20">
        <f t="shared" si="4"/>
        <v>800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x14ac:dyDescent="0.25">
      <c r="B30" s="28"/>
      <c r="C30" s="16"/>
      <c r="D30" s="17"/>
      <c r="E30" s="18"/>
      <c r="F30" s="19"/>
      <c r="G30" s="20">
        <f t="shared" si="5"/>
        <v>800</v>
      </c>
      <c r="H30" s="21">
        <f t="shared" si="0"/>
        <v>0</v>
      </c>
      <c r="I30" s="22"/>
      <c r="J30" s="23"/>
      <c r="K30" s="20">
        <f t="shared" si="4"/>
        <v>800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5"/>
        <v>800</v>
      </c>
      <c r="H31" s="21">
        <f t="shared" si="0"/>
        <v>0</v>
      </c>
      <c r="I31" s="22"/>
      <c r="J31" s="23"/>
      <c r="K31" s="20">
        <f t="shared" si="4"/>
        <v>800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s="40" customFormat="1" x14ac:dyDescent="0.25">
      <c r="B32" s="29" t="s">
        <v>22</v>
      </c>
      <c r="C32" s="30"/>
      <c r="D32" s="31"/>
      <c r="E32" s="30"/>
      <c r="F32" s="32"/>
      <c r="G32" s="33"/>
      <c r="H32" s="34">
        <f>SUM(H15:H31)</f>
        <v>50.269999999999989</v>
      </c>
      <c r="I32" s="35"/>
      <c r="J32" s="36"/>
      <c r="K32" s="37"/>
      <c r="L32" s="34">
        <f>SUM(L15:L31)</f>
        <v>49.279999999999994</v>
      </c>
      <c r="M32" s="35"/>
      <c r="N32" s="38">
        <f t="shared" si="2"/>
        <v>-0.98999999999999488</v>
      </c>
      <c r="O32" s="39">
        <f t="shared" si="3"/>
        <v>-1.9693654266958328E-2</v>
      </c>
    </row>
    <row r="33" spans="2:15" ht="38.25" x14ac:dyDescent="0.25">
      <c r="B33" s="41" t="str">
        <f>Rates!A11</f>
        <v>Rate Rider for the Disposition of Deferral/Variance Accounts (2014) - effective until December 31, 2015</v>
      </c>
      <c r="C33" s="16"/>
      <c r="D33" s="54" t="s">
        <v>68</v>
      </c>
      <c r="E33" s="18"/>
      <c r="F33" s="23">
        <f>Rates!D11</f>
        <v>-1.41E-2</v>
      </c>
      <c r="G33" s="20">
        <f>$F$10</f>
        <v>800</v>
      </c>
      <c r="H33" s="21">
        <f>G33*F33</f>
        <v>-11.28</v>
      </c>
      <c r="I33" s="22"/>
      <c r="J33" s="23">
        <f>Rates!F11</f>
        <v>0</v>
      </c>
      <c r="K33" s="20">
        <f>$F$10</f>
        <v>800</v>
      </c>
      <c r="L33" s="21">
        <f>K33*J33</f>
        <v>0</v>
      </c>
      <c r="M33" s="22"/>
      <c r="N33" s="25">
        <f>L33-H33</f>
        <v>11.28</v>
      </c>
      <c r="O33" s="26">
        <f>IF((H33)=0,"",(N33/H33))</f>
        <v>-1</v>
      </c>
    </row>
    <row r="34" spans="2:15" ht="38.25" x14ac:dyDescent="0.25">
      <c r="B34" s="41" t="str">
        <f>Rates!A12</f>
        <v>Rate Rider for the Disposition of Global Adjustment Sub-Account (2014) - effective until December 31, 2015</v>
      </c>
      <c r="C34" s="16"/>
      <c r="D34" s="54" t="s">
        <v>68</v>
      </c>
      <c r="E34" s="18"/>
      <c r="F34" s="23">
        <f>Rates!D12</f>
        <v>2.1899999999999999E-2</v>
      </c>
      <c r="G34" s="20">
        <f t="shared" ref="G34:G37" si="8">$F$10</f>
        <v>800</v>
      </c>
      <c r="H34" s="21">
        <f t="shared" ref="H34:H38" si="9">G34*F34</f>
        <v>17.52</v>
      </c>
      <c r="I34" s="42"/>
      <c r="J34" s="23">
        <f>Rates!F12</f>
        <v>0</v>
      </c>
      <c r="K34" s="20">
        <f t="shared" ref="K34:K37" si="10">$F$10</f>
        <v>800</v>
      </c>
      <c r="L34" s="21">
        <f t="shared" ref="L34:L38" si="11">K34*J34</f>
        <v>0</v>
      </c>
      <c r="M34" s="43"/>
      <c r="N34" s="25">
        <f t="shared" ref="N34:N38" si="12">L34-H34</f>
        <v>-17.52</v>
      </c>
      <c r="O34" s="26">
        <f t="shared" ref="O34:O38" si="13">IF((H34)=0,"",(N34/H34))</f>
        <v>-1</v>
      </c>
    </row>
    <row r="35" spans="2:15" ht="38.25" x14ac:dyDescent="0.25">
      <c r="B35" s="41" t="str">
        <f>Rates!A8</f>
        <v>Rate Rider for the Disposition of Deferral/Variance Accounts (2016) - effective until December 31, 2016</v>
      </c>
      <c r="C35" s="16"/>
      <c r="D35" s="17" t="s">
        <v>68</v>
      </c>
      <c r="E35" s="18"/>
      <c r="F35" s="19"/>
      <c r="G35" s="20">
        <f t="shared" si="8"/>
        <v>800</v>
      </c>
      <c r="H35" s="21">
        <f t="shared" si="9"/>
        <v>0</v>
      </c>
      <c r="I35" s="42"/>
      <c r="J35" s="23">
        <f>Rates!F8</f>
        <v>0</v>
      </c>
      <c r="K35" s="20">
        <f t="shared" si="10"/>
        <v>800</v>
      </c>
      <c r="L35" s="21">
        <f t="shared" si="11"/>
        <v>0</v>
      </c>
      <c r="M35" s="43"/>
      <c r="N35" s="25">
        <f t="shared" si="12"/>
        <v>0</v>
      </c>
      <c r="O35" s="26" t="str">
        <f t="shared" si="13"/>
        <v/>
      </c>
    </row>
    <row r="36" spans="2:15" ht="38.25" x14ac:dyDescent="0.25">
      <c r="B36" s="41" t="str">
        <f>Rates!A9</f>
        <v>Rate Rider for the Disposition of Global Adjustment Sub-Account (2016) - effective until December 31, 2016</v>
      </c>
      <c r="C36" s="16"/>
      <c r="D36" s="17" t="s">
        <v>68</v>
      </c>
      <c r="E36" s="18"/>
      <c r="F36" s="19"/>
      <c r="G36" s="20">
        <f t="shared" si="8"/>
        <v>800</v>
      </c>
      <c r="H36" s="21">
        <f t="shared" si="9"/>
        <v>0</v>
      </c>
      <c r="I36" s="42"/>
      <c r="J36" s="23">
        <f>Rates!F9</f>
        <v>0</v>
      </c>
      <c r="K36" s="20">
        <f t="shared" si="10"/>
        <v>800</v>
      </c>
      <c r="L36" s="21">
        <f t="shared" si="11"/>
        <v>0</v>
      </c>
      <c r="M36" s="43"/>
      <c r="N36" s="25">
        <f t="shared" si="12"/>
        <v>0</v>
      </c>
      <c r="O36" s="26" t="str">
        <f t="shared" si="13"/>
        <v/>
      </c>
    </row>
    <row r="37" spans="2:15" x14ac:dyDescent="0.25">
      <c r="B37" s="44" t="s">
        <v>23</v>
      </c>
      <c r="C37" s="16"/>
      <c r="D37" s="17"/>
      <c r="E37" s="18"/>
      <c r="F37" s="19"/>
      <c r="G37" s="20">
        <f t="shared" si="8"/>
        <v>800</v>
      </c>
      <c r="H37" s="21">
        <f>G37*F37</f>
        <v>0</v>
      </c>
      <c r="I37" s="22"/>
      <c r="J37" s="23"/>
      <c r="K37" s="20">
        <f t="shared" si="10"/>
        <v>800</v>
      </c>
      <c r="L37" s="21">
        <f>K37*J37</f>
        <v>0</v>
      </c>
      <c r="M37" s="22"/>
      <c r="N37" s="25">
        <f>L37-H37</f>
        <v>0</v>
      </c>
      <c r="O37" s="26" t="str">
        <f>IF((H37)=0,"",(N37/H37))</f>
        <v/>
      </c>
    </row>
    <row r="38" spans="2:15" x14ac:dyDescent="0.25">
      <c r="B38" s="44" t="s">
        <v>24</v>
      </c>
      <c r="C38" s="16"/>
      <c r="D38" s="17" t="s">
        <v>68</v>
      </c>
      <c r="E38" s="18"/>
      <c r="F38" s="45">
        <f>Rates!D93</f>
        <v>0.10214000000000001</v>
      </c>
      <c r="G38" s="20">
        <f>$F$10*(1+$F$57)-$F$10</f>
        <v>73.3599999999999</v>
      </c>
      <c r="H38" s="21">
        <f t="shared" si="9"/>
        <v>7.4929903999999903</v>
      </c>
      <c r="I38" s="22"/>
      <c r="J38" s="47">
        <f>Rates!F93</f>
        <v>0.10214000000000001</v>
      </c>
      <c r="K38" s="20">
        <f>$F$10*(1+$J$57)-$F$10</f>
        <v>73.3599999999999</v>
      </c>
      <c r="L38" s="21">
        <f t="shared" si="11"/>
        <v>7.4929903999999903</v>
      </c>
      <c r="M38" s="22"/>
      <c r="N38" s="25">
        <f t="shared" si="12"/>
        <v>0</v>
      </c>
      <c r="O38" s="26">
        <f t="shared" si="13"/>
        <v>0</v>
      </c>
    </row>
    <row r="39" spans="2:15" x14ac:dyDescent="0.25">
      <c r="B39" s="44" t="s">
        <v>25</v>
      </c>
      <c r="C39" s="16"/>
      <c r="D39" s="17" t="s">
        <v>67</v>
      </c>
      <c r="E39" s="18"/>
      <c r="F39" s="45">
        <f>Rates!D19</f>
        <v>0.79</v>
      </c>
      <c r="G39" s="20">
        <v>1</v>
      </c>
      <c r="H39" s="21">
        <f>G39*F39</f>
        <v>0.79</v>
      </c>
      <c r="I39" s="22"/>
      <c r="J39" s="45">
        <f>Rates!F19</f>
        <v>0.79</v>
      </c>
      <c r="K39" s="20">
        <v>1</v>
      </c>
      <c r="L39" s="21">
        <f>K39*J39</f>
        <v>0.79</v>
      </c>
      <c r="M39" s="22"/>
      <c r="N39" s="25">
        <f>L39-H39</f>
        <v>0</v>
      </c>
      <c r="O39" s="26"/>
    </row>
    <row r="40" spans="2:15" ht="25.5" x14ac:dyDescent="0.25">
      <c r="B40" s="48" t="s">
        <v>26</v>
      </c>
      <c r="C40" s="49"/>
      <c r="D40" s="49"/>
      <c r="E40" s="49"/>
      <c r="F40" s="50"/>
      <c r="G40" s="51"/>
      <c r="H40" s="52">
        <f>SUM(H33:H39)+H32</f>
        <v>64.792990399999979</v>
      </c>
      <c r="I40" s="35"/>
      <c r="J40" s="51"/>
      <c r="K40" s="53"/>
      <c r="L40" s="52">
        <f>SUM(L33:L39)+L32</f>
        <v>57.562990399999983</v>
      </c>
      <c r="M40" s="35"/>
      <c r="N40" s="38">
        <f t="shared" ref="N40:N55" si="14">L40-H40</f>
        <v>-7.2299999999999969</v>
      </c>
      <c r="O40" s="39">
        <f t="shared" ref="O40:O55" si="15">IF((H40)=0,"",(N40/H40))</f>
        <v>-0.11158614466419194</v>
      </c>
    </row>
    <row r="41" spans="2:15" x14ac:dyDescent="0.25">
      <c r="B41" s="22" t="s">
        <v>27</v>
      </c>
      <c r="C41" s="22"/>
      <c r="D41" s="54" t="s">
        <v>68</v>
      </c>
      <c r="E41" s="55"/>
      <c r="F41" s="23">
        <f>Rates!D15</f>
        <v>7.1000000000000004E-3</v>
      </c>
      <c r="G41" s="56">
        <f>F10*(1+F57)</f>
        <v>873.3599999999999</v>
      </c>
      <c r="H41" s="21">
        <f>G41*F41</f>
        <v>6.2008559999999999</v>
      </c>
      <c r="I41" s="22"/>
      <c r="J41" s="23">
        <f>Rates!F15</f>
        <v>7.0000000000000001E-3</v>
      </c>
      <c r="K41" s="57">
        <f>F10*(1+J57)</f>
        <v>873.3599999999999</v>
      </c>
      <c r="L41" s="21">
        <f>K41*J41</f>
        <v>6.1135199999999994</v>
      </c>
      <c r="M41" s="22"/>
      <c r="N41" s="25">
        <f t="shared" si="14"/>
        <v>-8.7336000000000524E-2</v>
      </c>
      <c r="O41" s="26">
        <f t="shared" si="15"/>
        <v>-1.4084507042253606E-2</v>
      </c>
    </row>
    <row r="42" spans="2:15" x14ac:dyDescent="0.25">
      <c r="B42" s="58" t="s">
        <v>28</v>
      </c>
      <c r="C42" s="22"/>
      <c r="D42" s="54" t="s">
        <v>68</v>
      </c>
      <c r="E42" s="55"/>
      <c r="F42" s="23">
        <f>Rates!D16</f>
        <v>5.3E-3</v>
      </c>
      <c r="G42" s="56">
        <f>G41</f>
        <v>873.3599999999999</v>
      </c>
      <c r="H42" s="21">
        <f>G42*F42</f>
        <v>4.6288079999999994</v>
      </c>
      <c r="I42" s="22"/>
      <c r="J42" s="23">
        <f>Rates!F16</f>
        <v>5.1000000000000004E-3</v>
      </c>
      <c r="K42" s="57">
        <f>K41</f>
        <v>873.3599999999999</v>
      </c>
      <c r="L42" s="21">
        <f>K42*J42</f>
        <v>4.4541360000000001</v>
      </c>
      <c r="M42" s="22"/>
      <c r="N42" s="25">
        <f t="shared" si="14"/>
        <v>-0.17467199999999927</v>
      </c>
      <c r="O42" s="26">
        <f t="shared" si="15"/>
        <v>-3.7735849056603619E-2</v>
      </c>
    </row>
    <row r="43" spans="2:15" ht="25.5" x14ac:dyDescent="0.25">
      <c r="B43" s="48" t="s">
        <v>29</v>
      </c>
      <c r="C43" s="30"/>
      <c r="D43" s="30"/>
      <c r="E43" s="30"/>
      <c r="F43" s="59"/>
      <c r="G43" s="51"/>
      <c r="H43" s="52">
        <f>SUM(H40:H42)</f>
        <v>75.622654399999988</v>
      </c>
      <c r="I43" s="60"/>
      <c r="J43" s="61"/>
      <c r="K43" s="62"/>
      <c r="L43" s="52">
        <f>SUM(L40:L42)</f>
        <v>68.130646399999989</v>
      </c>
      <c r="M43" s="60"/>
      <c r="N43" s="38">
        <f t="shared" si="14"/>
        <v>-7.4920079999999984</v>
      </c>
      <c r="O43" s="39">
        <f t="shared" si="15"/>
        <v>-9.9070947184313585E-2</v>
      </c>
    </row>
    <row r="44" spans="2:15" x14ac:dyDescent="0.25">
      <c r="B44" s="63" t="s">
        <v>30</v>
      </c>
      <c r="C44" s="16"/>
      <c r="D44" s="54" t="s">
        <v>68</v>
      </c>
      <c r="E44" s="18"/>
      <c r="F44" s="66">
        <f>Rates!D17</f>
        <v>4.4000000000000003E-3</v>
      </c>
      <c r="G44" s="56">
        <f>G42</f>
        <v>873.3599999999999</v>
      </c>
      <c r="H44" s="65">
        <f t="shared" ref="H44:H49" si="16">G44*F44</f>
        <v>3.842784</v>
      </c>
      <c r="I44" s="22"/>
      <c r="J44" s="66">
        <f>Rates!F17</f>
        <v>4.4000000000000003E-3</v>
      </c>
      <c r="K44" s="57">
        <f>K42</f>
        <v>873.3599999999999</v>
      </c>
      <c r="L44" s="65">
        <f t="shared" ref="L44:L49" si="17">K44*J44</f>
        <v>3.842784</v>
      </c>
      <c r="M44" s="22"/>
      <c r="N44" s="25">
        <f t="shared" si="14"/>
        <v>0</v>
      </c>
      <c r="O44" s="67">
        <f t="shared" si="15"/>
        <v>0</v>
      </c>
    </row>
    <row r="45" spans="2:15" x14ac:dyDescent="0.25">
      <c r="B45" s="63" t="s">
        <v>31</v>
      </c>
      <c r="C45" s="16"/>
      <c r="D45" s="54" t="s">
        <v>68</v>
      </c>
      <c r="E45" s="18"/>
      <c r="F45" s="66">
        <f>Rates!D18</f>
        <v>1.2999999999999999E-3</v>
      </c>
      <c r="G45" s="56">
        <f>G42</f>
        <v>873.3599999999999</v>
      </c>
      <c r="H45" s="65">
        <f t="shared" si="16"/>
        <v>1.1353679999999997</v>
      </c>
      <c r="I45" s="22"/>
      <c r="J45" s="66">
        <f>Rates!F18</f>
        <v>1.2999999999999999E-3</v>
      </c>
      <c r="K45" s="57">
        <f>K42</f>
        <v>873.3599999999999</v>
      </c>
      <c r="L45" s="65">
        <f t="shared" si="17"/>
        <v>1.1353679999999997</v>
      </c>
      <c r="M45" s="22"/>
      <c r="N45" s="25">
        <f t="shared" si="14"/>
        <v>0</v>
      </c>
      <c r="O45" s="67">
        <f t="shared" si="15"/>
        <v>0</v>
      </c>
    </row>
    <row r="46" spans="2:15" x14ac:dyDescent="0.25">
      <c r="B46" s="16" t="s">
        <v>32</v>
      </c>
      <c r="C46" s="16"/>
      <c r="D46" s="17" t="s">
        <v>67</v>
      </c>
      <c r="E46" s="18"/>
      <c r="F46" s="64">
        <f>Rates!D20</f>
        <v>0.25</v>
      </c>
      <c r="G46" s="20">
        <v>1</v>
      </c>
      <c r="H46" s="65">
        <f t="shared" si="16"/>
        <v>0.25</v>
      </c>
      <c r="I46" s="22"/>
      <c r="J46" s="66">
        <f>Rates!F20</f>
        <v>0.25</v>
      </c>
      <c r="K46" s="24">
        <v>1</v>
      </c>
      <c r="L46" s="65">
        <f t="shared" si="17"/>
        <v>0.25</v>
      </c>
      <c r="M46" s="22"/>
      <c r="N46" s="25">
        <f t="shared" si="14"/>
        <v>0</v>
      </c>
      <c r="O46" s="67">
        <f t="shared" si="15"/>
        <v>0</v>
      </c>
    </row>
    <row r="47" spans="2:15" x14ac:dyDescent="0.25">
      <c r="B47" s="16" t="s">
        <v>33</v>
      </c>
      <c r="C47" s="16"/>
      <c r="D47" s="17" t="s">
        <v>68</v>
      </c>
      <c r="E47" s="18"/>
      <c r="F47" s="64">
        <f>Rates!D79</f>
        <v>2E-3</v>
      </c>
      <c r="G47" s="68">
        <f>F10</f>
        <v>800</v>
      </c>
      <c r="H47" s="65">
        <f t="shared" si="16"/>
        <v>1.6</v>
      </c>
      <c r="I47" s="22"/>
      <c r="J47" s="66">
        <f>Rates!F79</f>
        <v>0</v>
      </c>
      <c r="K47" s="69">
        <f>F10</f>
        <v>800</v>
      </c>
      <c r="L47" s="65">
        <f t="shared" si="17"/>
        <v>0</v>
      </c>
      <c r="M47" s="22"/>
      <c r="N47" s="25">
        <f t="shared" si="14"/>
        <v>-1.6</v>
      </c>
      <c r="O47" s="67">
        <f t="shared" si="15"/>
        <v>-1</v>
      </c>
    </row>
    <row r="48" spans="2:15" x14ac:dyDescent="0.25">
      <c r="B48" s="16" t="s">
        <v>115</v>
      </c>
      <c r="C48" s="16"/>
      <c r="D48" s="17" t="s">
        <v>68</v>
      </c>
      <c r="E48" s="18"/>
      <c r="F48" s="64"/>
      <c r="G48" s="68"/>
      <c r="H48" s="65"/>
      <c r="I48" s="22"/>
      <c r="J48" s="66">
        <f>Rates!F80</f>
        <v>1.1000000000000001E-3</v>
      </c>
      <c r="K48" s="69">
        <f>F10</f>
        <v>800</v>
      </c>
      <c r="L48" s="65">
        <f t="shared" ref="L48" si="18">K48*J48</f>
        <v>0.88</v>
      </c>
      <c r="M48" s="22"/>
      <c r="N48" s="25">
        <f t="shared" ref="N48" si="19">L48-H48</f>
        <v>0.88</v>
      </c>
      <c r="O48" s="67" t="str">
        <f t="shared" ref="O48" si="20">IF((H48)=0,"",(N48/H48))</f>
        <v/>
      </c>
    </row>
    <row r="49" spans="1:19" ht="15.75" thickBot="1" x14ac:dyDescent="0.3">
      <c r="B49" s="44" t="s">
        <v>88</v>
      </c>
      <c r="C49" s="16"/>
      <c r="D49" s="17" t="s">
        <v>68</v>
      </c>
      <c r="E49" s="18"/>
      <c r="F49" s="70">
        <f>Rates!D92</f>
        <v>0.10214000000000001</v>
      </c>
      <c r="G49" s="71">
        <f>F10</f>
        <v>800</v>
      </c>
      <c r="H49" s="65">
        <f t="shared" si="16"/>
        <v>81.712000000000003</v>
      </c>
      <c r="I49" s="22"/>
      <c r="J49" s="64">
        <f>Rates!F92</f>
        <v>0.10214000000000001</v>
      </c>
      <c r="K49" s="71">
        <f>G49</f>
        <v>800</v>
      </c>
      <c r="L49" s="65">
        <f t="shared" si="17"/>
        <v>81.712000000000003</v>
      </c>
      <c r="M49" s="22"/>
      <c r="N49" s="25">
        <f t="shared" si="14"/>
        <v>0</v>
      </c>
      <c r="O49" s="67">
        <f t="shared" si="15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85</v>
      </c>
      <c r="C51" s="16"/>
      <c r="D51" s="16"/>
      <c r="E51" s="16"/>
      <c r="F51" s="85"/>
      <c r="G51" s="86"/>
      <c r="H51" s="87">
        <f>SUM(H44:H49,H43)</f>
        <v>164.16280639999999</v>
      </c>
      <c r="I51" s="88"/>
      <c r="J51" s="89"/>
      <c r="K51" s="89"/>
      <c r="L51" s="127">
        <f>SUM(L44:L49,L43)</f>
        <v>155.9507984</v>
      </c>
      <c r="M51" s="90"/>
      <c r="N51" s="91">
        <f t="shared" ref="N51" si="21">L51-H51</f>
        <v>-8.2120079999999973</v>
      </c>
      <c r="O51" s="92">
        <f t="shared" ref="O51" si="22">IF((H51)=0,"",(N51/H51))</f>
        <v>-5.0023560026079071E-2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21.341164832</v>
      </c>
      <c r="I52" s="97"/>
      <c r="J52" s="98">
        <v>0.13</v>
      </c>
      <c r="K52" s="97"/>
      <c r="L52" s="99">
        <f>L51*J52</f>
        <v>20.273603791999999</v>
      </c>
      <c r="M52" s="100"/>
      <c r="N52" s="101">
        <f t="shared" si="14"/>
        <v>-1.0675610400000011</v>
      </c>
      <c r="O52" s="102">
        <f t="shared" si="15"/>
        <v>-5.0023560026079134E-2</v>
      </c>
      <c r="S52" s="72"/>
    </row>
    <row r="53" spans="1:19" x14ac:dyDescent="0.25">
      <c r="B53" s="103" t="s">
        <v>42</v>
      </c>
      <c r="C53" s="16"/>
      <c r="D53" s="16"/>
      <c r="E53" s="16"/>
      <c r="F53" s="104"/>
      <c r="G53" s="95"/>
      <c r="H53" s="96">
        <f>H51+H52</f>
        <v>185.503971232</v>
      </c>
      <c r="I53" s="97"/>
      <c r="J53" s="97"/>
      <c r="K53" s="97"/>
      <c r="L53" s="99">
        <f>L51+L52</f>
        <v>176.22440219199999</v>
      </c>
      <c r="M53" s="100"/>
      <c r="N53" s="101">
        <f t="shared" si="14"/>
        <v>-9.2795690400000126</v>
      </c>
      <c r="O53" s="102">
        <f t="shared" si="15"/>
        <v>-5.0023560026079154E-2</v>
      </c>
      <c r="S53" s="72"/>
    </row>
    <row r="54" spans="1:19" x14ac:dyDescent="0.25">
      <c r="B54" s="194" t="s">
        <v>43</v>
      </c>
      <c r="C54" s="194"/>
      <c r="D54" s="194"/>
      <c r="E54" s="16"/>
      <c r="F54" s="104"/>
      <c r="G54" s="95"/>
      <c r="H54" s="105">
        <f>ROUND(-H53*10%,2)</f>
        <v>-18.55</v>
      </c>
      <c r="I54" s="97"/>
      <c r="J54" s="97"/>
      <c r="K54" s="97"/>
      <c r="L54" s="106"/>
      <c r="M54" s="100"/>
      <c r="N54" s="107">
        <f t="shared" si="14"/>
        <v>18.55</v>
      </c>
      <c r="O54" s="108">
        <f t="shared" si="15"/>
        <v>-1</v>
      </c>
    </row>
    <row r="55" spans="1:19" x14ac:dyDescent="0.25">
      <c r="B55" s="195" t="s">
        <v>39</v>
      </c>
      <c r="C55" s="195"/>
      <c r="D55" s="195"/>
      <c r="E55" s="109"/>
      <c r="F55" s="110"/>
      <c r="G55" s="111"/>
      <c r="H55" s="112">
        <f>H53+H54</f>
        <v>166.95397123199999</v>
      </c>
      <c r="I55" s="113"/>
      <c r="J55" s="113"/>
      <c r="K55" s="113"/>
      <c r="L55" s="114">
        <f>L53+L54</f>
        <v>176.22440219199999</v>
      </c>
      <c r="M55" s="115"/>
      <c r="N55" s="116">
        <f t="shared" si="14"/>
        <v>9.2704309599999988</v>
      </c>
      <c r="O55" s="117">
        <f t="shared" si="15"/>
        <v>5.5526867025629277E-2</v>
      </c>
    </row>
    <row r="56" spans="1:19" x14ac:dyDescent="0.25">
      <c r="L56" s="72"/>
    </row>
    <row r="57" spans="1:19" x14ac:dyDescent="0.25">
      <c r="B57" s="7" t="s">
        <v>40</v>
      </c>
      <c r="F57" s="125">
        <f>Rates!D85</f>
        <v>9.1700000000000004E-2</v>
      </c>
      <c r="J57" s="125">
        <f>Rates!F85</f>
        <v>9.1700000000000004E-2</v>
      </c>
    </row>
    <row r="59" spans="1:19" x14ac:dyDescent="0.25">
      <c r="A59" s="126"/>
      <c r="B59" s="1" t="s">
        <v>41</v>
      </c>
    </row>
  </sheetData>
  <mergeCells count="11">
    <mergeCell ref="B2:O2"/>
    <mergeCell ref="B3:O3"/>
    <mergeCell ref="D6:O6"/>
    <mergeCell ref="F12:H12"/>
    <mergeCell ref="J12:L12"/>
    <mergeCell ref="N12:O12"/>
    <mergeCell ref="D13:D14"/>
    <mergeCell ref="N13:N14"/>
    <mergeCell ref="O13:O14"/>
    <mergeCell ref="B54:D54"/>
    <mergeCell ref="B55:D55"/>
  </mergeCells>
  <dataValidations count="3">
    <dataValidation type="list" allowBlank="1" showInputMessage="1" showErrorMessage="1" prompt="Select Charge Unit - monthly, per kWh, per kW" sqref="D41:D42 D33:D39 D44:D50 D15:D31">
      <formula1>"Monthly, per kWh, per kW"</formula1>
    </dataValidation>
    <dataValidation type="list" allowBlank="1" showInputMessage="1" showErrorMessage="1" sqref="E41:E42 E33:E39 E44:E50 E15:E31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58"/>
  <sheetViews>
    <sheetView showGridLines="0" topLeftCell="A28" zoomScaleNormal="100" workbookViewId="0">
      <selection activeCell="B48" sqref="B48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56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90000</v>
      </c>
      <c r="G9" s="7" t="s">
        <v>6</v>
      </c>
      <c r="I9" s="196" t="s">
        <v>71</v>
      </c>
      <c r="J9" s="196"/>
      <c r="K9" s="8">
        <v>225</v>
      </c>
      <c r="L9" s="129" t="s">
        <v>72</v>
      </c>
    </row>
    <row r="10" spans="2:16" x14ac:dyDescent="0.25">
      <c r="B10" s="6"/>
    </row>
    <row r="11" spans="2:16" x14ac:dyDescent="0.25">
      <c r="B11" s="6"/>
      <c r="D11" s="9"/>
      <c r="E11" s="9"/>
      <c r="F11" s="185" t="s">
        <v>7</v>
      </c>
      <c r="G11" s="186"/>
      <c r="H11" s="187"/>
      <c r="J11" s="185" t="s">
        <v>8</v>
      </c>
      <c r="K11" s="186"/>
      <c r="L11" s="187"/>
      <c r="N11" s="185" t="s">
        <v>9</v>
      </c>
      <c r="O11" s="187"/>
    </row>
    <row r="12" spans="2:16" x14ac:dyDescent="0.25">
      <c r="B12" s="6"/>
      <c r="D12" s="188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90" t="s">
        <v>14</v>
      </c>
      <c r="O12" s="192" t="s">
        <v>15</v>
      </c>
    </row>
    <row r="13" spans="2:16" x14ac:dyDescent="0.25">
      <c r="B13" s="6"/>
      <c r="D13" s="189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91"/>
      <c r="O13" s="193"/>
    </row>
    <row r="14" spans="2:16" x14ac:dyDescent="0.25">
      <c r="B14" s="16" t="s">
        <v>17</v>
      </c>
      <c r="C14" s="16"/>
      <c r="D14" s="17" t="s">
        <v>67</v>
      </c>
      <c r="E14" s="18"/>
      <c r="F14" s="19">
        <f>Rates!D23</f>
        <v>600.83000000000004</v>
      </c>
      <c r="G14" s="20">
        <v>1</v>
      </c>
      <c r="H14" s="21">
        <f>G14*F14</f>
        <v>600.83000000000004</v>
      </c>
      <c r="I14" s="22"/>
      <c r="J14" s="23">
        <f>Rates!F23</f>
        <v>611.64</v>
      </c>
      <c r="K14" s="24">
        <v>1</v>
      </c>
      <c r="L14" s="21">
        <f>K14*J14</f>
        <v>611.64</v>
      </c>
      <c r="M14" s="22"/>
      <c r="N14" s="25">
        <f>L14-H14</f>
        <v>10.809999999999945</v>
      </c>
      <c r="O14" s="26">
        <f>IF((H14)=0,"",(N14/H14))</f>
        <v>1.7991778040377385E-2</v>
      </c>
    </row>
    <row r="15" spans="2:16" x14ac:dyDescent="0.25">
      <c r="B15" s="16"/>
      <c r="C15" s="16"/>
      <c r="D15" s="17"/>
      <c r="E15" s="18"/>
      <c r="F15" s="19"/>
      <c r="G15" s="20">
        <v>1</v>
      </c>
      <c r="H15" s="21">
        <f t="shared" ref="H15:H31" si="0">G15*F15</f>
        <v>0</v>
      </c>
      <c r="I15" s="22"/>
      <c r="J15" s="23"/>
      <c r="K15" s="24">
        <v>1</v>
      </c>
      <c r="L15" s="21">
        <f>K15*J15</f>
        <v>0</v>
      </c>
      <c r="M15" s="22"/>
      <c r="N15" s="25">
        <f>L15-H15</f>
        <v>0</v>
      </c>
      <c r="O15" s="26" t="str">
        <f>IF((H15)=0,"",(N15/H15))</f>
        <v/>
      </c>
    </row>
    <row r="16" spans="2:16" x14ac:dyDescent="0.25">
      <c r="B16" s="27"/>
      <c r="C16" s="16"/>
      <c r="D16" s="17"/>
      <c r="E16" s="18"/>
      <c r="F16" s="19"/>
      <c r="G16" s="20">
        <v>1</v>
      </c>
      <c r="H16" s="21">
        <f t="shared" si="0"/>
        <v>0</v>
      </c>
      <c r="I16" s="22"/>
      <c r="J16" s="23"/>
      <c r="K16" s="24">
        <v>1</v>
      </c>
      <c r="L16" s="21">
        <f t="shared" ref="L16:L31" si="1">K16*J16</f>
        <v>0</v>
      </c>
      <c r="M16" s="22"/>
      <c r="N16" s="25">
        <f t="shared" ref="N16:N32" si="2">L16-H16</f>
        <v>0</v>
      </c>
      <c r="O16" s="26" t="str">
        <f t="shared" ref="O16:O32" si="3">IF((H16)=0,"",(N16/H16))</f>
        <v/>
      </c>
    </row>
    <row r="17" spans="2:15" x14ac:dyDescent="0.25">
      <c r="B17" s="27"/>
      <c r="C17" s="16"/>
      <c r="D17" s="17"/>
      <c r="E17" s="18"/>
      <c r="F17" s="19"/>
      <c r="G17" s="20">
        <v>1</v>
      </c>
      <c r="H17" s="21">
        <f t="shared" si="0"/>
        <v>0</v>
      </c>
      <c r="I17" s="22"/>
      <c r="J17" s="23"/>
      <c r="K17" s="24">
        <v>1</v>
      </c>
      <c r="L17" s="21">
        <f t="shared" si="1"/>
        <v>0</v>
      </c>
      <c r="M17" s="22"/>
      <c r="N17" s="25">
        <f t="shared" si="2"/>
        <v>0</v>
      </c>
      <c r="O17" s="26" t="str">
        <f t="shared" si="3"/>
        <v/>
      </c>
    </row>
    <row r="18" spans="2:15" x14ac:dyDescent="0.25">
      <c r="B18" s="27"/>
      <c r="C18" s="16"/>
      <c r="D18" s="17"/>
      <c r="E18" s="18"/>
      <c r="F18" s="19"/>
      <c r="G18" s="20">
        <v>1</v>
      </c>
      <c r="H18" s="21">
        <f t="shared" si="0"/>
        <v>0</v>
      </c>
      <c r="I18" s="22"/>
      <c r="J18" s="23"/>
      <c r="K18" s="24">
        <v>1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27"/>
      <c r="C19" s="16"/>
      <c r="D19" s="17"/>
      <c r="E19" s="18"/>
      <c r="F19" s="19"/>
      <c r="G19" s="20">
        <v>1</v>
      </c>
      <c r="H19" s="21">
        <f t="shared" si="0"/>
        <v>0</v>
      </c>
      <c r="I19" s="22"/>
      <c r="J19" s="23"/>
      <c r="K19" s="24">
        <v>1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x14ac:dyDescent="0.25">
      <c r="B20" s="16" t="s">
        <v>19</v>
      </c>
      <c r="C20" s="16"/>
      <c r="D20" s="17" t="s">
        <v>73</v>
      </c>
      <c r="E20" s="18"/>
      <c r="F20" s="19">
        <f>Rates!D24</f>
        <v>3.1131000000000002</v>
      </c>
      <c r="G20" s="20">
        <f>$K$9</f>
        <v>225</v>
      </c>
      <c r="H20" s="21">
        <f t="shared" si="0"/>
        <v>700.44749999999999</v>
      </c>
      <c r="I20" s="22"/>
      <c r="J20" s="23">
        <f>Rates!F24</f>
        <v>3.1690999999999998</v>
      </c>
      <c r="K20" s="20">
        <f>$K$9</f>
        <v>225</v>
      </c>
      <c r="L20" s="21">
        <f t="shared" si="1"/>
        <v>713.0474999999999</v>
      </c>
      <c r="M20" s="22"/>
      <c r="N20" s="25">
        <f t="shared" si="2"/>
        <v>12.599999999999909</v>
      </c>
      <c r="O20" s="26">
        <f t="shared" si="3"/>
        <v>1.7988500208794962E-2</v>
      </c>
    </row>
    <row r="21" spans="2:15" x14ac:dyDescent="0.25">
      <c r="B21" s="16"/>
      <c r="C21" s="16"/>
      <c r="D21" s="17"/>
      <c r="E21" s="18"/>
      <c r="F21" s="19"/>
      <c r="G21" s="20"/>
      <c r="H21" s="21">
        <f t="shared" si="0"/>
        <v>0</v>
      </c>
      <c r="I21" s="22"/>
      <c r="J21" s="23"/>
      <c r="K21" s="20"/>
      <c r="L21" s="21">
        <f t="shared" si="1"/>
        <v>0</v>
      </c>
      <c r="M21" s="22"/>
      <c r="N21" s="25">
        <f t="shared" si="2"/>
        <v>0</v>
      </c>
      <c r="O21" s="26" t="str">
        <f t="shared" si="3"/>
        <v/>
      </c>
    </row>
    <row r="22" spans="2:15" ht="45" x14ac:dyDescent="0.25">
      <c r="B22" s="63" t="str">
        <f>Rates!A31</f>
        <v>Rate Rider for the Recovery of Lost Revenue Adjustment (LRAM) - effective until December 31, 2015</v>
      </c>
      <c r="C22" s="16"/>
      <c r="D22" s="54" t="s">
        <v>73</v>
      </c>
      <c r="E22" s="18"/>
      <c r="F22" s="23">
        <f>Rates!D31</f>
        <v>3.2000000000000002E-3</v>
      </c>
      <c r="G22" s="20">
        <f t="shared" ref="G22:G37" si="4">$K$9</f>
        <v>225</v>
      </c>
      <c r="H22" s="21">
        <f t="shared" si="0"/>
        <v>0.72000000000000008</v>
      </c>
      <c r="I22" s="22"/>
      <c r="J22" s="23">
        <f>Rates!F31</f>
        <v>0</v>
      </c>
      <c r="K22" s="20">
        <f t="shared" ref="K22:K37" si="5">$K$9</f>
        <v>225</v>
      </c>
      <c r="L22" s="21">
        <f t="shared" si="1"/>
        <v>0</v>
      </c>
      <c r="M22" s="22"/>
      <c r="N22" s="25">
        <f t="shared" si="2"/>
        <v>-0.72000000000000008</v>
      </c>
      <c r="O22" s="26">
        <f t="shared" si="3"/>
        <v>-1</v>
      </c>
    </row>
    <row r="23" spans="2:15" x14ac:dyDescent="0.25">
      <c r="B23" s="128"/>
      <c r="C23" s="16"/>
      <c r="D23" s="54"/>
      <c r="E23" s="18"/>
      <c r="F23" s="23"/>
      <c r="G23" s="20"/>
      <c r="H23" s="21">
        <f t="shared" si="0"/>
        <v>0</v>
      </c>
      <c r="I23" s="22"/>
      <c r="J23" s="23"/>
      <c r="K23" s="20"/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/>
      <c r="E24" s="18"/>
      <c r="F24" s="23"/>
      <c r="G24" s="20"/>
      <c r="H24" s="21">
        <f t="shared" ref="H24:H25" si="6">G24*F24</f>
        <v>0</v>
      </c>
      <c r="I24" s="22"/>
      <c r="J24" s="23"/>
      <c r="K24" s="20"/>
      <c r="L24" s="21">
        <f t="shared" ref="L24" si="7">K24*J24</f>
        <v>0</v>
      </c>
      <c r="M24" s="22"/>
      <c r="N24" s="25">
        <f t="shared" ref="N24" si="8">L24-H24</f>
        <v>0</v>
      </c>
      <c r="O24" s="26" t="str">
        <f t="shared" ref="O24" si="9">IF((H24)=0,"",(N24/H24))</f>
        <v/>
      </c>
    </row>
    <row r="25" spans="2:15" ht="30" x14ac:dyDescent="0.25">
      <c r="B25" s="128" t="str">
        <f>Rates!A27</f>
        <v>Foregone Revenue Recovery (2015) - effective until December 31, 2015 (2015)</v>
      </c>
      <c r="C25" s="16"/>
      <c r="D25" s="54" t="s">
        <v>73</v>
      </c>
      <c r="E25" s="18"/>
      <c r="F25" s="23">
        <f>Rates!D27</f>
        <v>3.5000000000000001E-3</v>
      </c>
      <c r="G25" s="20">
        <f t="shared" si="4"/>
        <v>225</v>
      </c>
      <c r="H25" s="21">
        <f t="shared" si="6"/>
        <v>0.78749999999999998</v>
      </c>
      <c r="I25" s="22"/>
      <c r="J25" s="23">
        <f>Rates!F27</f>
        <v>0</v>
      </c>
      <c r="K25" s="20">
        <f t="shared" si="5"/>
        <v>225</v>
      </c>
      <c r="L25" s="21">
        <f t="shared" ref="L25" si="10">K25*J25</f>
        <v>0</v>
      </c>
      <c r="M25" s="22"/>
      <c r="N25" s="25">
        <f t="shared" ref="N25" si="11">L25-H25</f>
        <v>-0.78749999999999998</v>
      </c>
      <c r="O25" s="26">
        <f t="shared" ref="O25" si="12">IF((H25)=0,"",(N25/H25))</f>
        <v>-1</v>
      </c>
    </row>
    <row r="26" spans="2:15" x14ac:dyDescent="0.25">
      <c r="B26" s="128"/>
      <c r="C26" s="16"/>
      <c r="D26" s="54"/>
      <c r="E26" s="18"/>
      <c r="F26" s="23">
        <f>Rates!D28</f>
        <v>0</v>
      </c>
      <c r="G26" s="20"/>
      <c r="H26" s="21">
        <f t="shared" si="0"/>
        <v>0</v>
      </c>
      <c r="I26" s="22"/>
      <c r="J26" s="23">
        <f>Rates!F28</f>
        <v>0</v>
      </c>
      <c r="K26" s="20"/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ht="45" x14ac:dyDescent="0.25">
      <c r="B27" s="128" t="str">
        <f>Rates!A32</f>
        <v>Rate Rider for the Disposition of Account 1575 &amp; 1576 - effective until December 31, 2019</v>
      </c>
      <c r="C27" s="16"/>
      <c r="D27" s="54" t="s">
        <v>73</v>
      </c>
      <c r="E27" s="18"/>
      <c r="F27" s="23">
        <f>Rates!D32</f>
        <v>-0.80100000000000005</v>
      </c>
      <c r="G27" s="20">
        <f t="shared" si="4"/>
        <v>225</v>
      </c>
      <c r="H27" s="21">
        <f t="shared" si="0"/>
        <v>-180.22500000000002</v>
      </c>
      <c r="I27" s="22"/>
      <c r="J27" s="23">
        <f>Rates!F32</f>
        <v>-0.80100000000000005</v>
      </c>
      <c r="K27" s="20">
        <f t="shared" si="5"/>
        <v>225</v>
      </c>
      <c r="L27" s="21">
        <f t="shared" si="1"/>
        <v>-180.22500000000002</v>
      </c>
      <c r="M27" s="22"/>
      <c r="N27" s="25">
        <f t="shared" si="2"/>
        <v>0</v>
      </c>
      <c r="O27" s="26">
        <f t="shared" si="3"/>
        <v>0</v>
      </c>
    </row>
    <row r="28" spans="2:15" x14ac:dyDescent="0.25">
      <c r="B28" s="28"/>
      <c r="C28" s="16"/>
      <c r="D28" s="17"/>
      <c r="E28" s="18"/>
      <c r="F28" s="19"/>
      <c r="G28" s="20">
        <f t="shared" si="4"/>
        <v>225</v>
      </c>
      <c r="H28" s="21">
        <f t="shared" si="0"/>
        <v>0</v>
      </c>
      <c r="I28" s="22"/>
      <c r="J28" s="23"/>
      <c r="K28" s="20">
        <f t="shared" si="5"/>
        <v>225</v>
      </c>
      <c r="L28" s="21">
        <f t="shared" si="1"/>
        <v>0</v>
      </c>
      <c r="M28" s="22"/>
      <c r="N28" s="25">
        <f t="shared" si="2"/>
        <v>0</v>
      </c>
      <c r="O28" s="26" t="str">
        <f t="shared" si="3"/>
        <v/>
      </c>
    </row>
    <row r="29" spans="2:15" x14ac:dyDescent="0.25">
      <c r="B29" s="28"/>
      <c r="C29" s="16"/>
      <c r="D29" s="17"/>
      <c r="E29" s="18"/>
      <c r="F29" s="19"/>
      <c r="G29" s="20">
        <f t="shared" si="4"/>
        <v>225</v>
      </c>
      <c r="H29" s="21">
        <f t="shared" si="0"/>
        <v>0</v>
      </c>
      <c r="I29" s="22"/>
      <c r="J29" s="23"/>
      <c r="K29" s="20">
        <f t="shared" si="5"/>
        <v>225</v>
      </c>
      <c r="L29" s="21">
        <f t="shared" si="1"/>
        <v>0</v>
      </c>
      <c r="M29" s="22"/>
      <c r="N29" s="25">
        <f t="shared" si="2"/>
        <v>0</v>
      </c>
      <c r="O29" s="26" t="str">
        <f t="shared" si="3"/>
        <v/>
      </c>
    </row>
    <row r="30" spans="2:15" x14ac:dyDescent="0.25">
      <c r="B30" s="28"/>
      <c r="C30" s="16"/>
      <c r="D30" s="17"/>
      <c r="E30" s="18"/>
      <c r="F30" s="19"/>
      <c r="G30" s="20">
        <f t="shared" si="4"/>
        <v>225</v>
      </c>
      <c r="H30" s="21">
        <f t="shared" si="0"/>
        <v>0</v>
      </c>
      <c r="I30" s="22"/>
      <c r="J30" s="23"/>
      <c r="K30" s="20">
        <f t="shared" si="5"/>
        <v>225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4"/>
        <v>225</v>
      </c>
      <c r="H31" s="21">
        <f t="shared" si="0"/>
        <v>0</v>
      </c>
      <c r="I31" s="22"/>
      <c r="J31" s="23"/>
      <c r="K31" s="20">
        <f t="shared" si="5"/>
        <v>225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s="40" customFormat="1" x14ac:dyDescent="0.25">
      <c r="B32" s="29" t="s">
        <v>22</v>
      </c>
      <c r="C32" s="30"/>
      <c r="D32" s="31"/>
      <c r="E32" s="30"/>
      <c r="F32" s="32"/>
      <c r="G32" s="33"/>
      <c r="H32" s="34">
        <f>SUM(H14:H31)</f>
        <v>1122.56</v>
      </c>
      <c r="I32" s="35"/>
      <c r="J32" s="36"/>
      <c r="K32" s="37"/>
      <c r="L32" s="34">
        <f>SUM(L14:L31)</f>
        <v>1144.4625000000001</v>
      </c>
      <c r="M32" s="35"/>
      <c r="N32" s="38">
        <f t="shared" si="2"/>
        <v>21.902500000000146</v>
      </c>
      <c r="O32" s="39">
        <f t="shared" si="3"/>
        <v>1.9511206527936278E-2</v>
      </c>
    </row>
    <row r="33" spans="2:15" ht="38.25" x14ac:dyDescent="0.25">
      <c r="B33" s="41" t="str">
        <f>Rates!A29</f>
        <v>Rate Rider for the Disposition of Deferral/Variance Accounts (2014) - effective until December 31, 2015</v>
      </c>
      <c r="C33" s="16"/>
      <c r="D33" s="54" t="s">
        <v>73</v>
      </c>
      <c r="E33" s="18"/>
      <c r="F33" s="23">
        <f>Rates!D29</f>
        <v>-5.8936999999999999</v>
      </c>
      <c r="G33" s="20">
        <f t="shared" si="4"/>
        <v>225</v>
      </c>
      <c r="H33" s="21">
        <f>G33*F33</f>
        <v>-1326.0825</v>
      </c>
      <c r="I33" s="22"/>
      <c r="J33" s="23">
        <f>Rates!F29</f>
        <v>0</v>
      </c>
      <c r="K33" s="20">
        <f t="shared" si="5"/>
        <v>225</v>
      </c>
      <c r="L33" s="21">
        <f>K33*J33</f>
        <v>0</v>
      </c>
      <c r="M33" s="22"/>
      <c r="N33" s="25">
        <f>L33-H33</f>
        <v>1326.0825</v>
      </c>
      <c r="O33" s="26">
        <f>IF((H33)=0,"",(N33/H33))</f>
        <v>-1</v>
      </c>
    </row>
    <row r="34" spans="2:15" ht="38.25" x14ac:dyDescent="0.25">
      <c r="B34" s="41" t="str">
        <f>Rates!A30</f>
        <v>Rate Rider for the Disposition of Global Adjustment Sub-Account (2014) - effective until December 31, 2015</v>
      </c>
      <c r="C34" s="16"/>
      <c r="D34" s="54" t="s">
        <v>73</v>
      </c>
      <c r="E34" s="18"/>
      <c r="F34" s="23">
        <f>Rates!D30</f>
        <v>9.1750000000000007</v>
      </c>
      <c r="G34" s="20">
        <f t="shared" si="4"/>
        <v>225</v>
      </c>
      <c r="H34" s="21">
        <f t="shared" ref="H34:H38" si="13">G34*F34</f>
        <v>2064.375</v>
      </c>
      <c r="I34" s="42"/>
      <c r="J34" s="23">
        <v>0</v>
      </c>
      <c r="K34" s="20">
        <f t="shared" si="5"/>
        <v>225</v>
      </c>
      <c r="L34" s="21">
        <f t="shared" ref="L34:L38" si="14">K34*J34</f>
        <v>0</v>
      </c>
      <c r="M34" s="43"/>
      <c r="N34" s="25">
        <f t="shared" ref="N34:N38" si="15">L34-H34</f>
        <v>-2064.375</v>
      </c>
      <c r="O34" s="26">
        <f t="shared" ref="O34:O38" si="16">IF((H34)=0,"",(N34/H34))</f>
        <v>-1</v>
      </c>
    </row>
    <row r="35" spans="2:15" ht="38.25" x14ac:dyDescent="0.25">
      <c r="B35" s="41" t="str">
        <f>Rates!A25</f>
        <v>Rate Rider for the Disposition of Deferral/Variance Accounts (2016) - effective until December 31, 2016</v>
      </c>
      <c r="C35" s="16"/>
      <c r="D35" s="17" t="s">
        <v>73</v>
      </c>
      <c r="E35" s="18"/>
      <c r="F35" s="19">
        <f>Rates!D25</f>
        <v>0</v>
      </c>
      <c r="G35" s="20">
        <f t="shared" si="4"/>
        <v>225</v>
      </c>
      <c r="H35" s="21">
        <f t="shared" si="13"/>
        <v>0</v>
      </c>
      <c r="I35" s="42"/>
      <c r="J35" s="23">
        <f>Rates!F25</f>
        <v>0</v>
      </c>
      <c r="K35" s="20">
        <f t="shared" si="5"/>
        <v>225</v>
      </c>
      <c r="L35" s="21">
        <f t="shared" si="14"/>
        <v>0</v>
      </c>
      <c r="M35" s="43"/>
      <c r="N35" s="25">
        <f t="shared" si="15"/>
        <v>0</v>
      </c>
      <c r="O35" s="26" t="str">
        <f t="shared" si="16"/>
        <v/>
      </c>
    </row>
    <row r="36" spans="2:15" ht="38.25" x14ac:dyDescent="0.25">
      <c r="B36" s="41" t="str">
        <f>Rates!A26</f>
        <v>Rate Rider for the Disposition of Global Adjustment Sub-Account (2016) - effective until December 31, 2016</v>
      </c>
      <c r="C36" s="16"/>
      <c r="D36" s="17" t="s">
        <v>73</v>
      </c>
      <c r="E36" s="18"/>
      <c r="F36" s="19">
        <f>Rates!D26</f>
        <v>0</v>
      </c>
      <c r="G36" s="20">
        <f t="shared" si="4"/>
        <v>225</v>
      </c>
      <c r="H36" s="21">
        <f t="shared" si="13"/>
        <v>0</v>
      </c>
      <c r="I36" s="42"/>
      <c r="J36" s="23">
        <f>Rates!F26</f>
        <v>0</v>
      </c>
      <c r="K36" s="20">
        <f t="shared" si="5"/>
        <v>225</v>
      </c>
      <c r="L36" s="21">
        <f t="shared" si="14"/>
        <v>0</v>
      </c>
      <c r="M36" s="43"/>
      <c r="N36" s="25">
        <f t="shared" si="15"/>
        <v>0</v>
      </c>
      <c r="O36" s="26" t="str">
        <f t="shared" si="16"/>
        <v/>
      </c>
    </row>
    <row r="37" spans="2:15" x14ac:dyDescent="0.25">
      <c r="B37" s="44" t="s">
        <v>23</v>
      </c>
      <c r="C37" s="16"/>
      <c r="D37" s="17"/>
      <c r="E37" s="18"/>
      <c r="F37" s="19"/>
      <c r="G37" s="20">
        <f t="shared" si="4"/>
        <v>225</v>
      </c>
      <c r="H37" s="21">
        <f>G37*F37</f>
        <v>0</v>
      </c>
      <c r="I37" s="22"/>
      <c r="J37" s="23"/>
      <c r="K37" s="20">
        <f t="shared" si="5"/>
        <v>225</v>
      </c>
      <c r="L37" s="21">
        <f>K37*J37</f>
        <v>0</v>
      </c>
      <c r="M37" s="22"/>
      <c r="N37" s="25">
        <f>L37-H37</f>
        <v>0</v>
      </c>
      <c r="O37" s="26" t="str">
        <f>IF((H37)=0,"",(N37/H37))</f>
        <v/>
      </c>
    </row>
    <row r="38" spans="2:15" x14ac:dyDescent="0.25">
      <c r="B38" s="44" t="s">
        <v>24</v>
      </c>
      <c r="C38" s="16"/>
      <c r="D38" s="17" t="s">
        <v>68</v>
      </c>
      <c r="E38" s="18"/>
      <c r="F38" s="131">
        <f>Rates!D93</f>
        <v>0.10214000000000001</v>
      </c>
      <c r="G38" s="46">
        <f>$F$9*(1+$F$56)-$F$9</f>
        <v>8252.9999999999854</v>
      </c>
      <c r="H38" s="21">
        <f t="shared" si="13"/>
        <v>842.96141999999861</v>
      </c>
      <c r="I38" s="22"/>
      <c r="J38" s="133">
        <f>Rates!F93</f>
        <v>0.10214000000000001</v>
      </c>
      <c r="K38" s="46">
        <f>$F$9*(1+$J$56)-$F$9</f>
        <v>8252.9999999999854</v>
      </c>
      <c r="L38" s="21">
        <f t="shared" si="14"/>
        <v>842.96141999999861</v>
      </c>
      <c r="M38" s="22"/>
      <c r="N38" s="25">
        <f t="shared" si="15"/>
        <v>0</v>
      </c>
      <c r="O38" s="26">
        <f t="shared" si="16"/>
        <v>0</v>
      </c>
    </row>
    <row r="39" spans="2:15" x14ac:dyDescent="0.25">
      <c r="B39" s="44" t="s">
        <v>25</v>
      </c>
      <c r="C39" s="16"/>
      <c r="D39" s="17" t="s">
        <v>67</v>
      </c>
      <c r="E39" s="18"/>
      <c r="F39" s="45"/>
      <c r="G39" s="20">
        <v>1</v>
      </c>
      <c r="H39" s="21">
        <f>G39*F39</f>
        <v>0</v>
      </c>
      <c r="I39" s="22"/>
      <c r="J39" s="45"/>
      <c r="K39" s="20">
        <v>1</v>
      </c>
      <c r="L39" s="21">
        <f>K39*J39</f>
        <v>0</v>
      </c>
      <c r="M39" s="22"/>
      <c r="N39" s="25">
        <f>L39-H39</f>
        <v>0</v>
      </c>
      <c r="O39" s="26"/>
    </row>
    <row r="40" spans="2:15" ht="25.5" x14ac:dyDescent="0.25">
      <c r="B40" s="48" t="s">
        <v>26</v>
      </c>
      <c r="C40" s="49"/>
      <c r="D40" s="49"/>
      <c r="E40" s="49"/>
      <c r="F40" s="50"/>
      <c r="G40" s="51"/>
      <c r="H40" s="52">
        <f>SUM(H33:H39)+H32</f>
        <v>2703.8139199999987</v>
      </c>
      <c r="I40" s="35"/>
      <c r="J40" s="51"/>
      <c r="K40" s="53"/>
      <c r="L40" s="52">
        <f>SUM(L33:L39)+L32</f>
        <v>1987.4239199999988</v>
      </c>
      <c r="M40" s="35"/>
      <c r="N40" s="38">
        <f t="shared" ref="N40:N53" si="17">L40-H40</f>
        <v>-716.38999999999987</v>
      </c>
      <c r="O40" s="39">
        <f t="shared" ref="O40:O53" si="18">IF((H40)=0,"",(N40/H40))</f>
        <v>-0.26495536349631643</v>
      </c>
    </row>
    <row r="41" spans="2:15" x14ac:dyDescent="0.25">
      <c r="B41" s="22" t="s">
        <v>27</v>
      </c>
      <c r="C41" s="22"/>
      <c r="D41" s="54" t="s">
        <v>73</v>
      </c>
      <c r="E41" s="55"/>
      <c r="F41" s="23">
        <f>Rates!D33</f>
        <v>2.7479</v>
      </c>
      <c r="G41" s="56">
        <f>K9*(1+F56)</f>
        <v>245.63249999999996</v>
      </c>
      <c r="H41" s="21">
        <f>G41*F41</f>
        <v>674.97354674999985</v>
      </c>
      <c r="I41" s="22"/>
      <c r="J41" s="23">
        <f>Rates!F33</f>
        <v>2.6924000000000001</v>
      </c>
      <c r="K41" s="57">
        <f>K9*(1+J56)</f>
        <v>245.63249999999996</v>
      </c>
      <c r="L41" s="21">
        <f>K41*J41</f>
        <v>661.34094299999992</v>
      </c>
      <c r="M41" s="22"/>
      <c r="N41" s="25">
        <f t="shared" si="17"/>
        <v>-13.63260374999993</v>
      </c>
      <c r="O41" s="26">
        <f t="shared" si="18"/>
        <v>-2.0197241529895459E-2</v>
      </c>
    </row>
    <row r="42" spans="2:15" x14ac:dyDescent="0.25">
      <c r="B42" s="58" t="s">
        <v>28</v>
      </c>
      <c r="C42" s="22"/>
      <c r="D42" s="54" t="s">
        <v>73</v>
      </c>
      <c r="E42" s="55"/>
      <c r="F42" s="23">
        <f>Rates!D34</f>
        <v>1.9867999999999999</v>
      </c>
      <c r="G42" s="56">
        <f>G41</f>
        <v>245.63249999999996</v>
      </c>
      <c r="H42" s="21">
        <f>G42*F42</f>
        <v>488.02265099999988</v>
      </c>
      <c r="I42" s="22"/>
      <c r="J42" s="23">
        <f>Rates!F34</f>
        <v>1.9084000000000001</v>
      </c>
      <c r="K42" s="57">
        <f>K41</f>
        <v>245.63249999999996</v>
      </c>
      <c r="L42" s="21">
        <f>K42*J42</f>
        <v>468.76506299999994</v>
      </c>
      <c r="M42" s="22"/>
      <c r="N42" s="25">
        <f t="shared" si="17"/>
        <v>-19.257587999999942</v>
      </c>
      <c r="O42" s="26">
        <f t="shared" si="18"/>
        <v>-3.9460438896718228E-2</v>
      </c>
    </row>
    <row r="43" spans="2:15" ht="25.5" x14ac:dyDescent="0.25">
      <c r="B43" s="48" t="s">
        <v>29</v>
      </c>
      <c r="C43" s="30"/>
      <c r="D43" s="30"/>
      <c r="E43" s="30"/>
      <c r="F43" s="59"/>
      <c r="G43" s="51"/>
      <c r="H43" s="52">
        <f>SUM(H40:H42)</f>
        <v>3866.8101177499984</v>
      </c>
      <c r="I43" s="60"/>
      <c r="J43" s="61"/>
      <c r="K43" s="62"/>
      <c r="L43" s="52">
        <f>SUM(L40:L42)</f>
        <v>3117.5299259999983</v>
      </c>
      <c r="M43" s="60"/>
      <c r="N43" s="38">
        <f t="shared" si="17"/>
        <v>-749.28019175000009</v>
      </c>
      <c r="O43" s="39">
        <f t="shared" si="18"/>
        <v>-0.19377217110055245</v>
      </c>
    </row>
    <row r="44" spans="2:15" x14ac:dyDescent="0.25">
      <c r="B44" s="63" t="s">
        <v>30</v>
      </c>
      <c r="C44" s="16"/>
      <c r="D44" s="54" t="s">
        <v>68</v>
      </c>
      <c r="E44" s="18"/>
      <c r="F44" s="66">
        <f>Rates!D35</f>
        <v>4.4000000000000003E-3</v>
      </c>
      <c r="G44" s="56">
        <f>F9*(1+F56)</f>
        <v>98252.999999999985</v>
      </c>
      <c r="H44" s="65">
        <f t="shared" ref="H44:H49" si="19">G44*F44</f>
        <v>432.31319999999994</v>
      </c>
      <c r="I44" s="22"/>
      <c r="J44" s="66">
        <f>Rates!F35</f>
        <v>4.4000000000000003E-3</v>
      </c>
      <c r="K44" s="57">
        <f>F9*(1+J56)</f>
        <v>98252.999999999985</v>
      </c>
      <c r="L44" s="65">
        <f t="shared" ref="L44:L49" si="20">K44*J44</f>
        <v>432.31319999999994</v>
      </c>
      <c r="M44" s="22"/>
      <c r="N44" s="25">
        <f t="shared" si="17"/>
        <v>0</v>
      </c>
      <c r="O44" s="67">
        <f t="shared" si="18"/>
        <v>0</v>
      </c>
    </row>
    <row r="45" spans="2:15" x14ac:dyDescent="0.25">
      <c r="B45" s="63" t="s">
        <v>31</v>
      </c>
      <c r="C45" s="16"/>
      <c r="D45" s="54" t="s">
        <v>68</v>
      </c>
      <c r="E45" s="18"/>
      <c r="F45" s="66">
        <f>Rates!D36</f>
        <v>1.2999999999999999E-3</v>
      </c>
      <c r="G45" s="56">
        <f>G44</f>
        <v>98252.999999999985</v>
      </c>
      <c r="H45" s="65">
        <f t="shared" si="19"/>
        <v>127.72889999999998</v>
      </c>
      <c r="I45" s="22"/>
      <c r="J45" s="66">
        <f>Rates!F36</f>
        <v>1.2999999999999999E-3</v>
      </c>
      <c r="K45" s="57">
        <f>K44</f>
        <v>98252.999999999985</v>
      </c>
      <c r="L45" s="65">
        <f t="shared" si="20"/>
        <v>127.72889999999998</v>
      </c>
      <c r="M45" s="22"/>
      <c r="N45" s="25">
        <f t="shared" si="17"/>
        <v>0</v>
      </c>
      <c r="O45" s="67">
        <f t="shared" si="18"/>
        <v>0</v>
      </c>
    </row>
    <row r="46" spans="2:15" x14ac:dyDescent="0.25">
      <c r="B46" s="16" t="s">
        <v>32</v>
      </c>
      <c r="C46" s="16"/>
      <c r="D46" s="17" t="s">
        <v>67</v>
      </c>
      <c r="E46" s="18"/>
      <c r="F46" s="64">
        <f>Rates!D37</f>
        <v>0.25</v>
      </c>
      <c r="G46" s="20">
        <v>1</v>
      </c>
      <c r="H46" s="65">
        <f t="shared" si="19"/>
        <v>0.25</v>
      </c>
      <c r="I46" s="22"/>
      <c r="J46" s="66">
        <f>Rates!F37</f>
        <v>0.25</v>
      </c>
      <c r="K46" s="24">
        <v>1</v>
      </c>
      <c r="L46" s="65">
        <f t="shared" si="20"/>
        <v>0.25</v>
      </c>
      <c r="M46" s="22"/>
      <c r="N46" s="25">
        <f t="shared" si="17"/>
        <v>0</v>
      </c>
      <c r="O46" s="67">
        <f t="shared" si="18"/>
        <v>0</v>
      </c>
    </row>
    <row r="47" spans="2:15" x14ac:dyDescent="0.25">
      <c r="B47" s="16" t="s">
        <v>33</v>
      </c>
      <c r="C47" s="16"/>
      <c r="D47" s="17" t="s">
        <v>68</v>
      </c>
      <c r="E47" s="18"/>
      <c r="F47" s="64">
        <f>Rates!D79</f>
        <v>2E-3</v>
      </c>
      <c r="G47" s="68">
        <f>F9</f>
        <v>90000</v>
      </c>
      <c r="H47" s="65">
        <f t="shared" si="19"/>
        <v>180</v>
      </c>
      <c r="I47" s="22"/>
      <c r="J47" s="66">
        <f>Rates!F79</f>
        <v>0</v>
      </c>
      <c r="K47" s="69">
        <f>F9</f>
        <v>90000</v>
      </c>
      <c r="L47" s="65">
        <f t="shared" si="20"/>
        <v>0</v>
      </c>
      <c r="M47" s="22"/>
      <c r="N47" s="25">
        <f t="shared" si="17"/>
        <v>-180</v>
      </c>
      <c r="O47" s="67">
        <f t="shared" si="18"/>
        <v>-1</v>
      </c>
    </row>
    <row r="48" spans="2:15" x14ac:dyDescent="0.25">
      <c r="B48" s="16" t="s">
        <v>115</v>
      </c>
      <c r="C48" s="16"/>
      <c r="D48" s="17" t="s">
        <v>68</v>
      </c>
      <c r="E48" s="18"/>
      <c r="F48" s="64"/>
      <c r="G48" s="68"/>
      <c r="H48" s="65"/>
      <c r="I48" s="22"/>
      <c r="J48" s="66">
        <f>Rates!F80</f>
        <v>1.1000000000000001E-3</v>
      </c>
      <c r="K48" s="69">
        <f>F9</f>
        <v>90000</v>
      </c>
      <c r="L48" s="65">
        <f t="shared" ref="L48" si="21">K48*J48</f>
        <v>99</v>
      </c>
      <c r="M48" s="22"/>
      <c r="N48" s="25">
        <f t="shared" ref="N48" si="22">L48-H48</f>
        <v>99</v>
      </c>
      <c r="O48" s="67" t="str">
        <f t="shared" ref="O48" si="23">IF((H48)=0,"",(N48/H48))</f>
        <v/>
      </c>
    </row>
    <row r="49" spans="1:19" ht="15.75" thickBot="1" x14ac:dyDescent="0.3">
      <c r="B49" s="44" t="s">
        <v>76</v>
      </c>
      <c r="C49" s="16"/>
      <c r="D49" s="17" t="s">
        <v>68</v>
      </c>
      <c r="E49" s="18"/>
      <c r="F49" s="132">
        <f>Rates!D92</f>
        <v>0.10214000000000001</v>
      </c>
      <c r="G49" s="71">
        <f>$F$9</f>
        <v>90000</v>
      </c>
      <c r="H49" s="65">
        <f t="shared" si="19"/>
        <v>9192.6</v>
      </c>
      <c r="I49" s="22"/>
      <c r="J49" s="134">
        <f>Rates!F92</f>
        <v>0.10214000000000001</v>
      </c>
      <c r="K49" s="71">
        <f>F9</f>
        <v>90000</v>
      </c>
      <c r="L49" s="65">
        <f t="shared" si="20"/>
        <v>9192.6</v>
      </c>
      <c r="M49" s="22"/>
      <c r="N49" s="25">
        <f t="shared" si="17"/>
        <v>0</v>
      </c>
      <c r="O49" s="67">
        <f t="shared" si="18"/>
        <v>0</v>
      </c>
      <c r="S49" s="72"/>
    </row>
    <row r="50" spans="1:19" ht="15.75" thickBot="1" x14ac:dyDescent="0.3">
      <c r="B50" s="74"/>
      <c r="C50" s="75"/>
      <c r="D50" s="76"/>
      <c r="E50" s="75"/>
      <c r="F50" s="77"/>
      <c r="G50" s="78"/>
      <c r="H50" s="79"/>
      <c r="I50" s="80"/>
      <c r="J50" s="77"/>
      <c r="K50" s="81"/>
      <c r="L50" s="79"/>
      <c r="M50" s="80"/>
      <c r="N50" s="82"/>
      <c r="O50" s="83"/>
    </row>
    <row r="51" spans="1:19" x14ac:dyDescent="0.25">
      <c r="B51" s="84" t="s">
        <v>85</v>
      </c>
      <c r="C51" s="16"/>
      <c r="D51" s="16"/>
      <c r="E51" s="16"/>
      <c r="F51" s="85"/>
      <c r="G51" s="86"/>
      <c r="H51" s="87">
        <f>SUM(H44:H49,H43)</f>
        <v>13799.70221775</v>
      </c>
      <c r="I51" s="88"/>
      <c r="J51" s="89"/>
      <c r="K51" s="89"/>
      <c r="L51" s="127">
        <f>SUM(L44:L49,L43)</f>
        <v>12969.422026</v>
      </c>
      <c r="M51" s="90"/>
      <c r="N51" s="91">
        <f t="shared" ref="N51" si="24">L51-H51</f>
        <v>-830.28019175000009</v>
      </c>
      <c r="O51" s="92">
        <f t="shared" ref="O51" si="25">IF((H51)=0,"",(N51/H51))</f>
        <v>-6.0166529585112656E-2</v>
      </c>
      <c r="S51" s="72"/>
    </row>
    <row r="52" spans="1:19" x14ac:dyDescent="0.25">
      <c r="B52" s="93" t="s">
        <v>38</v>
      </c>
      <c r="C52" s="16"/>
      <c r="D52" s="16"/>
      <c r="E52" s="16"/>
      <c r="F52" s="94">
        <v>0.13</v>
      </c>
      <c r="G52" s="95"/>
      <c r="H52" s="96">
        <f>H51*F52</f>
        <v>1793.9612883075001</v>
      </c>
      <c r="I52" s="97"/>
      <c r="J52" s="98">
        <v>0.13</v>
      </c>
      <c r="K52" s="97"/>
      <c r="L52" s="99">
        <f>L51*J52</f>
        <v>1686.0248633800002</v>
      </c>
      <c r="M52" s="100"/>
      <c r="N52" s="101">
        <f t="shared" si="17"/>
        <v>-107.93642492749996</v>
      </c>
      <c r="O52" s="102">
        <f t="shared" si="18"/>
        <v>-6.0166529585112621E-2</v>
      </c>
      <c r="S52" s="72"/>
    </row>
    <row r="53" spans="1:19" ht="15.75" thickBot="1" x14ac:dyDescent="0.3">
      <c r="B53" s="103" t="s">
        <v>42</v>
      </c>
      <c r="C53" s="16"/>
      <c r="D53" s="16"/>
      <c r="E53" s="16"/>
      <c r="F53" s="104"/>
      <c r="G53" s="95"/>
      <c r="H53" s="96">
        <f>H51+H52</f>
        <v>15593.663506057501</v>
      </c>
      <c r="I53" s="97"/>
      <c r="J53" s="97"/>
      <c r="K53" s="97"/>
      <c r="L53" s="99">
        <f>L51+L52</f>
        <v>14655.44688938</v>
      </c>
      <c r="M53" s="100"/>
      <c r="N53" s="101">
        <f t="shared" si="17"/>
        <v>-938.2166166775005</v>
      </c>
      <c r="O53" s="102">
        <f t="shared" si="18"/>
        <v>-6.0166529585112677E-2</v>
      </c>
      <c r="S53" s="72"/>
    </row>
    <row r="54" spans="1:19" s="73" customFormat="1" ht="15.75" thickBot="1" x14ac:dyDescent="0.25">
      <c r="B54" s="118"/>
      <c r="C54" s="119"/>
      <c r="D54" s="120"/>
      <c r="E54" s="119"/>
      <c r="F54" s="77"/>
      <c r="G54" s="121"/>
      <c r="H54" s="79"/>
      <c r="I54" s="122"/>
      <c r="J54" s="77"/>
      <c r="K54" s="123"/>
      <c r="L54" s="79"/>
      <c r="M54" s="122"/>
      <c r="N54" s="124"/>
      <c r="O54" s="83"/>
    </row>
    <row r="55" spans="1:19" x14ac:dyDescent="0.25">
      <c r="L55" s="72"/>
    </row>
    <row r="56" spans="1:19" x14ac:dyDescent="0.25">
      <c r="B56" s="7" t="s">
        <v>40</v>
      </c>
      <c r="F56" s="125">
        <f>Rates!D85</f>
        <v>9.1700000000000004E-2</v>
      </c>
      <c r="J56" s="125">
        <f>Rates!F85</f>
        <v>9.1700000000000004E-2</v>
      </c>
    </row>
    <row r="58" spans="1:19" x14ac:dyDescent="0.25">
      <c r="A58" s="126"/>
      <c r="B58" s="1" t="s">
        <v>41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41:E42 E33:E39 E14:E31 E54 E44:E50">
      <formula1>#REF!</formula1>
    </dataValidation>
    <dataValidation type="list" allowBlank="1" showInputMessage="1" showErrorMessage="1" prompt="Select Charge Unit - monthly, per kWh, per kW" sqref="D41:D42 D33:D39 D54 D14:D31 D44:D50">
      <formula1>"Monthly, per kWh, per kW"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62"/>
  <sheetViews>
    <sheetView showGridLines="0" topLeftCell="A34" zoomScaleNormal="100" workbookViewId="0">
      <selection activeCell="F11" sqref="F11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89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800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Rates!D40</f>
        <v>27.15</v>
      </c>
      <c r="G15" s="20">
        <v>1</v>
      </c>
      <c r="H15" s="21">
        <f>G15*F15</f>
        <v>27.15</v>
      </c>
      <c r="I15" s="22"/>
      <c r="J15" s="23">
        <f>Rates!F40</f>
        <v>34.270000000000003</v>
      </c>
      <c r="K15" s="24">
        <v>1</v>
      </c>
      <c r="L15" s="21">
        <f>K15*J15</f>
        <v>34.270000000000003</v>
      </c>
      <c r="M15" s="22"/>
      <c r="N15" s="25">
        <f>L15-H15</f>
        <v>7.1200000000000045</v>
      </c>
      <c r="O15" s="26">
        <f>IF((H15)=0,"",(N15/H15))</f>
        <v>0.26224677716390443</v>
      </c>
    </row>
    <row r="16" spans="2:16" x14ac:dyDescent="0.25">
      <c r="B16" s="16" t="s">
        <v>18</v>
      </c>
      <c r="C16" s="16"/>
      <c r="D16" s="17"/>
      <c r="E16" s="18"/>
      <c r="F16" s="19"/>
      <c r="G16" s="20">
        <v>1</v>
      </c>
      <c r="H16" s="21">
        <f t="shared" ref="H16:H32" si="0">G16*F16</f>
        <v>0</v>
      </c>
      <c r="I16" s="22"/>
      <c r="J16" s="23"/>
      <c r="K16" s="24">
        <v>1</v>
      </c>
      <c r="L16" s="21">
        <f>K16*J16</f>
        <v>0</v>
      </c>
      <c r="M16" s="22"/>
      <c r="N16" s="25">
        <f>L16-H16</f>
        <v>0</v>
      </c>
      <c r="O16" s="26" t="str">
        <f>IF((H16)=0,"",(N16/H16))</f>
        <v/>
      </c>
    </row>
    <row r="17" spans="2:15" ht="45" x14ac:dyDescent="0.25">
      <c r="B17" s="128" t="str">
        <f>Rates!A46</f>
        <v>SME - Net Deferred Revenue Requirement, effective until December 31, 2016</v>
      </c>
      <c r="C17" s="16"/>
      <c r="D17" s="54" t="s">
        <v>67</v>
      </c>
      <c r="E17" s="18"/>
      <c r="F17" s="23">
        <f>Rates!D46</f>
        <v>3.57</v>
      </c>
      <c r="G17" s="20">
        <v>1</v>
      </c>
      <c r="H17" s="21">
        <f t="shared" si="0"/>
        <v>3.57</v>
      </c>
      <c r="I17" s="22"/>
      <c r="J17" s="23">
        <f>Rates!F46</f>
        <v>3.57</v>
      </c>
      <c r="K17" s="24">
        <v>1</v>
      </c>
      <c r="L17" s="21">
        <f t="shared" ref="L17:L32" si="1">K17*J17</f>
        <v>3.57</v>
      </c>
      <c r="M17" s="22"/>
      <c r="N17" s="25">
        <f t="shared" ref="N17:N33" si="2">L17-H17</f>
        <v>0</v>
      </c>
      <c r="O17" s="26">
        <f t="shared" ref="O17:O33" si="3">IF((H17)=0,"",(N17/H17))</f>
        <v>0</v>
      </c>
    </row>
    <row r="18" spans="2:15" x14ac:dyDescent="0.25">
      <c r="B18" s="128"/>
      <c r="C18" s="16"/>
      <c r="D18" s="54"/>
      <c r="E18" s="18"/>
      <c r="F18" s="23"/>
      <c r="G18" s="20"/>
      <c r="H18" s="21">
        <f t="shared" si="0"/>
        <v>0</v>
      </c>
      <c r="I18" s="22"/>
      <c r="J18" s="23"/>
      <c r="K18" s="24"/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45" x14ac:dyDescent="0.25">
      <c r="B19" s="153" t="str">
        <f>Rates!A48</f>
        <v>Rate Rider for Recovery of Stranded Meter Assets (2014) - effective until December 31, 2015</v>
      </c>
      <c r="C19" s="16"/>
      <c r="D19" s="54" t="s">
        <v>67</v>
      </c>
      <c r="E19" s="18"/>
      <c r="F19" s="23">
        <f>Rates!D48</f>
        <v>2.5099999999999998</v>
      </c>
      <c r="G19" s="20">
        <v>1</v>
      </c>
      <c r="H19" s="21">
        <f t="shared" si="0"/>
        <v>2.5099999999999998</v>
      </c>
      <c r="I19" s="22"/>
      <c r="J19" s="23">
        <f>Rates!F48</f>
        <v>0</v>
      </c>
      <c r="K19" s="24">
        <v>1</v>
      </c>
      <c r="L19" s="21">
        <f t="shared" si="1"/>
        <v>0</v>
      </c>
      <c r="M19" s="22"/>
      <c r="N19" s="25">
        <f t="shared" si="2"/>
        <v>-2.5099999999999998</v>
      </c>
      <c r="O19" s="26">
        <f t="shared" si="3"/>
        <v>-1</v>
      </c>
    </row>
    <row r="20" spans="2:15" x14ac:dyDescent="0.25">
      <c r="B20" s="27"/>
      <c r="C20" s="16"/>
      <c r="D20" s="17"/>
      <c r="E20" s="18"/>
      <c r="F20" s="19"/>
      <c r="G20" s="20">
        <v>1</v>
      </c>
      <c r="H20" s="21">
        <f t="shared" si="0"/>
        <v>0</v>
      </c>
      <c r="I20" s="22"/>
      <c r="J20" s="23"/>
      <c r="K20" s="24">
        <v>1</v>
      </c>
      <c r="L20" s="21">
        <f t="shared" si="1"/>
        <v>0</v>
      </c>
      <c r="M20" s="22"/>
      <c r="N20" s="25">
        <f t="shared" si="2"/>
        <v>0</v>
      </c>
      <c r="O20" s="26" t="str">
        <f t="shared" si="3"/>
        <v/>
      </c>
    </row>
    <row r="21" spans="2:15" x14ac:dyDescent="0.25">
      <c r="B21" s="16" t="s">
        <v>19</v>
      </c>
      <c r="C21" s="16"/>
      <c r="D21" s="17" t="s">
        <v>68</v>
      </c>
      <c r="E21" s="18"/>
      <c r="F21" s="19">
        <f>Rates!D41</f>
        <v>0.1462</v>
      </c>
      <c r="G21" s="20">
        <f>$F$10</f>
        <v>800</v>
      </c>
      <c r="H21" s="21">
        <f t="shared" si="0"/>
        <v>116.96</v>
      </c>
      <c r="I21" s="22"/>
      <c r="J21" s="23">
        <f>Rates!F41</f>
        <v>0.14349999999999999</v>
      </c>
      <c r="K21" s="20">
        <f>$F$10</f>
        <v>800</v>
      </c>
      <c r="L21" s="21">
        <f t="shared" si="1"/>
        <v>114.8</v>
      </c>
      <c r="M21" s="22"/>
      <c r="N21" s="25">
        <f t="shared" si="2"/>
        <v>-2.1599999999999966</v>
      </c>
      <c r="O21" s="26">
        <f t="shared" si="3"/>
        <v>-1.8467852257181915E-2</v>
      </c>
    </row>
    <row r="22" spans="2:15" x14ac:dyDescent="0.25">
      <c r="B22" s="16" t="s">
        <v>20</v>
      </c>
      <c r="C22" s="16"/>
      <c r="D22" s="17"/>
      <c r="E22" s="18"/>
      <c r="F22" s="19"/>
      <c r="G22" s="20">
        <f t="shared" ref="G22" si="4">$F$10</f>
        <v>800</v>
      </c>
      <c r="H22" s="21">
        <f t="shared" si="0"/>
        <v>0</v>
      </c>
      <c r="I22" s="22"/>
      <c r="J22" s="23"/>
      <c r="K22" s="20">
        <f t="shared" ref="K22:K32" si="5">$F$10</f>
        <v>800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6" t="s">
        <v>21</v>
      </c>
      <c r="C23" s="16"/>
      <c r="D23" s="17"/>
      <c r="E23" s="18"/>
      <c r="F23" s="19"/>
      <c r="G23" s="20">
        <f>$F$10</f>
        <v>800</v>
      </c>
      <c r="H23" s="21">
        <f t="shared" si="0"/>
        <v>0</v>
      </c>
      <c r="I23" s="22"/>
      <c r="J23" s="23"/>
      <c r="K23" s="20">
        <f t="shared" si="5"/>
        <v>800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 t="s">
        <v>68</v>
      </c>
      <c r="E24" s="18"/>
      <c r="F24" s="23">
        <f>Rates!D42</f>
        <v>0</v>
      </c>
      <c r="G24" s="20">
        <f t="shared" ref="G24:G32" si="6">$F$10</f>
        <v>800</v>
      </c>
      <c r="H24" s="21">
        <f t="shared" si="0"/>
        <v>0</v>
      </c>
      <c r="I24" s="22"/>
      <c r="J24" s="23">
        <f>Rates!F42</f>
        <v>0</v>
      </c>
      <c r="K24" s="20">
        <f t="shared" si="5"/>
        <v>800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x14ac:dyDescent="0.25">
      <c r="B25" s="128"/>
      <c r="C25" s="16"/>
      <c r="D25" s="54" t="s">
        <v>68</v>
      </c>
      <c r="E25" s="18"/>
      <c r="F25" s="23">
        <f>Rates!D43</f>
        <v>0</v>
      </c>
      <c r="G25" s="20">
        <f t="shared" si="6"/>
        <v>800</v>
      </c>
      <c r="H25" s="21">
        <f t="shared" ref="H25" si="7">G25*F25</f>
        <v>0</v>
      </c>
      <c r="I25" s="22"/>
      <c r="J25" s="23">
        <f>Rates!F43</f>
        <v>0</v>
      </c>
      <c r="K25" s="20">
        <f t="shared" si="5"/>
        <v>800</v>
      </c>
      <c r="L25" s="21">
        <f t="shared" ref="L25" si="8">K25*J25</f>
        <v>0</v>
      </c>
      <c r="M25" s="22"/>
      <c r="N25" s="25">
        <f t="shared" ref="N25" si="9">L25-H25</f>
        <v>0</v>
      </c>
      <c r="O25" s="26" t="str">
        <f t="shared" ref="O25" si="10">IF((H25)=0,"",(N25/H25))</f>
        <v/>
      </c>
    </row>
    <row r="26" spans="2:15" ht="30" x14ac:dyDescent="0.25">
      <c r="B26" s="128" t="str">
        <f>Rates!A44</f>
        <v>Foregone Revenue Recovery (2015) - effective until December 31, 2015 (2015)</v>
      </c>
      <c r="C26" s="16"/>
      <c r="D26" s="54" t="s">
        <v>68</v>
      </c>
      <c r="E26" s="18"/>
      <c r="F26" s="23">
        <f>Rates!D44</f>
        <v>4.1000000000000003E-3</v>
      </c>
      <c r="G26" s="20"/>
      <c r="H26" s="21"/>
      <c r="I26" s="22"/>
      <c r="J26" s="23">
        <f>Rates!F44</f>
        <v>0</v>
      </c>
      <c r="K26" s="20">
        <f t="shared" si="5"/>
        <v>800</v>
      </c>
      <c r="L26" s="21">
        <f t="shared" ref="L26" si="11">K26*J26</f>
        <v>0</v>
      </c>
      <c r="M26" s="22"/>
      <c r="N26" s="25">
        <f t="shared" ref="N26" si="12">L26-H26</f>
        <v>0</v>
      </c>
      <c r="O26" s="26" t="str">
        <f t="shared" ref="O26" si="13">IF((H26)=0,"",(N26/H26))</f>
        <v/>
      </c>
    </row>
    <row r="27" spans="2:15" x14ac:dyDescent="0.25">
      <c r="B27" s="128"/>
      <c r="C27" s="16"/>
      <c r="D27" s="54" t="s">
        <v>68</v>
      </c>
      <c r="E27" s="18"/>
      <c r="F27" s="23">
        <f>Rates!D49</f>
        <v>0</v>
      </c>
      <c r="G27" s="20">
        <f t="shared" si="6"/>
        <v>800</v>
      </c>
      <c r="H27" s="21">
        <f t="shared" si="0"/>
        <v>0</v>
      </c>
      <c r="I27" s="22"/>
      <c r="J27" s="23">
        <f>Rates!F49</f>
        <v>0</v>
      </c>
      <c r="K27" s="20">
        <f t="shared" si="5"/>
        <v>800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ht="30" x14ac:dyDescent="0.25">
      <c r="B28" s="128" t="str">
        <f>Rates!A45</f>
        <v>Deferral/Variance Account Disposition - effective until June 30, 2019</v>
      </c>
      <c r="C28" s="16"/>
      <c r="D28" s="54" t="s">
        <v>68</v>
      </c>
      <c r="E28" s="18"/>
      <c r="F28" s="23">
        <f>Rates!D45</f>
        <v>3.0700000000000002E-2</v>
      </c>
      <c r="G28" s="20">
        <f t="shared" si="6"/>
        <v>800</v>
      </c>
      <c r="H28" s="21">
        <f t="shared" si="0"/>
        <v>24.560000000000002</v>
      </c>
      <c r="I28" s="22"/>
      <c r="J28" s="23">
        <f>Rates!F45</f>
        <v>3.0700000000000002E-2</v>
      </c>
      <c r="K28" s="20">
        <f t="shared" si="5"/>
        <v>800</v>
      </c>
      <c r="L28" s="21">
        <f t="shared" si="1"/>
        <v>24.560000000000002</v>
      </c>
      <c r="M28" s="22"/>
      <c r="N28" s="25">
        <f t="shared" si="2"/>
        <v>0</v>
      </c>
      <c r="O28" s="26">
        <f t="shared" si="3"/>
        <v>0</v>
      </c>
    </row>
    <row r="29" spans="2:15" ht="45" x14ac:dyDescent="0.25">
      <c r="B29" s="128" t="str">
        <f>Rates!A71</f>
        <v>Rate Rider for the Disposition of Account 1575 &amp; 1576 - effective until December 31, 2019</v>
      </c>
      <c r="C29" s="16"/>
      <c r="D29" s="54" t="s">
        <v>68</v>
      </c>
      <c r="E29" s="18"/>
      <c r="F29" s="23">
        <f>Rates!D53</f>
        <v>-1.9E-3</v>
      </c>
      <c r="G29" s="20">
        <f t="shared" si="6"/>
        <v>800</v>
      </c>
      <c r="H29" s="21">
        <f t="shared" si="0"/>
        <v>-1.52</v>
      </c>
      <c r="I29" s="22"/>
      <c r="J29" s="23">
        <f>Rates!F53</f>
        <v>-1.9E-3</v>
      </c>
      <c r="K29" s="20">
        <f t="shared" si="5"/>
        <v>800</v>
      </c>
      <c r="L29" s="21">
        <f t="shared" si="1"/>
        <v>-1.52</v>
      </c>
      <c r="M29" s="22"/>
      <c r="N29" s="25">
        <f t="shared" si="2"/>
        <v>0</v>
      </c>
      <c r="O29" s="26">
        <f t="shared" si="3"/>
        <v>0</v>
      </c>
    </row>
    <row r="30" spans="2:15" x14ac:dyDescent="0.25">
      <c r="B30" s="28"/>
      <c r="C30" s="16"/>
      <c r="D30" s="17"/>
      <c r="E30" s="18"/>
      <c r="F30" s="19"/>
      <c r="G30" s="20">
        <f t="shared" si="6"/>
        <v>800</v>
      </c>
      <c r="H30" s="21">
        <f t="shared" si="0"/>
        <v>0</v>
      </c>
      <c r="I30" s="22"/>
      <c r="J30" s="23"/>
      <c r="K30" s="20">
        <f t="shared" si="5"/>
        <v>800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6"/>
        <v>800</v>
      </c>
      <c r="H31" s="21">
        <f t="shared" si="0"/>
        <v>0</v>
      </c>
      <c r="I31" s="22"/>
      <c r="J31" s="23"/>
      <c r="K31" s="20">
        <f t="shared" si="5"/>
        <v>800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x14ac:dyDescent="0.25">
      <c r="B32" s="28"/>
      <c r="C32" s="16"/>
      <c r="D32" s="17"/>
      <c r="E32" s="18"/>
      <c r="F32" s="19"/>
      <c r="G32" s="20">
        <f t="shared" si="6"/>
        <v>800</v>
      </c>
      <c r="H32" s="21">
        <f t="shared" si="0"/>
        <v>0</v>
      </c>
      <c r="I32" s="22"/>
      <c r="J32" s="23"/>
      <c r="K32" s="20">
        <f t="shared" si="5"/>
        <v>800</v>
      </c>
      <c r="L32" s="21">
        <f t="shared" si="1"/>
        <v>0</v>
      </c>
      <c r="M32" s="22"/>
      <c r="N32" s="25">
        <f t="shared" si="2"/>
        <v>0</v>
      </c>
      <c r="O32" s="26" t="str">
        <f t="shared" si="3"/>
        <v/>
      </c>
    </row>
    <row r="33" spans="2:15" s="40" customFormat="1" x14ac:dyDescent="0.25">
      <c r="B33" s="29" t="s">
        <v>22</v>
      </c>
      <c r="C33" s="30"/>
      <c r="D33" s="31"/>
      <c r="E33" s="30"/>
      <c r="F33" s="32"/>
      <c r="G33" s="33"/>
      <c r="H33" s="34">
        <f>SUM(H15:H32)</f>
        <v>173.23</v>
      </c>
      <c r="I33" s="35"/>
      <c r="J33" s="36"/>
      <c r="K33" s="37"/>
      <c r="L33" s="34">
        <f>SUM(L15:L32)</f>
        <v>175.67999999999998</v>
      </c>
      <c r="M33" s="35"/>
      <c r="N33" s="38">
        <f t="shared" si="2"/>
        <v>2.4499999999999886</v>
      </c>
      <c r="O33" s="39">
        <f t="shared" si="3"/>
        <v>1.4143046816371234E-2</v>
      </c>
    </row>
    <row r="34" spans="2:15" ht="38.25" x14ac:dyDescent="0.25">
      <c r="B34" s="41" t="str">
        <f>Rates!A50</f>
        <v>Rate Rider for the Disposition of Deferral/Variance Accounts (2014) - effective until December 31, 2015</v>
      </c>
      <c r="C34" s="16"/>
      <c r="D34" s="54" t="s">
        <v>68</v>
      </c>
      <c r="E34" s="18"/>
      <c r="F34" s="23">
        <f>Rates!D50</f>
        <v>-1.41E-2</v>
      </c>
      <c r="G34" s="20">
        <f>$F$10</f>
        <v>800</v>
      </c>
      <c r="H34" s="21">
        <f>G34*F34</f>
        <v>-11.28</v>
      </c>
      <c r="I34" s="22"/>
      <c r="J34" s="23">
        <f>Rates!F50</f>
        <v>0</v>
      </c>
      <c r="K34" s="20">
        <f>$F$10</f>
        <v>800</v>
      </c>
      <c r="L34" s="21">
        <f>K34*J34</f>
        <v>0</v>
      </c>
      <c r="M34" s="22"/>
      <c r="N34" s="25">
        <f>L34-H34</f>
        <v>11.28</v>
      </c>
      <c r="O34" s="26">
        <f>IF((H34)=0,"",(N34/H34))</f>
        <v>-1</v>
      </c>
    </row>
    <row r="35" spans="2:15" ht="38.25" x14ac:dyDescent="0.25">
      <c r="B35" s="41" t="str">
        <f>Rates!A51</f>
        <v>Rate Rider for the Disposition of Global Adjustment Sub-Account (2014) - effective until December 31, 2015</v>
      </c>
      <c r="C35" s="16"/>
      <c r="D35" s="54" t="s">
        <v>68</v>
      </c>
      <c r="E35" s="18"/>
      <c r="F35" s="23">
        <f>Rates!D51</f>
        <v>2.1899999999999999E-2</v>
      </c>
      <c r="G35" s="20">
        <f t="shared" ref="G35:G38" si="14">$F$10</f>
        <v>800</v>
      </c>
      <c r="H35" s="21">
        <f t="shared" ref="H35:H39" si="15">G35*F35</f>
        <v>17.52</v>
      </c>
      <c r="I35" s="42"/>
      <c r="J35" s="23">
        <v>0</v>
      </c>
      <c r="K35" s="20">
        <f t="shared" ref="K35:K38" si="16">$F$10</f>
        <v>800</v>
      </c>
      <c r="L35" s="21">
        <f t="shared" ref="L35:L39" si="17">K35*J35</f>
        <v>0</v>
      </c>
      <c r="M35" s="43"/>
      <c r="N35" s="25">
        <f t="shared" ref="N35:N39" si="18">L35-H35</f>
        <v>-17.52</v>
      </c>
      <c r="O35" s="26">
        <f t="shared" ref="O35:O39" si="19">IF((H35)=0,"",(N35/H35))</f>
        <v>-1</v>
      </c>
    </row>
    <row r="36" spans="2:15" ht="38.25" x14ac:dyDescent="0.25">
      <c r="B36" s="41" t="str">
        <f>Rates!A42</f>
        <v>Rate Rider for the Disposition of Deferral/Variance Accounts (2016) - effective until December 31, 2016</v>
      </c>
      <c r="C36" s="16"/>
      <c r="D36" s="17" t="s">
        <v>68</v>
      </c>
      <c r="E36" s="18"/>
      <c r="F36" s="19">
        <f>Rates!D42</f>
        <v>0</v>
      </c>
      <c r="G36" s="20">
        <f t="shared" si="14"/>
        <v>800</v>
      </c>
      <c r="H36" s="21">
        <f t="shared" si="15"/>
        <v>0</v>
      </c>
      <c r="I36" s="42"/>
      <c r="J36" s="23">
        <f>Rates!F42</f>
        <v>0</v>
      </c>
      <c r="K36" s="20">
        <f t="shared" si="16"/>
        <v>800</v>
      </c>
      <c r="L36" s="21">
        <f t="shared" si="17"/>
        <v>0</v>
      </c>
      <c r="M36" s="43"/>
      <c r="N36" s="25">
        <f t="shared" si="18"/>
        <v>0</v>
      </c>
      <c r="O36" s="26" t="str">
        <f t="shared" si="19"/>
        <v/>
      </c>
    </row>
    <row r="37" spans="2:15" ht="38.25" x14ac:dyDescent="0.25">
      <c r="B37" s="41" t="str">
        <f>Rates!A43</f>
        <v>Rate Rider for the Disposition of Global Adjustment Sub-Account (2016) - effective until December 31, 2016</v>
      </c>
      <c r="C37" s="16"/>
      <c r="D37" s="17" t="s">
        <v>68</v>
      </c>
      <c r="E37" s="18"/>
      <c r="F37" s="19">
        <f>Rates!D43</f>
        <v>0</v>
      </c>
      <c r="G37" s="20">
        <f t="shared" si="14"/>
        <v>800</v>
      </c>
      <c r="H37" s="21">
        <f t="shared" si="15"/>
        <v>0</v>
      </c>
      <c r="I37" s="42"/>
      <c r="J37" s="23">
        <f>Rates!F43</f>
        <v>0</v>
      </c>
      <c r="K37" s="20">
        <f t="shared" si="16"/>
        <v>800</v>
      </c>
      <c r="L37" s="21">
        <f t="shared" si="17"/>
        <v>0</v>
      </c>
      <c r="M37" s="43"/>
      <c r="N37" s="25">
        <f t="shared" si="18"/>
        <v>0</v>
      </c>
      <c r="O37" s="26" t="str">
        <f t="shared" si="19"/>
        <v/>
      </c>
    </row>
    <row r="38" spans="2:15" x14ac:dyDescent="0.25">
      <c r="B38" s="44" t="s">
        <v>23</v>
      </c>
      <c r="C38" s="16"/>
      <c r="D38" s="17"/>
      <c r="E38" s="18"/>
      <c r="F38" s="19"/>
      <c r="G38" s="20">
        <f t="shared" si="14"/>
        <v>800</v>
      </c>
      <c r="H38" s="21">
        <f>G38*F38</f>
        <v>0</v>
      </c>
      <c r="I38" s="22"/>
      <c r="J38" s="23"/>
      <c r="K38" s="20">
        <f t="shared" si="16"/>
        <v>800</v>
      </c>
      <c r="L38" s="21">
        <f>K38*J38</f>
        <v>0</v>
      </c>
      <c r="M38" s="22"/>
      <c r="N38" s="25">
        <f>L38-H38</f>
        <v>0</v>
      </c>
      <c r="O38" s="26" t="str">
        <f>IF((H38)=0,"",(N38/H38))</f>
        <v/>
      </c>
    </row>
    <row r="39" spans="2:15" x14ac:dyDescent="0.25">
      <c r="B39" s="44" t="s">
        <v>24</v>
      </c>
      <c r="C39" s="16"/>
      <c r="D39" s="17" t="s">
        <v>68</v>
      </c>
      <c r="E39" s="18"/>
      <c r="F39" s="45">
        <f>IF(ISBLANK(D8)=TRUE, 0, IF(D8="TOU", 0.64*$F$50+0.18*$F$51+0.18*$F$52, IF(AND(D8="non-TOU",#REF!&gt; 0),#REF!,#REF!)))</f>
        <v>0.10214000000000001</v>
      </c>
      <c r="G39" s="46">
        <f>$F$10*(1+$F$60)-$F$10</f>
        <v>73.3599999999999</v>
      </c>
      <c r="H39" s="21">
        <f t="shared" si="15"/>
        <v>7.4929903999999903</v>
      </c>
      <c r="I39" s="22"/>
      <c r="J39" s="47">
        <f>0.64*$F$50+0.18*$F$51+0.18*$F$52</f>
        <v>0.10214000000000001</v>
      </c>
      <c r="K39" s="46">
        <f>$F$10*(1+$J$60)-$F$10</f>
        <v>73.3599999999999</v>
      </c>
      <c r="L39" s="21">
        <f t="shared" si="17"/>
        <v>7.4929903999999903</v>
      </c>
      <c r="M39" s="22"/>
      <c r="N39" s="25">
        <f t="shared" si="18"/>
        <v>0</v>
      </c>
      <c r="O39" s="26">
        <f t="shared" si="19"/>
        <v>0</v>
      </c>
    </row>
    <row r="40" spans="2:15" x14ac:dyDescent="0.25">
      <c r="B40" s="44" t="s">
        <v>25</v>
      </c>
      <c r="C40" s="16"/>
      <c r="D40" s="17" t="s">
        <v>67</v>
      </c>
      <c r="E40" s="18"/>
      <c r="F40" s="45">
        <f>Rates!D58</f>
        <v>0.79</v>
      </c>
      <c r="G40" s="20">
        <v>1</v>
      </c>
      <c r="H40" s="21">
        <f>G40*F40</f>
        <v>0.79</v>
      </c>
      <c r="I40" s="22"/>
      <c r="J40" s="45">
        <f>Rates!F58</f>
        <v>0.79</v>
      </c>
      <c r="K40" s="20">
        <v>1</v>
      </c>
      <c r="L40" s="21">
        <f>K40*J40</f>
        <v>0.79</v>
      </c>
      <c r="M40" s="22"/>
      <c r="N40" s="25">
        <f>L40-H40</f>
        <v>0</v>
      </c>
      <c r="O40" s="26"/>
    </row>
    <row r="41" spans="2:15" ht="25.5" x14ac:dyDescent="0.25">
      <c r="B41" s="48" t="s">
        <v>26</v>
      </c>
      <c r="C41" s="49"/>
      <c r="D41" s="49"/>
      <c r="E41" s="49"/>
      <c r="F41" s="50"/>
      <c r="G41" s="51"/>
      <c r="H41" s="52">
        <f>SUM(H34:H40)+H33</f>
        <v>187.75299039999999</v>
      </c>
      <c r="I41" s="35"/>
      <c r="J41" s="51"/>
      <c r="K41" s="53"/>
      <c r="L41" s="52">
        <f>SUM(L34:L40)+L33</f>
        <v>183.96299039999997</v>
      </c>
      <c r="M41" s="35"/>
      <c r="N41" s="38">
        <f t="shared" ref="N41:N58" si="20">L41-H41</f>
        <v>-3.7900000000000205</v>
      </c>
      <c r="O41" s="39">
        <f t="shared" ref="O41:O58" si="21">IF((H41)=0,"",(N41/H41))</f>
        <v>-2.018609659385761E-2</v>
      </c>
    </row>
    <row r="42" spans="2:15" x14ac:dyDescent="0.25">
      <c r="B42" s="22" t="s">
        <v>27</v>
      </c>
      <c r="C42" s="22"/>
      <c r="D42" s="54" t="s">
        <v>68</v>
      </c>
      <c r="E42" s="55"/>
      <c r="F42" s="23">
        <f>Rates!D54</f>
        <v>7.1000000000000004E-3</v>
      </c>
      <c r="G42" s="56">
        <f>F10*(1+F60)</f>
        <v>873.3599999999999</v>
      </c>
      <c r="H42" s="21">
        <f>G42*F42</f>
        <v>6.2008559999999999</v>
      </c>
      <c r="I42" s="22"/>
      <c r="J42" s="23">
        <f>Rates!F54</f>
        <v>7.0000000000000001E-3</v>
      </c>
      <c r="K42" s="57">
        <f>F10*(1+J60)</f>
        <v>873.3599999999999</v>
      </c>
      <c r="L42" s="21">
        <f>K42*J42</f>
        <v>6.1135199999999994</v>
      </c>
      <c r="M42" s="22"/>
      <c r="N42" s="25">
        <f t="shared" si="20"/>
        <v>-8.7336000000000524E-2</v>
      </c>
      <c r="O42" s="26">
        <f t="shared" si="21"/>
        <v>-1.4084507042253606E-2</v>
      </c>
    </row>
    <row r="43" spans="2:15" x14ac:dyDescent="0.25">
      <c r="B43" s="58" t="s">
        <v>28</v>
      </c>
      <c r="C43" s="22"/>
      <c r="D43" s="54" t="s">
        <v>68</v>
      </c>
      <c r="E43" s="55"/>
      <c r="F43" s="23">
        <f>Rates!D55</f>
        <v>5.3E-3</v>
      </c>
      <c r="G43" s="56">
        <f>G42</f>
        <v>873.3599999999999</v>
      </c>
      <c r="H43" s="21">
        <f>G43*F43</f>
        <v>4.6288079999999994</v>
      </c>
      <c r="I43" s="22"/>
      <c r="J43" s="23">
        <f>Rates!F55</f>
        <v>5.1000000000000004E-3</v>
      </c>
      <c r="K43" s="57">
        <f>K42</f>
        <v>873.3599999999999</v>
      </c>
      <c r="L43" s="21">
        <f>K43*J43</f>
        <v>4.4541360000000001</v>
      </c>
      <c r="M43" s="22"/>
      <c r="N43" s="25">
        <f t="shared" si="20"/>
        <v>-0.17467199999999927</v>
      </c>
      <c r="O43" s="26">
        <f t="shared" si="21"/>
        <v>-3.7735849056603619E-2</v>
      </c>
    </row>
    <row r="44" spans="2:15" ht="25.5" x14ac:dyDescent="0.25">
      <c r="B44" s="48" t="s">
        <v>29</v>
      </c>
      <c r="C44" s="30"/>
      <c r="D44" s="30"/>
      <c r="E44" s="30"/>
      <c r="F44" s="59"/>
      <c r="G44" s="51"/>
      <c r="H44" s="52">
        <f>SUM(H41:H43)</f>
        <v>198.58265439999997</v>
      </c>
      <c r="I44" s="60"/>
      <c r="J44" s="61"/>
      <c r="K44" s="62"/>
      <c r="L44" s="52">
        <f>SUM(L41:L43)</f>
        <v>194.53064639999997</v>
      </c>
      <c r="M44" s="60"/>
      <c r="N44" s="38">
        <f t="shared" si="20"/>
        <v>-4.0520080000000007</v>
      </c>
      <c r="O44" s="39">
        <f t="shared" si="21"/>
        <v>-2.0404642148846217E-2</v>
      </c>
    </row>
    <row r="45" spans="2:15" x14ac:dyDescent="0.25">
      <c r="B45" s="63" t="s">
        <v>30</v>
      </c>
      <c r="C45" s="16"/>
      <c r="D45" s="54" t="s">
        <v>68</v>
      </c>
      <c r="E45" s="18"/>
      <c r="F45" s="66">
        <f>Rates!D56</f>
        <v>4.4000000000000003E-3</v>
      </c>
      <c r="G45" s="56">
        <f>G43</f>
        <v>873.3599999999999</v>
      </c>
      <c r="H45" s="65">
        <f t="shared" ref="H45:H52" si="22">G45*F45</f>
        <v>3.842784</v>
      </c>
      <c r="I45" s="22"/>
      <c r="J45" s="66">
        <f>Rates!F56</f>
        <v>4.4000000000000003E-3</v>
      </c>
      <c r="K45" s="57">
        <f>K43</f>
        <v>873.3599999999999</v>
      </c>
      <c r="L45" s="65">
        <f t="shared" ref="L45:L52" si="23">K45*J45</f>
        <v>3.842784</v>
      </c>
      <c r="M45" s="22"/>
      <c r="N45" s="25">
        <f t="shared" si="20"/>
        <v>0</v>
      </c>
      <c r="O45" s="67">
        <f t="shared" si="21"/>
        <v>0</v>
      </c>
    </row>
    <row r="46" spans="2:15" x14ac:dyDescent="0.25">
      <c r="B46" s="63" t="s">
        <v>31</v>
      </c>
      <c r="C46" s="16"/>
      <c r="D46" s="54" t="s">
        <v>68</v>
      </c>
      <c r="E46" s="18"/>
      <c r="F46" s="66">
        <f>Rates!D57</f>
        <v>1.2999999999999999E-3</v>
      </c>
      <c r="G46" s="56">
        <f>G43</f>
        <v>873.3599999999999</v>
      </c>
      <c r="H46" s="65">
        <f t="shared" si="22"/>
        <v>1.1353679999999997</v>
      </c>
      <c r="I46" s="22"/>
      <c r="J46" s="66">
        <f>Rates!F57</f>
        <v>1.2999999999999999E-3</v>
      </c>
      <c r="K46" s="57">
        <f>K43</f>
        <v>873.3599999999999</v>
      </c>
      <c r="L46" s="65">
        <f t="shared" si="23"/>
        <v>1.1353679999999997</v>
      </c>
      <c r="M46" s="22"/>
      <c r="N46" s="25">
        <f t="shared" si="20"/>
        <v>0</v>
      </c>
      <c r="O46" s="67">
        <f t="shared" si="21"/>
        <v>0</v>
      </c>
    </row>
    <row r="47" spans="2:15" x14ac:dyDescent="0.25">
      <c r="B47" s="16" t="s">
        <v>32</v>
      </c>
      <c r="C47" s="16"/>
      <c r="D47" s="17" t="s">
        <v>67</v>
      </c>
      <c r="E47" s="18"/>
      <c r="F47" s="64">
        <f>Rates!D59</f>
        <v>0.25</v>
      </c>
      <c r="G47" s="20">
        <v>1</v>
      </c>
      <c r="H47" s="65">
        <f t="shared" si="22"/>
        <v>0.25</v>
      </c>
      <c r="I47" s="22"/>
      <c r="J47" s="66">
        <f>Rates!F59</f>
        <v>0.25</v>
      </c>
      <c r="K47" s="24">
        <v>1</v>
      </c>
      <c r="L47" s="65">
        <f t="shared" si="23"/>
        <v>0.25</v>
      </c>
      <c r="M47" s="22"/>
      <c r="N47" s="25">
        <f t="shared" si="20"/>
        <v>0</v>
      </c>
      <c r="O47" s="67">
        <f t="shared" si="21"/>
        <v>0</v>
      </c>
    </row>
    <row r="48" spans="2:15" x14ac:dyDescent="0.25">
      <c r="B48" s="16" t="s">
        <v>33</v>
      </c>
      <c r="C48" s="16"/>
      <c r="D48" s="17" t="s">
        <v>68</v>
      </c>
      <c r="E48" s="18"/>
      <c r="F48" s="64">
        <f>Rates!D79</f>
        <v>2E-3</v>
      </c>
      <c r="G48" s="68">
        <f>F10</f>
        <v>800</v>
      </c>
      <c r="H48" s="65">
        <f t="shared" si="22"/>
        <v>1.6</v>
      </c>
      <c r="I48" s="22"/>
      <c r="J48" s="66">
        <f>Rates!F79</f>
        <v>0</v>
      </c>
      <c r="K48" s="69">
        <f>F10</f>
        <v>800</v>
      </c>
      <c r="L48" s="65">
        <f t="shared" si="23"/>
        <v>0</v>
      </c>
      <c r="M48" s="22"/>
      <c r="N48" s="25">
        <f t="shared" si="20"/>
        <v>-1.6</v>
      </c>
      <c r="O48" s="67">
        <f t="shared" si="21"/>
        <v>-1</v>
      </c>
    </row>
    <row r="49" spans="1:19" x14ac:dyDescent="0.25">
      <c r="B49" s="16" t="s">
        <v>115</v>
      </c>
      <c r="C49" s="16"/>
      <c r="D49" s="17" t="s">
        <v>68</v>
      </c>
      <c r="E49" s="18"/>
      <c r="F49" s="64"/>
      <c r="G49" s="68"/>
      <c r="H49" s="65"/>
      <c r="I49" s="22"/>
      <c r="J49" s="66">
        <f>Rates!F80</f>
        <v>1.1000000000000001E-3</v>
      </c>
      <c r="K49" s="69">
        <f>F10</f>
        <v>800</v>
      </c>
      <c r="L49" s="65">
        <f t="shared" ref="L49" si="24">K49*J49</f>
        <v>0.88</v>
      </c>
      <c r="M49" s="22"/>
      <c r="N49" s="25">
        <f t="shared" ref="N49" si="25">L49-H49</f>
        <v>0.88</v>
      </c>
      <c r="O49" s="67" t="str">
        <f t="shared" ref="O49" si="26">IF((H49)=0,"",(N49/H49))</f>
        <v/>
      </c>
    </row>
    <row r="50" spans="1:19" x14ac:dyDescent="0.25">
      <c r="B50" s="44" t="s">
        <v>34</v>
      </c>
      <c r="C50" s="16"/>
      <c r="D50" s="17" t="s">
        <v>68</v>
      </c>
      <c r="E50" s="18"/>
      <c r="F50" s="70">
        <f>Rates!D88</f>
        <v>0.08</v>
      </c>
      <c r="G50" s="71">
        <f>0.64*$F$10</f>
        <v>512</v>
      </c>
      <c r="H50" s="65">
        <f t="shared" si="22"/>
        <v>40.96</v>
      </c>
      <c r="I50" s="22"/>
      <c r="J50" s="64">
        <f>Rates!F88</f>
        <v>0.08</v>
      </c>
      <c r="K50" s="71">
        <f>G50</f>
        <v>512</v>
      </c>
      <c r="L50" s="65">
        <f t="shared" si="23"/>
        <v>40.96</v>
      </c>
      <c r="M50" s="22"/>
      <c r="N50" s="25">
        <f t="shared" si="20"/>
        <v>0</v>
      </c>
      <c r="O50" s="67">
        <f t="shared" si="21"/>
        <v>0</v>
      </c>
      <c r="S50" s="72"/>
    </row>
    <row r="51" spans="1:19" x14ac:dyDescent="0.25">
      <c r="B51" s="44" t="s">
        <v>35</v>
      </c>
      <c r="C51" s="16"/>
      <c r="D51" s="17" t="s">
        <v>68</v>
      </c>
      <c r="E51" s="18"/>
      <c r="F51" s="70">
        <f>Rates!D89</f>
        <v>0.122</v>
      </c>
      <c r="G51" s="71">
        <f>0.18*$F$10</f>
        <v>144</v>
      </c>
      <c r="H51" s="65">
        <f t="shared" si="22"/>
        <v>17.567999999999998</v>
      </c>
      <c r="I51" s="22"/>
      <c r="J51" s="64">
        <f>Rates!F89</f>
        <v>0.122</v>
      </c>
      <c r="K51" s="71">
        <f>G51</f>
        <v>144</v>
      </c>
      <c r="L51" s="65">
        <f t="shared" si="23"/>
        <v>17.567999999999998</v>
      </c>
      <c r="M51" s="22"/>
      <c r="N51" s="25">
        <f t="shared" si="20"/>
        <v>0</v>
      </c>
      <c r="O51" s="67">
        <f t="shared" si="21"/>
        <v>0</v>
      </c>
      <c r="S51" s="72"/>
    </row>
    <row r="52" spans="1:19" ht="15.75" thickBot="1" x14ac:dyDescent="0.3">
      <c r="B52" s="6" t="s">
        <v>36</v>
      </c>
      <c r="C52" s="16"/>
      <c r="D52" s="17" t="s">
        <v>68</v>
      </c>
      <c r="E52" s="18"/>
      <c r="F52" s="70">
        <f>Rates!D90</f>
        <v>0.161</v>
      </c>
      <c r="G52" s="71">
        <f>0.18*$F$10</f>
        <v>144</v>
      </c>
      <c r="H52" s="65">
        <f t="shared" si="22"/>
        <v>23.184000000000001</v>
      </c>
      <c r="I52" s="22"/>
      <c r="J52" s="64">
        <f>Rates!F90</f>
        <v>0.161</v>
      </c>
      <c r="K52" s="71">
        <f>G52</f>
        <v>144</v>
      </c>
      <c r="L52" s="65">
        <f t="shared" si="23"/>
        <v>23.184000000000001</v>
      </c>
      <c r="M52" s="22"/>
      <c r="N52" s="25">
        <f t="shared" si="20"/>
        <v>0</v>
      </c>
      <c r="O52" s="67">
        <f t="shared" si="21"/>
        <v>0</v>
      </c>
      <c r="S52" s="72"/>
    </row>
    <row r="53" spans="1:19" ht="15.75" thickBot="1" x14ac:dyDescent="0.3">
      <c r="B53" s="74"/>
      <c r="C53" s="75"/>
      <c r="D53" s="76"/>
      <c r="E53" s="75"/>
      <c r="F53" s="77"/>
      <c r="G53" s="78"/>
      <c r="H53" s="79"/>
      <c r="I53" s="80"/>
      <c r="J53" s="77"/>
      <c r="K53" s="81"/>
      <c r="L53" s="79"/>
      <c r="M53" s="80"/>
      <c r="N53" s="82"/>
      <c r="O53" s="83"/>
    </row>
    <row r="54" spans="1:19" x14ac:dyDescent="0.25">
      <c r="B54" s="84" t="s">
        <v>37</v>
      </c>
      <c r="C54" s="16"/>
      <c r="D54" s="16"/>
      <c r="E54" s="16"/>
      <c r="F54" s="85"/>
      <c r="G54" s="86"/>
      <c r="H54" s="87">
        <f>SUM(H45:H52,H44)</f>
        <v>287.12280639999994</v>
      </c>
      <c r="I54" s="88"/>
      <c r="J54" s="89"/>
      <c r="K54" s="89"/>
      <c r="L54" s="127">
        <f>SUM(L45:L52,L44)</f>
        <v>282.35079839999997</v>
      </c>
      <c r="M54" s="90"/>
      <c r="N54" s="91">
        <f t="shared" ref="N54" si="27">L54-H54</f>
        <v>-4.7720079999999712</v>
      </c>
      <c r="O54" s="92">
        <f t="shared" ref="O54" si="28">IF((H54)=0,"",(N54/H54))</f>
        <v>-1.6620093888856515E-2</v>
      </c>
      <c r="S54" s="72"/>
    </row>
    <row r="55" spans="1:19" x14ac:dyDescent="0.25">
      <c r="B55" s="93" t="s">
        <v>38</v>
      </c>
      <c r="C55" s="16"/>
      <c r="D55" s="16"/>
      <c r="E55" s="16"/>
      <c r="F55" s="94">
        <v>0.13</v>
      </c>
      <c r="G55" s="95"/>
      <c r="H55" s="96">
        <f>H54*F55</f>
        <v>37.325964831999997</v>
      </c>
      <c r="I55" s="97"/>
      <c r="J55" s="98">
        <v>0.13</v>
      </c>
      <c r="K55" s="97"/>
      <c r="L55" s="99">
        <f>L54*J55</f>
        <v>36.705603791999998</v>
      </c>
      <c r="M55" s="100"/>
      <c r="N55" s="101">
        <f t="shared" si="20"/>
        <v>-0.62036103999999881</v>
      </c>
      <c r="O55" s="102">
        <f t="shared" si="21"/>
        <v>-1.6620093888856581E-2</v>
      </c>
      <c r="S55" s="72"/>
    </row>
    <row r="56" spans="1:19" x14ac:dyDescent="0.25">
      <c r="B56" s="103" t="s">
        <v>42</v>
      </c>
      <c r="C56" s="16"/>
      <c r="D56" s="16"/>
      <c r="E56" s="16"/>
      <c r="F56" s="104"/>
      <c r="G56" s="95"/>
      <c r="H56" s="96">
        <f>H54+H55</f>
        <v>324.44877123199996</v>
      </c>
      <c r="I56" s="97"/>
      <c r="J56" s="97"/>
      <c r="K56" s="97"/>
      <c r="L56" s="99">
        <f>L54+L55</f>
        <v>319.05640219199995</v>
      </c>
      <c r="M56" s="100"/>
      <c r="N56" s="101">
        <f t="shared" si="20"/>
        <v>-5.3923690400000055</v>
      </c>
      <c r="O56" s="102">
        <f t="shared" si="21"/>
        <v>-1.662009388885663E-2</v>
      </c>
      <c r="S56" s="72"/>
    </row>
    <row r="57" spans="1:19" x14ac:dyDescent="0.25">
      <c r="B57" s="194" t="s">
        <v>43</v>
      </c>
      <c r="C57" s="194"/>
      <c r="D57" s="194"/>
      <c r="E57" s="16"/>
      <c r="F57" s="104"/>
      <c r="G57" s="95"/>
      <c r="H57" s="105">
        <f>ROUND(-H56*10%,2)</f>
        <v>-32.44</v>
      </c>
      <c r="I57" s="97"/>
      <c r="J57" s="97"/>
      <c r="K57" s="97"/>
      <c r="L57" s="106">
        <v>0</v>
      </c>
      <c r="M57" s="100"/>
      <c r="N57" s="107">
        <f t="shared" si="20"/>
        <v>32.44</v>
      </c>
      <c r="O57" s="108">
        <f t="shared" si="21"/>
        <v>-1</v>
      </c>
    </row>
    <row r="58" spans="1:19" x14ac:dyDescent="0.25">
      <c r="B58" s="195" t="s">
        <v>39</v>
      </c>
      <c r="C58" s="195"/>
      <c r="D58" s="195"/>
      <c r="E58" s="109"/>
      <c r="F58" s="110"/>
      <c r="G58" s="111"/>
      <c r="H58" s="112">
        <f>H56+H57</f>
        <v>292.00877123199996</v>
      </c>
      <c r="I58" s="113"/>
      <c r="J58" s="113"/>
      <c r="K58" s="113"/>
      <c r="L58" s="114">
        <f>L56+L57</f>
        <v>319.05640219199995</v>
      </c>
      <c r="M58" s="115"/>
      <c r="N58" s="116">
        <f t="shared" si="20"/>
        <v>27.047630959999992</v>
      </c>
      <c r="O58" s="117">
        <f t="shared" si="21"/>
        <v>9.2626090805028399E-2</v>
      </c>
    </row>
    <row r="59" spans="1:19" x14ac:dyDescent="0.25">
      <c r="L59" s="72"/>
    </row>
    <row r="60" spans="1:19" x14ac:dyDescent="0.25">
      <c r="B60" s="7" t="s">
        <v>40</v>
      </c>
      <c r="F60" s="125">
        <f>Rates!D85</f>
        <v>9.1700000000000004E-2</v>
      </c>
      <c r="J60" s="125">
        <f>Rates!F85</f>
        <v>9.1700000000000004E-2</v>
      </c>
    </row>
    <row r="62" spans="1:19" x14ac:dyDescent="0.25">
      <c r="A62" s="126"/>
      <c r="B62" s="1" t="s">
        <v>41</v>
      </c>
    </row>
  </sheetData>
  <mergeCells count="11">
    <mergeCell ref="B2:O2"/>
    <mergeCell ref="B3:O3"/>
    <mergeCell ref="D6:O6"/>
    <mergeCell ref="F12:H12"/>
    <mergeCell ref="J12:L12"/>
    <mergeCell ref="N12:O12"/>
    <mergeCell ref="D13:D14"/>
    <mergeCell ref="N13:N14"/>
    <mergeCell ref="O13:O14"/>
    <mergeCell ref="B57:D57"/>
    <mergeCell ref="B58:D58"/>
  </mergeCells>
  <dataValidations count="3">
    <dataValidation type="list" allowBlank="1" showInputMessage="1" showErrorMessage="1" sqref="E42:E43 E34:E40 E15:E32 E45:E53">
      <formula1>#REF!</formula1>
    </dataValidation>
    <dataValidation type="list" allowBlank="1" showInputMessage="1" showErrorMessage="1" prompt="Select Charge Unit - monthly, per kWh, per kW" sqref="D42:D43 D34:D40 D15:D32 D45:D53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62"/>
  <sheetViews>
    <sheetView showGridLines="0" topLeftCell="A37" zoomScaleNormal="100" workbookViewId="0">
      <selection activeCell="F11" sqref="F11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/>
    </row>
    <row r="3" spans="2:16" ht="18.75" customHeight="1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84" t="s">
        <v>89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205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85" t="s">
        <v>7</v>
      </c>
      <c r="G12" s="186"/>
      <c r="H12" s="187"/>
      <c r="J12" s="185" t="s">
        <v>8</v>
      </c>
      <c r="K12" s="186"/>
      <c r="L12" s="187"/>
      <c r="N12" s="185" t="s">
        <v>9</v>
      </c>
      <c r="O12" s="187"/>
    </row>
    <row r="13" spans="2:16" x14ac:dyDescent="0.25">
      <c r="B13" s="6"/>
      <c r="D13" s="188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90" t="s">
        <v>14</v>
      </c>
      <c r="O13" s="192" t="s">
        <v>15</v>
      </c>
    </row>
    <row r="14" spans="2:16" x14ac:dyDescent="0.25">
      <c r="B14" s="6"/>
      <c r="D14" s="189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91"/>
      <c r="O14" s="193"/>
    </row>
    <row r="15" spans="2:16" x14ac:dyDescent="0.25">
      <c r="B15" s="16" t="s">
        <v>17</v>
      </c>
      <c r="C15" s="16"/>
      <c r="D15" s="17" t="s">
        <v>67</v>
      </c>
      <c r="E15" s="18"/>
      <c r="F15" s="19">
        <f>Rates!D40</f>
        <v>27.15</v>
      </c>
      <c r="G15" s="20">
        <v>1</v>
      </c>
      <c r="H15" s="21">
        <f>G15*F15</f>
        <v>27.15</v>
      </c>
      <c r="I15" s="22"/>
      <c r="J15" s="23">
        <f>Rates!F40</f>
        <v>34.270000000000003</v>
      </c>
      <c r="K15" s="24">
        <v>1</v>
      </c>
      <c r="L15" s="21">
        <f>K15*J15</f>
        <v>34.270000000000003</v>
      </c>
      <c r="M15" s="22"/>
      <c r="N15" s="25">
        <f>L15-H15</f>
        <v>7.1200000000000045</v>
      </c>
      <c r="O15" s="26">
        <f>IF((H15)=0,"",(N15/H15))</f>
        <v>0.26224677716390443</v>
      </c>
    </row>
    <row r="16" spans="2:16" x14ac:dyDescent="0.25">
      <c r="B16" s="16" t="s">
        <v>18</v>
      </c>
      <c r="C16" s="16"/>
      <c r="D16" s="17"/>
      <c r="E16" s="18"/>
      <c r="F16" s="19"/>
      <c r="G16" s="20">
        <v>1</v>
      </c>
      <c r="H16" s="21">
        <f t="shared" ref="H16:H32" si="0">G16*F16</f>
        <v>0</v>
      </c>
      <c r="I16" s="22"/>
      <c r="J16" s="23"/>
      <c r="K16" s="24">
        <v>1</v>
      </c>
      <c r="L16" s="21">
        <f>K16*J16</f>
        <v>0</v>
      </c>
      <c r="M16" s="22"/>
      <c r="N16" s="25">
        <f>L16-H16</f>
        <v>0</v>
      </c>
      <c r="O16" s="26" t="str">
        <f>IF((H16)=0,"",(N16/H16))</f>
        <v/>
      </c>
    </row>
    <row r="17" spans="2:15" ht="30" x14ac:dyDescent="0.25">
      <c r="B17" s="128" t="str">
        <f>Rates!A46</f>
        <v>SME - Net Deferred Revenue Requirement, effective until December 31, 2016</v>
      </c>
      <c r="C17" s="16"/>
      <c r="D17" s="54" t="s">
        <v>67</v>
      </c>
      <c r="E17" s="18"/>
      <c r="F17" s="23">
        <f>Rates!D46</f>
        <v>3.57</v>
      </c>
      <c r="G17" s="20">
        <v>1</v>
      </c>
      <c r="H17" s="21">
        <f t="shared" si="0"/>
        <v>3.57</v>
      </c>
      <c r="I17" s="22"/>
      <c r="J17" s="23">
        <f>Rates!F46</f>
        <v>3.57</v>
      </c>
      <c r="K17" s="24">
        <v>1</v>
      </c>
      <c r="L17" s="21">
        <f t="shared" ref="L17:L32" si="1">K17*J17</f>
        <v>3.57</v>
      </c>
      <c r="M17" s="22"/>
      <c r="N17" s="25">
        <f t="shared" ref="N17:N33" si="2">L17-H17</f>
        <v>0</v>
      </c>
      <c r="O17" s="26">
        <f t="shared" ref="O17:O33" si="3">IF((H17)=0,"",(N17/H17))</f>
        <v>0</v>
      </c>
    </row>
    <row r="18" spans="2:15" x14ac:dyDescent="0.25">
      <c r="B18" s="128"/>
      <c r="C18" s="16"/>
      <c r="D18" s="54"/>
      <c r="E18" s="18"/>
      <c r="F18" s="23"/>
      <c r="G18" s="20"/>
      <c r="H18" s="21">
        <f t="shared" si="0"/>
        <v>0</v>
      </c>
      <c r="I18" s="22"/>
      <c r="J18" s="23"/>
      <c r="K18" s="24"/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ht="45" x14ac:dyDescent="0.25">
      <c r="B19" s="153" t="str">
        <f>Rates!A48</f>
        <v>Rate Rider for Recovery of Stranded Meter Assets (2014) - effective until December 31, 2015</v>
      </c>
      <c r="C19" s="16"/>
      <c r="D19" s="54" t="s">
        <v>67</v>
      </c>
      <c r="E19" s="18"/>
      <c r="F19" s="23">
        <f>Rates!D48</f>
        <v>2.5099999999999998</v>
      </c>
      <c r="G19" s="20">
        <v>1</v>
      </c>
      <c r="H19" s="21">
        <f t="shared" si="0"/>
        <v>2.5099999999999998</v>
      </c>
      <c r="I19" s="22"/>
      <c r="J19" s="23">
        <f>Rates!F48</f>
        <v>0</v>
      </c>
      <c r="K19" s="24">
        <v>1</v>
      </c>
      <c r="L19" s="21">
        <f t="shared" si="1"/>
        <v>0</v>
      </c>
      <c r="M19" s="22"/>
      <c r="N19" s="25">
        <f t="shared" si="2"/>
        <v>-2.5099999999999998</v>
      </c>
      <c r="O19" s="26">
        <f t="shared" si="3"/>
        <v>-1</v>
      </c>
    </row>
    <row r="20" spans="2:15" x14ac:dyDescent="0.25">
      <c r="B20" s="27"/>
      <c r="C20" s="16"/>
      <c r="D20" s="17"/>
      <c r="E20" s="18"/>
      <c r="F20" s="19"/>
      <c r="G20" s="20">
        <v>1</v>
      </c>
      <c r="H20" s="21">
        <f t="shared" si="0"/>
        <v>0</v>
      </c>
      <c r="I20" s="22"/>
      <c r="J20" s="23"/>
      <c r="K20" s="24">
        <v>1</v>
      </c>
      <c r="L20" s="21">
        <f t="shared" si="1"/>
        <v>0</v>
      </c>
      <c r="M20" s="22"/>
      <c r="N20" s="25">
        <f t="shared" si="2"/>
        <v>0</v>
      </c>
      <c r="O20" s="26" t="str">
        <f t="shared" si="3"/>
        <v/>
      </c>
    </row>
    <row r="21" spans="2:15" x14ac:dyDescent="0.25">
      <c r="B21" s="16" t="s">
        <v>19</v>
      </c>
      <c r="C21" s="16"/>
      <c r="D21" s="17" t="s">
        <v>68</v>
      </c>
      <c r="E21" s="18"/>
      <c r="F21" s="19">
        <f>Rates!D41</f>
        <v>0.1462</v>
      </c>
      <c r="G21" s="20">
        <f>$F$10</f>
        <v>205</v>
      </c>
      <c r="H21" s="21">
        <f t="shared" si="0"/>
        <v>29.971</v>
      </c>
      <c r="I21" s="22"/>
      <c r="J21" s="23">
        <f>Rates!F41</f>
        <v>0.14349999999999999</v>
      </c>
      <c r="K21" s="20">
        <f>$F$10</f>
        <v>205</v>
      </c>
      <c r="L21" s="21">
        <f t="shared" si="1"/>
        <v>29.417499999999997</v>
      </c>
      <c r="M21" s="22"/>
      <c r="N21" s="25">
        <f t="shared" si="2"/>
        <v>-0.55350000000000321</v>
      </c>
      <c r="O21" s="26">
        <f t="shared" si="3"/>
        <v>-1.846785225718205E-2</v>
      </c>
    </row>
    <row r="22" spans="2:15" x14ac:dyDescent="0.25">
      <c r="B22" s="16" t="s">
        <v>20</v>
      </c>
      <c r="C22" s="16"/>
      <c r="D22" s="17"/>
      <c r="E22" s="18"/>
      <c r="F22" s="19"/>
      <c r="G22" s="20">
        <f t="shared" ref="G22" si="4">$F$10</f>
        <v>205</v>
      </c>
      <c r="H22" s="21">
        <f t="shared" si="0"/>
        <v>0</v>
      </c>
      <c r="I22" s="22"/>
      <c r="J22" s="23"/>
      <c r="K22" s="20">
        <f t="shared" ref="K22:K32" si="5">$F$10</f>
        <v>205</v>
      </c>
      <c r="L22" s="21">
        <f t="shared" si="1"/>
        <v>0</v>
      </c>
      <c r="M22" s="22"/>
      <c r="N22" s="25">
        <f t="shared" si="2"/>
        <v>0</v>
      </c>
      <c r="O22" s="26" t="str">
        <f t="shared" si="3"/>
        <v/>
      </c>
    </row>
    <row r="23" spans="2:15" x14ac:dyDescent="0.25">
      <c r="B23" s="16" t="s">
        <v>21</v>
      </c>
      <c r="C23" s="16"/>
      <c r="D23" s="17"/>
      <c r="E23" s="18"/>
      <c r="F23" s="19"/>
      <c r="G23" s="20">
        <f>$F$10</f>
        <v>205</v>
      </c>
      <c r="H23" s="21">
        <f t="shared" si="0"/>
        <v>0</v>
      </c>
      <c r="I23" s="22"/>
      <c r="J23" s="23"/>
      <c r="K23" s="20">
        <f t="shared" si="5"/>
        <v>205</v>
      </c>
      <c r="L23" s="21">
        <f t="shared" si="1"/>
        <v>0</v>
      </c>
      <c r="M23" s="22"/>
      <c r="N23" s="25">
        <f t="shared" si="2"/>
        <v>0</v>
      </c>
      <c r="O23" s="26" t="str">
        <f t="shared" si="3"/>
        <v/>
      </c>
    </row>
    <row r="24" spans="2:15" x14ac:dyDescent="0.25">
      <c r="B24" s="128"/>
      <c r="C24" s="16"/>
      <c r="D24" s="54" t="s">
        <v>68</v>
      </c>
      <c r="E24" s="18"/>
      <c r="F24" s="23">
        <f>Rates!D42</f>
        <v>0</v>
      </c>
      <c r="G24" s="20">
        <f t="shared" ref="G24:G32" si="6">$F$10</f>
        <v>205</v>
      </c>
      <c r="H24" s="21">
        <f t="shared" si="0"/>
        <v>0</v>
      </c>
      <c r="I24" s="22"/>
      <c r="J24" s="23">
        <f>Rates!F42</f>
        <v>0</v>
      </c>
      <c r="K24" s="20">
        <f t="shared" si="5"/>
        <v>205</v>
      </c>
      <c r="L24" s="21">
        <f t="shared" si="1"/>
        <v>0</v>
      </c>
      <c r="M24" s="22"/>
      <c r="N24" s="25">
        <f t="shared" si="2"/>
        <v>0</v>
      </c>
      <c r="O24" s="26" t="str">
        <f t="shared" si="3"/>
        <v/>
      </c>
    </row>
    <row r="25" spans="2:15" x14ac:dyDescent="0.25">
      <c r="B25" s="128"/>
      <c r="C25" s="16"/>
      <c r="D25" s="54" t="s">
        <v>68</v>
      </c>
      <c r="E25" s="18"/>
      <c r="F25" s="23">
        <f>Rates!D43</f>
        <v>0</v>
      </c>
      <c r="G25" s="20">
        <f t="shared" si="6"/>
        <v>205</v>
      </c>
      <c r="H25" s="21">
        <f t="shared" si="0"/>
        <v>0</v>
      </c>
      <c r="I25" s="22"/>
      <c r="J25" s="23">
        <f>Rates!F43</f>
        <v>0</v>
      </c>
      <c r="K25" s="20">
        <f t="shared" si="5"/>
        <v>205</v>
      </c>
      <c r="L25" s="21">
        <f t="shared" si="1"/>
        <v>0</v>
      </c>
      <c r="M25" s="22"/>
      <c r="N25" s="25">
        <f t="shared" si="2"/>
        <v>0</v>
      </c>
      <c r="O25" s="26" t="str">
        <f t="shared" si="3"/>
        <v/>
      </c>
    </row>
    <row r="26" spans="2:15" ht="30" x14ac:dyDescent="0.25">
      <c r="B26" s="128" t="str">
        <f>Rates!A44</f>
        <v>Foregone Revenue Recovery (2015) - effective until December 31, 2015 (2015)</v>
      </c>
      <c r="C26" s="16"/>
      <c r="D26" s="54" t="s">
        <v>68</v>
      </c>
      <c r="E26" s="18"/>
      <c r="F26" s="23">
        <f>Rates!D44</f>
        <v>4.1000000000000003E-3</v>
      </c>
      <c r="G26" s="20"/>
      <c r="H26" s="21"/>
      <c r="I26" s="22"/>
      <c r="J26" s="23">
        <f>Rates!F44</f>
        <v>0</v>
      </c>
      <c r="K26" s="20">
        <f t="shared" si="5"/>
        <v>205</v>
      </c>
      <c r="L26" s="21">
        <f t="shared" si="1"/>
        <v>0</v>
      </c>
      <c r="M26" s="22"/>
      <c r="N26" s="25">
        <f t="shared" si="2"/>
        <v>0</v>
      </c>
      <c r="O26" s="26" t="str">
        <f t="shared" si="3"/>
        <v/>
      </c>
    </row>
    <row r="27" spans="2:15" x14ac:dyDescent="0.25">
      <c r="B27" s="128"/>
      <c r="C27" s="16"/>
      <c r="D27" s="54" t="s">
        <v>68</v>
      </c>
      <c r="E27" s="18"/>
      <c r="F27" s="23">
        <f>Rates!D49</f>
        <v>0</v>
      </c>
      <c r="G27" s="20">
        <f t="shared" si="6"/>
        <v>205</v>
      </c>
      <c r="H27" s="21">
        <f t="shared" si="0"/>
        <v>0</v>
      </c>
      <c r="I27" s="22"/>
      <c r="J27" s="23">
        <f>Rates!F49</f>
        <v>0</v>
      </c>
      <c r="K27" s="20">
        <f t="shared" si="5"/>
        <v>205</v>
      </c>
      <c r="L27" s="21">
        <f t="shared" si="1"/>
        <v>0</v>
      </c>
      <c r="M27" s="22"/>
      <c r="N27" s="25">
        <f t="shared" si="2"/>
        <v>0</v>
      </c>
      <c r="O27" s="26" t="str">
        <f t="shared" si="3"/>
        <v/>
      </c>
    </row>
    <row r="28" spans="2:15" ht="30" x14ac:dyDescent="0.25">
      <c r="B28" s="128" t="str">
        <f>Rates!A45</f>
        <v>Deferral/Variance Account Disposition - effective until June 30, 2019</v>
      </c>
      <c r="C28" s="16"/>
      <c r="D28" s="54" t="s">
        <v>68</v>
      </c>
      <c r="E28" s="18"/>
      <c r="F28" s="23">
        <f>Rates!D45</f>
        <v>3.0700000000000002E-2</v>
      </c>
      <c r="G28" s="20">
        <f t="shared" si="6"/>
        <v>205</v>
      </c>
      <c r="H28" s="21">
        <f t="shared" si="0"/>
        <v>6.2935000000000008</v>
      </c>
      <c r="I28" s="22"/>
      <c r="J28" s="23">
        <f>Rates!F45</f>
        <v>3.0700000000000002E-2</v>
      </c>
      <c r="K28" s="20">
        <f t="shared" si="5"/>
        <v>205</v>
      </c>
      <c r="L28" s="21">
        <f t="shared" si="1"/>
        <v>6.2935000000000008</v>
      </c>
      <c r="M28" s="22"/>
      <c r="N28" s="25">
        <f t="shared" si="2"/>
        <v>0</v>
      </c>
      <c r="O28" s="26">
        <f t="shared" si="3"/>
        <v>0</v>
      </c>
    </row>
    <row r="29" spans="2:15" ht="45" x14ac:dyDescent="0.25">
      <c r="B29" s="128" t="str">
        <f>Rates!A71</f>
        <v>Rate Rider for the Disposition of Account 1575 &amp; 1576 - effective until December 31, 2019</v>
      </c>
      <c r="C29" s="16"/>
      <c r="D29" s="54" t="s">
        <v>68</v>
      </c>
      <c r="E29" s="18"/>
      <c r="F29" s="23">
        <f>Rates!D53</f>
        <v>-1.9E-3</v>
      </c>
      <c r="G29" s="20">
        <f t="shared" si="6"/>
        <v>205</v>
      </c>
      <c r="H29" s="21">
        <f t="shared" si="0"/>
        <v>-0.38950000000000001</v>
      </c>
      <c r="I29" s="22"/>
      <c r="J29" s="23">
        <f>Rates!F53</f>
        <v>-1.9E-3</v>
      </c>
      <c r="K29" s="20">
        <f t="shared" si="5"/>
        <v>205</v>
      </c>
      <c r="L29" s="21">
        <f t="shared" si="1"/>
        <v>-0.38950000000000001</v>
      </c>
      <c r="M29" s="22"/>
      <c r="N29" s="25">
        <f t="shared" si="2"/>
        <v>0</v>
      </c>
      <c r="O29" s="26">
        <f t="shared" si="3"/>
        <v>0</v>
      </c>
    </row>
    <row r="30" spans="2:15" x14ac:dyDescent="0.25">
      <c r="B30" s="28"/>
      <c r="C30" s="16"/>
      <c r="D30" s="17"/>
      <c r="E30" s="18"/>
      <c r="F30" s="19"/>
      <c r="G30" s="20">
        <f t="shared" si="6"/>
        <v>205</v>
      </c>
      <c r="H30" s="21">
        <f t="shared" si="0"/>
        <v>0</v>
      </c>
      <c r="I30" s="22"/>
      <c r="J30" s="23"/>
      <c r="K30" s="20">
        <f t="shared" si="5"/>
        <v>205</v>
      </c>
      <c r="L30" s="21">
        <f t="shared" si="1"/>
        <v>0</v>
      </c>
      <c r="M30" s="22"/>
      <c r="N30" s="25">
        <f t="shared" si="2"/>
        <v>0</v>
      </c>
      <c r="O30" s="26" t="str">
        <f t="shared" si="3"/>
        <v/>
      </c>
    </row>
    <row r="31" spans="2:15" x14ac:dyDescent="0.25">
      <c r="B31" s="28"/>
      <c r="C31" s="16"/>
      <c r="D31" s="17"/>
      <c r="E31" s="18"/>
      <c r="F31" s="19"/>
      <c r="G31" s="20">
        <f t="shared" si="6"/>
        <v>205</v>
      </c>
      <c r="H31" s="21">
        <f t="shared" si="0"/>
        <v>0</v>
      </c>
      <c r="I31" s="22"/>
      <c r="J31" s="23"/>
      <c r="K31" s="20">
        <f t="shared" si="5"/>
        <v>205</v>
      </c>
      <c r="L31" s="21">
        <f t="shared" si="1"/>
        <v>0</v>
      </c>
      <c r="M31" s="22"/>
      <c r="N31" s="25">
        <f t="shared" si="2"/>
        <v>0</v>
      </c>
      <c r="O31" s="26" t="str">
        <f t="shared" si="3"/>
        <v/>
      </c>
    </row>
    <row r="32" spans="2:15" x14ac:dyDescent="0.25">
      <c r="B32" s="28"/>
      <c r="C32" s="16"/>
      <c r="D32" s="17"/>
      <c r="E32" s="18"/>
      <c r="F32" s="19"/>
      <c r="G32" s="20">
        <f t="shared" si="6"/>
        <v>205</v>
      </c>
      <c r="H32" s="21">
        <f t="shared" si="0"/>
        <v>0</v>
      </c>
      <c r="I32" s="22"/>
      <c r="J32" s="23"/>
      <c r="K32" s="20">
        <f t="shared" si="5"/>
        <v>205</v>
      </c>
      <c r="L32" s="21">
        <f t="shared" si="1"/>
        <v>0</v>
      </c>
      <c r="M32" s="22"/>
      <c r="N32" s="25">
        <f t="shared" si="2"/>
        <v>0</v>
      </c>
      <c r="O32" s="26" t="str">
        <f t="shared" si="3"/>
        <v/>
      </c>
    </row>
    <row r="33" spans="2:15" s="40" customFormat="1" x14ac:dyDescent="0.25">
      <c r="B33" s="29" t="s">
        <v>22</v>
      </c>
      <c r="C33" s="30"/>
      <c r="D33" s="31"/>
      <c r="E33" s="30"/>
      <c r="F33" s="32"/>
      <c r="G33" s="33"/>
      <c r="H33" s="34">
        <f>SUM(H15:H32)</f>
        <v>69.10499999999999</v>
      </c>
      <c r="I33" s="35"/>
      <c r="J33" s="36"/>
      <c r="K33" s="37"/>
      <c r="L33" s="34">
        <f>SUM(L15:L32)</f>
        <v>73.16149999999999</v>
      </c>
      <c r="M33" s="35"/>
      <c r="N33" s="38">
        <f t="shared" si="2"/>
        <v>4.0564999999999998</v>
      </c>
      <c r="O33" s="39">
        <f t="shared" si="3"/>
        <v>5.8700528181752414E-2</v>
      </c>
    </row>
    <row r="34" spans="2:15" ht="38.25" x14ac:dyDescent="0.25">
      <c r="B34" s="41" t="str">
        <f>Rates!A50</f>
        <v>Rate Rider for the Disposition of Deferral/Variance Accounts (2014) - effective until December 31, 2015</v>
      </c>
      <c r="C34" s="16"/>
      <c r="D34" s="54" t="s">
        <v>68</v>
      </c>
      <c r="E34" s="18"/>
      <c r="F34" s="23">
        <f>Rates!D50</f>
        <v>-1.41E-2</v>
      </c>
      <c r="G34" s="20">
        <f>$F$10</f>
        <v>205</v>
      </c>
      <c r="H34" s="21">
        <f>G34*F34</f>
        <v>-2.8904999999999998</v>
      </c>
      <c r="I34" s="22"/>
      <c r="J34" s="23">
        <f>Rates!F50</f>
        <v>0</v>
      </c>
      <c r="K34" s="20">
        <f>$F$10</f>
        <v>205</v>
      </c>
      <c r="L34" s="21">
        <f>K34*J34</f>
        <v>0</v>
      </c>
      <c r="M34" s="22"/>
      <c r="N34" s="25">
        <f>L34-H34</f>
        <v>2.8904999999999998</v>
      </c>
      <c r="O34" s="26">
        <f>IF((H34)=0,"",(N34/H34))</f>
        <v>-1</v>
      </c>
    </row>
    <row r="35" spans="2:15" ht="38.25" x14ac:dyDescent="0.25">
      <c r="B35" s="41" t="str">
        <f>Rates!A51</f>
        <v>Rate Rider for the Disposition of Global Adjustment Sub-Account (2014) - effective until December 31, 2015</v>
      </c>
      <c r="C35" s="16"/>
      <c r="D35" s="54" t="s">
        <v>68</v>
      </c>
      <c r="E35" s="18"/>
      <c r="F35" s="23">
        <f>Rates!D51</f>
        <v>2.1899999999999999E-2</v>
      </c>
      <c r="G35" s="20">
        <f t="shared" ref="G35:G38" si="7">$F$10</f>
        <v>205</v>
      </c>
      <c r="H35" s="21">
        <f t="shared" ref="H35:H39" si="8">G35*F35</f>
        <v>4.4894999999999996</v>
      </c>
      <c r="I35" s="42"/>
      <c r="J35" s="23">
        <v>0</v>
      </c>
      <c r="K35" s="20">
        <f t="shared" ref="K35:K38" si="9">$F$10</f>
        <v>205</v>
      </c>
      <c r="L35" s="21">
        <f t="shared" ref="L35:L39" si="10">K35*J35</f>
        <v>0</v>
      </c>
      <c r="M35" s="43"/>
      <c r="N35" s="25">
        <f t="shared" ref="N35:N39" si="11">L35-H35</f>
        <v>-4.4894999999999996</v>
      </c>
      <c r="O35" s="26">
        <f t="shared" ref="O35:O39" si="12">IF((H35)=0,"",(N35/H35))</f>
        <v>-1</v>
      </c>
    </row>
    <row r="36" spans="2:15" ht="38.25" x14ac:dyDescent="0.25">
      <c r="B36" s="41" t="str">
        <f>Rates!A42</f>
        <v>Rate Rider for the Disposition of Deferral/Variance Accounts (2016) - effective until December 31, 2016</v>
      </c>
      <c r="C36" s="16"/>
      <c r="D36" s="17" t="s">
        <v>68</v>
      </c>
      <c r="E36" s="18"/>
      <c r="F36" s="19">
        <f>Rates!D42</f>
        <v>0</v>
      </c>
      <c r="G36" s="20">
        <f t="shared" si="7"/>
        <v>205</v>
      </c>
      <c r="H36" s="21">
        <f t="shared" si="8"/>
        <v>0</v>
      </c>
      <c r="I36" s="42"/>
      <c r="J36" s="23">
        <f>Rates!F42</f>
        <v>0</v>
      </c>
      <c r="K36" s="20">
        <f t="shared" si="9"/>
        <v>205</v>
      </c>
      <c r="L36" s="21">
        <f t="shared" si="10"/>
        <v>0</v>
      </c>
      <c r="M36" s="43"/>
      <c r="N36" s="25">
        <f t="shared" si="11"/>
        <v>0</v>
      </c>
      <c r="O36" s="26" t="str">
        <f t="shared" si="12"/>
        <v/>
      </c>
    </row>
    <row r="37" spans="2:15" ht="38.25" x14ac:dyDescent="0.25">
      <c r="B37" s="41" t="str">
        <f>Rates!A43</f>
        <v>Rate Rider for the Disposition of Global Adjustment Sub-Account (2016) - effective until December 31, 2016</v>
      </c>
      <c r="C37" s="16"/>
      <c r="D37" s="17" t="s">
        <v>68</v>
      </c>
      <c r="E37" s="18"/>
      <c r="F37" s="19">
        <f>Rates!D43</f>
        <v>0</v>
      </c>
      <c r="G37" s="20">
        <f t="shared" si="7"/>
        <v>205</v>
      </c>
      <c r="H37" s="21">
        <f t="shared" si="8"/>
        <v>0</v>
      </c>
      <c r="I37" s="42"/>
      <c r="J37" s="23">
        <f>Rates!F43</f>
        <v>0</v>
      </c>
      <c r="K37" s="20">
        <f t="shared" si="9"/>
        <v>205</v>
      </c>
      <c r="L37" s="21">
        <f t="shared" si="10"/>
        <v>0</v>
      </c>
      <c r="M37" s="43"/>
      <c r="N37" s="25">
        <f t="shared" si="11"/>
        <v>0</v>
      </c>
      <c r="O37" s="26" t="str">
        <f t="shared" si="12"/>
        <v/>
      </c>
    </row>
    <row r="38" spans="2:15" x14ac:dyDescent="0.25">
      <c r="B38" s="44" t="s">
        <v>23</v>
      </c>
      <c r="C38" s="16"/>
      <c r="D38" s="17"/>
      <c r="E38" s="18"/>
      <c r="F38" s="19"/>
      <c r="G38" s="20">
        <f t="shared" si="7"/>
        <v>205</v>
      </c>
      <c r="H38" s="21">
        <f>G38*F38</f>
        <v>0</v>
      </c>
      <c r="I38" s="22"/>
      <c r="J38" s="23"/>
      <c r="K38" s="20">
        <f t="shared" si="9"/>
        <v>205</v>
      </c>
      <c r="L38" s="21">
        <f>K38*J38</f>
        <v>0</v>
      </c>
      <c r="M38" s="22"/>
      <c r="N38" s="25">
        <f>L38-H38</f>
        <v>0</v>
      </c>
      <c r="O38" s="26" t="str">
        <f>IF((H38)=0,"",(N38/H38))</f>
        <v/>
      </c>
    </row>
    <row r="39" spans="2:15" x14ac:dyDescent="0.25">
      <c r="B39" s="44" t="s">
        <v>24</v>
      </c>
      <c r="C39" s="16"/>
      <c r="D39" s="17" t="s">
        <v>68</v>
      </c>
      <c r="E39" s="18"/>
      <c r="F39" s="45">
        <f>IF(ISBLANK(D8)=TRUE, 0, IF(D8="TOU", 0.64*$F$50+0.18*$F$51+0.18*$F$52, IF(AND(D8="non-TOU",#REF!&gt; 0),#REF!,#REF!)))</f>
        <v>0.10214000000000001</v>
      </c>
      <c r="G39" s="46">
        <f>$F$10*(1+$F$60)-$F$10</f>
        <v>18.79849999999999</v>
      </c>
      <c r="H39" s="21">
        <f t="shared" si="8"/>
        <v>1.9200787899999991</v>
      </c>
      <c r="I39" s="22"/>
      <c r="J39" s="47">
        <f>0.64*$F$50+0.18*$F$51+0.18*$F$52</f>
        <v>0.10214000000000001</v>
      </c>
      <c r="K39" s="46">
        <f>$F$10*(1+$J$60)-$F$10</f>
        <v>18.79849999999999</v>
      </c>
      <c r="L39" s="21">
        <f t="shared" si="10"/>
        <v>1.9200787899999991</v>
      </c>
      <c r="M39" s="22"/>
      <c r="N39" s="25">
        <f t="shared" si="11"/>
        <v>0</v>
      </c>
      <c r="O39" s="26">
        <f t="shared" si="12"/>
        <v>0</v>
      </c>
    </row>
    <row r="40" spans="2:15" x14ac:dyDescent="0.25">
      <c r="B40" s="44" t="s">
        <v>25</v>
      </c>
      <c r="C40" s="16"/>
      <c r="D40" s="17" t="s">
        <v>67</v>
      </c>
      <c r="E40" s="18"/>
      <c r="F40" s="45">
        <f>Rates!D58</f>
        <v>0.79</v>
      </c>
      <c r="G40" s="20">
        <v>1</v>
      </c>
      <c r="H40" s="21">
        <f>G40*F40</f>
        <v>0.79</v>
      </c>
      <c r="I40" s="22"/>
      <c r="J40" s="45">
        <f>Rates!F58</f>
        <v>0.79</v>
      </c>
      <c r="K40" s="20">
        <v>1</v>
      </c>
      <c r="L40" s="21">
        <f>K40*J40</f>
        <v>0.79</v>
      </c>
      <c r="M40" s="22"/>
      <c r="N40" s="25">
        <f>L40-H40</f>
        <v>0</v>
      </c>
      <c r="O40" s="26"/>
    </row>
    <row r="41" spans="2:15" ht="25.5" x14ac:dyDescent="0.25">
      <c r="B41" s="48" t="s">
        <v>26</v>
      </c>
      <c r="C41" s="49"/>
      <c r="D41" s="49"/>
      <c r="E41" s="49"/>
      <c r="F41" s="50"/>
      <c r="G41" s="51"/>
      <c r="H41" s="52">
        <f>SUM(H34:H40)+H33</f>
        <v>73.414078789999991</v>
      </c>
      <c r="I41" s="35"/>
      <c r="J41" s="51"/>
      <c r="K41" s="53"/>
      <c r="L41" s="52">
        <f>SUM(L34:L40)+L33</f>
        <v>75.871578789999987</v>
      </c>
      <c r="M41" s="35"/>
      <c r="N41" s="38">
        <f t="shared" ref="N41:N58" si="13">L41-H41</f>
        <v>2.457499999999996</v>
      </c>
      <c r="O41" s="39">
        <f t="shared" ref="O41:O58" si="14">IF((H41)=0,"",(N41/H41))</f>
        <v>3.347450571476409E-2</v>
      </c>
    </row>
    <row r="42" spans="2:15" x14ac:dyDescent="0.25">
      <c r="B42" s="22" t="s">
        <v>27</v>
      </c>
      <c r="C42" s="22"/>
      <c r="D42" s="54" t="s">
        <v>68</v>
      </c>
      <c r="E42" s="55"/>
      <c r="F42" s="23">
        <f>Rates!D54</f>
        <v>7.1000000000000004E-3</v>
      </c>
      <c r="G42" s="56">
        <f>F10*(1+F60)</f>
        <v>223.79849999999999</v>
      </c>
      <c r="H42" s="21">
        <f>G42*F42</f>
        <v>1.5889693499999999</v>
      </c>
      <c r="I42" s="22"/>
      <c r="J42" s="23">
        <f>Rates!F54</f>
        <v>7.0000000000000001E-3</v>
      </c>
      <c r="K42" s="57">
        <f>F10*(1+J60)</f>
        <v>223.79849999999999</v>
      </c>
      <c r="L42" s="21">
        <f>K42*J42</f>
        <v>1.5665894999999999</v>
      </c>
      <c r="M42" s="22"/>
      <c r="N42" s="25">
        <f t="shared" si="13"/>
        <v>-2.237985000000009E-2</v>
      </c>
      <c r="O42" s="26">
        <f t="shared" si="14"/>
        <v>-1.4084507042253579E-2</v>
      </c>
    </row>
    <row r="43" spans="2:15" x14ac:dyDescent="0.25">
      <c r="B43" s="58" t="s">
        <v>28</v>
      </c>
      <c r="C43" s="22"/>
      <c r="D43" s="54" t="s">
        <v>68</v>
      </c>
      <c r="E43" s="55"/>
      <c r="F43" s="23">
        <f>Rates!D55</f>
        <v>5.3E-3</v>
      </c>
      <c r="G43" s="56">
        <f>G42</f>
        <v>223.79849999999999</v>
      </c>
      <c r="H43" s="21">
        <f>G43*F43</f>
        <v>1.1861320499999999</v>
      </c>
      <c r="I43" s="22"/>
      <c r="J43" s="23">
        <f>Rates!F55</f>
        <v>5.1000000000000004E-3</v>
      </c>
      <c r="K43" s="57">
        <f>K42</f>
        <v>223.79849999999999</v>
      </c>
      <c r="L43" s="21">
        <f>K43*J43</f>
        <v>1.1413723499999999</v>
      </c>
      <c r="M43" s="22"/>
      <c r="N43" s="25">
        <f t="shared" si="13"/>
        <v>-4.4759699999999958E-2</v>
      </c>
      <c r="O43" s="26">
        <f t="shared" si="14"/>
        <v>-3.7735849056603744E-2</v>
      </c>
    </row>
    <row r="44" spans="2:15" ht="25.5" x14ac:dyDescent="0.25">
      <c r="B44" s="48" t="s">
        <v>29</v>
      </c>
      <c r="C44" s="30"/>
      <c r="D44" s="30"/>
      <c r="E44" s="30"/>
      <c r="F44" s="59"/>
      <c r="G44" s="51"/>
      <c r="H44" s="52">
        <f>SUM(H41:H43)</f>
        <v>76.189180189999988</v>
      </c>
      <c r="I44" s="60"/>
      <c r="J44" s="61"/>
      <c r="K44" s="62"/>
      <c r="L44" s="52">
        <f>SUM(L41:L43)</f>
        <v>78.579540639999991</v>
      </c>
      <c r="M44" s="60"/>
      <c r="N44" s="38">
        <f t="shared" si="13"/>
        <v>2.3903604500000029</v>
      </c>
      <c r="O44" s="39">
        <f t="shared" si="14"/>
        <v>3.1374014578434112E-2</v>
      </c>
    </row>
    <row r="45" spans="2:15" x14ac:dyDescent="0.25">
      <c r="B45" s="63" t="s">
        <v>30</v>
      </c>
      <c r="C45" s="16"/>
      <c r="D45" s="54" t="s">
        <v>68</v>
      </c>
      <c r="E45" s="18"/>
      <c r="F45" s="66">
        <f>Rates!D56</f>
        <v>4.4000000000000003E-3</v>
      </c>
      <c r="G45" s="56">
        <f>G43</f>
        <v>223.79849999999999</v>
      </c>
      <c r="H45" s="65">
        <f t="shared" ref="H45:H52" si="15">G45*F45</f>
        <v>0.98471339999999996</v>
      </c>
      <c r="I45" s="22"/>
      <c r="J45" s="66">
        <f>Rates!F56</f>
        <v>4.4000000000000003E-3</v>
      </c>
      <c r="K45" s="57">
        <f>K43</f>
        <v>223.79849999999999</v>
      </c>
      <c r="L45" s="65">
        <f t="shared" ref="L45:L52" si="16">K45*J45</f>
        <v>0.98471339999999996</v>
      </c>
      <c r="M45" s="22"/>
      <c r="N45" s="25">
        <f t="shared" si="13"/>
        <v>0</v>
      </c>
      <c r="O45" s="67">
        <f t="shared" si="14"/>
        <v>0</v>
      </c>
    </row>
    <row r="46" spans="2:15" x14ac:dyDescent="0.25">
      <c r="B46" s="63" t="s">
        <v>31</v>
      </c>
      <c r="C46" s="16"/>
      <c r="D46" s="54" t="s">
        <v>68</v>
      </c>
      <c r="E46" s="18"/>
      <c r="F46" s="66">
        <f>Rates!D57</f>
        <v>1.2999999999999999E-3</v>
      </c>
      <c r="G46" s="56">
        <f>G43</f>
        <v>223.79849999999999</v>
      </c>
      <c r="H46" s="65">
        <f t="shared" si="15"/>
        <v>0.29093804999999995</v>
      </c>
      <c r="I46" s="22"/>
      <c r="J46" s="66">
        <f>Rates!F57</f>
        <v>1.2999999999999999E-3</v>
      </c>
      <c r="K46" s="57">
        <f>K43</f>
        <v>223.79849999999999</v>
      </c>
      <c r="L46" s="65">
        <f t="shared" si="16"/>
        <v>0.29093804999999995</v>
      </c>
      <c r="M46" s="22"/>
      <c r="N46" s="25">
        <f t="shared" si="13"/>
        <v>0</v>
      </c>
      <c r="O46" s="67">
        <f t="shared" si="14"/>
        <v>0</v>
      </c>
    </row>
    <row r="47" spans="2:15" x14ac:dyDescent="0.25">
      <c r="B47" s="16" t="s">
        <v>32</v>
      </c>
      <c r="C47" s="16"/>
      <c r="D47" s="17" t="s">
        <v>67</v>
      </c>
      <c r="E47" s="18"/>
      <c r="F47" s="64">
        <f>Rates!D59</f>
        <v>0.25</v>
      </c>
      <c r="G47" s="20">
        <v>1</v>
      </c>
      <c r="H47" s="65">
        <f t="shared" si="15"/>
        <v>0.25</v>
      </c>
      <c r="I47" s="22"/>
      <c r="J47" s="66">
        <f>Rates!F59</f>
        <v>0.25</v>
      </c>
      <c r="K47" s="24">
        <v>1</v>
      </c>
      <c r="L47" s="65">
        <f t="shared" si="16"/>
        <v>0.25</v>
      </c>
      <c r="M47" s="22"/>
      <c r="N47" s="25">
        <f t="shared" si="13"/>
        <v>0</v>
      </c>
      <c r="O47" s="67">
        <f t="shared" si="14"/>
        <v>0</v>
      </c>
    </row>
    <row r="48" spans="2:15" x14ac:dyDescent="0.25">
      <c r="B48" s="16" t="s">
        <v>33</v>
      </c>
      <c r="C48" s="16"/>
      <c r="D48" s="17" t="s">
        <v>68</v>
      </c>
      <c r="E48" s="18"/>
      <c r="F48" s="64">
        <f>Rates!D79</f>
        <v>2E-3</v>
      </c>
      <c r="G48" s="68">
        <f>F10</f>
        <v>205</v>
      </c>
      <c r="H48" s="65">
        <f t="shared" si="15"/>
        <v>0.41000000000000003</v>
      </c>
      <c r="I48" s="22"/>
      <c r="J48" s="66">
        <f>Rates!F79</f>
        <v>0</v>
      </c>
      <c r="K48" s="69">
        <f>F10</f>
        <v>205</v>
      </c>
      <c r="L48" s="65">
        <f t="shared" si="16"/>
        <v>0</v>
      </c>
      <c r="M48" s="22"/>
      <c r="N48" s="25">
        <f t="shared" si="13"/>
        <v>-0.41000000000000003</v>
      </c>
      <c r="O48" s="67">
        <f t="shared" si="14"/>
        <v>-1</v>
      </c>
    </row>
    <row r="49" spans="1:19" x14ac:dyDescent="0.25">
      <c r="B49" s="16" t="s">
        <v>115</v>
      </c>
      <c r="C49" s="16"/>
      <c r="D49" s="17" t="s">
        <v>68</v>
      </c>
      <c r="E49" s="18"/>
      <c r="F49" s="64"/>
      <c r="G49" s="68"/>
      <c r="H49" s="65"/>
      <c r="I49" s="22"/>
      <c r="J49" s="66">
        <f>Rates!F80</f>
        <v>1.1000000000000001E-3</v>
      </c>
      <c r="K49" s="69">
        <f>F10</f>
        <v>205</v>
      </c>
      <c r="L49" s="65">
        <f t="shared" si="16"/>
        <v>0.22550000000000001</v>
      </c>
      <c r="M49" s="22"/>
      <c r="N49" s="25">
        <f t="shared" si="13"/>
        <v>0.22550000000000001</v>
      </c>
      <c r="O49" s="67" t="str">
        <f t="shared" si="14"/>
        <v/>
      </c>
    </row>
    <row r="50" spans="1:19" x14ac:dyDescent="0.25">
      <c r="B50" s="44" t="s">
        <v>34</v>
      </c>
      <c r="C50" s="16"/>
      <c r="D50" s="17" t="s">
        <v>68</v>
      </c>
      <c r="E50" s="18"/>
      <c r="F50" s="70">
        <f>Rates!D88</f>
        <v>0.08</v>
      </c>
      <c r="G50" s="71">
        <f>0.64*$F$10</f>
        <v>131.19999999999999</v>
      </c>
      <c r="H50" s="65">
        <f t="shared" si="15"/>
        <v>10.495999999999999</v>
      </c>
      <c r="I50" s="22"/>
      <c r="J50" s="64">
        <f>Rates!F88</f>
        <v>0.08</v>
      </c>
      <c r="K50" s="71">
        <f>G50</f>
        <v>131.19999999999999</v>
      </c>
      <c r="L50" s="65">
        <f t="shared" si="16"/>
        <v>10.495999999999999</v>
      </c>
      <c r="M50" s="22"/>
      <c r="N50" s="25">
        <f t="shared" si="13"/>
        <v>0</v>
      </c>
      <c r="O50" s="67">
        <f t="shared" si="14"/>
        <v>0</v>
      </c>
      <c r="S50" s="72"/>
    </row>
    <row r="51" spans="1:19" x14ac:dyDescent="0.25">
      <c r="B51" s="44" t="s">
        <v>35</v>
      </c>
      <c r="C51" s="16"/>
      <c r="D51" s="17" t="s">
        <v>68</v>
      </c>
      <c r="E51" s="18"/>
      <c r="F51" s="70">
        <f>Rates!D89</f>
        <v>0.122</v>
      </c>
      <c r="G51" s="71">
        <f>0.18*$F$10</f>
        <v>36.9</v>
      </c>
      <c r="H51" s="65">
        <f t="shared" si="15"/>
        <v>4.5017999999999994</v>
      </c>
      <c r="I51" s="22"/>
      <c r="J51" s="64">
        <f>Rates!F89</f>
        <v>0.122</v>
      </c>
      <c r="K51" s="71">
        <f>G51</f>
        <v>36.9</v>
      </c>
      <c r="L51" s="65">
        <f t="shared" si="16"/>
        <v>4.5017999999999994</v>
      </c>
      <c r="M51" s="22"/>
      <c r="N51" s="25">
        <f t="shared" si="13"/>
        <v>0</v>
      </c>
      <c r="O51" s="67">
        <f t="shared" si="14"/>
        <v>0</v>
      </c>
      <c r="S51" s="72"/>
    </row>
    <row r="52" spans="1:19" ht="15.75" thickBot="1" x14ac:dyDescent="0.3">
      <c r="B52" s="6" t="s">
        <v>36</v>
      </c>
      <c r="C52" s="16"/>
      <c r="D52" s="17" t="s">
        <v>68</v>
      </c>
      <c r="E52" s="18"/>
      <c r="F52" s="70">
        <f>Rates!D90</f>
        <v>0.161</v>
      </c>
      <c r="G52" s="71">
        <f>0.18*$F$10</f>
        <v>36.9</v>
      </c>
      <c r="H52" s="65">
        <f t="shared" si="15"/>
        <v>5.9409000000000001</v>
      </c>
      <c r="I52" s="22"/>
      <c r="J52" s="64">
        <f>Rates!F90</f>
        <v>0.161</v>
      </c>
      <c r="K52" s="71">
        <f>G52</f>
        <v>36.9</v>
      </c>
      <c r="L52" s="65">
        <f t="shared" si="16"/>
        <v>5.9409000000000001</v>
      </c>
      <c r="M52" s="22"/>
      <c r="N52" s="25">
        <f t="shared" si="13"/>
        <v>0</v>
      </c>
      <c r="O52" s="67">
        <f t="shared" si="14"/>
        <v>0</v>
      </c>
      <c r="S52" s="72"/>
    </row>
    <row r="53" spans="1:19" ht="15.75" thickBot="1" x14ac:dyDescent="0.3">
      <c r="B53" s="74"/>
      <c r="C53" s="75"/>
      <c r="D53" s="76"/>
      <c r="E53" s="75"/>
      <c r="F53" s="77"/>
      <c r="G53" s="78"/>
      <c r="H53" s="79"/>
      <c r="I53" s="80"/>
      <c r="J53" s="77"/>
      <c r="K53" s="81"/>
      <c r="L53" s="79"/>
      <c r="M53" s="80"/>
      <c r="N53" s="82"/>
      <c r="O53" s="83"/>
    </row>
    <row r="54" spans="1:19" x14ac:dyDescent="0.25">
      <c r="B54" s="84" t="s">
        <v>37</v>
      </c>
      <c r="C54" s="16"/>
      <c r="D54" s="16"/>
      <c r="E54" s="16"/>
      <c r="F54" s="85"/>
      <c r="G54" s="86"/>
      <c r="H54" s="87">
        <f>SUM(H45:H52,H44)</f>
        <v>99.063531639999979</v>
      </c>
      <c r="I54" s="88"/>
      <c r="J54" s="89"/>
      <c r="K54" s="89"/>
      <c r="L54" s="127">
        <f>SUM(L45:L52,L44)</f>
        <v>101.26939209</v>
      </c>
      <c r="M54" s="90"/>
      <c r="N54" s="91">
        <f t="shared" ref="N54" si="17">L54-H54</f>
        <v>2.2058604500000172</v>
      </c>
      <c r="O54" s="92">
        <f t="shared" ref="O54" si="18">IF((H54)=0,"",(N54/H54))</f>
        <v>2.2267129118878824E-2</v>
      </c>
      <c r="S54" s="72"/>
    </row>
    <row r="55" spans="1:19" x14ac:dyDescent="0.25">
      <c r="B55" s="93" t="s">
        <v>38</v>
      </c>
      <c r="C55" s="16"/>
      <c r="D55" s="16"/>
      <c r="E55" s="16"/>
      <c r="F55" s="94">
        <v>0.13</v>
      </c>
      <c r="G55" s="95"/>
      <c r="H55" s="96">
        <f>H54*F55</f>
        <v>12.878259113199999</v>
      </c>
      <c r="I55" s="97"/>
      <c r="J55" s="98">
        <v>0.13</v>
      </c>
      <c r="K55" s="97"/>
      <c r="L55" s="99">
        <f>L54*J55</f>
        <v>13.165020971700001</v>
      </c>
      <c r="M55" s="100"/>
      <c r="N55" s="101">
        <f t="shared" si="13"/>
        <v>0.28676185850000202</v>
      </c>
      <c r="O55" s="102">
        <f t="shared" si="14"/>
        <v>2.2267129118878806E-2</v>
      </c>
      <c r="S55" s="72"/>
    </row>
    <row r="56" spans="1:19" x14ac:dyDescent="0.25">
      <c r="B56" s="103" t="s">
        <v>42</v>
      </c>
      <c r="C56" s="16"/>
      <c r="D56" s="16"/>
      <c r="E56" s="16"/>
      <c r="F56" s="104"/>
      <c r="G56" s="95"/>
      <c r="H56" s="96">
        <f>H54+H55</f>
        <v>111.94179075319998</v>
      </c>
      <c r="I56" s="97"/>
      <c r="J56" s="97"/>
      <c r="K56" s="97"/>
      <c r="L56" s="99">
        <f>L54+L55</f>
        <v>114.4344130617</v>
      </c>
      <c r="M56" s="100"/>
      <c r="N56" s="101">
        <f t="shared" si="13"/>
        <v>2.4926223085000174</v>
      </c>
      <c r="O56" s="102">
        <f t="shared" si="14"/>
        <v>2.2267129118878806E-2</v>
      </c>
      <c r="S56" s="72"/>
    </row>
    <row r="57" spans="1:19" x14ac:dyDescent="0.25">
      <c r="B57" s="194" t="s">
        <v>43</v>
      </c>
      <c r="C57" s="194"/>
      <c r="D57" s="194"/>
      <c r="E57" s="16"/>
      <c r="F57" s="104"/>
      <c r="G57" s="95"/>
      <c r="H57" s="105">
        <f>ROUND(-H56*10%,2)</f>
        <v>-11.19</v>
      </c>
      <c r="I57" s="97"/>
      <c r="J57" s="97"/>
      <c r="K57" s="97"/>
      <c r="L57" s="106">
        <v>0</v>
      </c>
      <c r="M57" s="100"/>
      <c r="N57" s="107">
        <f t="shared" si="13"/>
        <v>11.19</v>
      </c>
      <c r="O57" s="108">
        <f t="shared" si="14"/>
        <v>-1</v>
      </c>
    </row>
    <row r="58" spans="1:19" x14ac:dyDescent="0.25">
      <c r="B58" s="195" t="s">
        <v>39</v>
      </c>
      <c r="C58" s="195"/>
      <c r="D58" s="195"/>
      <c r="E58" s="109"/>
      <c r="F58" s="110"/>
      <c r="G58" s="111"/>
      <c r="H58" s="112">
        <f>H56+H57</f>
        <v>100.75179075319998</v>
      </c>
      <c r="I58" s="113"/>
      <c r="J58" s="113"/>
      <c r="K58" s="113"/>
      <c r="L58" s="114">
        <f>L56+L57</f>
        <v>114.4344130617</v>
      </c>
      <c r="M58" s="115"/>
      <c r="N58" s="116">
        <f t="shared" si="13"/>
        <v>13.682622308500015</v>
      </c>
      <c r="O58" s="117">
        <f t="shared" si="14"/>
        <v>0.13580525175990921</v>
      </c>
    </row>
    <row r="59" spans="1:19" x14ac:dyDescent="0.25">
      <c r="L59" s="72"/>
    </row>
    <row r="60" spans="1:19" x14ac:dyDescent="0.25">
      <c r="B60" s="7" t="s">
        <v>40</v>
      </c>
      <c r="F60" s="125">
        <f>Rates!D85</f>
        <v>9.1700000000000004E-2</v>
      </c>
      <c r="J60" s="125">
        <f>Rates!F85</f>
        <v>9.1700000000000004E-2</v>
      </c>
    </row>
    <row r="62" spans="1:19" x14ac:dyDescent="0.25">
      <c r="A62" s="126"/>
      <c r="B62" s="1" t="s">
        <v>41</v>
      </c>
    </row>
  </sheetData>
  <mergeCells count="11">
    <mergeCell ref="D13:D14"/>
    <mergeCell ref="N13:N14"/>
    <mergeCell ref="O13:O14"/>
    <mergeCell ref="B57:D57"/>
    <mergeCell ref="B58:D58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42:D43 D34:D40 D15:D32 D45:D53">
      <formula1>"Monthly, per kWh, per kW"</formula1>
    </dataValidation>
    <dataValidation type="list" allowBlank="1" showInputMessage="1" showErrorMessage="1" sqref="E42:E43 E34:E40 E15:E32 E45:E53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Cover</vt:lpstr>
      <vt:lpstr>Rates</vt:lpstr>
      <vt:lpstr>Residential - R1 RPP</vt:lpstr>
      <vt:lpstr>Residential - R1 RPP (2)</vt:lpstr>
      <vt:lpstr>Residential - R1 GS RPP</vt:lpstr>
      <vt:lpstr>Residential - R1 Non-RPP</vt:lpstr>
      <vt:lpstr>Residential - R2</vt:lpstr>
      <vt:lpstr>Seasonal RPP</vt:lpstr>
      <vt:lpstr>Seasonal RPP (2)</vt:lpstr>
      <vt:lpstr>Seasonal RPP (3)</vt:lpstr>
      <vt:lpstr>Seasonal Non-RPP</vt:lpstr>
      <vt:lpstr>Street Lighting Non-RPP</vt:lpstr>
      <vt:lpstr>Street Lighting Non-RPP (2)</vt:lpstr>
      <vt:lpstr>Summary</vt:lpstr>
      <vt:lpstr>'Residential - R1 GS RPP'!Print_Area</vt:lpstr>
      <vt:lpstr>'Residential - R1 Non-RPP'!Print_Area</vt:lpstr>
      <vt:lpstr>'Residential - R1 RPP'!Print_Area</vt:lpstr>
      <vt:lpstr>'Residential - R1 RPP (2)'!Print_Area</vt:lpstr>
      <vt:lpstr>'Residential - R2'!Print_Area</vt:lpstr>
      <vt:lpstr>'Seasonal Non-RPP'!Print_Area</vt:lpstr>
      <vt:lpstr>'Seasonal RPP'!Print_Area</vt:lpstr>
      <vt:lpstr>'Seasonal RPP (2)'!Print_Area</vt:lpstr>
      <vt:lpstr>'Seasonal RPP (3)'!Print_Area</vt:lpstr>
      <vt:lpstr>'Street Lighting Non-RPP'!Print_Area</vt:lpstr>
      <vt:lpstr>'Street Lighting Non-RPP (2)'!Print_Area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2015-11-19T16:01:13Z</cp:lastPrinted>
  <dcterms:created xsi:type="dcterms:W3CDTF">2014-04-09T13:49:52Z</dcterms:created>
  <dcterms:modified xsi:type="dcterms:W3CDTF">2015-11-19T16:05:38Z</dcterms:modified>
</cp:coreProperties>
</file>